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MENU" sheetId="1" r:id="rId1"/>
    <sheet name="PANDUAN PENGGUNAAN" sheetId="2" r:id="rId2"/>
    <sheet name="PEDOMAN TEKNIS" sheetId="3" r:id="rId3"/>
    <sheet name="Isi Data" sheetId="4" r:id="rId4"/>
    <sheet name="D" sheetId="5" r:id="rId5"/>
    <sheet name="HSBGN" sheetId="6" r:id="rId6"/>
    <sheet name="SK" sheetId="7" r:id="rId7"/>
    <sheet name="model" sheetId="8" r:id="rId8"/>
    <sheet name="SNI" sheetId="9" r:id="rId9"/>
    <sheet name="SpeK Gedung" sheetId="10" r:id="rId10"/>
    <sheet name="RAB - GTS" sheetId="11" r:id="rId11"/>
    <sheet name="ANL-KUSEN GTS" sheetId="12" r:id="rId12"/>
    <sheet name="QTY-GTS" sheetId="13" r:id="rId13"/>
    <sheet name="RAB - GS" sheetId="14" r:id="rId14"/>
    <sheet name="ANL-KUSEN GS" sheetId="15" r:id="rId15"/>
    <sheet name="QTY-GS" sheetId="16" r:id="rId16"/>
    <sheet name="SpeK Rumah" sheetId="17" r:id="rId17"/>
    <sheet name="RAB - rumahA" sheetId="18" r:id="rId18"/>
    <sheet name="A-QTY" sheetId="19" r:id="rId19"/>
    <sheet name="RAB - RumahB" sheetId="20" r:id="rId20"/>
    <sheet name="B-QTY" sheetId="21" r:id="rId21"/>
    <sheet name="C-QTY" sheetId="22" r:id="rId22"/>
    <sheet name="RAB - RumahC" sheetId="23" r:id="rId23"/>
    <sheet name="SpeK Pagar" sheetId="24" r:id="rId24"/>
    <sheet name="QTY-PG" sheetId="25" r:id="rId25"/>
    <sheet name="RAB - PG" sheetId="26" r:id="rId26"/>
    <sheet name="QTY-PR" sheetId="27" r:id="rId27"/>
    <sheet name="RAB - PR" sheetId="28" r:id="rId28"/>
  </sheets>
  <definedNames>
    <definedName name="_1Excel_BuiltIn_Print_Titles_1_1" localSheetId="21">#REF!</definedName>
    <definedName name="_1P" localSheetId="21">#REF!</definedName>
    <definedName name="_1P">#REF!</definedName>
    <definedName name="_2Excel_BuiltIn_Print_Titles_1_1">#REF!</definedName>
    <definedName name="_2P" localSheetId="21">#REF!</definedName>
    <definedName name="_2P">#REF!</definedName>
    <definedName name="_A16500" localSheetId="21">#REF!</definedName>
    <definedName name="_A16500" localSheetId="10">#REF!</definedName>
    <definedName name="_A16500" localSheetId="22">#REF!</definedName>
    <definedName name="_A16500">#REF!</definedName>
    <definedName name="a" localSheetId="21">#REF!</definedName>
    <definedName name="a" localSheetId="10">#REF!</definedName>
    <definedName name="a" localSheetId="22">#REF!</definedName>
    <definedName name="a">#REF!</definedName>
    <definedName name="aaa" localSheetId="21">#REF!</definedName>
    <definedName name="aaa" localSheetId="10">#REF!</definedName>
    <definedName name="aaa" localSheetId="22">#REF!</definedName>
    <definedName name="aaa">#REF!</definedName>
    <definedName name="abcd" localSheetId="21">#REF!</definedName>
    <definedName name="abcd" localSheetId="10">#REF!</definedName>
    <definedName name="abcd" localSheetId="22">#REF!</definedName>
    <definedName name="abcd">#REF!</definedName>
    <definedName name="asal" localSheetId="21">#REF!</definedName>
    <definedName name="asal" localSheetId="10">#REF!</definedName>
    <definedName name="asal" localSheetId="22">#REF!</definedName>
    <definedName name="asal">#REF!</definedName>
    <definedName name="b" localSheetId="21">#REF!</definedName>
    <definedName name="b" localSheetId="10">#REF!</definedName>
    <definedName name="b" localSheetId="22">#REF!</definedName>
    <definedName name="b">#REF!</definedName>
    <definedName name="_xlnm.Criteria" localSheetId="21">#REF!</definedName>
    <definedName name="_xlnm.Criteria" localSheetId="10">#REF!</definedName>
    <definedName name="_xlnm.Criteria" localSheetId="22">#REF!</definedName>
    <definedName name="_xlnm.Criteria">#REF!</definedName>
    <definedName name="_xlnm.Database" localSheetId="21">#REF!</definedName>
    <definedName name="_xlnm.Database" localSheetId="10">#REF!</definedName>
    <definedName name="_xlnm.Database" localSheetId="22">#REF!</definedName>
    <definedName name="_xlnm.Database">#REF!</definedName>
    <definedName name="ddd" localSheetId="5">'[1]bill 3'!$A$3:$IO$4</definedName>
    <definedName name="ddd" localSheetId="9">#REF!</definedName>
    <definedName name="ddd">#REF!</definedName>
    <definedName name="eeee" localSheetId="21">#REF!</definedName>
    <definedName name="eeee" localSheetId="10">#REF!</definedName>
    <definedName name="eeee" localSheetId="22">#REF!</definedName>
    <definedName name="eeee">#REF!</definedName>
    <definedName name="Excel_BuiltIn_Print_Area_1_1" localSheetId="21">#REF!</definedName>
    <definedName name="Excel_BuiltIn_Print_Area_1_1" localSheetId="22">#REF!</definedName>
    <definedName name="Excel_BuiltIn_Print_Area_1_1">#REF!</definedName>
    <definedName name="Excel_BuiltIn_Print_Area_1_1_1" localSheetId="21">#REF!</definedName>
    <definedName name="Excel_BuiltIn_Print_Area_1_1_1" localSheetId="22">#REF!</definedName>
    <definedName name="Excel_BuiltIn_Print_Area_1_1_1">#REF!</definedName>
    <definedName name="Excel_BuiltIn_Print_Area_1_1_1_1" localSheetId="21">#REF!</definedName>
    <definedName name="Excel_BuiltIn_Print_Area_1_1_1_1" localSheetId="22">#REF!</definedName>
    <definedName name="Excel_BuiltIn_Print_Area_1_1_1_1">#REF!</definedName>
    <definedName name="Excel_BuiltIn_Print_Area_10" localSheetId="21">#REF!</definedName>
    <definedName name="Excel_BuiltIn_Print_Area_10" localSheetId="22">#REF!</definedName>
    <definedName name="Excel_BuiltIn_Print_Area_10">#REF!</definedName>
    <definedName name="Excel_BuiltIn_Print_Area_10_1" localSheetId="21">#REF!</definedName>
    <definedName name="Excel_BuiltIn_Print_Area_10_1" localSheetId="22">#REF!</definedName>
    <definedName name="Excel_BuiltIn_Print_Area_10_1">#REF!</definedName>
    <definedName name="Excel_BuiltIn_Print_Area_11" localSheetId="21">#REF!</definedName>
    <definedName name="Excel_BuiltIn_Print_Area_11" localSheetId="22">#REF!</definedName>
    <definedName name="Excel_BuiltIn_Print_Area_11">#REF!</definedName>
    <definedName name="Excel_BuiltIn_Print_Area_11_1" localSheetId="21">#REF!</definedName>
    <definedName name="Excel_BuiltIn_Print_Area_11_1" localSheetId="22">#REF!</definedName>
    <definedName name="Excel_BuiltIn_Print_Area_11_1">#REF!</definedName>
    <definedName name="Excel_BuiltIn_Print_Area_11_1_1" localSheetId="21">#REF!</definedName>
    <definedName name="Excel_BuiltIn_Print_Area_11_1_1" localSheetId="22">#REF!</definedName>
    <definedName name="Excel_BuiltIn_Print_Area_11_1_1">#REF!</definedName>
    <definedName name="Excel_BuiltIn_Print_Area_12" localSheetId="21">#REF!</definedName>
    <definedName name="Excel_BuiltIn_Print_Area_12" localSheetId="22">#REF!</definedName>
    <definedName name="Excel_BuiltIn_Print_Area_12">#REF!</definedName>
    <definedName name="Excel_BuiltIn_Print_Area_13" localSheetId="21">#REF!</definedName>
    <definedName name="Excel_BuiltIn_Print_Area_13" localSheetId="22">#REF!</definedName>
    <definedName name="Excel_BuiltIn_Print_Area_13">#REF!</definedName>
    <definedName name="Excel_BuiltIn_Print_Area_14" localSheetId="21">#REF!</definedName>
    <definedName name="Excel_BuiltIn_Print_Area_14" localSheetId="22">#REF!</definedName>
    <definedName name="Excel_BuiltIn_Print_Area_14">#REF!</definedName>
    <definedName name="Excel_BuiltIn_Print_Area_2_1" localSheetId="21">#REF!</definedName>
    <definedName name="Excel_BuiltIn_Print_Area_2_1" localSheetId="22">#REF!</definedName>
    <definedName name="Excel_BuiltIn_Print_Area_2_1">#REF!</definedName>
    <definedName name="Excel_BuiltIn_Print_Area_2_1_1" localSheetId="21">#REF!</definedName>
    <definedName name="Excel_BuiltIn_Print_Area_2_1_1" localSheetId="22">#REF!</definedName>
    <definedName name="Excel_BuiltIn_Print_Area_2_1_1">#REF!</definedName>
    <definedName name="Excel_BuiltIn_Print_Area_3" localSheetId="21">#REF!</definedName>
    <definedName name="Excel_BuiltIn_Print_Area_3" localSheetId="22">#REF!</definedName>
    <definedName name="Excel_BuiltIn_Print_Area_3">#REF!</definedName>
    <definedName name="Excel_BuiltIn_Print_Area_3_1" localSheetId="21">#REF!</definedName>
    <definedName name="Excel_BuiltIn_Print_Area_3_1" localSheetId="22">#REF!</definedName>
    <definedName name="Excel_BuiltIn_Print_Area_3_1">#REF!</definedName>
    <definedName name="Excel_BuiltIn_Print_Area_3_1_1" localSheetId="21">#REF!</definedName>
    <definedName name="Excel_BuiltIn_Print_Area_3_1_1" localSheetId="22">#REF!</definedName>
    <definedName name="Excel_BuiltIn_Print_Area_3_1_1">#REF!</definedName>
    <definedName name="Excel_BuiltIn_Print_Area_3_1_1_1" localSheetId="21">#REF!</definedName>
    <definedName name="Excel_BuiltIn_Print_Area_3_1_1_1" localSheetId="22">#REF!</definedName>
    <definedName name="Excel_BuiltIn_Print_Area_3_1_1_1">#REF!</definedName>
    <definedName name="Excel_BuiltIn_Print_Area_4_1" localSheetId="21">#REF!</definedName>
    <definedName name="Excel_BuiltIn_Print_Area_4_1" localSheetId="22">#REF!</definedName>
    <definedName name="Excel_BuiltIn_Print_Area_4_1">#REF!</definedName>
    <definedName name="Excel_BuiltIn_Print_Area_5" localSheetId="21">#REF!</definedName>
    <definedName name="Excel_BuiltIn_Print_Area_5" localSheetId="22">#REF!</definedName>
    <definedName name="Excel_BuiltIn_Print_Area_5">#REF!</definedName>
    <definedName name="Excel_BuiltIn_Print_Area_6" localSheetId="21">#REF!</definedName>
    <definedName name="Excel_BuiltIn_Print_Area_6" localSheetId="22">#REF!</definedName>
    <definedName name="Excel_BuiltIn_Print_Area_6">#REF!</definedName>
    <definedName name="Excel_BuiltIn_Print_Area_6_1" localSheetId="21">#REF!</definedName>
    <definedName name="Excel_BuiltIn_Print_Area_6_1" localSheetId="22">#REF!</definedName>
    <definedName name="Excel_BuiltIn_Print_Area_6_1">#REF!</definedName>
    <definedName name="Excel_BuiltIn_Print_Area_6_1_1" localSheetId="21">#REF!</definedName>
    <definedName name="Excel_BuiltIn_Print_Area_6_1_1" localSheetId="22">#REF!</definedName>
    <definedName name="Excel_BuiltIn_Print_Area_6_1_1">#REF!</definedName>
    <definedName name="Excel_BuiltIn_Print_Area_7" localSheetId="21">#REF!</definedName>
    <definedName name="Excel_BuiltIn_Print_Area_7" localSheetId="22">#REF!</definedName>
    <definedName name="Excel_BuiltIn_Print_Area_7">#REF!</definedName>
    <definedName name="Excel_BuiltIn_Print_Area_7_1" localSheetId="21">#REF!</definedName>
    <definedName name="Excel_BuiltIn_Print_Area_7_1" localSheetId="22">#REF!</definedName>
    <definedName name="Excel_BuiltIn_Print_Area_7_1">#REF!</definedName>
    <definedName name="Excel_BuiltIn_Print_Area_7_1_5" localSheetId="21">#REF!</definedName>
    <definedName name="Excel_BuiltIn_Print_Area_7_1_5" localSheetId="22">#REF!</definedName>
    <definedName name="Excel_BuiltIn_Print_Area_7_1_5">#REF!</definedName>
    <definedName name="Excel_BuiltIn_Print_Area_7_1_6" localSheetId="21">#REF!</definedName>
    <definedName name="Excel_BuiltIn_Print_Area_7_1_6" localSheetId="22">#REF!</definedName>
    <definedName name="Excel_BuiltIn_Print_Area_7_1_6">#REF!</definedName>
    <definedName name="Excel_BuiltIn_Print_Area_7_1_7" localSheetId="21">#REF!</definedName>
    <definedName name="Excel_BuiltIn_Print_Area_7_1_7" localSheetId="22">#REF!</definedName>
    <definedName name="Excel_BuiltIn_Print_Area_7_1_7">#REF!</definedName>
    <definedName name="Excel_BuiltIn_Print_Area_7_1_8" localSheetId="21">#REF!</definedName>
    <definedName name="Excel_BuiltIn_Print_Area_7_1_8" localSheetId="22">#REF!</definedName>
    <definedName name="Excel_BuiltIn_Print_Area_7_1_8">#REF!</definedName>
    <definedName name="Excel_BuiltIn_Print_Area_8" localSheetId="21">#REF!</definedName>
    <definedName name="Excel_BuiltIn_Print_Area_8" localSheetId="22">#REF!</definedName>
    <definedName name="Excel_BuiltIn_Print_Area_8">#REF!</definedName>
    <definedName name="Excel_BuiltIn_Print_Area_8_1" localSheetId="21">#REF!</definedName>
    <definedName name="Excel_BuiltIn_Print_Area_8_1" localSheetId="22">#REF!</definedName>
    <definedName name="Excel_BuiltIn_Print_Area_8_1">#REF!</definedName>
    <definedName name="Excel_BuiltIn_Print_Area_8_1_5" localSheetId="21">#REF!</definedName>
    <definedName name="Excel_BuiltIn_Print_Area_8_1_5" localSheetId="22">#REF!</definedName>
    <definedName name="Excel_BuiltIn_Print_Area_8_1_5">#REF!</definedName>
    <definedName name="Excel_BuiltIn_Print_Area_8_1_6" localSheetId="21">#REF!</definedName>
    <definedName name="Excel_BuiltIn_Print_Area_8_1_6" localSheetId="22">#REF!</definedName>
    <definedName name="Excel_BuiltIn_Print_Area_8_1_6">#REF!</definedName>
    <definedName name="Excel_BuiltIn_Print_Area_8_1_7" localSheetId="21">#REF!</definedName>
    <definedName name="Excel_BuiltIn_Print_Area_8_1_7" localSheetId="22">#REF!</definedName>
    <definedName name="Excel_BuiltIn_Print_Area_8_1_7">#REF!</definedName>
    <definedName name="Excel_BuiltIn_Print_Area_8_1_8" localSheetId="21">#REF!</definedName>
    <definedName name="Excel_BuiltIn_Print_Area_8_1_8" localSheetId="22">#REF!</definedName>
    <definedName name="Excel_BuiltIn_Print_Area_8_1_8">#REF!</definedName>
    <definedName name="Excel_BuiltIn_Print_Area_9" localSheetId="21">#REF!</definedName>
    <definedName name="Excel_BuiltIn_Print_Area_9" localSheetId="22">#REF!</definedName>
    <definedName name="Excel_BuiltIn_Print_Area_9">#REF!</definedName>
    <definedName name="Excel_BuiltIn_Print_Area_9_1" localSheetId="21">#REF!</definedName>
    <definedName name="Excel_BuiltIn_Print_Area_9_1" localSheetId="22">#REF!</definedName>
    <definedName name="Excel_BuiltIn_Print_Area_9_1">#REF!</definedName>
    <definedName name="Excel_BuiltIn_Print_Titles_1_1" localSheetId="21">#REF!</definedName>
    <definedName name="Excel_BuiltIn_Print_Titles_1_1" localSheetId="22">#REF!</definedName>
    <definedName name="Excel_BuiltIn_Print_Titles_1_1">#REF!</definedName>
    <definedName name="Excel_BuiltIn_Print_Titles_1_1_1" localSheetId="21">#REF!</definedName>
    <definedName name="Excel_BuiltIn_Print_Titles_1_1_1" localSheetId="22">#REF!</definedName>
    <definedName name="Excel_BuiltIn_Print_Titles_1_1_1">#REF!</definedName>
    <definedName name="Excel_BuiltIn_Print_Titles_10" localSheetId="21">#REF!</definedName>
    <definedName name="Excel_BuiltIn_Print_Titles_10" localSheetId="22">#REF!</definedName>
    <definedName name="Excel_BuiltIn_Print_Titles_10">#REF!</definedName>
    <definedName name="Excel_BuiltIn_Print_Titles_11" localSheetId="21">#REF!</definedName>
    <definedName name="Excel_BuiltIn_Print_Titles_11" localSheetId="22">#REF!</definedName>
    <definedName name="Excel_BuiltIn_Print_Titles_11">#REF!</definedName>
    <definedName name="Excel_BuiltIn_Print_Titles_2_1" localSheetId="21">#REF!</definedName>
    <definedName name="Excel_BuiltIn_Print_Titles_2_1" localSheetId="22">#REF!</definedName>
    <definedName name="Excel_BuiltIn_Print_Titles_2_1">#REF!</definedName>
    <definedName name="Excel_BuiltIn_Print_Titles_3" localSheetId="21">#REF!</definedName>
    <definedName name="Excel_BuiltIn_Print_Titles_3" localSheetId="22">#REF!</definedName>
    <definedName name="Excel_BuiltIn_Print_Titles_3">#REF!</definedName>
    <definedName name="Excel_BuiltIn_Print_Titles_3_1" localSheetId="21">#REF!</definedName>
    <definedName name="Excel_BuiltIn_Print_Titles_3_1" localSheetId="22">#REF!</definedName>
    <definedName name="Excel_BuiltIn_Print_Titles_3_1">#REF!</definedName>
    <definedName name="Excel_BuiltIn_Print_Titles_4_1" localSheetId="21">#REF!</definedName>
    <definedName name="Excel_BuiltIn_Print_Titles_4_1" localSheetId="22">#REF!</definedName>
    <definedName name="Excel_BuiltIn_Print_Titles_4_1">#REF!</definedName>
    <definedName name="Excel_BuiltIn_Print_Titles_5" localSheetId="21">#REF!</definedName>
    <definedName name="Excel_BuiltIn_Print_Titles_5" localSheetId="22">#REF!</definedName>
    <definedName name="Excel_BuiltIn_Print_Titles_5">#REF!</definedName>
    <definedName name="Excel_BuiltIn_Print_Titles_6" localSheetId="21">#REF!</definedName>
    <definedName name="Excel_BuiltIn_Print_Titles_6" localSheetId="22">#REF!</definedName>
    <definedName name="Excel_BuiltIn_Print_Titles_6">#REF!</definedName>
    <definedName name="Excel_BuiltIn_Print_Titles_6_1" localSheetId="21">#REF!</definedName>
    <definedName name="Excel_BuiltIn_Print_Titles_6_1" localSheetId="22">#REF!</definedName>
    <definedName name="Excel_BuiltIn_Print_Titles_6_1">#REF!</definedName>
    <definedName name="Excel_BuiltIn_Print_Titles_7" localSheetId="21">#REF!</definedName>
    <definedName name="Excel_BuiltIn_Print_Titles_7" localSheetId="22">#REF!</definedName>
    <definedName name="Excel_BuiltIn_Print_Titles_7">#REF!</definedName>
    <definedName name="Excel_BuiltIn_Print_Titles_8" localSheetId="21">#REF!</definedName>
    <definedName name="Excel_BuiltIn_Print_Titles_8" localSheetId="22">#REF!</definedName>
    <definedName name="Excel_BuiltIn_Print_Titles_8">#REF!</definedName>
    <definedName name="Excel_BuiltIn_Print_Titles_9" localSheetId="21">#REF!</definedName>
    <definedName name="Excel_BuiltIn_Print_Titles_9" localSheetId="22">#REF!</definedName>
    <definedName name="Excel_BuiltIn_Print_Titles_9">#REF!</definedName>
    <definedName name="_xlnm.Extract" localSheetId="21">#REF!</definedName>
    <definedName name="_xlnm.Extract" localSheetId="10">#REF!</definedName>
    <definedName name="_xlnm.Extract" localSheetId="22">#REF!</definedName>
    <definedName name="_xlnm.Extract">#REF!</definedName>
    <definedName name="h.keptukang" localSheetId="21">#REF!</definedName>
    <definedName name="h.keptukang" localSheetId="22">#REF!</definedName>
    <definedName name="h.keptukang">#REF!</definedName>
    <definedName name="h.mandor" localSheetId="21">#REF!</definedName>
    <definedName name="h.mandor" localSheetId="22">#REF!</definedName>
    <definedName name="h.mandor">#REF!</definedName>
    <definedName name="h.pekerja" localSheetId="21">#REF!</definedName>
    <definedName name="h.pekerja" localSheetId="22">#REF!</definedName>
    <definedName name="h.pekerja">#REF!</definedName>
    <definedName name="h.tukang" localSheetId="21">#REF!</definedName>
    <definedName name="h.tukang" localSheetId="22">#REF!</definedName>
    <definedName name="h.tukang">#REF!</definedName>
    <definedName name="harga" localSheetId="21">#REF!</definedName>
    <definedName name="harga" localSheetId="1">#REF!</definedName>
    <definedName name="harga" localSheetId="2">#REF!</definedName>
    <definedName name="harga" localSheetId="10">#REF!</definedName>
    <definedName name="harga" localSheetId="22">#REF!</definedName>
    <definedName name="harga">#REF!</definedName>
    <definedName name="kkk" localSheetId="21">#REF!</definedName>
    <definedName name="kkk" localSheetId="10">#REF!</definedName>
    <definedName name="kkk" localSheetId="22">#REF!</definedName>
    <definedName name="kkk">#REF!</definedName>
    <definedName name="know" localSheetId="21">#REF!</definedName>
    <definedName name="know" localSheetId="10">#REF!</definedName>
    <definedName name="know" localSheetId="22">#REF!</definedName>
    <definedName name="know">#REF!</definedName>
    <definedName name="_xlnm.Print_Area" localSheetId="18">'A-QTY'!$A$7:$E$48</definedName>
    <definedName name="_xlnm.Print_Area" localSheetId="14">'ANL-KUSEN GS'!$A$5:$L$199</definedName>
    <definedName name="_xlnm.Print_Area" localSheetId="20">'B-QTY'!$A$8:$E$35</definedName>
    <definedName name="_xlnm.Print_Area" localSheetId="5">HSBGN!$A$1:$F$24</definedName>
    <definedName name="_xlnm.Print_Area" localSheetId="3">'Isi Data'!$A$1:$E$171</definedName>
    <definedName name="_xlnm.Print_Area" localSheetId="1">'PANDUAN PENGGUNAAN'!$A$2:$A$16</definedName>
    <definedName name="_xlnm.Print_Area" localSheetId="2">'PEDOMAN TEKNIS'!$A$2:$A$39</definedName>
    <definedName name="_xlnm.Print_Area" localSheetId="15">'QTY-GS'!$A$1:$N$781</definedName>
    <definedName name="_xlnm.Print_Area" localSheetId="12">'QTY-GTS'!$A$1:$N$1079</definedName>
    <definedName name="_xlnm.Print_Area" localSheetId="13">'RAB - GS'!$A$26:$H$159</definedName>
    <definedName name="_xlnm.Print_Area" localSheetId="10">'RAB - GTS'!$A$30:$H$257</definedName>
    <definedName name="_xlnm.Print_Area" localSheetId="25">'RAB - PG'!$A$95:$H$208</definedName>
    <definedName name="_xlnm.Print_Area" localSheetId="27">'RAB - PR'!$A$94:$H$206</definedName>
    <definedName name="_xlnm.Print_Area" localSheetId="17">'RAB - rumahA'!$A$2:$H$194</definedName>
    <definedName name="_xlnm.Print_Area" localSheetId="19">'RAB - RumahB'!$A$27:$H$178</definedName>
    <definedName name="_xlnm.Print_Area" localSheetId="22">'RAB - RumahC'!$A$27:$H$136</definedName>
    <definedName name="_xlnm.Print_Area" localSheetId="6">SK!$A$1:$H$63</definedName>
    <definedName name="_xlnm.Print_Area" localSheetId="9">'SpeK Gedung'!$A$1:$F$33</definedName>
    <definedName name="_xlnm.Print_Area" localSheetId="23">'SpeK Pagar'!$A$4:$B$25</definedName>
    <definedName name="_xlnm.Print_Area" localSheetId="16">'SpeK Rumah'!$A$4:$B$40</definedName>
    <definedName name="_xlnm.Print_Titles" localSheetId="18">'A-QTY'!$7:$7</definedName>
    <definedName name="_xlnm.Print_Titles" localSheetId="14">'ANL-KUSEN GS'!$A$1:$L$65536,'ANL-KUSEN GS'!$5:$8</definedName>
    <definedName name="_xlnm.Print_Titles" localSheetId="20">'B-QTY'!$8:$8</definedName>
    <definedName name="_xlnm.Print_Titles" localSheetId="3">'Isi Data'!$10:$10</definedName>
    <definedName name="_xlnm.Print_Titles" localSheetId="15">'QTY-GS'!$1:$9</definedName>
    <definedName name="_xlnm.Print_Titles" localSheetId="12">'QTY-GTS'!$1:$12</definedName>
    <definedName name="_xlnm.Print_Titles" localSheetId="13">'RAB - GS'!$A$1:$H$65536,'RAB - GS'!$25:$28</definedName>
    <definedName name="_xlnm.Print_Titles" localSheetId="10">'RAB - GTS'!$29:$30</definedName>
    <definedName name="_xlnm.Print_Titles" localSheetId="25">'RAB - PG'!$95:$98</definedName>
    <definedName name="_xlnm.Print_Titles" localSheetId="27">'RAB - PR'!$94:$96</definedName>
    <definedName name="_xlnm.Print_Titles" localSheetId="17">'RAB - rumahA'!$27:$29</definedName>
    <definedName name="_xlnm.Print_Titles" localSheetId="19">'RAB - RumahB'!$27:$29</definedName>
    <definedName name="_xlnm.Print_Titles" localSheetId="22">'RAB - RumahC'!$27:$29</definedName>
    <definedName name="_xlnm.Print_Titles" localSheetId="8">SNI!$1:$6</definedName>
    <definedName name="ss" localSheetId="21">#REF!</definedName>
    <definedName name="ss" localSheetId="10">#REF!</definedName>
    <definedName name="ss" localSheetId="22">#REF!</definedName>
    <definedName name="ss">#REF!</definedName>
    <definedName name="sss" localSheetId="21">#REF!</definedName>
    <definedName name="sss" localSheetId="10">#REF!</definedName>
    <definedName name="sss" localSheetId="22">#REF!</definedName>
    <definedName name="sss">#REF!</definedName>
    <definedName name="w" localSheetId="21">#REF!</definedName>
    <definedName name="w" localSheetId="10">#REF!</definedName>
    <definedName name="w" localSheetId="22">#REF!</definedName>
    <definedName name="w">#REF!</definedName>
    <definedName name="xxx" localSheetId="21">#REF!</definedName>
    <definedName name="xxx" localSheetId="10">#REF!</definedName>
    <definedName name="xxx" localSheetId="22">#REF!</definedName>
    <definedName name="xxx">#REF!</definedName>
    <definedName name="xxxx" localSheetId="21">#REF!</definedName>
    <definedName name="xxxx" localSheetId="10">#REF!</definedName>
    <definedName name="xxxx" localSheetId="22">#REF!</definedName>
    <definedName name="xxxx">#REF!</definedName>
    <definedName name="yy" localSheetId="21">#REF!</definedName>
    <definedName name="yy" localSheetId="10">#REF!</definedName>
    <definedName name="yy" localSheetId="22">#REF!</definedName>
    <definedName name="yy">#REF!</definedName>
    <definedName name="yyy" localSheetId="21">#REF!</definedName>
    <definedName name="yyy" localSheetId="10">#REF!</definedName>
    <definedName name="yyy" localSheetId="22">#REF!</definedName>
    <definedName name="yyy">#REF!</definedName>
    <definedName name="yyyy" localSheetId="21">#REF!</definedName>
    <definedName name="yyyy" localSheetId="10">#REF!</definedName>
    <definedName name="yyyy" localSheetId="22">#REF!</definedName>
    <definedName name="yyyy">#REF!</definedName>
    <definedName name="zzzz" localSheetId="5">'[1]bill 3'!$A$3:$B$163</definedName>
    <definedName name="zzzz" localSheetId="9">#REF!</definedName>
    <definedName name="zzzz">#REF!</definedName>
  </definedNames>
</workbook>
</file>

<file path=xl/styles.xml><?xml version="1.0" encoding="utf-8"?>
<styleSheet xmlns="http://schemas.openxmlformats.org/spreadsheetml/2006/main" xmlns:vt="http://schemas.openxmlformats.org/officeDocument/2006/docPropsVTypes">
  <numFmts count="2">
    <numFmt numFmtId="56" formatCode="&quot;上午/下午 &quot;hh&quot;時&quot;mm&quot;分&quot;ss&quot;秒 &quot;"/>
    <numFmt numFmtId="164" formatCode="_(* #,##0_);_(* \(#,##0\);_(* &quot;-&quot;??_);_(@_)"/>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theme" Target="theme/theme1.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B2:F27"/>
  <sheetViews>
    <sheetView workbookViewId="0" rightToLeft="0"/>
  </sheetViews>
  <sheetData>
    <row r="2">
      <c r="B2" t="str">
        <v>MODEL PERHITUNGAN HARGA SATUAN</v>
      </c>
    </row>
    <row r="3">
      <c r="B3" t="str">
        <v>BANGUNAN GEDUNG NEGARA</v>
      </c>
    </row>
    <row r="15">
      <c r="D15" t="str">
        <v>Panduan Penggunaan</v>
      </c>
    </row>
    <row r="17">
      <c r="B17" t="str">
        <v>Pedoman Teknis</v>
      </c>
      <c r="C17" t="str">
        <v>Isi Data</v>
      </c>
      <c r="D17" t="str">
        <v>HSBGN</v>
      </c>
      <c r="E17" t="str">
        <v>Surat Keputusan ( SK)</v>
      </c>
      <c r="F17" t="str">
        <v>Model Bangunan</v>
      </c>
    </row>
    <row r="25">
      <c r="B25" t="str">
        <v>KEMENTERIAN PEKERJAAN UMUM</v>
      </c>
    </row>
    <row r="26">
      <c r="B26" t="str">
        <v>DIREKTORAT JENDERAL CIPTA KARYA</v>
      </c>
    </row>
    <row r="27">
      <c r="B27" t="str">
        <v>DIREKTORAT PENATAAN BANGUNAN DAN LINGKUNGAN</v>
      </c>
    </row>
  </sheetData>
  <mergeCells count="6">
    <mergeCell ref="B2:F2"/>
    <mergeCell ref="B3:F3"/>
    <mergeCell ref="B26:F26"/>
    <mergeCell ref="B27:F27"/>
    <mergeCell ref="C14:E14"/>
    <mergeCell ref="B25:F25"/>
  </mergeCells>
  <hyperlinks>
    <hyperlink ref="D15" location="'PANDUAN PENGGUNAAN'!Print_Area" tooltip="Paduan Penggunaan"/>
    <hyperlink ref="B17" location="'PEDOMAN TEKNIS'!Print_Area" tooltip="Pedoman Teknis"/>
    <hyperlink ref="C17" location="'Isi Data'!A1" tooltip="Isi Data"/>
    <hyperlink ref="D17" location="HSBGN!A1" tooltip="HSBGN"/>
    <hyperlink ref="E17" location="SK!A1" tooltip="Surat Keputusan ( SK)"/>
    <hyperlink ref="F17" location="model!A1" tooltip="Model Bangunan"/>
  </hyperlinks>
  <pageMargins left="0.7480314960629921" right="0.7480314960629921" top="0.984251968503937" bottom="0.984251968503937" header="0.5118110236220472" footer="0.5118110236220472"/>
  <ignoredErrors>
    <ignoredError numberStoredAsText="1" sqref="B2:F27"/>
  </ignoredErrors>
</worksheet>
</file>

<file path=xl/worksheets/sheet10.xml><?xml version="1.0" encoding="utf-8"?>
<worksheet xmlns="http://schemas.openxmlformats.org/spreadsheetml/2006/main" xmlns:r="http://schemas.openxmlformats.org/officeDocument/2006/relationships">
  <dimension ref="A1:G109"/>
  <sheetViews>
    <sheetView workbookViewId="0" rightToLeft="0"/>
  </sheetViews>
  <sheetData>
    <row r="1">
      <c r="A1" t="str">
        <v>menu</v>
      </c>
    </row>
    <row r="2">
      <c r="A2" t="str">
        <v>HSBGN</v>
      </c>
    </row>
    <row r="3">
      <c r="A3" t="str">
        <v>Model</v>
      </c>
    </row>
    <row r="4">
      <c r="A4" t="str">
        <v>TABEL A1</v>
      </c>
    </row>
    <row r="5">
      <c r="A5" t="str">
        <v xml:space="preserve">SPESIFIKASI TEKNIS BANGUNAN GEDUNG NEGARA </v>
      </c>
    </row>
    <row r="7">
      <c r="A7" t="str">
        <v>NO.</v>
      </c>
      <c r="B7" t="str">
        <v>URAIAN</v>
      </c>
      <c r="C7" t="str">
        <v>GEDUNG</v>
      </c>
      <c r="G7" t="str">
        <v>Keterangan</v>
      </c>
    </row>
    <row r="8">
      <c r="C8" t="str">
        <v>BERTINGKAT</v>
      </c>
      <c r="E8" t="str">
        <v>TIDAK BERTINGKAT</v>
      </c>
    </row>
    <row r="9">
      <c r="C9" t="str">
        <v>TIDAK SEDERHANA</v>
      </c>
      <c r="D9" t="str">
        <v>SEDERHANA</v>
      </c>
      <c r="E9" t="str">
        <v>TIDAK SEDERHANA</v>
      </c>
      <c r="F9" t="str">
        <v>SEDERHANA</v>
      </c>
    </row>
    <row r="11">
      <c r="A11" t="str">
        <v>A.</v>
      </c>
      <c r="B11" t="str">
        <v>PERSYARATAN TATA BANGUNAN DAN LINGKUNGAN</v>
      </c>
    </row>
    <row r="12">
      <c r="B12" t="str">
        <v>1. Jarak Antar Bangunan</v>
      </c>
      <c r="C12" t="str">
        <v>minimal 3 meter</v>
      </c>
      <c r="G12" t="str">
        <v>Berdasarkan pertimbangan keselamatan, kesehatan dan kenyamanan serta ketentuan dalam Peraturan Daerah setempat tentang Bangunan atau Rencana Tata Ruang Wilayah Kabupaten/ Kota atau Rencana tata Bangunan dan Lingkungan untuk lokasi yang bersangkutan</v>
      </c>
    </row>
    <row r="13">
      <c r="C13" t="str">
        <v>dihitung berdasarkan pertimbangan keselamatan, kesehatan dan kenyamanan</v>
      </c>
    </row>
    <row r="14">
      <c r="B14" t="str">
        <v>2. Ketinggian Bangunan</v>
      </c>
      <c r="C14" t="str">
        <v>maksimum 8 lantai</v>
      </c>
      <c r="D14" t="str">
        <v>minimal 2 lantai</v>
      </c>
      <c r="E14" t="str">
        <v>1 lantai</v>
      </c>
    </row>
    <row r="15">
      <c r="C15" t="str">
        <v>ketinggian &gt;8 lantai harus mendapat rekomendasi Menteri Pekerjaan Umum</v>
      </c>
    </row>
    <row r="16">
      <c r="B16" t="str">
        <v>3. Ketinggian Langit-langit</v>
      </c>
      <c r="C16" t="str">
        <v>minimal 2,8 meter</v>
      </c>
    </row>
    <row r="17">
      <c r="B17" t="str">
        <v>4. Koefisien Dasar Bangunan</v>
      </c>
      <c r="C17" t="str">
        <v>Sesuai ketentuan Peraturan Daerah setempat</v>
      </c>
    </row>
    <row r="18">
      <c r="B18" t="str">
        <v>5. Koefisien Lantai Bangunan</v>
      </c>
    </row>
    <row r="19">
      <c r="B19" t="str">
        <v>6. Koefisien Dasar Hijau</v>
      </c>
    </row>
    <row r="20">
      <c r="B20" t="str">
        <v>7. Garis Sempadan</v>
      </c>
    </row>
    <row r="21">
      <c r="B21" t="str">
        <v>8. Wujud Arsitektur</v>
      </c>
      <c r="C21" t="str">
        <v xml:space="preserve">sesuai fungsi dan kaidah arsitektur </v>
      </c>
      <c r="D21" t="str">
        <v>sesuai fungsi dan kaidah arsitektur sederhana</v>
      </c>
      <c r="E21" t="str">
        <v xml:space="preserve">sesuai fungsi dan kaidah arsitektur </v>
      </c>
      <c r="F21" t="str">
        <v>sesuai fungsi dan kaidah arsitektur sederhana</v>
      </c>
    </row>
    <row r="22">
      <c r="B22" t="str">
        <v>9. Pagar Halaman</v>
      </c>
      <c r="C22" t="str">
        <v>Menggunakan dinding batu bata/ batako plester dengan kombinasi besi, baja, kayu atau bahan lainnya yang disesuaikan dengan rancangan wujud arsitektur bangunan</v>
      </c>
    </row>
    <row r="23">
      <c r="B23" t="str">
        <v>- depan</v>
      </c>
      <c r="C23" t="str">
        <v>tinggi 1,5 meter</v>
      </c>
    </row>
    <row r="24">
      <c r="B24" t="str">
        <v>- samping</v>
      </c>
      <c r="C24" t="str">
        <v>tinggi 2 meter</v>
      </c>
    </row>
    <row r="25">
      <c r="B25" t="str">
        <v>- belakang</v>
      </c>
      <c r="C25" t="str">
        <v>tinggi 3 meter</v>
      </c>
    </row>
    <row r="26">
      <c r="B26" t="str">
        <v>10. Tandon Air Bersih</v>
      </c>
      <c r="C26" t="str">
        <v>Reservoir kap. 2.500,00 m3</v>
      </c>
    </row>
    <row r="27">
      <c r="B27" t="str">
        <v>11. Kelengkapan Sarana dan Prasarana Lingkungan *)</v>
      </c>
      <c r="G27" t="str">
        <v>Dihitung berdasarkan kebutuhan sesuai fungsi bangunan dan ketentuan SNI/ ketentuan yang berlaku</v>
      </c>
    </row>
    <row r="28">
      <c r="B28" t="str">
        <v>- parkir kendaraan</v>
      </c>
      <c r="C28" t="str">
        <v>minimal 1 parkir kendaraan untuk 60 m2 luas bangunan gedung</v>
      </c>
    </row>
    <row r="29">
      <c r="B29" t="str">
        <v>- aksesibilitas</v>
      </c>
      <c r="C29" t="str">
        <v>tersedia sarana aksesibilitas bagi penyandang cacat</v>
      </c>
    </row>
    <row r="30">
      <c r="B30" t="str">
        <v>- drainase</v>
      </c>
      <c r="C30" t="str">
        <v>tersedia drainase sesuai SNI yang berlaku</v>
      </c>
    </row>
    <row r="31">
      <c r="B31" t="str">
        <v>- pembuangan sampah</v>
      </c>
      <c r="C31" t="str">
        <v>tesedia tempat pembuangan sampah sementara</v>
      </c>
    </row>
    <row r="32">
      <c r="B32" t="str">
        <v>- pembuangan limbah</v>
      </c>
      <c r="C32" t="str">
        <v>tersedia sarana pengolahan limbah, khususnya untuk limbah berbahaya</v>
      </c>
    </row>
    <row r="33">
      <c r="B33" t="str">
        <v>- penerangan halaman</v>
      </c>
      <c r="C33" t="str">
        <v>tesedia penerangan halaman</v>
      </c>
    </row>
    <row r="35">
      <c r="A35" t="str">
        <v>B.</v>
      </c>
      <c r="B35" t="str">
        <v>PERSYARATAN BAHAN BANGUNAN</v>
      </c>
    </row>
    <row r="36">
      <c r="B36" t="str">
        <v>1. Bahan Penutup Lantai</v>
      </c>
      <c r="C36" t="str">
        <v>Granite tile 40 x 40 cm</v>
      </c>
      <c r="D36" t="str">
        <v>Keramik tile 30 x 30 cm</v>
      </c>
      <c r="E36" t="str">
        <v>Granite tile 40/40</v>
      </c>
      <c r="F36" t="str">
        <v>Keramik tile 30 x 30 cm</v>
      </c>
      <c r="G36" t="str">
        <v>Diupayakan menggunakan bahan bangunan setempat/ produksi dalam negeri, termasuk bahan bangunan sebagai bagian dari sistem pabrikasi komponen. Apabila bahan tersebut sukar diperoleh atau harganya tidak sesuai, dapat diganti dengan bahan lain yang sederajat tanpa mengurangi persyaratan fungsi dan mutu dengan pengesahan Instansi Teknis setempat</v>
      </c>
    </row>
    <row r="37">
      <c r="B37" t="str">
        <v xml:space="preserve">2. Bahan Dinding </v>
      </c>
    </row>
    <row r="38">
      <c r="B38" t="str">
        <v>- pengisi</v>
      </c>
      <c r="C38" t="str">
        <v>Pas. Bata Beton Ringan</v>
      </c>
      <c r="E38" t="str">
        <v>Pas. Bata merah</v>
      </c>
    </row>
    <row r="39">
      <c r="B39" t="str">
        <v>- finishing</v>
      </c>
      <c r="C39" t="str">
        <v>Pasir Pasang + PC &amp; Keramik granitile 40 x 40 cm</v>
      </c>
      <c r="D39" t="str">
        <v>Pasir Pasang + PC &amp; Keramik 30/30</v>
      </c>
      <c r="E39" t="str">
        <v>Pasir Pasang + PC &amp; Keramik 20/20</v>
      </c>
    </row>
    <row r="40">
      <c r="B40" t="str">
        <v>- kaca</v>
      </c>
      <c r="C40" t="str">
        <v>Kaca polos t. 6 &amp; 8 mm</v>
      </c>
      <c r="F40" t="str">
        <v>Kaca polos t. 6  mm</v>
      </c>
    </row>
    <row r="41">
      <c r="B41" t="str">
        <v>3. Bahan Finishing</v>
      </c>
    </row>
    <row r="42">
      <c r="B42" t="str">
        <v>- luar</v>
      </c>
      <c r="C42" t="str">
        <v>Cat dasar &amp; cat luar Weathershield KW.I</v>
      </c>
    </row>
    <row r="43">
      <c r="B43" t="str">
        <v>- dalam</v>
      </c>
      <c r="C43" t="str">
        <v>Cat dasar &amp; cat akhir Acrylic KW. I</v>
      </c>
    </row>
    <row r="44">
      <c r="B44" t="str">
        <v>4. Bahan Penutup Plafon</v>
      </c>
    </row>
    <row r="45">
      <c r="B45" t="str">
        <v>- rangka plafon</v>
      </c>
      <c r="C45" t="str">
        <v xml:space="preserve">Metal furing </v>
      </c>
    </row>
    <row r="46">
      <c r="B46" t="str">
        <v>- penutup plafon</v>
      </c>
      <c r="C46" t="str">
        <v>Gypsumboard t. 9 mm</v>
      </c>
    </row>
    <row r="47">
      <c r="B47" t="str">
        <v>5. Bahan Penutup Atap</v>
      </c>
      <c r="C47" t="str">
        <v>Genteng Keramik Glazur</v>
      </c>
      <c r="F47" t="str">
        <v>Genteng Keramik</v>
      </c>
    </row>
    <row r="48">
      <c r="B48" t="str">
        <v>6. Bahan Kusen dan Daun Pintu</v>
      </c>
    </row>
    <row r="49">
      <c r="B49" t="str">
        <v>- kusen</v>
      </c>
      <c r="C49" t="str">
        <v>Alumunium PC</v>
      </c>
      <c r="D49" t="str">
        <v>Pintu kaca alumunium CA</v>
      </c>
      <c r="F49" t="str">
        <v>Alumunium PC</v>
      </c>
    </row>
    <row r="50">
      <c r="B50" t="str">
        <v>- pintu/jendela</v>
      </c>
      <c r="C50" t="str">
        <v>Pintu kaca alumunium PC</v>
      </c>
      <c r="D50" t="str">
        <v>Alumunium CA</v>
      </c>
      <c r="E50" t="str">
        <v>Pintu Panel kayu klas II</v>
      </c>
      <c r="F50" t="str">
        <v>Pintu Doble Teakwood</v>
      </c>
    </row>
    <row r="51">
      <c r="B51" t="str">
        <v>- finishing</v>
      </c>
      <c r="C51" t="str">
        <v>Powder Coat</v>
      </c>
      <c r="D51" t="str">
        <v>Clear Anodais</v>
      </c>
      <c r="E51" t="str">
        <v>Melamik</v>
      </c>
      <c r="F51" t="str">
        <v>Politur</v>
      </c>
    </row>
    <row r="53">
      <c r="A53" t="str">
        <v>C.</v>
      </c>
      <c r="B53" t="str">
        <v>PERSYARATAN STRUKTUR BANGUNAN</v>
      </c>
    </row>
    <row r="54">
      <c r="B54" t="str">
        <v>1. Pondasi</v>
      </c>
      <c r="G54" t="str">
        <v>Khusus untuk daerah gempa, harus direncanakan sebagai struktur bangunan tahan gempa</v>
      </c>
    </row>
    <row r="55">
      <c r="B55" t="str">
        <v>- pondasi</v>
      </c>
      <c r="C55" t="str">
        <v>Pasangan Batu kali</v>
      </c>
    </row>
    <row r="56">
      <c r="B56" t="str">
        <v>- pondasi utama</v>
      </c>
      <c r="C56" t="str">
        <v>Tiang pancang 25x25 ,pile cape; mutu beton K-250, besi beton polos (dia.10 mm); besi beton ulir (dia.13 mm &amp; 19 mm)</v>
      </c>
      <c r="E56" t="str">
        <v>Pondasi plat; mutu beton K-250, besi beton polos (dia.10 mm); besi beton ulir (dia.13 mm &amp; 19 mm)</v>
      </c>
    </row>
    <row r="57">
      <c r="B57" t="str">
        <v>- sloof</v>
      </c>
      <c r="C57" t="str">
        <v>Beton k-225; besi beton polos (dia.10 mm); besi beton ulir (dia.16 mm)</v>
      </c>
      <c r="E57" t="str">
        <v xml:space="preserve">Beton Praktis K-175; Besi beton polos ( dia. 8, 10 &amp; 12 ) </v>
      </c>
      <c r="F57" t="str">
        <v xml:space="preserve">Praktis K-175; Besi beton polos ( dia. 8 &amp; 10 ) </v>
      </c>
    </row>
    <row r="58">
      <c r="B58" t="str">
        <v>2. Struktur Lantai</v>
      </c>
      <c r="C58" t="str">
        <v>Kolom,balok &amp; plat; beton k-250, besi beton polos (dia.10 mm); besi beton ulir (dia.13 mm ,16 mm &amp; 19 mm)</v>
      </c>
      <c r="E58" t="str">
        <v xml:space="preserve">Beton K-225; Besi beton polos ( dia. 8); Besi beton ulir ( dia. 13 &amp; 16) </v>
      </c>
      <c r="F58" t="str">
        <v>Praktis K-175; Besi beton polos ( dia. 8 &amp; 10 )</v>
      </c>
    </row>
    <row r="59">
      <c r="B59" t="str">
        <v>3. Kolom</v>
      </c>
    </row>
    <row r="60">
      <c r="B60" t="str">
        <v>4. Balok</v>
      </c>
    </row>
    <row r="61">
      <c r="B61" t="str">
        <v>5. Rangka Atap</v>
      </c>
    </row>
    <row r="62">
      <c r="B62" t="str">
        <v>- kuda-kuda</v>
      </c>
      <c r="C62" t="str">
        <v>Baja ringan</v>
      </c>
    </row>
    <row r="63">
      <c r="B63" t="str">
        <v>- rangka atap</v>
      </c>
    </row>
    <row r="64">
      <c r="B64" t="str">
        <v>6. Kemiringan Atap</v>
      </c>
      <c r="C64" t="str">
        <v>minimal 30°</v>
      </c>
    </row>
    <row r="66">
      <c r="A66" t="str">
        <v>D.</v>
      </c>
      <c r="B66" t="str">
        <v>PERSYARATAN UTILITAS DAN PRASARANA DAN SARANA DALAM BANGUNAN</v>
      </c>
    </row>
    <row r="67">
      <c r="B67" t="str">
        <v>1. Air Bersih</v>
      </c>
      <c r="C67" t="str">
        <v>PAM / Sumur bor kedalaman 36 M</v>
      </c>
      <c r="E67" t="str">
        <v>PAM / Sumur bor kedalaman 24 M</v>
      </c>
    </row>
    <row r="68">
      <c r="B68" t="str">
        <v>2. Saluran Air Hujan</v>
      </c>
      <c r="C68" t="str">
        <v>talang dan saluran lingkungan</v>
      </c>
    </row>
    <row r="69">
      <c r="B69" t="str">
        <v>3. Pembuangan Air Kotor</v>
      </c>
      <c r="C69" t="str">
        <v>bak penampung</v>
      </c>
    </row>
    <row r="70">
      <c r="B70" t="str">
        <v>4. Pembuangan Kotoran</v>
      </c>
    </row>
    <row r="71">
      <c r="B71" t="str">
        <v>5. Bak Septiktank dan Resapan</v>
      </c>
      <c r="C71" t="str">
        <v>Pasangan bata diplester+aci,tutup beton &amp; resapan buis beton</v>
      </c>
      <c r="E71" t="str">
        <v>Pas. Bata + Plesteran, Tutup plat beton bertulang</v>
      </c>
    </row>
    <row r="72">
      <c r="C72" t="str">
        <v xml:space="preserve">Kapasitas 6,00 M3 </v>
      </c>
      <c r="E72" t="str">
        <v xml:space="preserve">Kapasitas 3,00 M3 </v>
      </c>
    </row>
    <row r="73">
      <c r="B73" t="str">
        <v>6. Sanitary</v>
      </c>
      <c r="C73" t="str">
        <v>Keramik</v>
      </c>
    </row>
    <row r="74">
      <c r="B74" t="str">
        <v>7. Sarana Pengamanan terhadap Bahaya Kebakaran</v>
      </c>
      <c r="C74" t="str">
        <v>mengikuti ketentuan Kep. Meneg. PU no. 10/KPTS/2000 dan Kep. Meneg. PU No. 11/KPTS/2000 serta Standar Nasional Indonesia (SNI) yang berlaku</v>
      </c>
    </row>
    <row r="75">
      <c r="B75" t="str">
        <v>8. Sumber Daya Listrik</v>
      </c>
      <c r="C75" t="str">
        <v>PLN dan generator (penggunaan daya listrik harus memperhatikan prinsip hemat energi)</v>
      </c>
    </row>
    <row r="76">
      <c r="C76" t="str">
        <v>PLN 4400</v>
      </c>
      <c r="E76" t="str">
        <v>PLN 2200 VA</v>
      </c>
    </row>
    <row r="77">
      <c r="B77" t="str">
        <v>9. Penerangan</v>
      </c>
      <c r="C77" t="str">
        <v>dihitung berdasarkan kebutuhan,fungsi bangunan/ruang dan SNI yang berlaku</v>
      </c>
      <c r="G77" t="str">
        <v>penerangan alami dan buatan</v>
      </c>
    </row>
    <row r="78">
      <c r="C78" t="str">
        <v>100-215 lux/m2</v>
      </c>
    </row>
    <row r="79">
      <c r="B79" t="str">
        <v>10. Tata Udara</v>
      </c>
      <c r="C79" t="str">
        <v>6-10% bukaan atau dengan tata udara buatan (AC)</v>
      </c>
      <c r="G79" t="str">
        <v>dihitung sesuai SNI yang berlaku</v>
      </c>
    </row>
    <row r="80">
      <c r="B80" t="str">
        <v>11. Sarana Transportasi Vertikal</v>
      </c>
      <c r="C80" t="str">
        <v>untuk bangunan &gt;4 lantai dapat menggunakan lift sesuai SNI yang berlaku</v>
      </c>
      <c r="D80" t="str">
        <v>tidak diperlukan</v>
      </c>
      <c r="G80" t="str">
        <v>dihitung sesuai  kebutuhan&amp; fungsi bangunan</v>
      </c>
    </row>
    <row r="81">
      <c r="B81" t="str">
        <v>12. Aksesibilitas bagi Penyandang Cacat</v>
      </c>
      <c r="C81" t="str">
        <v>sesuai ketentuan  Per. Men. PU No.30/KPTS/2009 minimal ramp untuk bangunan klasifikasi sederhana</v>
      </c>
    </row>
    <row r="82">
      <c r="B82" t="str">
        <v>13. Telepon</v>
      </c>
      <c r="C82" t="str">
        <v>sesuai kebutuhan</v>
      </c>
    </row>
    <row r="83">
      <c r="B83" t="str">
        <v>14. Penangkal Petir</v>
      </c>
      <c r="C83" t="str">
        <v>penangkal petir lokal</v>
      </c>
    </row>
    <row r="85">
      <c r="A85" t="str">
        <v>E.</v>
      </c>
      <c r="B85" t="str">
        <v>PERSYARATAN SARANA PENYELAMATAN</v>
      </c>
    </row>
    <row r="86">
      <c r="B86" t="str">
        <v>1. Tangga Penyelamatan</v>
      </c>
      <c r="C86" t="str">
        <v>lebar minimal 1,2 meter dan bukan tangga putar</v>
      </c>
      <c r="E86" t="str">
        <v>-</v>
      </c>
      <c r="G86" t="str">
        <v>Jarak antar tangga maks.45 m (bila menggunakan sprinkler jarak bisa 1,5 kali)</v>
      </c>
    </row>
    <row r="87">
      <c r="B87" t="str">
        <v>2. Tanda Penunjuk Arah</v>
      </c>
      <c r="C87" t="str">
        <v>jelas, warna dasar putih dan warna tulisan hijau</v>
      </c>
    </row>
    <row r="88">
      <c r="B88" t="str">
        <v>3. Pintu</v>
      </c>
      <c r="C88" t="str">
        <v>lebar minimal 0,90 meter, satu ruang minimal 2 pintu dan membuka keluar</v>
      </c>
    </row>
    <row r="89">
      <c r="B89" t="str">
        <v>4. Koridor/ selasar</v>
      </c>
      <c r="C89" t="str">
        <v>lebar minimal 1,8 meter</v>
      </c>
    </row>
  </sheetData>
  <mergeCells count="79">
    <mergeCell ref="G77:G78"/>
    <mergeCell ref="G36:G51"/>
    <mergeCell ref="D80:F80"/>
    <mergeCell ref="C75:F75"/>
    <mergeCell ref="C76:D76"/>
    <mergeCell ref="C73:F73"/>
    <mergeCell ref="E76:F76"/>
    <mergeCell ref="C79:F79"/>
    <mergeCell ref="C55:F55"/>
    <mergeCell ref="C72:D72"/>
    <mergeCell ref="C56:D56"/>
    <mergeCell ref="C57:D57"/>
    <mergeCell ref="C58:D60"/>
    <mergeCell ref="C67:D67"/>
    <mergeCell ref="E58:E60"/>
    <mergeCell ref="E67:F67"/>
    <mergeCell ref="C81:F81"/>
    <mergeCell ref="C89:F89"/>
    <mergeCell ref="C82:F82"/>
    <mergeCell ref="C83:F83"/>
    <mergeCell ref="C86:D86"/>
    <mergeCell ref="E86:F86"/>
    <mergeCell ref="C87:F87"/>
    <mergeCell ref="C88:F88"/>
    <mergeCell ref="B77:B78"/>
    <mergeCell ref="C77:F77"/>
    <mergeCell ref="C78:F78"/>
    <mergeCell ref="C68:F68"/>
    <mergeCell ref="C69:F70"/>
    <mergeCell ref="C71:D71"/>
    <mergeCell ref="E71:F71"/>
    <mergeCell ref="E72:F72"/>
    <mergeCell ref="C74:F74"/>
    <mergeCell ref="B75:B76"/>
    <mergeCell ref="F58:F60"/>
    <mergeCell ref="G7:G9"/>
    <mergeCell ref="C8:D8"/>
    <mergeCell ref="E8:F8"/>
    <mergeCell ref="C12:F12"/>
    <mergeCell ref="G12:G26"/>
    <mergeCell ref="C17:F20"/>
    <mergeCell ref="C22:F22"/>
    <mergeCell ref="C16:F16"/>
    <mergeCell ref="C13:D13"/>
    <mergeCell ref="E13:F13"/>
    <mergeCell ref="G27:G33"/>
    <mergeCell ref="C29:F29"/>
    <mergeCell ref="C30:F30"/>
    <mergeCell ref="C31:F31"/>
    <mergeCell ref="C23:F23"/>
    <mergeCell ref="C64:F64"/>
    <mergeCell ref="E56:F56"/>
    <mergeCell ref="C62:F63"/>
    <mergeCell ref="C28:F28"/>
    <mergeCell ref="G54:G64"/>
    <mergeCell ref="C43:F43"/>
    <mergeCell ref="C34:F34"/>
    <mergeCell ref="C32:F32"/>
    <mergeCell ref="D49:E49"/>
    <mergeCell ref="C47:E47"/>
    <mergeCell ref="C45:F45"/>
    <mergeCell ref="C46:F46"/>
    <mergeCell ref="C38:D38"/>
    <mergeCell ref="E38:F38"/>
    <mergeCell ref="E39:F39"/>
    <mergeCell ref="C42:F42"/>
    <mergeCell ref="C40:E40"/>
    <mergeCell ref="B14:B15"/>
    <mergeCell ref="E14:F14"/>
    <mergeCell ref="A7:A9"/>
    <mergeCell ref="B7:B9"/>
    <mergeCell ref="C7:F7"/>
    <mergeCell ref="D15:F15"/>
    <mergeCell ref="B12:B13"/>
    <mergeCell ref="C24:F24"/>
    <mergeCell ref="C25:F25"/>
    <mergeCell ref="C27:F27"/>
    <mergeCell ref="C26:F26"/>
    <mergeCell ref="C33:F33"/>
  </mergeCells>
  <hyperlinks>
    <hyperlink ref="A1" location="MENU!A1" tooltip="menu"/>
    <hyperlink ref="A2" location="HSBGN!A1" tooltip="HSBGN"/>
    <hyperlink ref="A3" location="model!A40" tooltip="Model"/>
  </hyperlinks>
  <pageMargins left="0.2755905511811024" right="0.1968503937007874" top="0.5511811023622047" bottom="0.31496062992125984" header="0.31496062992125984" footer="0.2362204724409449"/>
  <ignoredErrors>
    <ignoredError numberStoredAsText="1" sqref="A1:G109"/>
  </ignoredErrors>
</worksheet>
</file>

<file path=xl/worksheets/sheet11.xml><?xml version="1.0" encoding="utf-8"?>
<worksheet xmlns="http://schemas.openxmlformats.org/spreadsheetml/2006/main" xmlns:r="http://schemas.openxmlformats.org/officeDocument/2006/relationships">
  <dimension ref="A1:N264"/>
  <sheetViews>
    <sheetView workbookViewId="0" rightToLeft="0"/>
  </sheetViews>
  <sheetData>
    <row r="1">
      <c r="J1" t="str">
        <v>menu</v>
      </c>
    </row>
    <row r="2">
      <c r="A2" t="str">
        <v>REKAPITULASI BIAYA PEKERJAAN STANDAR BANGUNAN GEDUNG TIDAK SEDERHANA</v>
      </c>
      <c r="J2" t="str">
        <v>HSBGN</v>
      </c>
    </row>
    <row r="4">
      <c r="J4" t="str">
        <v>KONTROL</v>
      </c>
      <c r="M4" t="str">
        <v>MIN</v>
      </c>
      <c r="N4" t="str">
        <v>MAX</v>
      </c>
    </row>
    <row r="5">
      <c r="A5" t="str">
        <v>A</v>
      </c>
      <c r="B5" t="str">
        <f>B32</f>
        <v>PEKERJAAN SRUKTUR</v>
      </c>
      <c r="J5">
        <f>J6+J7</f>
        <v>0</v>
      </c>
      <c r="N5">
        <v>0.1</v>
      </c>
    </row>
    <row r="6">
      <c r="A6" t="str">
        <f>A33</f>
        <v>A.1</v>
      </c>
      <c r="B6" t="str">
        <f>B33</f>
        <v xml:space="preserve">Pekerjaan Pondasi </v>
      </c>
      <c r="H6" t="str">
        <v>Rp.</v>
      </c>
      <c r="I6">
        <f>I50</f>
        <v>0</v>
      </c>
      <c r="J6">
        <f>I6/$I$20</f>
        <v>0</v>
      </c>
      <c r="N6">
        <v>0.35</v>
      </c>
    </row>
    <row r="7">
      <c r="A7" t="str">
        <v>A.2</v>
      </c>
      <c r="B7" t="str">
        <f>B52</f>
        <v>PEKERJAAN STRUKTUR</v>
      </c>
      <c r="H7" t="str">
        <v>Rp.</v>
      </c>
      <c r="I7">
        <f>I107</f>
        <v>0</v>
      </c>
      <c r="J7">
        <f>I7/$I$20</f>
        <v>0</v>
      </c>
      <c r="N7">
        <v>0.1</v>
      </c>
    </row>
    <row r="8">
      <c r="A8" t="str">
        <v>B.</v>
      </c>
      <c r="B8" t="str">
        <f>B108</f>
        <v xml:space="preserve">PEKERJAAN ARSITEKTUR </v>
      </c>
      <c r="J8">
        <f>SUM(J9:J13)</f>
        <v>0.9542675672559172</v>
      </c>
      <c r="N8">
        <v>0.1</v>
      </c>
    </row>
    <row r="9">
      <c r="A9" t="str">
        <f>A110</f>
        <v>B.1</v>
      </c>
      <c r="B9" t="str">
        <f>B110</f>
        <v>Pekerjaan Lantai</v>
      </c>
      <c r="H9" t="str">
        <v>Rp.</v>
      </c>
      <c r="I9">
        <f>I121</f>
        <v>0</v>
      </c>
      <c r="J9">
        <f>I9/$I$20</f>
        <v>0</v>
      </c>
      <c r="N9">
        <v>0.08</v>
      </c>
    </row>
    <row r="10">
      <c r="A10" t="str">
        <f>A122</f>
        <v>B.2</v>
      </c>
      <c r="B10" t="str">
        <f>B122</f>
        <v>Pekerjaan Dinding</v>
      </c>
      <c r="H10" t="str">
        <v>Rp.</v>
      </c>
      <c r="I10">
        <f>I139</f>
        <v>4079544972.9</v>
      </c>
      <c r="J10">
        <f>I10/$I$20</f>
        <v>0.9542675672559172</v>
      </c>
    </row>
    <row r="11">
      <c r="A11" t="str">
        <f>A140</f>
        <v>B.3</v>
      </c>
      <c r="B11" t="str">
        <f>B140</f>
        <v>Pekerjaan Plafond</v>
      </c>
      <c r="H11" t="str">
        <v>Rp.</v>
      </c>
      <c r="I11">
        <f>I147</f>
        <v>0</v>
      </c>
      <c r="J11">
        <f>I11/$I$20</f>
        <v>0</v>
      </c>
    </row>
    <row r="12">
      <c r="A12" t="str">
        <f>A148</f>
        <v>B.4</v>
      </c>
      <c r="B12" t="str">
        <f>B148</f>
        <v>Pekerjaan Atap</v>
      </c>
      <c r="H12" t="str">
        <v>Rp.</v>
      </c>
      <c r="I12">
        <f>I154</f>
        <v>0</v>
      </c>
      <c r="J12">
        <f>I12/$I$20</f>
        <v>0</v>
      </c>
    </row>
    <row r="13">
      <c r="A13" t="str">
        <f>A155</f>
        <v>B.5</v>
      </c>
      <c r="B13" t="str">
        <f>B155</f>
        <v>Pekerjaan Kusen</v>
      </c>
      <c r="H13" t="str">
        <v>Rp.</v>
      </c>
      <c r="I13">
        <f>I176</f>
        <v>0</v>
      </c>
      <c r="J13">
        <f>I13/$I$20</f>
        <v>0</v>
      </c>
    </row>
    <row r="14">
      <c r="A14" t="str">
        <f>A177</f>
        <v>C.</v>
      </c>
      <c r="B14" t="str">
        <f>B177</f>
        <v>PEKERJAAN UTILITAS</v>
      </c>
      <c r="J14">
        <f>SUM(J15:J16)</f>
        <v>0.04573243274408277</v>
      </c>
      <c r="N14">
        <v>0.1</v>
      </c>
    </row>
    <row r="15">
      <c r="A15" t="str">
        <f>A178</f>
        <v>C.1</v>
      </c>
      <c r="B15" t="str">
        <f>B178</f>
        <v>Pekerjaan Plumbing</v>
      </c>
      <c r="H15" t="str">
        <v>Rp.</v>
      </c>
      <c r="I15">
        <f>I237</f>
        <v>195508600</v>
      </c>
      <c r="J15">
        <f>I15/$I$20</f>
        <v>0.04573243274408277</v>
      </c>
    </row>
    <row r="16">
      <c r="A16" t="str">
        <f>A238</f>
        <v>C.2</v>
      </c>
      <c r="B16" t="str">
        <f>B238</f>
        <v>Pekerjaan Elektrikal</v>
      </c>
      <c r="H16" t="str">
        <v>Rp.</v>
      </c>
      <c r="I16">
        <f>I257</f>
        <v>0</v>
      </c>
      <c r="J16">
        <f>I16/$I$20</f>
        <v>0</v>
      </c>
    </row>
    <row r="17">
      <c r="A17" t="str">
        <v>D.</v>
      </c>
      <c r="B17" t="str">
        <f>B258</f>
        <v>PEKERJAAN FINISHING</v>
      </c>
      <c r="H17" t="str">
        <v>Rp.</v>
      </c>
      <c r="I17">
        <f>I264</f>
        <v>0</v>
      </c>
      <c r="J17">
        <f>I17/$I$20</f>
        <v>0</v>
      </c>
      <c r="N17">
        <v>0.08</v>
      </c>
    </row>
    <row r="18">
      <c r="N18">
        <v>0.15</v>
      </c>
    </row>
    <row r="20">
      <c r="H20" t="str">
        <v>Jumlah Biaya Pekerjaan Standar ( a ) … Rp.</v>
      </c>
      <c r="I20">
        <f>SUM(I6:I17)</f>
        <v>4275053572.9</v>
      </c>
      <c r="J20">
        <f>J5+J8+J14+J17</f>
        <v>1</v>
      </c>
    </row>
    <row r="21">
      <c r="H21" t="str">
        <v>PPN 10% ( b ) … Rp.</v>
      </c>
      <c r="I21">
        <f>0.1*I20</f>
        <v>427505357.29</v>
      </c>
    </row>
    <row r="22">
      <c r="H22" t="str">
        <v xml:space="preserve"> '( c ) = ( a ) + ( b ) … Rp.</v>
      </c>
      <c r="I22">
        <f>I20+I21</f>
        <v>4702558930.190001</v>
      </c>
    </row>
    <row r="23">
      <c r="H23" t="str">
        <v>Luas bangunan ( d ) … m2.</v>
      </c>
      <c r="I23">
        <v>717.37</v>
      </c>
    </row>
    <row r="24">
      <c r="H24" t="str">
        <v>Harga bangunan untuk pekerjaan standar /m2 ( e ) = ( c ) / ( d ) … Rp.</v>
      </c>
      <c r="I24">
        <f>I22/I23</f>
        <v>6555276.816970323</v>
      </c>
    </row>
    <row r="25">
      <c r="H25" t="str">
        <v>Ijin Mendirikan Bangunan /m2 ( f ) … Rp.</v>
      </c>
      <c r="I25">
        <f>'Isi Data'!E171</f>
        <v>0</v>
      </c>
    </row>
    <row r="26">
      <c r="H26" t="str">
        <v>(e) + (f) Dibulatkan... Rp.</v>
      </c>
      <c r="I26">
        <f>ROUND(I24+I25,-4)</f>
        <v>6560000</v>
      </c>
    </row>
    <row r="28">
      <c r="A28" t="str">
        <v>RINCIAN BIAYA PEKERJAAN STANDAR BANGUNAN GEDUNG TIDAK SEDERHANA</v>
      </c>
    </row>
    <row r="29">
      <c r="A29" t="str">
        <v>No</v>
      </c>
      <c r="B29" t="str">
        <v>Uraian Pekerjaan</v>
      </c>
      <c r="C29" t="str">
        <v>Keterangan</v>
      </c>
      <c r="D29" t="str">
        <v>Satuan</v>
      </c>
      <c r="E29" t="str">
        <v>Volume</v>
      </c>
      <c r="F29" t="str">
        <v>Harga Satuan</v>
      </c>
      <c r="G29" t="str">
        <v xml:space="preserve">index </v>
      </c>
      <c r="H29" t="str">
        <v>Jumlah Harga</v>
      </c>
    </row>
    <row r="30">
      <c r="F30" t="str">
        <v>Rp.</v>
      </c>
      <c r="G30" t="str">
        <v>lantai</v>
      </c>
      <c r="H30" t="str">
        <v>Rp.</v>
      </c>
    </row>
    <row r="31">
      <c r="K31">
        <f>L31-E31</f>
        <v>0</v>
      </c>
    </row>
    <row r="32">
      <c r="A32" t="str">
        <v>A</v>
      </c>
      <c r="B32" t="str">
        <v>PEKERJAAN SRUKTUR</v>
      </c>
      <c r="K32">
        <f>L32-E32</f>
        <v>0</v>
      </c>
    </row>
    <row r="33">
      <c r="A33" t="str">
        <v>A.1</v>
      </c>
      <c r="B33" t="str">
        <v xml:space="preserve">Pekerjaan Pondasi </v>
      </c>
      <c r="K33">
        <f>L33-E33</f>
        <v>0</v>
      </c>
    </row>
    <row r="34">
      <c r="A34">
        <v>1</v>
      </c>
      <c r="B34" t="str">
        <v>Pas. Urugan tanah</v>
      </c>
      <c r="C34" t="str">
        <v>Peninggian lantai</v>
      </c>
      <c r="D34" t="str">
        <v>m3</v>
      </c>
      <c r="E34">
        <f>'QTY-GTS'!N28</f>
        <v>824.715</v>
      </c>
      <c r="F34">
        <f>SUMIF(SNI!C$1:C$65536,'RAB - GTS'!B$1:B$65536,SNI!L$1:L$65536)</f>
        <v>0</v>
      </c>
      <c r="G34">
        <v>1</v>
      </c>
      <c r="H34">
        <f>E34*F34*G34</f>
        <v>0</v>
      </c>
      <c r="K34">
        <f>L34-E34</f>
        <v>0</v>
      </c>
      <c r="L34">
        <v>824.715</v>
      </c>
    </row>
    <row r="35">
      <c r="A35">
        <v>2</v>
      </c>
      <c r="B35" t="str">
        <v>Galian tanah, dalam  s/d 1 m</v>
      </c>
      <c r="D35" t="str">
        <v>m3</v>
      </c>
      <c r="E35">
        <f>'QTY-GTS'!N34</f>
        <v>58.72239999999999</v>
      </c>
      <c r="F35">
        <f>SUMIF(SNI!C$1:C$65536,'RAB - GTS'!B$1:B$65536,SNI!L$1:L$65536)</f>
        <v>0</v>
      </c>
      <c r="G35">
        <v>1</v>
      </c>
      <c r="H35">
        <f>E35*F35*G35</f>
        <v>0</v>
      </c>
      <c r="K35">
        <f>L35-E35</f>
        <v>0</v>
      </c>
      <c r="L35">
        <v>58.72239999999999</v>
      </c>
    </row>
    <row r="36">
      <c r="A36">
        <v>3</v>
      </c>
      <c r="B36" t="str">
        <v>Pas. Urugan pasir</v>
      </c>
      <c r="C36" t="str">
        <v>t. 10 cm; Pondasi</v>
      </c>
      <c r="D36" t="str">
        <v>m3</v>
      </c>
      <c r="E36">
        <f>'QTY-GTS'!N66</f>
        <v>11.814720000000001</v>
      </c>
      <c r="F36">
        <f>SUMIF(SNI!C$1:C$65536,'RAB - GTS'!B$1:B$65536,SNI!L$1:L$65536)</f>
        <v>0</v>
      </c>
      <c r="G36">
        <v>1</v>
      </c>
      <c r="H36">
        <f>E36*F36*G36</f>
        <v>0</v>
      </c>
      <c r="K36">
        <f>L36-E36</f>
        <v>0</v>
      </c>
      <c r="L36">
        <v>11.814720000000001</v>
      </c>
    </row>
    <row r="37">
      <c r="A37">
        <v>4</v>
      </c>
      <c r="B37" t="str">
        <v>Aanstamping batu kali</v>
      </c>
      <c r="C37" t="str">
        <v>t. 15 cm</v>
      </c>
      <c r="D37" t="str">
        <v>m3</v>
      </c>
      <c r="E37">
        <v>96.9</v>
      </c>
      <c r="F37">
        <f>SUMIF(SNI!C$1:C$65536,'RAB - GTS'!B$1:B$65536,SNI!L$1:L$65536)</f>
        <v>0</v>
      </c>
      <c r="G37">
        <v>1</v>
      </c>
      <c r="H37">
        <f>E37*F37*G37</f>
        <v>0</v>
      </c>
      <c r="K37">
        <f>L37-E37</f>
        <v>0</v>
      </c>
      <c r="L37">
        <v>96.9</v>
      </c>
    </row>
    <row r="38">
      <c r="A38">
        <v>5</v>
      </c>
      <c r="B38" t="str">
        <v>Pas. pondasi batu kali 1:4</v>
      </c>
      <c r="D38" t="str">
        <v>m3</v>
      </c>
      <c r="E38">
        <f>'QTY-GTS'!N127</f>
        <v>14.143500000000003</v>
      </c>
      <c r="F38">
        <f>SUMIF(SNI!C$1:C$65536,'RAB - GTS'!B$1:B$65536,SNI!L$1:L$65536)</f>
        <v>0</v>
      </c>
      <c r="G38">
        <v>1</v>
      </c>
      <c r="H38">
        <f>E38*F38*G38</f>
        <v>0</v>
      </c>
      <c r="I38">
        <f>SUM(H34:H38)</f>
        <v>0</v>
      </c>
      <c r="K38">
        <f>L38-E38</f>
        <v>0</v>
      </c>
      <c r="L38">
        <v>14.143500000000003</v>
      </c>
    </row>
    <row r="39">
      <c r="A39">
        <v>6</v>
      </c>
      <c r="B39" t="str">
        <v>Pas. Lantai kerja beton tumbuk 1:3:5</v>
      </c>
      <c r="C39" t="str">
        <v>t. 5 cm</v>
      </c>
      <c r="D39" t="str">
        <v>m3</v>
      </c>
      <c r="E39">
        <f>'QTY-GTS'!N72</f>
        <v>5.907360000000001</v>
      </c>
      <c r="F39">
        <f>SUMIF(SNI!C$1:C$65536,'RAB - GTS'!B$1:B$65536,SNI!L$1:L$65536)</f>
        <v>0</v>
      </c>
      <c r="G39">
        <v>1</v>
      </c>
      <c r="H39">
        <f>E39*F39*G39</f>
        <v>0</v>
      </c>
      <c r="K39">
        <f>L39-E39</f>
        <v>0</v>
      </c>
      <c r="L39">
        <v>5.907360000000001</v>
      </c>
    </row>
    <row r="40">
      <c r="A40">
        <v>7</v>
      </c>
      <c r="B40" t="str">
        <v>Bekisting sloof beton</v>
      </c>
      <c r="D40" t="str">
        <v>m2</v>
      </c>
      <c r="E40">
        <f>'QTY-GTS'!N109</f>
        <v>66</v>
      </c>
      <c r="F40">
        <f>SUMIF(SNI!C$1:C$65536,'RAB - GTS'!B$1:B$65536,SNI!L$1:L$65536)</f>
        <v>0</v>
      </c>
      <c r="G40">
        <v>1</v>
      </c>
      <c r="H40">
        <f>E40*F40*G40</f>
        <v>0</v>
      </c>
      <c r="K40">
        <f>L40-E40</f>
        <v>0</v>
      </c>
      <c r="L40">
        <v>66</v>
      </c>
    </row>
    <row r="41">
      <c r="A41">
        <v>8</v>
      </c>
      <c r="B41" t="str">
        <v>Tulangan besi beton U-39</v>
      </c>
      <c r="C41" t="str">
        <v>Besi beton dia 19</v>
      </c>
      <c r="D41" t="str">
        <v>kg</v>
      </c>
      <c r="E41">
        <f>'QTY-GTS'!N91</f>
        <v>1856.61</v>
      </c>
      <c r="F41">
        <f>SUMIF(SNI!C$1:C$65536,'RAB - GTS'!B$1:B$65536,SNI!L$1:L$65536)</f>
        <v>0</v>
      </c>
      <c r="G41">
        <v>1</v>
      </c>
      <c r="H41">
        <f>E41*F41*G41</f>
        <v>0</v>
      </c>
      <c r="K41">
        <f>L41-E41</f>
        <v>0</v>
      </c>
      <c r="L41">
        <v>1856.61</v>
      </c>
    </row>
    <row r="42">
      <c r="A42">
        <v>9</v>
      </c>
      <c r="B42" t="str">
        <v>Tulangan besi beton U-39</v>
      </c>
      <c r="C42" t="str">
        <v>Besi beton dia 13</v>
      </c>
      <c r="D42" t="str">
        <v>kg</v>
      </c>
      <c r="E42">
        <f>'QTY-GTS'!N101</f>
        <v>755.4675200000001</v>
      </c>
      <c r="F42">
        <f>SUMIF(SNI!C$1:C$65536,'RAB - GTS'!B$1:B$65536,SNI!L$1:L$65536)</f>
        <v>0</v>
      </c>
      <c r="G42">
        <v>1</v>
      </c>
      <c r="H42">
        <f>E42*F42*G42</f>
        <v>0</v>
      </c>
      <c r="K42">
        <f>L42-E42</f>
        <v>0</v>
      </c>
      <c r="L42">
        <v>755.4675200000001</v>
      </c>
    </row>
    <row r="43">
      <c r="A43">
        <v>0</v>
      </c>
      <c r="B43" t="str">
        <v>Tulangan besi beton U-24</v>
      </c>
      <c r="C43" t="str">
        <v>Besi beton 10</v>
      </c>
      <c r="D43" t="str">
        <v>kg</v>
      </c>
      <c r="E43">
        <f>'QTY-GTS'!N105</f>
        <v>135.52</v>
      </c>
      <c r="F43">
        <f>SUMIF(SNI!C$1:C$65536,'RAB - GTS'!B$1:B$65536,SNI!L$1:L$65536)</f>
        <v>0</v>
      </c>
      <c r="G43">
        <v>1</v>
      </c>
      <c r="H43">
        <f>E43*F43*G43</f>
        <v>0</v>
      </c>
      <c r="K43">
        <f>L43-E43</f>
        <v>0</v>
      </c>
      <c r="L43">
        <v>135.52</v>
      </c>
    </row>
    <row r="44">
      <c r="A44">
        <v>10</v>
      </c>
      <c r="B44" t="str">
        <v>Beton K - 250</v>
      </c>
      <c r="D44" t="str">
        <v>m3</v>
      </c>
      <c r="E44">
        <f>'QTY-GTS'!N78</f>
        <v>39.455999999999996</v>
      </c>
      <c r="F44">
        <f>SUMIF(SNI!C$1:C$65536,'RAB - GTS'!B$1:B$65536,SNI!L$1:L$65536)</f>
        <v>0</v>
      </c>
      <c r="G44">
        <v>1</v>
      </c>
      <c r="H44">
        <f>E44*F44*G44</f>
        <v>0</v>
      </c>
      <c r="I44">
        <f>SUM(H39:H44)</f>
        <v>0</v>
      </c>
      <c r="K44">
        <f>L44-E44</f>
        <v>0</v>
      </c>
      <c r="L44">
        <v>39.455999999999996</v>
      </c>
    </row>
    <row r="45">
      <c r="A45">
        <v>12</v>
      </c>
      <c r="B45" t="str">
        <v>Bekisting sloof beton</v>
      </c>
      <c r="D45" t="str">
        <v>m2</v>
      </c>
      <c r="E45">
        <f>'QTY-GTS'!N155</f>
        <v>118.29999999999998</v>
      </c>
      <c r="F45">
        <f>SUMIF(SNI!C$1:C$65536,'RAB - GTS'!B$1:B$65536,SNI!L$1:L$65536)</f>
        <v>0</v>
      </c>
      <c r="G45">
        <v>1</v>
      </c>
      <c r="H45">
        <f>E45*F45*G45</f>
        <v>0</v>
      </c>
      <c r="K45">
        <f>L45-E45</f>
        <v>0</v>
      </c>
      <c r="L45">
        <v>118.3</v>
      </c>
    </row>
    <row r="46">
      <c r="A46">
        <v>13</v>
      </c>
      <c r="B46" t="str">
        <v>Tulangan besi beton U-39</v>
      </c>
      <c r="C46" t="str">
        <v>Besi beton dia 16</v>
      </c>
      <c r="D46" t="str">
        <v>kg</v>
      </c>
      <c r="E46">
        <f>'QTY-GTS'!N147</f>
        <v>1832.208</v>
      </c>
      <c r="F46">
        <f>SUMIF(SNI!C$1:C$65536,'RAB - GTS'!B$1:B$65536,SNI!L$1:L$65536)</f>
        <v>0</v>
      </c>
      <c r="G46">
        <v>1</v>
      </c>
      <c r="H46">
        <f>E46*F46*G46</f>
        <v>0</v>
      </c>
      <c r="K46">
        <f>L46-E46</f>
        <v>0</v>
      </c>
      <c r="L46">
        <v>1832.208</v>
      </c>
    </row>
    <row r="47">
      <c r="A47">
        <v>14</v>
      </c>
      <c r="B47" t="str">
        <v>Tulangan besi beton U-24</v>
      </c>
      <c r="C47" t="str">
        <v xml:space="preserve">Besi beton dia 10 </v>
      </c>
      <c r="D47" t="str">
        <v>kg</v>
      </c>
      <c r="E47">
        <f>'QTY-GTS'!N151</f>
        <v>826.0559999999999</v>
      </c>
      <c r="F47">
        <f>SUMIF(SNI!C$1:C$65536,'RAB - GTS'!B$1:B$65536,SNI!L$1:L$65536)</f>
        <v>0</v>
      </c>
      <c r="G47">
        <v>1</v>
      </c>
      <c r="H47">
        <f>E47*F47*G47</f>
        <v>0</v>
      </c>
      <c r="K47">
        <f>L47-E47</f>
        <v>0</v>
      </c>
      <c r="L47">
        <v>826.0559999999999</v>
      </c>
    </row>
    <row r="48">
      <c r="A48">
        <v>15</v>
      </c>
      <c r="B48" t="str">
        <v>Beton K - 225</v>
      </c>
      <c r="D48" t="str">
        <v>m3</v>
      </c>
      <c r="E48">
        <f>'QTY-GTS'!N143</f>
        <v>21.125</v>
      </c>
      <c r="F48">
        <f>SUMIF(SNI!C$1:C$65536,'RAB - GTS'!B$1:B$65536,SNI!L$1:L$65536)</f>
        <v>0</v>
      </c>
      <c r="G48">
        <v>1</v>
      </c>
      <c r="H48">
        <f>E48*F48*G48</f>
        <v>0</v>
      </c>
      <c r="I48">
        <f>SUM(H45:H48)</f>
        <v>0</v>
      </c>
      <c r="K48">
        <f>L48-E48</f>
        <v>0</v>
      </c>
      <c r="L48">
        <v>21.125</v>
      </c>
    </row>
    <row r="49">
      <c r="K49">
        <f>L49-E49</f>
        <v>0</v>
      </c>
    </row>
    <row r="50">
      <c r="H50" t="str">
        <v>Jumlah A.1 .... Rp</v>
      </c>
      <c r="I50">
        <f>SUM(H34:H48)</f>
        <v>0</v>
      </c>
      <c r="K50">
        <f>L50-E50</f>
        <v>0</v>
      </c>
    </row>
    <row r="51">
      <c r="K51">
        <f>L51-E51</f>
        <v>0</v>
      </c>
    </row>
    <row r="52">
      <c r="A52" t="str">
        <v>A.2</v>
      </c>
      <c r="B52" t="str">
        <v>PEKERJAAN STRUKTUR</v>
      </c>
      <c r="K52">
        <f>L52-E52</f>
        <v>0</v>
      </c>
    </row>
    <row r="53">
      <c r="A53" t="str">
        <v>A.2.1</v>
      </c>
      <c r="B53" t="str">
        <v>LANTAI DASAR</v>
      </c>
      <c r="K53">
        <f>L53-E53</f>
        <v>0</v>
      </c>
    </row>
    <row r="54">
      <c r="B54" t="str">
        <v>Pekerjaan Kolom</v>
      </c>
      <c r="K54">
        <f>L54-E54</f>
        <v>0</v>
      </c>
    </row>
    <row r="55">
      <c r="A55">
        <v>1</v>
      </c>
      <c r="B55" t="str">
        <v>Bekisting kolom beton</v>
      </c>
      <c r="D55" t="str">
        <v>m2</v>
      </c>
      <c r="E55">
        <f>'QTY-GTS'!N179</f>
        <v>133.2</v>
      </c>
      <c r="F55">
        <f>SUMIF(SNI!C$1:C$65536,'RAB - GTS'!B$1:B$65536,SNI!L$1:L$65536)</f>
        <v>0</v>
      </c>
      <c r="G55">
        <v>1</v>
      </c>
      <c r="H55">
        <f>E55*F55*G55</f>
        <v>0</v>
      </c>
      <c r="K55">
        <f>L55-E55</f>
        <v>0</v>
      </c>
      <c r="L55">
        <v>133.2</v>
      </c>
    </row>
    <row r="56">
      <c r="A56">
        <f>A55+1</f>
        <v>2</v>
      </c>
      <c r="B56" t="str">
        <v>Tulangan besi beton U-39</v>
      </c>
      <c r="C56" t="str">
        <v>Besi beton dia 16</v>
      </c>
      <c r="D56" t="str">
        <v>kg</v>
      </c>
      <c r="E56">
        <f>'QTY-GTS'!N165</f>
        <v>1121.76</v>
      </c>
      <c r="F56">
        <f>SUMIF(SNI!C$1:C$65536,'RAB - GTS'!B$1:B$65536,SNI!L$1:L$65536)</f>
        <v>0</v>
      </c>
      <c r="G56">
        <v>1</v>
      </c>
      <c r="H56">
        <f>E56*F56*G56</f>
        <v>0</v>
      </c>
      <c r="K56">
        <f>L56-E56</f>
        <v>0</v>
      </c>
      <c r="L56">
        <v>1121.76</v>
      </c>
    </row>
    <row r="57">
      <c r="A57">
        <f>A56+1</f>
        <v>3</v>
      </c>
      <c r="B57" t="str">
        <v>Tulangan besi beton U-39</v>
      </c>
      <c r="C57" t="str">
        <v>Besi beton dia 13</v>
      </c>
      <c r="D57" t="str">
        <v>kg</v>
      </c>
      <c r="E57">
        <f>'QTY-GTS'!N169</f>
        <v>153.5616</v>
      </c>
      <c r="F57">
        <f>SUMIF(SNI!C$1:C$65536,'RAB - GTS'!B$1:B$65536,SNI!L$1:L$65536)</f>
        <v>0</v>
      </c>
      <c r="G57">
        <v>1</v>
      </c>
      <c r="H57">
        <f>E57*F57*G57</f>
        <v>0</v>
      </c>
      <c r="K57">
        <f>L57-E57</f>
        <v>0</v>
      </c>
      <c r="L57">
        <v>153.5616</v>
      </c>
    </row>
    <row r="58">
      <c r="A58">
        <f>A57+1</f>
        <v>4</v>
      </c>
      <c r="B58" t="str">
        <v>Tulangan besi beton U-24</v>
      </c>
      <c r="C58" t="str">
        <v>Besi beton dia 10</v>
      </c>
      <c r="D58" t="str">
        <v>kg</v>
      </c>
      <c r="E58">
        <f>'QTY-GTS'!N174</f>
        <v>591.8527999999999</v>
      </c>
      <c r="F58">
        <f>SUMIF(SNI!C$1:C$65536,'RAB - GTS'!B$1:B$65536,SNI!L$1:L$65536)</f>
        <v>0</v>
      </c>
      <c r="G58">
        <v>1</v>
      </c>
      <c r="H58">
        <f>E58*F58*G58</f>
        <v>0</v>
      </c>
      <c r="K58">
        <f>L58-E58</f>
        <v>0</v>
      </c>
      <c r="L58">
        <v>591.8527999999999</v>
      </c>
    </row>
    <row r="59">
      <c r="A59">
        <f>A58+1</f>
        <v>5</v>
      </c>
      <c r="B59" t="str">
        <v>Beton K - 250</v>
      </c>
      <c r="D59" t="str">
        <v>m3</v>
      </c>
      <c r="E59">
        <f>'QTY-GTS'!N163</f>
        <v>10.37</v>
      </c>
      <c r="F59">
        <f>SUMIF(SNI!C$1:C$65536,'RAB - GTS'!B$1:B$65536,SNI!L$1:L$65536)</f>
        <v>0</v>
      </c>
      <c r="G59">
        <v>1</v>
      </c>
      <c r="H59">
        <f>E59*F59*G59</f>
        <v>0</v>
      </c>
      <c r="I59">
        <f>SUM(H55:H59)</f>
        <v>0</v>
      </c>
      <c r="K59">
        <f>L59-E59</f>
        <v>0</v>
      </c>
      <c r="L59">
        <v>10.37</v>
      </c>
    </row>
    <row r="60">
      <c r="K60">
        <f>L60-E60</f>
        <v>0</v>
      </c>
    </row>
    <row r="61">
      <c r="B61" t="str">
        <v>Pekerjaan Balok Bordes</v>
      </c>
      <c r="K61">
        <f>L61-E61</f>
        <v>0</v>
      </c>
    </row>
    <row r="62">
      <c r="A62">
        <v>1</v>
      </c>
      <c r="B62" t="str">
        <v>Bekisting balok beton</v>
      </c>
      <c r="D62" t="str">
        <v>m2</v>
      </c>
      <c r="E62">
        <f>'QTY-GTS'!N226</f>
        <v>3.9000000000000004</v>
      </c>
      <c r="F62">
        <f>SUMIF(SNI!C$1:C$65536,'RAB - GTS'!B$1:B$65536,SNI!L$1:L$65536)</f>
        <v>0</v>
      </c>
      <c r="G62">
        <v>1</v>
      </c>
      <c r="H62">
        <f>E62*F62*G62</f>
        <v>0</v>
      </c>
      <c r="K62">
        <f>L62-E62</f>
        <v>0</v>
      </c>
      <c r="L62">
        <v>3.9</v>
      </c>
    </row>
    <row r="63">
      <c r="A63">
        <f>A62+1</f>
        <v>2</v>
      </c>
      <c r="B63" t="str">
        <v>Tulangan besi beton U-39</v>
      </c>
      <c r="C63" t="str">
        <v>Besi beton dia 13</v>
      </c>
      <c r="D63" t="str">
        <v>kg</v>
      </c>
      <c r="E63">
        <f>'QTY-GTS'!N224</f>
        <v>11.904</v>
      </c>
      <c r="F63">
        <f>SUMIF(SNI!C$1:C$65536,'RAB - GTS'!B$1:B$65536,SNI!L$1:L$65536)</f>
        <v>0</v>
      </c>
      <c r="G63">
        <v>1</v>
      </c>
      <c r="H63">
        <f>E63*F63*G63</f>
        <v>0</v>
      </c>
      <c r="K63">
        <f>L63-E63</f>
        <v>0</v>
      </c>
      <c r="L63">
        <v>11.904</v>
      </c>
    </row>
    <row r="64">
      <c r="A64">
        <f>A63+1</f>
        <v>3</v>
      </c>
      <c r="B64" t="str">
        <v>Tulangan besi beton U-24</v>
      </c>
      <c r="C64" t="str">
        <v>Besi beton dia 10</v>
      </c>
      <c r="D64" t="str">
        <v>kg</v>
      </c>
      <c r="E64">
        <f>'QTY-GTS'!N225</f>
        <v>18.48</v>
      </c>
      <c r="F64">
        <f>SUMIF(SNI!C$1:C$65536,'RAB - GTS'!B$1:B$65536,SNI!L$1:L$65536)</f>
        <v>0</v>
      </c>
      <c r="G64">
        <v>1</v>
      </c>
      <c r="H64">
        <f>E64*F64*G64</f>
        <v>0</v>
      </c>
      <c r="K64">
        <f>L64-E64</f>
        <v>0</v>
      </c>
      <c r="L64">
        <v>18.48</v>
      </c>
    </row>
    <row r="65">
      <c r="A65">
        <f>A64+1</f>
        <v>4</v>
      </c>
      <c r="B65" t="str">
        <v>Beton K - 250</v>
      </c>
      <c r="D65" t="str">
        <v>m3</v>
      </c>
      <c r="E65">
        <f>'QTY-GTS'!N223</f>
        <v>0.36000000000000004</v>
      </c>
      <c r="F65">
        <f>SUMIF(SNI!C$1:C$65536,'RAB - GTS'!B$1:B$65536,SNI!L$1:L$65536)</f>
        <v>0</v>
      </c>
      <c r="G65">
        <v>1</v>
      </c>
      <c r="H65">
        <f>E65*F65*G65</f>
        <v>0</v>
      </c>
      <c r="I65">
        <f>SUM(H62:H65)</f>
        <v>0</v>
      </c>
      <c r="K65">
        <f>L65-E65</f>
        <v>0</v>
      </c>
      <c r="L65">
        <v>0.36</v>
      </c>
    </row>
    <row r="66">
      <c r="K66">
        <f>L66-E66</f>
        <v>0</v>
      </c>
    </row>
    <row r="67">
      <c r="B67" t="str">
        <v>Pekerjaan Tangga</v>
      </c>
      <c r="K67">
        <f>L67-E67</f>
        <v>0</v>
      </c>
    </row>
    <row r="68">
      <c r="A68">
        <v>1</v>
      </c>
      <c r="B68" t="str">
        <v>Bekisting beton plat lantai</v>
      </c>
      <c r="D68" t="str">
        <v>m2</v>
      </c>
      <c r="E68">
        <f>'QTY-GTS'!N251</f>
        <v>24.1575</v>
      </c>
      <c r="F68">
        <f>SUMIF(SNI!C$1:C$65536,'RAB - GTS'!B$1:B$65536,SNI!L$1:L$65536)</f>
        <v>0</v>
      </c>
      <c r="G68">
        <v>1</v>
      </c>
      <c r="H68">
        <f>E68*F68*G68</f>
        <v>0</v>
      </c>
      <c r="K68">
        <f>L68-E68</f>
        <v>0</v>
      </c>
      <c r="L68">
        <v>24.1575</v>
      </c>
    </row>
    <row r="69">
      <c r="A69">
        <f>A68+1</f>
        <v>2</v>
      </c>
      <c r="B69" t="str">
        <v>Tulangan besi beton U-39</v>
      </c>
      <c r="C69" t="str">
        <v>Besi beton dia 13</v>
      </c>
      <c r="D69" t="str">
        <v>kg</v>
      </c>
      <c r="E69">
        <f>'QTY-GTS'!N237</f>
        <v>202.66559999999998</v>
      </c>
      <c r="F69">
        <f>SUMIF(SNI!C$1:C$65536,'RAB - GTS'!B$1:B$65536,SNI!L$1:L$65536)</f>
        <v>0</v>
      </c>
      <c r="G69">
        <v>1</v>
      </c>
      <c r="H69">
        <f>E69*F69*G69</f>
        <v>0</v>
      </c>
      <c r="K69">
        <f>L69-E69</f>
        <v>0</v>
      </c>
      <c r="L69">
        <v>202.66559999999998</v>
      </c>
    </row>
    <row r="70">
      <c r="A70">
        <f>A69+1</f>
        <v>3</v>
      </c>
      <c r="B70" t="str">
        <v>Tulangan besi beton U-24</v>
      </c>
      <c r="C70" t="str">
        <v>Besi beton dia 10</v>
      </c>
      <c r="D70" t="str">
        <v>kg</v>
      </c>
      <c r="E70">
        <f>'QTY-GTS'!N245</f>
        <v>186.13672</v>
      </c>
      <c r="F70">
        <f>SUMIF(SNI!C$1:C$65536,'RAB - GTS'!B$1:B$65536,SNI!L$1:L$65536)</f>
        <v>0</v>
      </c>
      <c r="G70">
        <v>1</v>
      </c>
      <c r="H70">
        <f>E70*F70*G70</f>
        <v>0</v>
      </c>
      <c r="K70">
        <f>L70-E70</f>
        <v>0</v>
      </c>
      <c r="L70">
        <v>186.13672</v>
      </c>
    </row>
    <row r="71">
      <c r="A71">
        <f>A70+1</f>
        <v>4</v>
      </c>
      <c r="B71" t="str">
        <v>Beton K - 250</v>
      </c>
      <c r="D71" t="str">
        <v>m3</v>
      </c>
      <c r="E71">
        <f>'QTY-GTS'!N232</f>
        <v>3.857425</v>
      </c>
      <c r="F71">
        <f>SUMIF(SNI!C$1:C$65536,'RAB - GTS'!B$1:B$65536,SNI!L$1:L$65536)</f>
        <v>0</v>
      </c>
      <c r="G71">
        <v>1</v>
      </c>
      <c r="H71">
        <f>E71*F71*G71</f>
        <v>0</v>
      </c>
      <c r="I71">
        <f>SUM(H68:H71)</f>
        <v>0</v>
      </c>
      <c r="K71">
        <f>L71-E71</f>
        <v>0</v>
      </c>
      <c r="L71">
        <v>3.857425</v>
      </c>
    </row>
    <row r="72">
      <c r="K72">
        <f>L72-E72</f>
        <v>0</v>
      </c>
    </row>
    <row r="73">
      <c r="B73" t="str">
        <v>Pekerjaan Balok</v>
      </c>
      <c r="K73">
        <f>L73-E73</f>
        <v>0</v>
      </c>
    </row>
    <row r="74">
      <c r="A74">
        <v>1</v>
      </c>
      <c r="B74" t="str">
        <v>Bekisting balok beton</v>
      </c>
      <c r="D74" t="str">
        <v>m2</v>
      </c>
      <c r="E74">
        <f>'QTY-GTS'!N344</f>
        <v>198.485</v>
      </c>
      <c r="F74">
        <f>SUMIF(SNI!C$1:C$65536,'RAB - GTS'!B$1:B$65536,SNI!L$1:L$65536)</f>
        <v>0</v>
      </c>
      <c r="G74">
        <v>1</v>
      </c>
      <c r="H74">
        <f>E74*F74*G74</f>
        <v>0</v>
      </c>
      <c r="K74">
        <f>L74-E74</f>
        <v>0</v>
      </c>
      <c r="L74">
        <v>198.485</v>
      </c>
    </row>
    <row r="75">
      <c r="A75">
        <f>A74+1</f>
        <v>2</v>
      </c>
      <c r="B75" t="str">
        <v>Tulangan besi beton U-39</v>
      </c>
      <c r="C75" t="str">
        <v>Besi beton dia 19</v>
      </c>
      <c r="D75" t="str">
        <v>kg</v>
      </c>
      <c r="E75">
        <f>'QTY-GTS'!N282</f>
        <v>259.56</v>
      </c>
      <c r="F75">
        <f>SUMIF(SNI!C$1:C$65536,'RAB - GTS'!B$1:B$65536,SNI!L$1:L$65536)</f>
        <v>0</v>
      </c>
      <c r="G75">
        <v>1</v>
      </c>
      <c r="H75">
        <f>E75*F75*G75</f>
        <v>0</v>
      </c>
      <c r="K75">
        <f>L75-E75</f>
        <v>0</v>
      </c>
      <c r="L75">
        <v>259.56</v>
      </c>
    </row>
    <row r="76">
      <c r="A76">
        <f>A75+1</f>
        <v>3</v>
      </c>
      <c r="B76" t="str">
        <v>Tulangan besi beton U-39</v>
      </c>
      <c r="C76" t="str">
        <v>Besi beton dia 16</v>
      </c>
      <c r="D76" t="str">
        <v>kg</v>
      </c>
      <c r="E76">
        <f>'QTY-GTS'!N302</f>
        <v>2604.09792</v>
      </c>
      <c r="F76">
        <f>SUMIF(SNI!C$1:C$65536,'RAB - GTS'!B$1:B$65536,SNI!L$1:L$65536)</f>
        <v>0</v>
      </c>
      <c r="G76">
        <v>1</v>
      </c>
      <c r="H76">
        <f>E76*F76*G76</f>
        <v>0</v>
      </c>
      <c r="K76">
        <f>L76-E76</f>
        <v>0</v>
      </c>
      <c r="L76">
        <v>2604.09792</v>
      </c>
    </row>
    <row r="77">
      <c r="A77">
        <f>A76+1</f>
        <v>4</v>
      </c>
      <c r="B77" t="str">
        <v>Tulangan besi beton U-39</v>
      </c>
      <c r="C77" t="str">
        <v>Besi beton dia 13</v>
      </c>
      <c r="D77" t="str">
        <v>kg</v>
      </c>
      <c r="E77">
        <f>'QTY-GTS'!N308</f>
        <v>101.65960000000001</v>
      </c>
      <c r="F77">
        <f>SUMIF(SNI!C$1:C$65536,'RAB - GTS'!B$1:B$65536,SNI!L$1:L$65536)</f>
        <v>0</v>
      </c>
      <c r="G77">
        <v>1</v>
      </c>
      <c r="H77">
        <f>E77*F77*G77</f>
        <v>0</v>
      </c>
      <c r="K77">
        <f>L77-E77</f>
        <v>0</v>
      </c>
      <c r="L77">
        <v>101.65960000000001</v>
      </c>
    </row>
    <row r="78">
      <c r="A78">
        <f>A77+1</f>
        <v>5</v>
      </c>
      <c r="B78" t="str">
        <v>Tulangan besi beton U-24</v>
      </c>
      <c r="C78" t="str">
        <v>Besi beton dia 10</v>
      </c>
      <c r="D78" t="str">
        <v>kg</v>
      </c>
      <c r="E78">
        <f>'QTY-GTS'!N326</f>
        <v>1050.5264000000002</v>
      </c>
      <c r="F78">
        <f>SUMIF(SNI!C$1:C$65536,'RAB - GTS'!B$1:B$65536,SNI!L$1:L$65536)</f>
        <v>0</v>
      </c>
      <c r="G78">
        <v>1</v>
      </c>
      <c r="H78">
        <f>E78*F78*G78</f>
        <v>0</v>
      </c>
      <c r="K78">
        <f>L78-E78</f>
        <v>0</v>
      </c>
      <c r="L78">
        <v>1050.5264000000002</v>
      </c>
    </row>
    <row r="79">
      <c r="A79">
        <f>A78+1</f>
        <v>6</v>
      </c>
      <c r="B79" t="str">
        <v>Beton K - 250</v>
      </c>
      <c r="D79" t="str">
        <v>m3</v>
      </c>
      <c r="E79">
        <f>'QTY-GTS'!N270</f>
        <v>26.400000000000002</v>
      </c>
      <c r="F79">
        <f>SUMIF(SNI!C$1:C$65536,'RAB - GTS'!B$1:B$65536,SNI!L$1:L$65536)</f>
        <v>0</v>
      </c>
      <c r="G79">
        <v>1</v>
      </c>
      <c r="H79">
        <f>E79*F79*G79</f>
        <v>0</v>
      </c>
      <c r="I79">
        <f>SUM(H74:H79)</f>
        <v>0</v>
      </c>
      <c r="K79">
        <f>L79-E79</f>
        <v>0</v>
      </c>
      <c r="L79">
        <v>26.4</v>
      </c>
    </row>
    <row r="80">
      <c r="K80">
        <f>L80-E80</f>
        <v>0</v>
      </c>
    </row>
    <row r="81">
      <c r="B81" t="str">
        <v>Pekerjaan Plat lantai</v>
      </c>
      <c r="K81">
        <f>L81-E81</f>
        <v>0</v>
      </c>
    </row>
    <row r="82">
      <c r="A82">
        <v>1</v>
      </c>
      <c r="B82" t="str">
        <v>Bekisting beton plat lantai</v>
      </c>
      <c r="D82" t="str">
        <v>m2</v>
      </c>
      <c r="E82">
        <f>'QTY-GTS'!N220</f>
        <v>14.1</v>
      </c>
      <c r="F82">
        <f>SUMIF(SNI!C$1:C$65536,'RAB - GTS'!B$1:B$65536,SNI!L$1:L$65536)</f>
        <v>0</v>
      </c>
      <c r="G82">
        <v>1</v>
      </c>
      <c r="H82">
        <f>E82*F82*G82</f>
        <v>0</v>
      </c>
      <c r="K82">
        <f>L82-E82</f>
        <v>0</v>
      </c>
      <c r="L82">
        <v>14.1</v>
      </c>
    </row>
    <row r="83">
      <c r="A83">
        <f>A82+1</f>
        <v>2</v>
      </c>
      <c r="B83" t="str">
        <v>Tulangan besi beton U-39</v>
      </c>
      <c r="C83" t="str">
        <v>Besi beton dia 13</v>
      </c>
      <c r="D83" t="str">
        <v>kg</v>
      </c>
      <c r="E83">
        <f>'QTY-GTS'!N216</f>
        <v>9334.124799999998</v>
      </c>
      <c r="F83">
        <f>SUMIF(SNI!C$1:C$65536,'RAB - GTS'!B$1:B$65536,SNI!L$1:L$65536)</f>
        <v>0</v>
      </c>
      <c r="G83">
        <v>1</v>
      </c>
      <c r="H83">
        <f>E83*F83*G83</f>
        <v>0</v>
      </c>
      <c r="K83">
        <f>L83-E83</f>
        <v>0</v>
      </c>
      <c r="L83">
        <v>9334.124799999998</v>
      </c>
    </row>
    <row r="84">
      <c r="A84">
        <f>A83+1</f>
        <v>3</v>
      </c>
      <c r="B84" t="str">
        <v>Beton K - 250</v>
      </c>
      <c r="D84" t="str">
        <v>m3</v>
      </c>
      <c r="E84">
        <f>'QTY-GTS'!N208</f>
        <v>62.9625</v>
      </c>
      <c r="F84">
        <f>SUMIF(SNI!C$1:C$65536,'RAB - GTS'!B$1:B$65536,SNI!L$1:L$65536)</f>
        <v>0</v>
      </c>
      <c r="G84">
        <v>1</v>
      </c>
      <c r="H84">
        <f>E84*F84*G84</f>
        <v>0</v>
      </c>
      <c r="I84">
        <f>SUM(H82:H84)</f>
        <v>0</v>
      </c>
      <c r="K84">
        <f>L84-E84</f>
        <v>0</v>
      </c>
      <c r="L84">
        <v>62.9625</v>
      </c>
    </row>
    <row r="85">
      <c r="K85">
        <f>L85-E85</f>
        <v>0</v>
      </c>
    </row>
    <row r="86">
      <c r="A86" t="str">
        <v>A.2.2</v>
      </c>
      <c r="B86" t="str">
        <v>LANTAI ATAS</v>
      </c>
      <c r="K86">
        <f>L86-E86</f>
        <v>0</v>
      </c>
    </row>
    <row r="87">
      <c r="B87" t="str">
        <v>Pekerjaan Kolom</v>
      </c>
      <c r="K87">
        <f>L87-E87</f>
        <v>0</v>
      </c>
    </row>
    <row r="88">
      <c r="A88">
        <v>1</v>
      </c>
      <c r="B88" t="str">
        <v>Bekisting kolom beton</v>
      </c>
      <c r="D88" t="str">
        <v>m2</v>
      </c>
      <c r="E88">
        <f>'QTY-GTS'!N360</f>
        <v>131.6</v>
      </c>
      <c r="F88">
        <f>SUMIF(SNI!C$1:C$65536,'RAB - GTS'!B$1:B$65536,SNI!L$1:L$65536)</f>
        <v>0</v>
      </c>
      <c r="G88">
        <v>1.09</v>
      </c>
      <c r="H88">
        <f>E88*F88*G88</f>
        <v>0</v>
      </c>
      <c r="K88">
        <f>L88-E88</f>
        <v>0</v>
      </c>
      <c r="L88">
        <v>131.6</v>
      </c>
    </row>
    <row r="89">
      <c r="A89">
        <f>A88+1</f>
        <v>2</v>
      </c>
      <c r="B89" t="str">
        <v>Tulangan besi beton U-39</v>
      </c>
      <c r="C89" t="str">
        <v>Besi beton dia 16</v>
      </c>
      <c r="D89" t="str">
        <v>kg</v>
      </c>
      <c r="E89">
        <f>'QTY-GTS'!N351</f>
        <v>942.2784</v>
      </c>
      <c r="F89">
        <f>SUMIF(SNI!C$1:C$65536,'RAB - GTS'!B$1:B$65536,SNI!L$1:L$65536)</f>
        <v>0</v>
      </c>
      <c r="G89">
        <v>1.09</v>
      </c>
      <c r="H89">
        <f>E89*F89*G89</f>
        <v>0</v>
      </c>
      <c r="K89">
        <f>L89-E89</f>
        <v>0</v>
      </c>
      <c r="L89">
        <v>942.2784</v>
      </c>
    </row>
    <row r="90">
      <c r="A90">
        <f>A89+1</f>
        <v>3</v>
      </c>
      <c r="B90" t="str">
        <v>Tulangan besi beton U-39</v>
      </c>
      <c r="C90" t="str">
        <v>Besi beton dia 13</v>
      </c>
      <c r="D90" t="str">
        <v>kg</v>
      </c>
      <c r="E90">
        <f>'QTY-GTS'!N352</f>
        <v>144.832</v>
      </c>
      <c r="F90">
        <f>SUMIF(SNI!C$1:C$65536,'RAB - GTS'!B$1:B$65536,SNI!L$1:L$65536)</f>
        <v>0</v>
      </c>
      <c r="G90">
        <v>1.09</v>
      </c>
      <c r="H90">
        <f>E90*F90*G90</f>
        <v>0</v>
      </c>
      <c r="K90">
        <f>L90-E90</f>
        <v>0</v>
      </c>
      <c r="L90">
        <v>144.832</v>
      </c>
    </row>
    <row r="91">
      <c r="A91">
        <f>A90+1</f>
        <v>4</v>
      </c>
      <c r="B91" t="str">
        <v>Tulangan besi beton U-24</v>
      </c>
      <c r="C91" t="str">
        <v>Besi beton dia 10</v>
      </c>
      <c r="D91" t="str">
        <v>kg</v>
      </c>
      <c r="E91">
        <f>'QTY-GTS'!N356</f>
        <v>678.9551999999999</v>
      </c>
      <c r="F91">
        <f>SUMIF(SNI!C$1:C$65536,'RAB - GTS'!B$1:B$65536,SNI!L$1:L$65536)</f>
        <v>0</v>
      </c>
      <c r="G91">
        <v>1.09</v>
      </c>
      <c r="H91">
        <f>E91*F91*G91</f>
        <v>0</v>
      </c>
      <c r="K91">
        <f>L91-E91</f>
        <v>0</v>
      </c>
      <c r="L91">
        <v>678.9551999999999</v>
      </c>
    </row>
    <row r="92">
      <c r="A92">
        <f>A91+1</f>
        <v>5</v>
      </c>
      <c r="B92" t="str">
        <v>Beton K - 250</v>
      </c>
      <c r="D92" t="str">
        <v>m3</v>
      </c>
      <c r="E92">
        <f>'QTY-GTS'!N349</f>
        <v>11.2</v>
      </c>
      <c r="F92">
        <f>SUMIF(SNI!C$1:C$65536,'RAB - GTS'!B$1:B$65536,SNI!L$1:L$65536)</f>
        <v>0</v>
      </c>
      <c r="G92">
        <v>1.09</v>
      </c>
      <c r="H92">
        <f>E92*F92*G92</f>
        <v>0</v>
      </c>
      <c r="I92">
        <f>SUM(H88:H92)</f>
        <v>0</v>
      </c>
      <c r="K92">
        <f>L92-E92</f>
        <v>0</v>
      </c>
      <c r="L92">
        <v>11.2</v>
      </c>
    </row>
    <row r="93">
      <c r="K93">
        <f>L93-E93</f>
        <v>0</v>
      </c>
    </row>
    <row r="94">
      <c r="B94" t="str">
        <v>Pekerjaan Ringbalk</v>
      </c>
      <c r="K94">
        <f>L94-E94</f>
        <v>0</v>
      </c>
    </row>
    <row r="95">
      <c r="A95">
        <v>1</v>
      </c>
      <c r="B95" t="str">
        <v>Beton K - 250</v>
      </c>
      <c r="D95" t="str">
        <v>m3</v>
      </c>
      <c r="E95">
        <f>'QTY-GTS'!N428</f>
        <v>11.8051875</v>
      </c>
      <c r="F95">
        <f>SUMIF(SNI!C$1:C$65536,'RAB - GTS'!B$1:B$65536,SNI!L$1:L$65536)</f>
        <v>0</v>
      </c>
      <c r="G95">
        <v>1.09</v>
      </c>
      <c r="H95">
        <f>E95*F95*G95</f>
        <v>0</v>
      </c>
      <c r="K95">
        <f>L95-E95</f>
        <v>0</v>
      </c>
      <c r="L95">
        <v>11.8051875</v>
      </c>
    </row>
    <row r="96">
      <c r="A96">
        <f>A95+1</f>
        <v>2</v>
      </c>
      <c r="B96" t="str">
        <v>Tulangan besi beton U-39</v>
      </c>
      <c r="C96" t="str">
        <v>Besi beton dia 16</v>
      </c>
      <c r="D96" t="str">
        <v>kg</v>
      </c>
      <c r="E96">
        <f>'QTY-GTS'!N440</f>
        <v>1101.1944</v>
      </c>
      <c r="F96">
        <f>SUMIF(SNI!C$1:C$65536,'RAB - GTS'!B$1:B$65536,SNI!L$1:L$65536)</f>
        <v>0</v>
      </c>
      <c r="G96">
        <v>1.09</v>
      </c>
      <c r="H96">
        <f>E96*F96*G96</f>
        <v>0</v>
      </c>
      <c r="K96">
        <f>L96-E96</f>
        <v>0</v>
      </c>
      <c r="L96">
        <v>1101.1944</v>
      </c>
    </row>
    <row r="97">
      <c r="A97">
        <f>A96+1</f>
        <v>3</v>
      </c>
      <c r="B97" t="str">
        <v>Tulangan besi beton U-39</v>
      </c>
      <c r="C97" t="str">
        <v>Besi beton dia 13</v>
      </c>
      <c r="D97" t="str">
        <v>kg</v>
      </c>
      <c r="E97">
        <f>'QTY-GTS'!N459</f>
        <v>257.5232</v>
      </c>
      <c r="F97">
        <f>SUMIF(SNI!C$1:C$65536,'RAB - GTS'!B$1:B$65536,SNI!L$1:L$65536)</f>
        <v>0</v>
      </c>
      <c r="G97">
        <v>1.09</v>
      </c>
      <c r="H97">
        <f>E97*F97*G97</f>
        <v>0</v>
      </c>
      <c r="K97">
        <f>L97-E97</f>
        <v>0</v>
      </c>
      <c r="L97">
        <v>257.5232</v>
      </c>
    </row>
    <row r="98">
      <c r="A98">
        <f>A97+1</f>
        <v>4</v>
      </c>
      <c r="B98" t="str">
        <v>Tulangan besi beton U-24</v>
      </c>
      <c r="C98" t="str">
        <v>Besi beton dia 10</v>
      </c>
      <c r="D98" t="str">
        <v>kg</v>
      </c>
      <c r="E98">
        <f>'QTY-GTS'!N480</f>
        <v>665.28</v>
      </c>
      <c r="F98">
        <f>SUMIF(SNI!C$1:C$65536,'RAB - GTS'!B$1:B$65536,SNI!L$1:L$65536)</f>
        <v>0</v>
      </c>
      <c r="G98">
        <v>1.09</v>
      </c>
      <c r="H98">
        <f>E98*F98*G98</f>
        <v>0</v>
      </c>
      <c r="K98">
        <f>L98-E98</f>
        <v>0</v>
      </c>
      <c r="L98">
        <v>665.28</v>
      </c>
    </row>
    <row r="99">
      <c r="A99">
        <f>A98+1</f>
        <v>5</v>
      </c>
      <c r="B99" t="str">
        <v>Bekisting Praktis beton</v>
      </c>
      <c r="D99" t="str">
        <v>m2</v>
      </c>
      <c r="E99">
        <f>'QTY-GTS'!N501</f>
        <v>148.3625</v>
      </c>
      <c r="F99">
        <f>SUMIF(SNI!C$1:C$65536,'RAB - GTS'!B$1:B$65536,SNI!L$1:L$65536)</f>
        <v>0</v>
      </c>
      <c r="G99">
        <v>1.09</v>
      </c>
      <c r="H99">
        <f>E99*F99*G99</f>
        <v>0</v>
      </c>
      <c r="I99">
        <f>SUM(H95:H99)</f>
        <v>0</v>
      </c>
      <c r="K99">
        <f>L99-E99</f>
        <v>0</v>
      </c>
      <c r="L99">
        <v>148.3625</v>
      </c>
    </row>
    <row r="100">
      <c r="K100">
        <f>L100-E100</f>
        <v>0</v>
      </c>
    </row>
    <row r="101">
      <c r="B101" t="str">
        <v>Pekerjaan Plat lantai</v>
      </c>
      <c r="K101">
        <f>L101-E101</f>
        <v>0</v>
      </c>
    </row>
    <row r="102">
      <c r="A102">
        <v>1</v>
      </c>
      <c r="B102" t="str">
        <v>Beton K - 250</v>
      </c>
      <c r="D102" t="str">
        <v>m3</v>
      </c>
      <c r="E102">
        <f>'QTY-GTS'!N369</f>
        <v>51.849</v>
      </c>
      <c r="F102">
        <f>SUMIF(SNI!C$1:C$65536,'RAB - GTS'!B$1:B$65536,SNI!L$1:L$65536)</f>
        <v>0</v>
      </c>
      <c r="G102">
        <v>1.09</v>
      </c>
      <c r="H102">
        <f>E102*F102*G102</f>
        <v>0</v>
      </c>
      <c r="K102">
        <f>L102-E102</f>
        <v>0</v>
      </c>
      <c r="L102">
        <v>51.849</v>
      </c>
    </row>
    <row r="103">
      <c r="A103">
        <f>A102+1</f>
        <v>2</v>
      </c>
      <c r="B103" t="str">
        <v>Tulangan besi beton U-24</v>
      </c>
      <c r="C103" t="str">
        <v>Besi beton dia 10</v>
      </c>
      <c r="D103" t="str">
        <v>kg</v>
      </c>
      <c r="E103">
        <f>'QTY-GTS'!N394</f>
        <v>4666.41</v>
      </c>
      <c r="F103">
        <f>SUMIF(SNI!C$1:C$65536,'RAB - GTS'!B$1:B$65536,SNI!L$1:L$65536)</f>
        <v>0</v>
      </c>
      <c r="G103">
        <v>1.09</v>
      </c>
      <c r="H103">
        <f>E103*F103*G103</f>
        <v>0</v>
      </c>
      <c r="K103">
        <f>L103-E103</f>
        <v>0</v>
      </c>
      <c r="L103">
        <v>4666.41</v>
      </c>
    </row>
    <row r="104">
      <c r="A104">
        <f>A103+1</f>
        <v>3</v>
      </c>
      <c r="B104" t="str">
        <v>Bekisting beton plat lantai</v>
      </c>
      <c r="D104" t="str">
        <v>m2</v>
      </c>
      <c r="E104">
        <f>'QTY-GTS'!N403</f>
        <v>343.9975</v>
      </c>
      <c r="F104">
        <f>SUMIF(SNI!C$1:C$65536,'RAB - GTS'!B$1:B$65536,SNI!L$1:L$65536)</f>
        <v>0</v>
      </c>
      <c r="G104">
        <v>1.09</v>
      </c>
      <c r="H104">
        <f>E104*F104*G104</f>
        <v>0</v>
      </c>
      <c r="I104">
        <f>SUM(H102:H104)</f>
        <v>0</v>
      </c>
      <c r="K104">
        <f>L104-E104</f>
        <v>0</v>
      </c>
      <c r="L104">
        <v>343.9975</v>
      </c>
    </row>
    <row r="105">
      <c r="K105">
        <f>L105-E105</f>
        <v>0</v>
      </c>
    </row>
    <row r="106">
      <c r="K106">
        <f>L106-E106</f>
        <v>0</v>
      </c>
    </row>
    <row r="107">
      <c r="H107" t="str">
        <v>Jumlah A.2 .... Rp</v>
      </c>
      <c r="I107">
        <f>SUM(H54:H104)</f>
        <v>0</v>
      </c>
      <c r="K107">
        <f>L107-E107</f>
        <v>0</v>
      </c>
    </row>
    <row r="108">
      <c r="A108" t="str">
        <v>B</v>
      </c>
      <c r="B108" t="str">
        <v xml:space="preserve">PEKERJAAN ARSITEKTUR </v>
      </c>
      <c r="K108">
        <f>L108-E108</f>
        <v>0</v>
      </c>
    </row>
    <row r="109">
      <c r="K109">
        <f>L109-E109</f>
        <v>0</v>
      </c>
    </row>
    <row r="110">
      <c r="A110" t="str">
        <v>B.1</v>
      </c>
      <c r="B110" t="str">
        <v>Pekerjaan Lantai</v>
      </c>
      <c r="K110">
        <f>L110-E110</f>
        <v>0</v>
      </c>
    </row>
    <row r="111">
      <c r="A111" t="str">
        <v>B.1.1</v>
      </c>
      <c r="B111" t="str">
        <v>Pekerjaan Lantai ,Lantai dasar</v>
      </c>
    </row>
    <row r="112">
      <c r="A112">
        <v>1</v>
      </c>
      <c r="B112" t="str">
        <v>Pas. Urugan pasir</v>
      </c>
      <c r="C112" t="str">
        <v>t. 10 cm; Penebalan lantai</v>
      </c>
      <c r="D112" t="str">
        <v>m3</v>
      </c>
      <c r="E112">
        <v>43.875</v>
      </c>
      <c r="F112">
        <f>SUMIF(SNI!C$1:C$65536,'RAB - GTS'!B$1:B$65536,SNI!L$1:L$65536)</f>
        <v>0</v>
      </c>
      <c r="G112">
        <v>1</v>
      </c>
      <c r="H112">
        <f>E112*F112*G112</f>
        <v>0</v>
      </c>
    </row>
    <row r="113">
      <c r="A113">
        <v>2</v>
      </c>
      <c r="B113" t="str">
        <v>Pas. Lantai kerja beton tumbuk 1:3:5</v>
      </c>
      <c r="C113" t="str">
        <v>t. 5 cm; Lantai bangunan</v>
      </c>
      <c r="D113" t="str">
        <v>m3</v>
      </c>
      <c r="E113">
        <v>21.9375</v>
      </c>
      <c r="F113">
        <f>SUMIF(SNI!C$1:C$65536,'RAB - GTS'!B$1:B$65536,SNI!L$1:L$65536)</f>
        <v>0</v>
      </c>
      <c r="G113">
        <v>1</v>
      </c>
      <c r="H113">
        <f>E113*F113*G113</f>
        <v>0</v>
      </c>
    </row>
    <row r="114">
      <c r="A114">
        <v>3</v>
      </c>
      <c r="B114" t="str">
        <v>Pas. Lantai Granit tile 400x400</v>
      </c>
      <c r="C114" t="str">
        <v>ex Granito; lantai Toilet</v>
      </c>
      <c r="D114" t="str">
        <v>m2</v>
      </c>
      <c r="E114">
        <f>'QTY-GTS'!N639</f>
        <v>17</v>
      </c>
      <c r="F114">
        <f>SUMIF(SNI!C$1:C$65536,'RAB - GTS'!B$1:B$65536,SNI!L$1:L$65536)</f>
        <v>0</v>
      </c>
      <c r="G114">
        <v>1</v>
      </c>
      <c r="H114">
        <f>E114*F114*G114</f>
        <v>0</v>
      </c>
    </row>
    <row r="115">
      <c r="A115">
        <v>4</v>
      </c>
      <c r="B115" t="str">
        <v>Pas. Lantai Granit tile 400x400</v>
      </c>
      <c r="C115" t="str">
        <v>ex Granito</v>
      </c>
      <c r="D115" t="str">
        <v>m2</v>
      </c>
      <c r="E115">
        <f>'QTY-GTS'!N646</f>
        <v>470.71</v>
      </c>
      <c r="F115">
        <f>SUMIF(SNI!C$1:C$65536,'RAB - GTS'!B$1:B$65536,SNI!L$1:L$65536)</f>
        <v>0</v>
      </c>
      <c r="G115">
        <v>1</v>
      </c>
      <c r="H115">
        <f>E115*F115*G115</f>
        <v>0</v>
      </c>
    </row>
    <row r="116">
      <c r="A116">
        <v>5</v>
      </c>
      <c r="B116" t="str">
        <v>Pas. Lantai Granit tile 400x400</v>
      </c>
      <c r="C116" t="str">
        <v>ex Granito; lantai tangga</v>
      </c>
      <c r="D116" t="str">
        <v>m2</v>
      </c>
      <c r="E116">
        <f>'QTY-GTS'!N704</f>
        <v>26.61</v>
      </c>
      <c r="F116">
        <f>SUMIF(SNI!C$1:C$65536,'RAB - GTS'!B$1:B$65536,SNI!L$1:L$65536)</f>
        <v>0</v>
      </c>
      <c r="G116">
        <v>1</v>
      </c>
      <c r="H116">
        <f>E116*F116*G116</f>
        <v>0</v>
      </c>
      <c r="I116">
        <f>SUM(H112:H116)</f>
        <v>0</v>
      </c>
    </row>
    <row r="117">
      <c r="A117" t="str">
        <v>B.1.2</v>
      </c>
      <c r="B117" t="str">
        <v>Pekerjaan Lantai, Lantai Atas</v>
      </c>
    </row>
    <row r="118">
      <c r="A118">
        <v>1</v>
      </c>
      <c r="B118" t="str">
        <v>Pas. Lantai Granit Tile 400x400</v>
      </c>
      <c r="C118" t="str">
        <v>ex Granito; lantai Toilet</v>
      </c>
      <c r="D118" t="str">
        <v>m2</v>
      </c>
      <c r="E118">
        <f>'QTY-GTS'!N853</f>
        <v>18.450000000000003</v>
      </c>
      <c r="F118">
        <f>SUMIF(SNI!C$1:C$65536,'RAB - GTS'!B$1:B$65536,SNI!L$1:L$65536)</f>
        <v>0</v>
      </c>
      <c r="G118">
        <v>1.09</v>
      </c>
      <c r="H118">
        <f>E118*F118*G118</f>
        <v>0</v>
      </c>
    </row>
    <row r="119">
      <c r="A119">
        <f>A118+1</f>
        <v>2</v>
      </c>
      <c r="B119" t="str">
        <v>Pas. Lantai Granit Tile 400x400</v>
      </c>
      <c r="C119" t="str">
        <v>ex Granito</v>
      </c>
      <c r="D119" t="str">
        <v>m2</v>
      </c>
      <c r="E119">
        <f>'QTY-GTS'!N864</f>
        <v>350.55</v>
      </c>
      <c r="F119">
        <f>SUMIF(SNI!C$1:C$65536,'RAB - GTS'!B$1:B$65536,SNI!L$1:L$65536)</f>
        <v>0</v>
      </c>
      <c r="G119">
        <v>1.09</v>
      </c>
      <c r="H119">
        <f>E119*F119*G119</f>
        <v>0</v>
      </c>
    </row>
    <row r="120">
      <c r="A120">
        <f>A119+1</f>
        <v>3</v>
      </c>
      <c r="B120" t="str">
        <v>Pas. Plint Granitetile 100x400</v>
      </c>
      <c r="C120" t="str">
        <v>ex Granito</v>
      </c>
      <c r="D120" t="str">
        <v>m2</v>
      </c>
      <c r="E120">
        <f>'QTY-GTS'!N895</f>
        <v>272.1</v>
      </c>
      <c r="F120">
        <f>SUMIF(SNI!C$1:C$65536,'RAB - GTS'!B$1:B$65536,SNI!L$1:L$65536)</f>
        <v>0</v>
      </c>
      <c r="G120">
        <v>1.09</v>
      </c>
      <c r="H120">
        <f>E120*F120*G120</f>
        <v>0</v>
      </c>
      <c r="I120">
        <f>SUM(H118:H120)</f>
        <v>0</v>
      </c>
    </row>
    <row r="121">
      <c r="H121" t="str">
        <v>Jumlah B.1 .... Rp</v>
      </c>
      <c r="I121">
        <f>SUM(H112:H120)</f>
        <v>0</v>
      </c>
      <c r="K121">
        <f>L121-E121</f>
        <v>0</v>
      </c>
    </row>
    <row r="122">
      <c r="A122" t="str">
        <v>B.2</v>
      </c>
      <c r="B122" t="str">
        <v>Pekerjaan Dinding</v>
      </c>
    </row>
    <row r="123">
      <c r="A123" t="str">
        <v>B2.1</v>
      </c>
      <c r="B123" t="str">
        <v>Pekerjaan Dinding Lantai Dasar</v>
      </c>
    </row>
    <row r="124">
      <c r="A124">
        <v>1</v>
      </c>
      <c r="B124" t="str">
        <v>Pas. Dinding bata beton ringan; ad 1:3</v>
      </c>
      <c r="C124" t="str">
        <v>Bata beton ringan ex Celcon</v>
      </c>
      <c r="D124" t="str">
        <v>m2</v>
      </c>
      <c r="E124">
        <f>'QTY-GTS'!N517</f>
        <v>34.95</v>
      </c>
      <c r="F124">
        <f>SUMIF(SNI!C$1:C$65536,'RAB - GTS'!B$1:B$65536,SNI!L$1:L$65536)</f>
        <v>0</v>
      </c>
      <c r="G124">
        <v>1</v>
      </c>
      <c r="H124">
        <f>E124*F124*G124</f>
        <v>0</v>
      </c>
    </row>
    <row r="125">
      <c r="A125">
        <f>A124+1</f>
        <v>2</v>
      </c>
      <c r="B125" t="str">
        <v>Pas. Dinding bata beton ringan; ad 1:4</v>
      </c>
      <c r="C125" t="str">
        <v>Bata beton ringan ex Celcon</v>
      </c>
      <c r="D125" t="str">
        <v>m2</v>
      </c>
      <c r="E125">
        <f>'QTY-GTS'!N562</f>
        <v>455.43699999999995</v>
      </c>
      <c r="F125">
        <f>SUMIF(SNI!C$1:C$65536,'RAB - GTS'!B$1:B$65536,SNI!L$1:L$65536)</f>
        <v>0</v>
      </c>
      <c r="G125">
        <v>1</v>
      </c>
      <c r="H125">
        <f>E125*F125*G125</f>
        <v>0</v>
      </c>
    </row>
    <row r="126">
      <c r="A126">
        <f>A125+1</f>
        <v>3</v>
      </c>
      <c r="B126" t="str">
        <v>Pas. Plester acian; ad. 1:4</v>
      </c>
      <c r="C126" t="str">
        <v>t. 15 mm; Penebalan dinding</v>
      </c>
      <c r="D126" t="str">
        <v>m2</v>
      </c>
      <c r="E126">
        <f>'QTY-GTS'!N577</f>
        <v>63.72</v>
      </c>
      <c r="F126">
        <f>SUMIF(SNI!C$1:C$65536,'RAB - GTS'!B$1:B$65536,SNI!L$1:L$65536)</f>
        <v>0</v>
      </c>
      <c r="G126">
        <v>1</v>
      </c>
      <c r="H126">
        <f>E126*F126*G126</f>
        <v>0</v>
      </c>
    </row>
    <row r="127">
      <c r="A127">
        <f>A126+1</f>
        <v>4</v>
      </c>
      <c r="B127" t="str">
        <v>Pas. Plester acian; ad. 1:4</v>
      </c>
      <c r="C127" t="str">
        <v>t. 15 mm; Interior</v>
      </c>
      <c r="D127" t="str">
        <v>m2</v>
      </c>
      <c r="E127">
        <f>'QTY-GTS'!N590</f>
        <v>870.3739999999999</v>
      </c>
      <c r="F127">
        <f>SUMIF(SNI!C$1:C$65536,'RAB - GTS'!B$1:B$65536,SNI!L$1:L$65536)</f>
        <v>0</v>
      </c>
      <c r="G127">
        <v>1</v>
      </c>
      <c r="H127">
        <f>E127*F127*G127</f>
        <v>0</v>
      </c>
    </row>
    <row r="128">
      <c r="A128">
        <f>A127+1</f>
        <v>5</v>
      </c>
      <c r="B128" t="str">
        <f>SNI!C332</f>
        <v>Pas. Dinding Keramik 300x300</v>
      </c>
      <c r="D128" t="str">
        <v>m</v>
      </c>
      <c r="E128">
        <f>'QTY-GTS'!N599</f>
        <v>16</v>
      </c>
      <c r="F128">
        <f>SUMIF(SNI!C$1:C$65536,'RAB - GTS'!B$1:B$65536,SNI!L$1:L$65536)</f>
        <v>0</v>
      </c>
      <c r="G128">
        <v>1</v>
      </c>
      <c r="H128">
        <f>E128*F128*G128</f>
        <v>0</v>
      </c>
    </row>
    <row r="129">
      <c r="A129">
        <f>A128+1</f>
        <v>6</v>
      </c>
      <c r="B129" t="str">
        <v>Pas. Dinding Granit Tile 400 x 400</v>
      </c>
      <c r="C129" t="str">
        <v>ex Granito</v>
      </c>
      <c r="D129" t="str">
        <v>m2</v>
      </c>
      <c r="E129">
        <f>'QTY-GTS'!N596</f>
        <v>50.10000000000001</v>
      </c>
      <c r="F129">
        <f>SUMIF(SNI!C$1:C$65536,'RAB - GTS'!B$1:B$65536,SNI!L$1:L$65536)</f>
        <v>0</v>
      </c>
      <c r="G129">
        <v>1</v>
      </c>
      <c r="H129">
        <f>E129*F129*G129</f>
        <v>0</v>
      </c>
    </row>
    <row r="130">
      <c r="A130">
        <f>A129+1</f>
        <v>7</v>
      </c>
      <c r="B130" t="str">
        <v>Pas. Dinding partisi gypsumboard Rangka Kayu</v>
      </c>
      <c r="D130" t="str">
        <v>m2</v>
      </c>
      <c r="E130">
        <f>'QTY-GTS'!N616</f>
        <v>66</v>
      </c>
      <c r="F130">
        <f>SUMIF(SNI!C$1:C$65536,'RAB - GTS'!B$1:B$65536,SNI!L$1:L$65536)</f>
        <v>0</v>
      </c>
      <c r="G130">
        <v>1</v>
      </c>
      <c r="H130">
        <f>E130*F130*G130</f>
        <v>0</v>
      </c>
    </row>
    <row r="131">
      <c r="A131" t="str">
        <v>B2.2</v>
      </c>
      <c r="B131" t="str">
        <v>Pekerjaan Dinding Lantai atas</v>
      </c>
    </row>
    <row r="132">
      <c r="A132">
        <v>1</v>
      </c>
      <c r="B132" t="str">
        <v>Pas. Dinding batu bata; ad 1:2</v>
      </c>
      <c r="C132" t="str">
        <v>Batu bata merah</v>
      </c>
      <c r="D132" t="str">
        <v>m2</v>
      </c>
      <c r="E132">
        <f>'QTY-GTS'!N740</f>
        <v>49.839999999999996</v>
      </c>
      <c r="F132">
        <f>SUMIF(SNI!C$1:C$65536,'RAB - GTS'!B$1:B$65536,SNI!L$1:L$65536)</f>
        <v>5227500</v>
      </c>
      <c r="G132">
        <v>1.09</v>
      </c>
      <c r="H132">
        <f>E132*F132*G132</f>
        <v>283987074</v>
      </c>
    </row>
    <row r="133">
      <c r="A133">
        <f>A132+1</f>
        <v>2</v>
      </c>
      <c r="B133" t="str">
        <v>Pas. Dinding batu bata; ad 1:4</v>
      </c>
      <c r="C133" t="str">
        <v>Batu bata merah</v>
      </c>
      <c r="D133" t="str">
        <v>m2</v>
      </c>
      <c r="E133">
        <f>'QTY-GTS'!N780</f>
        <v>666.124</v>
      </c>
      <c r="F133">
        <f>SUMIF(SNI!C$1:C$65536,'RAB - GTS'!B$1:B$65536,SNI!L$1:L$65536)</f>
        <v>5227500</v>
      </c>
      <c r="G133">
        <v>1.09</v>
      </c>
      <c r="H133">
        <f>E133*F133*G133</f>
        <v>3795557898.9</v>
      </c>
    </row>
    <row r="134">
      <c r="A134">
        <f>A133+1</f>
        <v>3</v>
      </c>
      <c r="B134" t="str">
        <v>Pas. Plester acian; ad. 1:4</v>
      </c>
      <c r="C134" t="str">
        <v>t. 15 mm; Penebalan dinding</v>
      </c>
      <c r="D134" t="str">
        <v>m2</v>
      </c>
      <c r="E134">
        <f>'QTY-GTS'!N792</f>
        <v>61.370000000000005</v>
      </c>
      <c r="F134">
        <f>SUMIF(SNI!C$1:C$65536,'RAB - GTS'!B$1:B$65536,SNI!L$1:L$65536)</f>
        <v>0</v>
      </c>
      <c r="G134">
        <v>1.09</v>
      </c>
      <c r="H134">
        <f>E134*F134*G134</f>
        <v>0</v>
      </c>
    </row>
    <row r="135">
      <c r="A135">
        <f>A134+1</f>
        <v>4</v>
      </c>
      <c r="B135" t="str">
        <v>Pas. Plester acian; ad. 1:4</v>
      </c>
      <c r="C135" t="str">
        <v>t. 15 mm; Interior</v>
      </c>
      <c r="D135" t="str">
        <v>m2</v>
      </c>
      <c r="E135">
        <f>'QTY-GTS'!N803</f>
        <v>1246.548</v>
      </c>
      <c r="F135">
        <f>SUMIF(SNI!C$1:C$65536,'RAB - GTS'!B$1:B$65536,SNI!L$1:L$65536)</f>
        <v>0</v>
      </c>
      <c r="G135">
        <v>1.09</v>
      </c>
      <c r="H135">
        <f>E135*F135*G135</f>
        <v>0</v>
      </c>
    </row>
    <row r="136">
      <c r="A136">
        <f>A135+1</f>
        <v>5</v>
      </c>
      <c r="B136" t="str">
        <f>SNI!C332</f>
        <v>Pas. Dinding Keramik 300x300</v>
      </c>
      <c r="D136" t="str">
        <v>m</v>
      </c>
      <c r="E136">
        <f>'QTY-GTS'!N815</f>
        <v>29</v>
      </c>
      <c r="F136">
        <f>SUMIF(SNI!C$1:C$65536,'RAB - GTS'!B$1:B$65536,SNI!L$1:L$65536)</f>
        <v>0</v>
      </c>
      <c r="G136">
        <v>1.09</v>
      </c>
      <c r="H136">
        <f>E136*F136*G136</f>
        <v>0</v>
      </c>
    </row>
    <row r="137">
      <c r="A137">
        <f>A136+1</f>
        <v>6</v>
      </c>
      <c r="B137" t="str">
        <v>Pas. Dinding Granit Tile 400 x 400</v>
      </c>
      <c r="C137" t="str">
        <v>ex Granito</v>
      </c>
      <c r="D137" t="str">
        <v>m2</v>
      </c>
      <c r="E137">
        <f>'QTY-GTS'!N810</f>
        <v>56.699999999999996</v>
      </c>
      <c r="F137">
        <f>SUMIF(SNI!C$1:C$65536,'RAB - GTS'!B$1:B$65536,SNI!L$1:L$65536)</f>
        <v>0</v>
      </c>
      <c r="G137">
        <v>1.09</v>
      </c>
      <c r="H137">
        <f>E137*F137*G137</f>
        <v>0</v>
      </c>
    </row>
    <row r="138">
      <c r="A138">
        <f>A137+1</f>
        <v>7</v>
      </c>
      <c r="B138" t="str">
        <v>Pas. Dinding partisi gypsumboard Rangka Metal Furing</v>
      </c>
      <c r="D138" t="str">
        <v>m2</v>
      </c>
      <c r="E138">
        <f>'QTY-GTS'!N784</f>
        <v>62.9</v>
      </c>
      <c r="F138">
        <f>SUMIF(SNI!C$1:C$65536,'RAB - GTS'!B$1:B$65536,SNI!L$1:L$65536)</f>
        <v>0</v>
      </c>
      <c r="G138">
        <v>1.09</v>
      </c>
      <c r="H138">
        <f>E138*F138*G138</f>
        <v>0</v>
      </c>
    </row>
    <row r="139">
      <c r="H139" t="str">
        <v>Jumlah B.2 .... Rp</v>
      </c>
      <c r="I139">
        <f>SUM(H124:H138)</f>
        <v>4079544972.9</v>
      </c>
      <c r="K139">
        <f>L139-E139</f>
        <v>0</v>
      </c>
    </row>
    <row r="140">
      <c r="A140" t="str">
        <v>B.3</v>
      </c>
      <c r="B140" t="str">
        <v>Pekerjaan Plafond</v>
      </c>
    </row>
    <row r="141">
      <c r="A141" t="str">
        <v>B.3.1</v>
      </c>
      <c r="B141" t="str">
        <v>Pekerjaan Plafond Lantai Dasar</v>
      </c>
    </row>
    <row r="142">
      <c r="A142">
        <v>1</v>
      </c>
      <c r="B142" t="str">
        <v>Pas. Rangka Plafond Metal furing</v>
      </c>
      <c r="C142" t="str">
        <v>Metal furing</v>
      </c>
      <c r="D142" t="str">
        <v>m2</v>
      </c>
      <c r="E142">
        <f>'QTY-GTS'!N699+'QTY-GTS'!L694</f>
        <v>342.9</v>
      </c>
      <c r="F142">
        <f>SUMIF(SNI!C$1:C$65536,'RAB - GTS'!B$1:B$65536,SNI!L$1:L$65536)</f>
        <v>0</v>
      </c>
      <c r="G142">
        <v>1</v>
      </c>
      <c r="H142">
        <f>E142*F142*G142</f>
        <v>0</v>
      </c>
    </row>
    <row r="143">
      <c r="A143">
        <v>2</v>
      </c>
      <c r="B143" t="str">
        <v>Pas. Penutup Plafond Gypsumboard t. 9 mm</v>
      </c>
      <c r="C143" t="str">
        <v>ex Jayaboard</v>
      </c>
      <c r="D143" t="str">
        <v>m2</v>
      </c>
      <c r="E143">
        <f>E142</f>
        <v>342.9</v>
      </c>
      <c r="F143">
        <f>SUMIF(SNI!C$1:C$65536,'RAB - GTS'!B$1:B$65536,SNI!L$1:L$65536)</f>
        <v>0</v>
      </c>
      <c r="G143">
        <v>1</v>
      </c>
      <c r="H143">
        <f>E143*F143*G143</f>
        <v>0</v>
      </c>
    </row>
    <row r="144">
      <c r="A144" t="str">
        <v>B.3.2</v>
      </c>
      <c r="B144" t="str">
        <v>Pekerjaan Plafond Lantai Atas</v>
      </c>
    </row>
    <row r="145">
      <c r="A145">
        <v>1</v>
      </c>
      <c r="B145" t="str">
        <v>Pas. Rangka Plafond Metal furing</v>
      </c>
      <c r="C145" t="str">
        <v>Metal furing</v>
      </c>
      <c r="D145" t="str">
        <v>m2</v>
      </c>
      <c r="E145">
        <f>'QTY-GTS'!N909+'QTY-GTS'!N918</f>
        <v>489</v>
      </c>
      <c r="F145">
        <f>SUMIF(SNI!C$1:C$65536,'RAB - GTS'!B$1:B$65536,SNI!L$1:L$65536)</f>
        <v>0</v>
      </c>
      <c r="G145">
        <v>1.09</v>
      </c>
      <c r="H145">
        <f>E145*F145*G145</f>
        <v>0</v>
      </c>
    </row>
    <row r="146">
      <c r="A146">
        <f>A145+1</f>
        <v>2</v>
      </c>
      <c r="B146" t="str">
        <v>Pas. Penutup Plafond Gypsumboard t. 9 mm</v>
      </c>
      <c r="C146" t="str">
        <v>ex Jayaboard</v>
      </c>
      <c r="D146" t="str">
        <v>m2</v>
      </c>
      <c r="E146">
        <f>E145</f>
        <v>489</v>
      </c>
      <c r="F146">
        <f>SUMIF(SNI!C$1:C$65536,'RAB - GTS'!B$1:B$65536,SNI!L$1:L$65536)</f>
        <v>0</v>
      </c>
      <c r="G146">
        <v>1.09</v>
      </c>
      <c r="H146">
        <f>E146*F146*G146</f>
        <v>0</v>
      </c>
    </row>
    <row r="147">
      <c r="H147" t="str">
        <v>Jumlah B.3 .... Rp</v>
      </c>
      <c r="I147">
        <f>SUM(H142:H146)</f>
        <v>0</v>
      </c>
      <c r="K147">
        <f>L147-E147</f>
        <v>0</v>
      </c>
    </row>
    <row r="148">
      <c r="A148" t="str">
        <v>B.4</v>
      </c>
      <c r="B148" t="str">
        <v>Pekerjaan Atap</v>
      </c>
    </row>
    <row r="149">
      <c r="A149">
        <v>1</v>
      </c>
      <c r="B149" t="str">
        <v>Rangka atap baja ringan</v>
      </c>
      <c r="C149" t="str">
        <v>ex Smartruss</v>
      </c>
      <c r="D149" t="str">
        <v>m2</v>
      </c>
      <c r="E149">
        <f>'QTY-GTS'!N927</f>
        <v>606.975</v>
      </c>
      <c r="F149">
        <f>SUMIF(SNI!C$1:C$65536,'RAB - GTS'!B$1:B$65536,SNI!L$1:L$65536)</f>
        <v>0</v>
      </c>
      <c r="G149">
        <v>1.09</v>
      </c>
      <c r="H149">
        <f>E149*F149*G149</f>
        <v>0</v>
      </c>
    </row>
    <row r="150">
      <c r="A150">
        <f>A149+1</f>
        <v>2</v>
      </c>
      <c r="B150" t="str">
        <v>Penutup atap Genteng Keramik Glazur</v>
      </c>
      <c r="C150" t="str">
        <v>ex Kanmuri</v>
      </c>
      <c r="D150" t="str">
        <v>m2</v>
      </c>
      <c r="E150">
        <f>'QTY-GTS'!N929</f>
        <v>606.975</v>
      </c>
      <c r="F150">
        <f>SUMIF(SNI!C$1:C$65536,'RAB - GTS'!B$1:B$65536,SNI!L$1:L$65536)</f>
        <v>0</v>
      </c>
      <c r="G150">
        <v>1.09</v>
      </c>
      <c r="H150">
        <f>E150*F150*G150</f>
        <v>0</v>
      </c>
    </row>
    <row r="151">
      <c r="A151">
        <f>A150+1</f>
        <v>3</v>
      </c>
      <c r="B151" t="str">
        <v>Bubungan Genteng Keramik Glazur</v>
      </c>
      <c r="C151" t="str">
        <v>ex Kanmuri</v>
      </c>
      <c r="D151" t="str">
        <v>m</v>
      </c>
      <c r="E151">
        <f>'QTY-GTS'!N942</f>
        <v>112</v>
      </c>
      <c r="F151">
        <f>SUMIF(SNI!C$1:C$65536,'RAB - GTS'!B$1:B$65536,SNI!L$1:L$65536)</f>
        <v>0</v>
      </c>
      <c r="G151">
        <v>1.09</v>
      </c>
      <c r="H151">
        <f>E151*F151*G151</f>
        <v>0</v>
      </c>
    </row>
    <row r="152">
      <c r="A152">
        <f>A151+1</f>
        <v>4</v>
      </c>
      <c r="B152" t="str">
        <v>Pas. Talang seng plat</v>
      </c>
      <c r="C152" t="str">
        <v>Seng bjls 35</v>
      </c>
      <c r="D152" t="str">
        <v>m</v>
      </c>
      <c r="E152">
        <f>'QTY-GTS'!N933</f>
        <v>46</v>
      </c>
      <c r="F152">
        <f>SUMIF(SNI!C$1:C$65536,'RAB - GTS'!B$1:B$65536,SNI!L$1:L$65536)</f>
        <v>0</v>
      </c>
      <c r="G152">
        <v>1.09</v>
      </c>
      <c r="H152">
        <f>E152*F152*G152</f>
        <v>0</v>
      </c>
    </row>
    <row r="153">
      <c r="A153">
        <f>A152+1</f>
        <v>5</v>
      </c>
      <c r="B153" t="str">
        <v>Pas. Lisplank Kayu 3/20 mm</v>
      </c>
      <c r="C153" t="str">
        <v>Kayu kamper medan</v>
      </c>
      <c r="D153" t="str">
        <v>m</v>
      </c>
      <c r="E153">
        <f>'QTY-GTS'!N951</f>
        <v>123.5</v>
      </c>
      <c r="F153">
        <f>SUMIF(SNI!C$1:C$65536,'RAB - GTS'!B$1:B$65536,SNI!L$1:L$65536)</f>
        <v>0</v>
      </c>
      <c r="G153">
        <v>1.09</v>
      </c>
      <c r="H153">
        <f>E153*F153*G153</f>
        <v>0</v>
      </c>
      <c r="I153">
        <f>SUM(H149:H153)</f>
        <v>0</v>
      </c>
    </row>
    <row r="154">
      <c r="H154" t="str">
        <v>Jumlah B.4 .... Rp</v>
      </c>
      <c r="I154">
        <f>SUM(H149:H153)</f>
        <v>0</v>
      </c>
      <c r="K154">
        <f>L154-E154</f>
        <v>0</v>
      </c>
    </row>
    <row r="155">
      <c r="A155" t="str">
        <v>B.5</v>
      </c>
      <c r="B155" t="str">
        <v>Pekerjaan Kusen</v>
      </c>
    </row>
    <row r="156">
      <c r="A156" t="str">
        <v>B.5.1</v>
      </c>
      <c r="B156" t="str">
        <v>Pekerjaan Kusen lantai dasar</v>
      </c>
    </row>
    <row r="157">
      <c r="A157">
        <v>1</v>
      </c>
      <c r="B157" t="str">
        <v>Kusen pintu P1 A</v>
      </c>
      <c r="C157" t="str">
        <v>Kusen, Pintu &amp; Jendela Alm. PC ; Kaca t.6 mm; Ironmongeries ex CISA</v>
      </c>
      <c r="D157" t="str">
        <v>unit</v>
      </c>
      <c r="E157">
        <f>'QTY-GTS'!N621</f>
        <v>9</v>
      </c>
      <c r="F157">
        <f>'ANL-KUSEN GTS'!L25</f>
        <v>0</v>
      </c>
      <c r="G157">
        <v>1</v>
      </c>
      <c r="H157">
        <f>E157*F157*G157</f>
        <v>0</v>
      </c>
    </row>
    <row r="158">
      <c r="A158">
        <f>A157+1</f>
        <v>2</v>
      </c>
      <c r="B158" t="str">
        <v>Kusen pintu P 1 B</v>
      </c>
      <c r="D158" t="str">
        <v>unit</v>
      </c>
      <c r="E158">
        <f>'QTY-GTS'!N622</f>
        <v>6</v>
      </c>
      <c r="F158">
        <f>'ANL-KUSEN GTS'!L30</f>
        <v>0</v>
      </c>
      <c r="G158">
        <v>1</v>
      </c>
      <c r="H158">
        <f>E158*F158*G158</f>
        <v>0</v>
      </c>
    </row>
    <row r="159">
      <c r="A159">
        <f>A158+1</f>
        <v>3</v>
      </c>
      <c r="B159" t="str">
        <v>Kusen pintu P 2 A</v>
      </c>
      <c r="D159" t="str">
        <v>unit</v>
      </c>
      <c r="E159">
        <f>'QTY-GTS'!N623</f>
        <v>2</v>
      </c>
      <c r="F159">
        <f>'ANL-KUSEN GTS'!L52</f>
        <v>0</v>
      </c>
      <c r="G159">
        <v>1</v>
      </c>
      <c r="H159">
        <f>E159*F159*G159</f>
        <v>0</v>
      </c>
    </row>
    <row r="160">
      <c r="A160">
        <f>A159+1</f>
        <v>4</v>
      </c>
      <c r="B160" t="str">
        <v>Kusen pintu P J 1</v>
      </c>
      <c r="D160" t="str">
        <v>unit</v>
      </c>
      <c r="E160">
        <f>'QTY-GTS'!N624</f>
        <v>1</v>
      </c>
      <c r="F160">
        <f>'ANL-KUSEN GTS'!L75</f>
        <v>0</v>
      </c>
      <c r="G160">
        <v>1</v>
      </c>
      <c r="H160">
        <f>E160*F160*G160</f>
        <v>0</v>
      </c>
    </row>
    <row r="161">
      <c r="A161">
        <f>A160+1</f>
        <v>5</v>
      </c>
      <c r="B161" t="str">
        <v>Kusen Pintu jendela J 1 A</v>
      </c>
      <c r="D161" t="str">
        <v>unit</v>
      </c>
      <c r="E161">
        <f>'QTY-GTS'!N625</f>
        <v>8</v>
      </c>
      <c r="F161">
        <f>'ANL-KUSEN GTS'!L88</f>
        <v>0</v>
      </c>
      <c r="G161">
        <v>1</v>
      </c>
      <c r="H161">
        <f>E161*F161*G161</f>
        <v>0</v>
      </c>
    </row>
    <row r="162">
      <c r="A162">
        <f>A161+1</f>
        <v>6</v>
      </c>
      <c r="B162" t="str">
        <v>Kusen Pintu jendela J 2 A</v>
      </c>
      <c r="D162" t="str">
        <v>unit</v>
      </c>
      <c r="E162">
        <f>'QTY-GTS'!N626</f>
        <v>10</v>
      </c>
      <c r="F162">
        <f>'ANL-KUSEN GTS'!L126</f>
        <v>0</v>
      </c>
      <c r="G162">
        <v>1</v>
      </c>
      <c r="H162">
        <f>E162*F162*G162</f>
        <v>0</v>
      </c>
    </row>
    <row r="163">
      <c r="A163">
        <f>A162+1</f>
        <v>7</v>
      </c>
      <c r="B163" t="str">
        <v>Kusen Pintu jendela J 3 A</v>
      </c>
      <c r="D163" t="str">
        <v>unit</v>
      </c>
      <c r="E163">
        <f>'QTY-GTS'!N627</f>
        <v>4</v>
      </c>
      <c r="F163">
        <f>'ANL-KUSEN GTS'!L151</f>
        <v>0</v>
      </c>
      <c r="G163">
        <v>1</v>
      </c>
      <c r="H163">
        <f>E163*F163*G163</f>
        <v>0</v>
      </c>
    </row>
    <row r="164">
      <c r="A164">
        <f>A163+1</f>
        <v>8</v>
      </c>
      <c r="B164" t="str">
        <v>Kusen Pintu jendela  J 4 A</v>
      </c>
      <c r="D164" t="str">
        <v>unit</v>
      </c>
      <c r="E164">
        <f>'QTY-GTS'!N628</f>
        <v>2</v>
      </c>
      <c r="F164">
        <f>'ANL-KUSEN GTS'!L171</f>
        <v>0</v>
      </c>
      <c r="G164">
        <v>1</v>
      </c>
      <c r="H164">
        <f>E164*F164*G164</f>
        <v>0</v>
      </c>
    </row>
    <row r="165">
      <c r="A165">
        <f>A164+1</f>
        <v>9</v>
      </c>
      <c r="B165" t="str">
        <v>Kusen Pintu jendela  J 5 A</v>
      </c>
      <c r="D165" t="str">
        <v>unit</v>
      </c>
      <c r="E165">
        <f>'QTY-GTS'!N629</f>
        <v>1</v>
      </c>
      <c r="F165">
        <f>'ANL-KUSEN GTS'!L184</f>
        <v>0</v>
      </c>
      <c r="G165">
        <v>1</v>
      </c>
      <c r="H165">
        <f>E165*F165*G165</f>
        <v>0</v>
      </c>
      <c r="I165">
        <f>SUM(H157:H165)</f>
        <v>0</v>
      </c>
    </row>
    <row r="166">
      <c r="A166" t="str">
        <v>B.5.2</v>
      </c>
      <c r="B166" t="str">
        <v>Pekerjaan Kusen lantai atas</v>
      </c>
    </row>
    <row r="167">
      <c r="A167">
        <v>1</v>
      </c>
      <c r="B167" t="str">
        <v>Kusen pintu P 1 A</v>
      </c>
      <c r="C167" t="str">
        <v>Kusen, Pintu &amp; Jendela Alm. PC ; Kaca t.6 mm; Ironmongeries ex CISA</v>
      </c>
      <c r="D167" t="str">
        <v>unit</v>
      </c>
      <c r="E167">
        <f>'QTY-GTS'!L836</f>
        <v>9</v>
      </c>
      <c r="F167">
        <f>'ANL-KUSEN GTS'!L25</f>
        <v>0</v>
      </c>
      <c r="G167">
        <v>1.09</v>
      </c>
      <c r="H167">
        <f>E167*F167*G167</f>
        <v>0</v>
      </c>
    </row>
    <row r="168">
      <c r="A168">
        <f>A167+1</f>
        <v>2</v>
      </c>
      <c r="B168" t="str">
        <v>Kusen pintu P 1 B</v>
      </c>
      <c r="D168" t="str">
        <v>unit</v>
      </c>
      <c r="E168">
        <f>'QTY-GTS'!L837</f>
        <v>4</v>
      </c>
      <c r="F168">
        <f>'ANL-KUSEN GTS'!L30</f>
        <v>0</v>
      </c>
      <c r="G168">
        <v>1.09</v>
      </c>
      <c r="H168">
        <f>E168*F168*G168</f>
        <v>0</v>
      </c>
    </row>
    <row r="169">
      <c r="A169">
        <f>A168+1</f>
        <v>3</v>
      </c>
      <c r="B169" t="str">
        <v>Kusen pintu  P 2 A</v>
      </c>
      <c r="D169" t="str">
        <v>unit</v>
      </c>
      <c r="E169">
        <f>'QTY-GTS'!L838</f>
        <v>1</v>
      </c>
      <c r="F169">
        <f>'ANL-KUSEN GTS'!L52</f>
        <v>0</v>
      </c>
      <c r="G169">
        <v>1.09</v>
      </c>
      <c r="H169">
        <f>E169*F169*G169</f>
        <v>0</v>
      </c>
    </row>
    <row r="170">
      <c r="A170">
        <f>A169+1</f>
        <v>4</v>
      </c>
      <c r="B170" t="str">
        <v>Kusen Pintu jendela J 1 A</v>
      </c>
      <c r="D170" t="str">
        <v>unit</v>
      </c>
      <c r="E170">
        <f>'QTY-GTS'!L839</f>
        <v>6</v>
      </c>
      <c r="F170">
        <f>'ANL-KUSEN GTS'!L88</f>
        <v>0</v>
      </c>
      <c r="G170">
        <v>1.09</v>
      </c>
      <c r="H170">
        <f>E170*F170*G170</f>
        <v>0</v>
      </c>
    </row>
    <row r="171">
      <c r="A171">
        <f>A170+1</f>
        <v>5</v>
      </c>
      <c r="B171" t="str">
        <v>Kusen Pintu jendela J 1 C</v>
      </c>
      <c r="D171" t="str">
        <v>unit</v>
      </c>
      <c r="E171">
        <f>'QTY-GTS'!L840</f>
        <v>2</v>
      </c>
      <c r="F171">
        <f>'ANL-KUSEN GTS'!L126</f>
        <v>0</v>
      </c>
      <c r="G171">
        <v>1.09</v>
      </c>
      <c r="H171">
        <f>E171*F171*G171</f>
        <v>0</v>
      </c>
    </row>
    <row r="172">
      <c r="A172">
        <f>A171+1</f>
        <v>6</v>
      </c>
      <c r="B172" t="str">
        <v>Kusen Pintu jendela J 2 B</v>
      </c>
      <c r="D172" t="str">
        <v>unit</v>
      </c>
      <c r="E172">
        <f>'QTY-GTS'!L841</f>
        <v>12</v>
      </c>
      <c r="F172">
        <f>'ANL-KUSEN GTS'!L151</f>
        <v>0</v>
      </c>
      <c r="G172">
        <v>1.09</v>
      </c>
      <c r="H172">
        <f>E172*F172*G172</f>
        <v>0</v>
      </c>
    </row>
    <row r="173">
      <c r="A173">
        <f>A172+1</f>
        <v>7</v>
      </c>
      <c r="B173" t="str">
        <v>Kusen Pintu jendela J 3 A</v>
      </c>
      <c r="D173" t="str">
        <v>unit</v>
      </c>
      <c r="E173">
        <f>'QTY-GTS'!L842</f>
        <v>2</v>
      </c>
      <c r="F173">
        <f>'ANL-KUSEN GTS'!L171</f>
        <v>0</v>
      </c>
      <c r="G173">
        <v>1.09</v>
      </c>
      <c r="H173">
        <f>E173*F173*G173</f>
        <v>0</v>
      </c>
    </row>
    <row r="174">
      <c r="A174">
        <f>A173+1</f>
        <v>8</v>
      </c>
      <c r="B174" t="str">
        <v>Kusen Pintu jendela J 3 B</v>
      </c>
      <c r="D174" t="str">
        <v>unit</v>
      </c>
      <c r="E174">
        <f>'QTY-GTS'!L843</f>
        <v>2</v>
      </c>
      <c r="F174">
        <f>'ANL-KUSEN GTS'!L164</f>
        <v>0</v>
      </c>
      <c r="G174">
        <v>1.09</v>
      </c>
      <c r="H174">
        <f>E174*F174*G174</f>
        <v>0</v>
      </c>
    </row>
    <row r="175">
      <c r="A175">
        <f>A174+1</f>
        <v>9</v>
      </c>
      <c r="B175" t="str">
        <v>Kusen Pintu jendela J 5 A</v>
      </c>
      <c r="D175" t="str">
        <v>unit</v>
      </c>
      <c r="E175">
        <f>'QTY-GTS'!L844</f>
        <v>2</v>
      </c>
      <c r="F175">
        <f>'ANL-KUSEN GTS'!L184</f>
        <v>0</v>
      </c>
      <c r="G175">
        <v>1.09</v>
      </c>
      <c r="H175">
        <f>E175*F175*G175</f>
        <v>0</v>
      </c>
      <c r="I175">
        <f>SUM(H167:H175)</f>
        <v>0</v>
      </c>
    </row>
    <row r="176">
      <c r="H176" t="str">
        <v>Jumlah B.5 .... Rp</v>
      </c>
      <c r="I176">
        <f>SUM(H157:H175)</f>
        <v>0</v>
      </c>
      <c r="K176">
        <f>L176-E176</f>
        <v>0</v>
      </c>
    </row>
    <row r="177">
      <c r="A177" t="str">
        <v>C.</v>
      </c>
      <c r="B177" t="str">
        <v>PEKERJAAN UTILITAS</v>
      </c>
    </row>
    <row r="178">
      <c r="A178" t="str">
        <v>C.1</v>
      </c>
      <c r="B178" t="str">
        <v>Pekerjaan Plumbing</v>
      </c>
    </row>
    <row r="179">
      <c r="A179" t="str">
        <v>C.1.2</v>
      </c>
      <c r="B179" t="str">
        <v>Pekerjaan Sanitary, Lantai dasar</v>
      </c>
    </row>
    <row r="180">
      <c r="A180">
        <v>1</v>
      </c>
      <c r="B180" t="str">
        <v>Pas. Kloset Duduk Keramik</v>
      </c>
      <c r="C180" t="str">
        <v>TOTO CW 660 J / SW 660 J</v>
      </c>
      <c r="D180" t="str">
        <v>unit</v>
      </c>
      <c r="E180">
        <f>'QTY-GTS'!N715</f>
        <v>4</v>
      </c>
      <c r="F180">
        <f>SUMIF(SNI!C$1:C$65536,'RAB - GTS'!B$1:B$65536,SNI!L$1:L$65536)</f>
        <v>0</v>
      </c>
      <c r="G180">
        <v>1</v>
      </c>
      <c r="H180">
        <f>E180*F180*G180</f>
        <v>0</v>
      </c>
    </row>
    <row r="181">
      <c r="A181">
        <f>A180+1</f>
        <v>2</v>
      </c>
      <c r="B181" t="str">
        <v>Pas. Urinoir Keramik</v>
      </c>
      <c r="C181" t="str">
        <v>TOTO U 57 M</v>
      </c>
      <c r="D181" t="str">
        <v>umit</v>
      </c>
      <c r="E181">
        <f>'QTY-GTS'!N716</f>
        <v>2</v>
      </c>
      <c r="F181">
        <f>SUMIF(SNI!C$1:C$65536,'RAB - GTS'!B$1:B$65536,SNI!L$1:L$65536)</f>
        <v>0</v>
      </c>
      <c r="G181">
        <v>1</v>
      </c>
      <c r="H181">
        <f>E181*F181*G181</f>
        <v>0</v>
      </c>
    </row>
    <row r="182">
      <c r="A182">
        <f>A181+1</f>
        <v>3</v>
      </c>
      <c r="B182" t="str">
        <v>Pas. Floor Drain</v>
      </c>
      <c r="C182" t="str">
        <v>TOTO TX 1 BN</v>
      </c>
      <c r="D182" t="str">
        <v>bh</v>
      </c>
      <c r="E182">
        <f>'QTY-GTS'!N718</f>
        <v>7</v>
      </c>
      <c r="F182">
        <f>SUMIF(SNI!C$1:C$65536,'RAB - GTS'!B$1:B$65536,SNI!L$1:L$65536)</f>
        <v>0</v>
      </c>
      <c r="G182">
        <v>1</v>
      </c>
      <c r="H182">
        <f>E182*F182*G182</f>
        <v>0</v>
      </c>
    </row>
    <row r="183">
      <c r="A183">
        <f>A182+1</f>
        <v>4</v>
      </c>
      <c r="B183" t="str">
        <v>Pas. Kran dinding</v>
      </c>
      <c r="C183" t="str">
        <v>TOTO T 23 B 13</v>
      </c>
      <c r="D183" t="str">
        <v>bh</v>
      </c>
      <c r="E183">
        <f>'QTY-GTS'!N719</f>
        <v>4</v>
      </c>
      <c r="F183">
        <f>SUMIF(SNI!C$1:C$65536,'RAB - GTS'!B$1:B$65536,SNI!L$1:L$65536)</f>
        <v>0</v>
      </c>
      <c r="G183">
        <v>1</v>
      </c>
      <c r="H183">
        <f>E183*F183*G183</f>
        <v>0</v>
      </c>
    </row>
    <row r="184">
      <c r="A184">
        <f>A183+1</f>
        <v>5</v>
      </c>
      <c r="B184" t="str">
        <f>SNI!C1045</f>
        <v>Pas. Meja Pantry uk. 600x 1500 mm</v>
      </c>
      <c r="C184" t="str">
        <v>Beton bertulang + keramik 200x200</v>
      </c>
      <c r="D184" t="str">
        <v>unit</v>
      </c>
      <c r="E184">
        <f>'QTY-GTS'!N720</f>
        <v>1</v>
      </c>
      <c r="F184">
        <f>SUMIF(SNI!C$1:C$65536,'RAB - GTS'!B$1:B$65536,SNI!L$1:L$65536)</f>
        <v>0</v>
      </c>
      <c r="G184">
        <v>1</v>
      </c>
      <c r="H184">
        <f>E184*F184*G184</f>
        <v>0</v>
      </c>
      <c r="I184">
        <f>SUM(H180:H184)</f>
        <v>0</v>
      </c>
    </row>
    <row r="185">
      <c r="A185" t="str">
        <v>C.1.2</v>
      </c>
      <c r="B185" t="str">
        <v>Pekerjaan Sanitary, Lantai atas</v>
      </c>
    </row>
    <row r="186">
      <c r="A186">
        <v>1</v>
      </c>
      <c r="B186" t="str">
        <v>Pas. Kloset Duduk Keramik</v>
      </c>
      <c r="C186" t="str">
        <v>TOTO CW 660 J / SW 660 J</v>
      </c>
      <c r="D186" t="str">
        <v>unit</v>
      </c>
      <c r="E186">
        <f>'QTY-GTS'!N954</f>
        <v>2</v>
      </c>
      <c r="F186">
        <f>SUMIF(SNI!C$1:C$65536,'RAB - GTS'!B$1:B$65536,SNI!L$1:L$65536)</f>
        <v>0</v>
      </c>
      <c r="G186">
        <v>1.09</v>
      </c>
      <c r="H186">
        <f>E186*F186*G186</f>
        <v>0</v>
      </c>
    </row>
    <row r="187">
      <c r="A187">
        <f>A186+1</f>
        <v>2</v>
      </c>
      <c r="B187" t="str">
        <v>Pas. Kloset Jongkok Keramik</v>
      </c>
      <c r="C187" t="str">
        <v>TOTO CE 7</v>
      </c>
      <c r="D187" t="str">
        <v>bh</v>
      </c>
      <c r="E187">
        <f>'QTY-GTS'!N955</f>
        <v>2</v>
      </c>
      <c r="F187">
        <f>SUMIF(SNI!C$1:C$65536,'RAB - GTS'!B$1:B$65536,SNI!L$1:L$65536)</f>
        <v>0</v>
      </c>
      <c r="G187">
        <v>1.09</v>
      </c>
      <c r="H187">
        <f>E187*F187*G187</f>
        <v>0</v>
      </c>
    </row>
    <row r="188">
      <c r="A188">
        <f>A187+1</f>
        <v>3</v>
      </c>
      <c r="B188" t="str">
        <v>Pas. Floor Drain</v>
      </c>
      <c r="C188" t="str">
        <v>TOTO TX 1 BN</v>
      </c>
      <c r="D188" t="str">
        <v>bh</v>
      </c>
      <c r="E188">
        <f>'QTY-GTS'!N957</f>
        <v>6</v>
      </c>
      <c r="F188">
        <f>SUMIF(SNI!C$1:C$65536,'RAB - GTS'!B$1:B$65536,SNI!L$1:L$65536)</f>
        <v>0</v>
      </c>
      <c r="G188">
        <v>1.09</v>
      </c>
      <c r="H188">
        <f>E188*F188*G188</f>
        <v>0</v>
      </c>
    </row>
    <row r="189">
      <c r="A189">
        <f>A188+1</f>
        <v>4</v>
      </c>
      <c r="B189" t="str">
        <v>Pas. Kran dinding</v>
      </c>
      <c r="C189" t="str">
        <v>TOTO T 23 B 13</v>
      </c>
      <c r="D189" t="str">
        <v>bh</v>
      </c>
      <c r="E189">
        <f>'QTY-GTS'!N958</f>
        <v>10</v>
      </c>
      <c r="F189">
        <f>SUMIF(SNI!C$1:C$65536,'RAB - GTS'!B$1:B$65536,SNI!L$1:L$65536)</f>
        <v>0</v>
      </c>
      <c r="G189">
        <v>1.09</v>
      </c>
      <c r="H189">
        <f>E189*F189*G189</f>
        <v>0</v>
      </c>
      <c r="I189">
        <f>SUM(H186:H189)</f>
        <v>0</v>
      </c>
    </row>
    <row r="190">
      <c r="A190" t="str">
        <v>C.1.3</v>
      </c>
      <c r="B190" t="str">
        <v>SUMUR DALAM</v>
      </c>
      <c r="K190">
        <f>L190-E190</f>
        <v>0</v>
      </c>
    </row>
    <row r="191">
      <c r="A191">
        <v>1</v>
      </c>
      <c r="B191" t="str">
        <v>Pengeboran sumur</v>
      </c>
      <c r="D191" t="str">
        <v>m'</v>
      </c>
      <c r="E191">
        <v>36</v>
      </c>
      <c r="F191">
        <f>IF(F192=0,0,75000)</f>
        <v>0</v>
      </c>
      <c r="G191">
        <v>1</v>
      </c>
      <c r="H191">
        <f>E191*F191*G191</f>
        <v>0</v>
      </c>
      <c r="K191">
        <f>L191-E191</f>
        <v>0</v>
      </c>
      <c r="L191">
        <v>36</v>
      </c>
    </row>
    <row r="192">
      <c r="A192">
        <f>A191+1</f>
        <v>2</v>
      </c>
      <c r="B192" t="str">
        <v xml:space="preserve">Pipa PVC dia. 3" </v>
      </c>
      <c r="C192" t="str">
        <v>Casing; ex Wavin</v>
      </c>
      <c r="D192" t="str">
        <v>m'</v>
      </c>
      <c r="E192">
        <v>28</v>
      </c>
      <c r="F192">
        <f>SUMIF(SNI!C$1:C$65536,'RAB - GTS'!B$1:B$65536,SNI!L$1:L$65536)</f>
        <v>0</v>
      </c>
      <c r="G192">
        <v>1</v>
      </c>
      <c r="H192">
        <f>E192*F192*G192</f>
        <v>0</v>
      </c>
      <c r="K192">
        <f>L192-E192</f>
        <v>0</v>
      </c>
      <c r="L192">
        <v>28</v>
      </c>
    </row>
    <row r="193">
      <c r="A193">
        <f>A192+1</f>
        <v>3</v>
      </c>
      <c r="B193" t="str">
        <v xml:space="preserve">Pipa PVC dia. 2" </v>
      </c>
      <c r="C193" t="str">
        <v>Casing; ex Wavin</v>
      </c>
      <c r="D193" t="str">
        <v>m'</v>
      </c>
      <c r="E193">
        <v>8</v>
      </c>
      <c r="F193">
        <f>SUMIF(SNI!C$1:C$65536,'RAB - GTS'!B$1:B$65536,SNI!L$1:L$65536)</f>
        <v>0</v>
      </c>
      <c r="G193">
        <v>1</v>
      </c>
      <c r="H193">
        <f>E193*F193*G193</f>
        <v>0</v>
      </c>
      <c r="K193">
        <f>L193-E193</f>
        <v>0</v>
      </c>
      <c r="L193">
        <v>8</v>
      </c>
    </row>
    <row r="194">
      <c r="A194">
        <f>A193+1</f>
        <v>4</v>
      </c>
      <c r="B194" t="str">
        <v xml:space="preserve">Pipa PVC dia. 3/4" </v>
      </c>
      <c r="C194" t="str">
        <v>ex Wavin</v>
      </c>
      <c r="D194" t="str">
        <v>m'</v>
      </c>
      <c r="E194">
        <f>(28*2)+8</f>
        <v>64</v>
      </c>
      <c r="F194">
        <f>SUMIF(SNI!C$1:C$65536,'RAB - GTS'!B$1:B$65536,SNI!L$1:L$65536)</f>
        <v>0</v>
      </c>
      <c r="G194">
        <v>1</v>
      </c>
      <c r="H194">
        <f>E194*F194*G194</f>
        <v>0</v>
      </c>
      <c r="K194">
        <f>L194-E194</f>
        <v>0</v>
      </c>
      <c r="L194">
        <v>64</v>
      </c>
    </row>
    <row r="195">
      <c r="A195">
        <f>A194+1</f>
        <v>5</v>
      </c>
      <c r="B195" t="str">
        <v>Klep diameter 3/4"</v>
      </c>
      <c r="D195" t="str">
        <v>bh</v>
      </c>
      <c r="E195">
        <v>1</v>
      </c>
      <c r="F195">
        <f>SUMIF(SNI!C$1:C$65536,'RAB - GTS'!B$1:B$65536,SNI!L$1:L$65536)</f>
        <v>0</v>
      </c>
      <c r="G195">
        <v>1</v>
      </c>
      <c r="H195">
        <f>E195*F195*G195</f>
        <v>0</v>
      </c>
      <c r="K195">
        <f>L195-E195</f>
        <v>0</v>
      </c>
      <c r="L195">
        <v>1</v>
      </c>
    </row>
    <row r="196">
      <c r="A196">
        <f>A195+1</f>
        <v>6</v>
      </c>
      <c r="B196" t="str">
        <v>Stop kran dia. 1"</v>
      </c>
      <c r="D196" t="str">
        <v>bh</v>
      </c>
      <c r="E196">
        <v>1</v>
      </c>
      <c r="F196">
        <f>SUMIF(SNI!C$1:C$65536,'RAB - GTS'!B$1:B$65536,SNI!L$1:L$65536)</f>
        <v>0</v>
      </c>
      <c r="G196">
        <v>1</v>
      </c>
      <c r="H196">
        <f>E196*F196*G196</f>
        <v>0</v>
      </c>
      <c r="K196">
        <f>L196-E196</f>
        <v>0</v>
      </c>
      <c r="L196">
        <v>1</v>
      </c>
    </row>
    <row r="197">
      <c r="A197">
        <f>A196+1</f>
        <v>7</v>
      </c>
      <c r="B197" t="str">
        <v>Mesin Jet Pump kap.250 watt</v>
      </c>
      <c r="C197" t="str">
        <v>Groundfos</v>
      </c>
      <c r="D197" t="str">
        <v>m'</v>
      </c>
      <c r="E197">
        <v>1</v>
      </c>
      <c r="F197">
        <f>SUMIF(SNI!C$1:C$65536,'RAB - GTS'!B$1:B$65536,SNI!L$1:L$65536)</f>
        <v>0</v>
      </c>
      <c r="G197">
        <v>1</v>
      </c>
      <c r="H197">
        <f>E197*F197*G197</f>
        <v>0</v>
      </c>
      <c r="I197">
        <f>SUM(H191:H197)</f>
        <v>0</v>
      </c>
      <c r="K197">
        <f>L197-E197</f>
        <v>0</v>
      </c>
      <c r="L197">
        <v>1</v>
      </c>
    </row>
    <row r="198">
      <c r="A198" t="str">
        <v>C.1.4</v>
      </c>
      <c r="B198" t="str">
        <v>TANKI AIR</v>
      </c>
      <c r="K198">
        <f>L198-E198</f>
        <v>0</v>
      </c>
    </row>
    <row r="199">
      <c r="A199">
        <v>1</v>
      </c>
      <c r="B199" t="str">
        <v xml:space="preserve">Pipa PVC dia. 1" </v>
      </c>
      <c r="C199" t="str">
        <v>Sparing pam; ex Wavin</v>
      </c>
      <c r="D199" t="str">
        <v>m'</v>
      </c>
      <c r="E199">
        <v>12</v>
      </c>
      <c r="F199">
        <f>SUMIF(SNI!C$1:C$65536,'RAB - GTS'!B$1:B$65536,SNI!L$1:L$65536)</f>
        <v>0</v>
      </c>
      <c r="G199">
        <v>1</v>
      </c>
      <c r="H199">
        <f>E199*F199*G199</f>
        <v>0</v>
      </c>
      <c r="K199">
        <f>L199-E199</f>
        <v>0</v>
      </c>
      <c r="L199">
        <v>12</v>
      </c>
    </row>
    <row r="200">
      <c r="A200">
        <f>A199+1</f>
        <v>2</v>
      </c>
      <c r="B200" t="str">
        <v xml:space="preserve">Pipa PVC dia. 1" </v>
      </c>
      <c r="C200" t="str">
        <v>Inst. d/ pompa ke tanki air; ex Wavin</v>
      </c>
      <c r="D200" t="str">
        <v>m'</v>
      </c>
      <c r="E200">
        <v>8</v>
      </c>
      <c r="F200">
        <f>SUMIF(SNI!C$1:C$65536,'RAB - GTS'!B$1:B$65536,SNI!L$1:L$65536)</f>
        <v>0</v>
      </c>
      <c r="G200">
        <v>1</v>
      </c>
      <c r="H200">
        <f>E200*F200*G200</f>
        <v>0</v>
      </c>
      <c r="K200">
        <f>L200-E200</f>
        <v>0</v>
      </c>
      <c r="L200">
        <v>8</v>
      </c>
    </row>
    <row r="201">
      <c r="A201">
        <f>A200+1</f>
        <v>3</v>
      </c>
      <c r="B201" t="str">
        <v xml:space="preserve">Pipa PVC dia. 3/4" </v>
      </c>
      <c r="C201" t="str">
        <v>ex Wavin</v>
      </c>
      <c r="D201" t="str">
        <v>m'</v>
      </c>
      <c r="E201">
        <v>4</v>
      </c>
      <c r="F201">
        <f>SUMIF(SNI!C$1:C$65536,'RAB - GTS'!B$1:B$65536,SNI!L$1:L$65536)</f>
        <v>0</v>
      </c>
      <c r="G201">
        <v>1</v>
      </c>
      <c r="H201">
        <f>E201*F201*G201</f>
        <v>0</v>
      </c>
      <c r="K201">
        <f>L201-E201</f>
        <v>0</v>
      </c>
      <c r="L201">
        <v>4</v>
      </c>
    </row>
    <row r="202">
      <c r="A202">
        <f>A201+1</f>
        <v>4</v>
      </c>
      <c r="B202" t="str">
        <v>Tangki air 1000 liter</v>
      </c>
      <c r="C202" t="str">
        <v>Exel</v>
      </c>
      <c r="D202" t="str">
        <v>bh</v>
      </c>
      <c r="E202">
        <v>1</v>
      </c>
      <c r="F202">
        <f>SUMIF(SNI!C$1:C$65536,'RAB - GTS'!B$1:B$65536,SNI!L$1:L$65536)</f>
        <v>0</v>
      </c>
      <c r="G202">
        <v>1</v>
      </c>
      <c r="H202">
        <f>E202*F202*G202</f>
        <v>0</v>
      </c>
      <c r="K202">
        <f>L202-E202</f>
        <v>0</v>
      </c>
      <c r="L202">
        <v>1</v>
      </c>
    </row>
    <row r="203">
      <c r="A203">
        <f>A202+1</f>
        <v>5</v>
      </c>
      <c r="B203" t="str">
        <v>Dudukan tangki air</v>
      </c>
      <c r="C203" t="str">
        <v>Besi siku</v>
      </c>
      <c r="D203" t="str">
        <v>bh</v>
      </c>
      <c r="E203">
        <v>1</v>
      </c>
      <c r="F203">
        <f>SUMIF(SNI!C$1:C$65536,'RAB - GTS'!B$1:B$65536,SNI!L$1:L$65536)</f>
        <v>0</v>
      </c>
      <c r="G203">
        <v>1</v>
      </c>
      <c r="H203">
        <f>E203*F203*G203</f>
        <v>0</v>
      </c>
      <c r="K203">
        <f>L203-E203</f>
        <v>0</v>
      </c>
      <c r="L203">
        <v>1</v>
      </c>
    </row>
    <row r="204">
      <c r="A204">
        <f>A203+1</f>
        <v>6</v>
      </c>
      <c r="B204" t="str">
        <v>Stop kran dia. 1"</v>
      </c>
      <c r="C204" t="str">
        <v>ex Onda</v>
      </c>
      <c r="D204" t="str">
        <v>bh</v>
      </c>
      <c r="E204">
        <v>2</v>
      </c>
      <c r="F204">
        <f>SUMIF(SNI!C$1:C$65536,'RAB - GTS'!B$1:B$65536,SNI!L$1:L$65536)</f>
        <v>0</v>
      </c>
      <c r="G204">
        <v>1</v>
      </c>
      <c r="H204">
        <f>E204*F204*G204</f>
        <v>0</v>
      </c>
      <c r="K204">
        <f>L204-E204</f>
        <v>0</v>
      </c>
      <c r="L204">
        <v>2</v>
      </c>
    </row>
    <row r="205">
      <c r="A205">
        <f>A204+1</f>
        <v>7</v>
      </c>
      <c r="B205" t="str">
        <v>Stop kran dia. 1"</v>
      </c>
      <c r="C205" t="str">
        <v>ex Onda</v>
      </c>
      <c r="D205" t="str">
        <v>bh</v>
      </c>
      <c r="E205">
        <v>1</v>
      </c>
      <c r="F205">
        <f>SUMIF(SNI!C$1:C$65536,'RAB - GTS'!B$1:B$65536,SNI!L$1:L$65536)</f>
        <v>0</v>
      </c>
      <c r="G205">
        <v>1</v>
      </c>
      <c r="H205">
        <f>E205*F205*G205</f>
        <v>0</v>
      </c>
      <c r="K205">
        <f>L205-E205</f>
        <v>0</v>
      </c>
      <c r="L205">
        <v>1</v>
      </c>
    </row>
    <row r="206">
      <c r="A206">
        <f>A205+1</f>
        <v>8</v>
      </c>
      <c r="B206" t="str">
        <v>Stop kran dia. 1"</v>
      </c>
      <c r="C206" t="str">
        <v>ex Onda</v>
      </c>
      <c r="D206" t="str">
        <v>bh</v>
      </c>
      <c r="E206">
        <v>1</v>
      </c>
      <c r="F206">
        <f>SUMIF(SNI!C$1:C$65536,'RAB - GTS'!B$1:B$65536,SNI!L$1:L$65536)</f>
        <v>0</v>
      </c>
      <c r="G206">
        <v>1</v>
      </c>
      <c r="H206">
        <f>E206*F206*G206</f>
        <v>0</v>
      </c>
      <c r="I206">
        <f>SUM(H199:H206)</f>
        <v>0</v>
      </c>
      <c r="K206">
        <f>L206-E206</f>
        <v>0</v>
      </c>
      <c r="L206">
        <v>1</v>
      </c>
    </row>
    <row r="207">
      <c r="A207" t="str">
        <v>C.1.5</v>
      </c>
      <c r="B207" t="str">
        <v>BAK PENAMPUNGAN AIR (RESERVOIR)</v>
      </c>
      <c r="K207">
        <f>L207-E207</f>
        <v>0</v>
      </c>
    </row>
    <row r="208">
      <c r="A208">
        <v>1</v>
      </c>
      <c r="B208" t="str">
        <v>Galian tanah, dalam  s/d 1 m</v>
      </c>
      <c r="D208" t="str">
        <v>m3</v>
      </c>
      <c r="E208">
        <v>5.63</v>
      </c>
      <c r="F208">
        <f>SUMIF(SNI!C$1:C$65536,'RAB - GTS'!B$1:B$65536,SNI!L$1:L$65536)</f>
        <v>0</v>
      </c>
      <c r="G208">
        <v>1</v>
      </c>
      <c r="H208">
        <f>E208*F208*G208</f>
        <v>0</v>
      </c>
      <c r="K208">
        <f>L208-E208</f>
        <v>0</v>
      </c>
      <c r="L208">
        <v>5.63</v>
      </c>
    </row>
    <row r="209">
      <c r="A209">
        <f>A208+1</f>
        <v>2</v>
      </c>
      <c r="B209" t="str">
        <v>Pas. Urugan pasir</v>
      </c>
      <c r="C209" t="str">
        <v>t. 10 cm</v>
      </c>
      <c r="D209" t="str">
        <v>m3</v>
      </c>
      <c r="E209">
        <v>0.12</v>
      </c>
      <c r="F209">
        <f>SUMIF(SNI!C$1:C$65536,'RAB - GTS'!B$1:B$65536,SNI!L$1:L$65536)</f>
        <v>0</v>
      </c>
      <c r="G209">
        <v>1</v>
      </c>
      <c r="H209">
        <f>E209*F209*G209</f>
        <v>0</v>
      </c>
      <c r="K209">
        <f>L209-E209</f>
        <v>0</v>
      </c>
      <c r="L209">
        <v>0.12</v>
      </c>
    </row>
    <row r="210">
      <c r="A210">
        <f>A209+1</f>
        <v>3</v>
      </c>
      <c r="B210" t="str">
        <v>Pas. Lantai kerja beton tumbuk 1:3:5</v>
      </c>
      <c r="C210" t="str">
        <v>t. 5 cm</v>
      </c>
      <c r="D210" t="str">
        <v>m2</v>
      </c>
      <c r="E210">
        <v>3.75</v>
      </c>
      <c r="F210">
        <f>SUMIF(SNI!C$1:C$65536,'RAB - GTS'!B$1:B$65536,SNI!L$1:L$65536)</f>
        <v>0</v>
      </c>
      <c r="G210">
        <v>1</v>
      </c>
      <c r="H210">
        <f>E210*F210*G210</f>
        <v>0</v>
      </c>
      <c r="K210">
        <f>L210-E210</f>
        <v>0</v>
      </c>
      <c r="L210">
        <v>3.75</v>
      </c>
    </row>
    <row r="211">
      <c r="A211">
        <f>A210+1</f>
        <v>4</v>
      </c>
      <c r="B211" t="str">
        <v>Bekisting beton plat lantai</v>
      </c>
      <c r="D211" t="str">
        <v>m2</v>
      </c>
      <c r="E211">
        <f>(E213/0.1)</f>
        <v>21</v>
      </c>
      <c r="F211">
        <f>SUMIF(SNI!C$1:C$65536,'RAB - GTS'!B$1:B$65536,SNI!L$1:L$65536)</f>
        <v>0</v>
      </c>
      <c r="G211">
        <v>1</v>
      </c>
      <c r="H211">
        <f>E211*F211*G211</f>
        <v>0</v>
      </c>
      <c r="K211">
        <f>L211-E211</f>
        <v>0</v>
      </c>
      <c r="L211">
        <v>21</v>
      </c>
    </row>
    <row r="212">
      <c r="A212">
        <f>A211+1</f>
        <v>5</v>
      </c>
      <c r="B212" t="str">
        <v>Tulangan besi beton U-24</v>
      </c>
      <c r="D212" t="str">
        <v>kg</v>
      </c>
      <c r="E212">
        <f>E213*150</f>
        <v>315</v>
      </c>
      <c r="F212">
        <f>SUMIF(SNI!C$1:C$65536,'RAB - GTS'!B$1:B$65536,SNI!L$1:L$65536)</f>
        <v>0</v>
      </c>
      <c r="G212">
        <v>1</v>
      </c>
      <c r="H212">
        <f>E212*F212*G212</f>
        <v>0</v>
      </c>
      <c r="K212">
        <f>L212-E212</f>
        <v>0</v>
      </c>
      <c r="L212">
        <v>315</v>
      </c>
    </row>
    <row r="213">
      <c r="A213">
        <f>A212+1</f>
        <v>6</v>
      </c>
      <c r="B213" t="str">
        <v>Beton K - 200</v>
      </c>
      <c r="D213" t="str">
        <v>m3</v>
      </c>
      <c r="E213">
        <v>2.1</v>
      </c>
      <c r="F213">
        <f>SUMIF(SNI!C$1:C$65536,'RAB - GTS'!B$1:B$65536,SNI!L$1:L$65536)</f>
        <v>0</v>
      </c>
      <c r="G213">
        <v>1</v>
      </c>
      <c r="H213">
        <f>E213*F213*G213</f>
        <v>0</v>
      </c>
      <c r="I213">
        <f>SUM(H208:H213)</f>
        <v>0</v>
      </c>
      <c r="K213">
        <f>L213-E213</f>
        <v>0</v>
      </c>
      <c r="L213">
        <v>2.1</v>
      </c>
    </row>
    <row r="214">
      <c r="A214" t="str">
        <v>C.1.6</v>
      </c>
      <c r="B214" t="str">
        <v>Instalasi Air Bersih, Lantai dasar</v>
      </c>
      <c r="K214">
        <f>L214-E214</f>
        <v>0</v>
      </c>
    </row>
    <row r="215">
      <c r="A215">
        <v>1</v>
      </c>
      <c r="B215" t="str">
        <v xml:space="preserve">Pipa PVC dia. 2" </v>
      </c>
      <c r="C215" t="str">
        <v>ex Wavin</v>
      </c>
      <c r="D215" t="str">
        <v>m</v>
      </c>
      <c r="E215">
        <f>'QTY-GTS'!L973</f>
        <v>45</v>
      </c>
      <c r="F215">
        <f>SUMIF(SNI!C$1:C$65536,'RAB - GTS'!B$1:B$65536,SNI!L$1:L$65536)</f>
        <v>0</v>
      </c>
      <c r="G215">
        <v>1</v>
      </c>
      <c r="H215">
        <f>E215*F215*G215</f>
        <v>0</v>
      </c>
      <c r="K215">
        <f>L215-E215</f>
        <v>0</v>
      </c>
      <c r="L215">
        <v>45</v>
      </c>
    </row>
    <row r="216">
      <c r="A216">
        <f>A215+1</f>
        <v>2</v>
      </c>
      <c r="B216" t="str">
        <v xml:space="preserve">Pipa PVC dia. 1" </v>
      </c>
      <c r="C216" t="str">
        <v>ex Wavin</v>
      </c>
      <c r="D216" t="str">
        <v>m</v>
      </c>
      <c r="E216">
        <f>'QTY-GTS'!L974</f>
        <v>37</v>
      </c>
      <c r="F216">
        <f>SUMIF(SNI!C$1:C$65536,'RAB - GTS'!B$1:B$65536,SNI!L$1:L$65536)</f>
        <v>0</v>
      </c>
      <c r="G216">
        <v>1</v>
      </c>
      <c r="H216">
        <f>E216*F216*G216</f>
        <v>0</v>
      </c>
      <c r="K216">
        <f>L216-E216</f>
        <v>0</v>
      </c>
      <c r="L216">
        <v>37</v>
      </c>
    </row>
    <row r="217">
      <c r="A217">
        <f>A216+1</f>
        <v>3</v>
      </c>
      <c r="B217" t="str">
        <v xml:space="preserve">Pipa PVC dia. 3/4" </v>
      </c>
      <c r="C217" t="str">
        <v>ex Wavin</v>
      </c>
      <c r="D217" t="str">
        <v>m</v>
      </c>
      <c r="E217">
        <f>'QTY-GTS'!L975</f>
        <v>10</v>
      </c>
      <c r="F217">
        <f>SUMIF(SNI!C$1:C$65536,'RAB - GTS'!B$1:B$65536,SNI!L$1:L$65536)</f>
        <v>0</v>
      </c>
      <c r="G217">
        <v>1</v>
      </c>
      <c r="H217">
        <f>E217*F217*G217</f>
        <v>0</v>
      </c>
      <c r="I217">
        <f>SUM(H215:H217)</f>
        <v>0</v>
      </c>
      <c r="K217">
        <f>L217-E217</f>
        <v>0</v>
      </c>
      <c r="L217">
        <v>10</v>
      </c>
    </row>
    <row r="218">
      <c r="K218">
        <f>L218-E218</f>
        <v>0</v>
      </c>
    </row>
    <row r="219">
      <c r="A219" t="str">
        <v>C.1.7</v>
      </c>
      <c r="B219" t="str">
        <v>Instalasi Air Kotor &amp; air bekas, Lantai dasar</v>
      </c>
      <c r="K219">
        <f>L219-E219</f>
        <v>0</v>
      </c>
    </row>
    <row r="220">
      <c r="A220">
        <v>1</v>
      </c>
      <c r="B220" t="str">
        <v xml:space="preserve">Pipa PVC dia. 3" </v>
      </c>
      <c r="C220" t="str">
        <v>Air kotor; ex Wavin</v>
      </c>
      <c r="D220" t="str">
        <v>m</v>
      </c>
      <c r="E220">
        <f>'QTY-GTS'!L980</f>
        <v>6</v>
      </c>
      <c r="F220">
        <f>SUMIF(SNI!C$1:C$65536,'RAB - GTS'!B$1:B$65536,SNI!L$1:L$65536)</f>
        <v>0</v>
      </c>
      <c r="G220">
        <v>1</v>
      </c>
      <c r="H220">
        <f>E220*F220*G220</f>
        <v>0</v>
      </c>
      <c r="K220">
        <f>L220-E220</f>
        <v>0</v>
      </c>
      <c r="L220">
        <v>6</v>
      </c>
    </row>
    <row r="221">
      <c r="A221">
        <f>A220+1</f>
        <v>2</v>
      </c>
      <c r="B221" t="str">
        <v xml:space="preserve">Pipa PVC dia. 4" </v>
      </c>
      <c r="C221" t="str">
        <v>Air kotor; ex Wavin</v>
      </c>
      <c r="D221" t="str">
        <v>m</v>
      </c>
      <c r="E221">
        <f>'QTY-GTS'!N981</f>
        <v>12</v>
      </c>
      <c r="F221">
        <f>SUMIF(SNI!C$1:C$65536,'RAB - GTS'!B$1:B$65536,SNI!L$1:L$65536)</f>
        <v>0</v>
      </c>
      <c r="G221">
        <v>1</v>
      </c>
      <c r="H221">
        <f>E221*F221*G221</f>
        <v>0</v>
      </c>
      <c r="K221">
        <f>L221-E221</f>
        <v>0</v>
      </c>
      <c r="L221">
        <v>12</v>
      </c>
    </row>
    <row r="222">
      <c r="A222">
        <f>A221+1</f>
        <v>3</v>
      </c>
      <c r="B222" t="str">
        <v xml:space="preserve">Pipa PVC dia. 3" </v>
      </c>
      <c r="C222" t="str">
        <v>Air hujan; ex Wavin</v>
      </c>
      <c r="D222" t="str">
        <v>m</v>
      </c>
      <c r="E222">
        <f>'QTY-GTS'!N984</f>
        <v>48</v>
      </c>
      <c r="F222">
        <f>SUMIF(SNI!C$1:C$65536,'RAB - GTS'!B$1:B$65536,SNI!L$1:L$65536)</f>
        <v>0</v>
      </c>
      <c r="G222">
        <v>1</v>
      </c>
      <c r="H222">
        <f>E222*F222*G222</f>
        <v>0</v>
      </c>
      <c r="K222">
        <f>L222-E222</f>
        <v>0</v>
      </c>
      <c r="L222">
        <v>48</v>
      </c>
    </row>
    <row r="223">
      <c r="A223">
        <f>A222+1</f>
        <v>4</v>
      </c>
      <c r="B223" t="str">
        <v xml:space="preserve">Pipa PVC dia. 4" </v>
      </c>
      <c r="C223" t="str">
        <v>Air hujan; ex Wavin</v>
      </c>
      <c r="D223" t="str">
        <v>m</v>
      </c>
      <c r="E223">
        <f>'QTY-GTS'!N985</f>
        <v>75</v>
      </c>
      <c r="F223">
        <f>SUMIF(SNI!C$1:C$65536,'RAB - GTS'!B$1:B$65536,SNI!L$1:L$65536)</f>
        <v>0</v>
      </c>
      <c r="G223">
        <v>1</v>
      </c>
      <c r="H223">
        <f>E223*F223*G223</f>
        <v>0</v>
      </c>
      <c r="I223">
        <f>SUM(H220:H223)</f>
        <v>0</v>
      </c>
      <c r="K223">
        <f>L223-E223</f>
        <v>0</v>
      </c>
      <c r="L223">
        <v>75</v>
      </c>
    </row>
    <row r="224">
      <c r="K224">
        <f>L224-E224</f>
        <v>0</v>
      </c>
    </row>
    <row r="225">
      <c r="A225" t="str">
        <v>C.1.8</v>
      </c>
      <c r="B225" t="str">
        <v>Instalasi Air Bersih, lantai atas</v>
      </c>
      <c r="K225">
        <f>L225-E225</f>
        <v>0</v>
      </c>
    </row>
    <row r="226">
      <c r="A226">
        <v>1</v>
      </c>
      <c r="B226" t="str">
        <v xml:space="preserve">Pipa PVC dia. 1" </v>
      </c>
      <c r="C226" t="str">
        <v>ex Wavin</v>
      </c>
      <c r="D226" t="str">
        <v>m</v>
      </c>
      <c r="E226">
        <f>'QTY-GTS'!L1002</f>
        <v>45</v>
      </c>
      <c r="F226">
        <f>SUMIF(SNI!C$1:C$65536,'RAB - GTS'!B$1:B$65536,SNI!L$1:L$65536)</f>
        <v>0</v>
      </c>
      <c r="G226">
        <v>1.09</v>
      </c>
      <c r="H226">
        <f>E226*F226*G226</f>
        <v>0</v>
      </c>
      <c r="K226">
        <f>L226-E226</f>
        <v>0</v>
      </c>
      <c r="L226">
        <v>45</v>
      </c>
    </row>
    <row r="227">
      <c r="A227">
        <f>A226+1</f>
        <v>2</v>
      </c>
      <c r="B227" t="str">
        <v xml:space="preserve">Pipa PVC dia. 3/4" </v>
      </c>
      <c r="C227" t="str">
        <v>ex Wavin</v>
      </c>
      <c r="D227" t="str">
        <v>m</v>
      </c>
      <c r="E227">
        <f>'QTY-GTS'!L1003</f>
        <v>28</v>
      </c>
      <c r="F227">
        <f>SUMIF(SNI!C$1:C$65536,'RAB - GTS'!B$1:B$65536,SNI!L$1:L$65536)</f>
        <v>0</v>
      </c>
      <c r="G227">
        <v>1.09</v>
      </c>
      <c r="H227">
        <f>E227*F227*G227</f>
        <v>0</v>
      </c>
      <c r="I227">
        <f>SUM(H226:H227)</f>
        <v>0</v>
      </c>
      <c r="K227">
        <f>L227-E227</f>
        <v>0</v>
      </c>
      <c r="L227">
        <v>28</v>
      </c>
    </row>
    <row r="228">
      <c r="K228">
        <f>L228-E228</f>
        <v>0</v>
      </c>
    </row>
    <row r="229">
      <c r="A229" t="str">
        <v>C.1.9</v>
      </c>
      <c r="B229" t="str">
        <v>Instalasi Air Kotor &amp; air bekas, lantai atas</v>
      </c>
      <c r="K229">
        <f>L229-E229</f>
        <v>0</v>
      </c>
    </row>
    <row r="230">
      <c r="A230">
        <v>1</v>
      </c>
      <c r="B230" t="str">
        <v xml:space="preserve">Pipa PVC dia. 3" </v>
      </c>
      <c r="C230" t="str">
        <v>Air kotor; ex Wavin</v>
      </c>
      <c r="D230" t="str">
        <v>m</v>
      </c>
      <c r="E230">
        <f>'QTY-GTS'!L1006</f>
        <v>3</v>
      </c>
      <c r="F230">
        <f>SUMIF(SNI!C$1:C$65536,'RAB - GTS'!B$1:B$65536,SNI!L$1:L$65536)</f>
        <v>0</v>
      </c>
      <c r="G230">
        <v>1.09</v>
      </c>
      <c r="H230">
        <f>E230*F230*G230</f>
        <v>0</v>
      </c>
      <c r="K230">
        <f>L230-E230</f>
        <v>0</v>
      </c>
      <c r="L230">
        <v>3</v>
      </c>
    </row>
    <row r="231">
      <c r="A231">
        <f>A230+1</f>
        <v>2</v>
      </c>
      <c r="B231" t="str">
        <v xml:space="preserve">Pipa PVC dia. 4" </v>
      </c>
      <c r="C231" t="str">
        <v>Air kotor; ex Wavin</v>
      </c>
      <c r="D231" t="str">
        <v>m</v>
      </c>
      <c r="E231">
        <f>'QTY-GTS'!L1007</f>
        <v>45</v>
      </c>
      <c r="F231">
        <f>SUMIF(SNI!C$1:C$65536,'RAB - GTS'!B$1:B$65536,SNI!L$1:L$65536)</f>
        <v>0</v>
      </c>
      <c r="G231">
        <v>1.09</v>
      </c>
      <c r="H231">
        <f>E231*F231*G231</f>
        <v>0</v>
      </c>
      <c r="K231">
        <f>L231-E231</f>
        <v>0</v>
      </c>
      <c r="L231">
        <v>45</v>
      </c>
    </row>
    <row r="232">
      <c r="A232">
        <f>A231+1</f>
        <v>3</v>
      </c>
      <c r="B232" t="str">
        <v xml:space="preserve">Pipa PVC dia. 3" </v>
      </c>
      <c r="C232" t="str">
        <v>Air hujan; ex Wavin</v>
      </c>
      <c r="D232" t="str">
        <v>m</v>
      </c>
      <c r="E232">
        <f>'QTY-GTS'!L1010</f>
        <v>28</v>
      </c>
      <c r="F232">
        <f>SUMIF(SNI!C$1:C$65536,'RAB - GTS'!B$1:B$65536,SNI!L$1:L$65536)</f>
        <v>0</v>
      </c>
      <c r="G232">
        <v>1.09</v>
      </c>
      <c r="H232">
        <f>E232*F232*G232</f>
        <v>0</v>
      </c>
      <c r="I232">
        <f>SUM(H230:H232)</f>
        <v>0</v>
      </c>
      <c r="K232">
        <f>L232-E232</f>
        <v>0</v>
      </c>
      <c r="L232">
        <v>28</v>
      </c>
    </row>
    <row r="233">
      <c r="K233">
        <f>L233-E233</f>
        <v>0</v>
      </c>
    </row>
    <row r="234">
      <c r="A234" t="str">
        <v>C.1.10</v>
      </c>
      <c r="B234" t="str">
        <v>Pekerjaan Septictank</v>
      </c>
    </row>
    <row r="235">
      <c r="A235">
        <v>1</v>
      </c>
      <c r="B235" t="str">
        <v>Septictank Pas. Bata + Rembesan kap. 6,00 m3</v>
      </c>
      <c r="D235" t="str">
        <v>unit</v>
      </c>
      <c r="E235">
        <f>'QTY-GTS'!N988</f>
        <v>2</v>
      </c>
      <c r="F235">
        <f>SUMIF(SNI!C$1:C$65536,'RAB - GTS'!B$1:B$65536,SNI!L$1:L$65536)</f>
        <v>97754300</v>
      </c>
      <c r="G235">
        <v>1</v>
      </c>
      <c r="H235">
        <f>E235*F235*G235</f>
        <v>195508600</v>
      </c>
      <c r="I235">
        <f>H235</f>
        <v>195508600</v>
      </c>
    </row>
    <row r="236">
      <c r="K236">
        <f>L236-E236</f>
        <v>0</v>
      </c>
    </row>
    <row r="237">
      <c r="H237" t="str">
        <v>Jumlah C.1 .... Rp</v>
      </c>
      <c r="I237">
        <f>SUM(H180:H236)</f>
        <v>195508600</v>
      </c>
      <c r="K237">
        <f>L237-E237</f>
        <v>0</v>
      </c>
    </row>
    <row r="238">
      <c r="A238" t="str">
        <v>C.2</v>
      </c>
      <c r="B238" t="str">
        <v>Pekerjaan Elektrikal</v>
      </c>
      <c r="K238">
        <f>L238-E238</f>
        <v>0</v>
      </c>
    </row>
    <row r="239">
      <c r="A239" t="str">
        <v>C.2.1</v>
      </c>
      <c r="B239" t="str">
        <v>Pekerjaan Elektrikal, lantai dasar</v>
      </c>
      <c r="K239">
        <f>L239-E239</f>
        <v>0</v>
      </c>
    </row>
    <row r="240">
      <c r="A240">
        <v>1</v>
      </c>
      <c r="B240" t="str">
        <v>Pas. Box Panel</v>
      </c>
      <c r="D240" t="str">
        <v>unit</v>
      </c>
      <c r="E240">
        <f>'QTY-GTS'!N970</f>
        <v>1</v>
      </c>
      <c r="F240">
        <f>SUMIF(SNI!C$1:C$65536,'RAB - GTS'!B$1:B$65536,SNI!L$1:L$65536)</f>
        <v>0</v>
      </c>
      <c r="G240">
        <v>1</v>
      </c>
      <c r="H240">
        <f>E240*F240*G240</f>
        <v>0</v>
      </c>
      <c r="K240">
        <f>L240-E240</f>
        <v>0</v>
      </c>
      <c r="L240">
        <v>1</v>
      </c>
    </row>
    <row r="241">
      <c r="A241">
        <f>A240+1</f>
        <v>2</v>
      </c>
      <c r="B241" t="str">
        <v>Pas. Instalasi lampu</v>
      </c>
      <c r="C241" t="str">
        <v>ex Broco</v>
      </c>
      <c r="D241" t="str">
        <v>ttk</v>
      </c>
      <c r="E241">
        <f>'QTY-GTS'!N965</f>
        <v>43</v>
      </c>
      <c r="F241">
        <f>SUMIF(SNI!C$1:C$65536,'RAB - GTS'!B$1:B$65536,SNI!L$1:L$65536)</f>
        <v>0</v>
      </c>
      <c r="G241">
        <v>1</v>
      </c>
      <c r="H241">
        <f>E241*F241*G241</f>
        <v>0</v>
      </c>
      <c r="K241">
        <f>L241-E241</f>
        <v>0</v>
      </c>
      <c r="L241">
        <v>43</v>
      </c>
    </row>
    <row r="242">
      <c r="A242">
        <f>A241+1</f>
        <v>3</v>
      </c>
      <c r="B242" t="str">
        <v>Pas. Instalasi stop kontak</v>
      </c>
      <c r="C242" t="str">
        <v>ex Broco</v>
      </c>
      <c r="D242" t="str">
        <v>ttk</v>
      </c>
      <c r="E242">
        <f>'QTY-GTS'!N966</f>
        <v>14</v>
      </c>
      <c r="F242">
        <f>SUMIF(SNI!C$1:C$65536,'RAB - GTS'!B$1:B$65536,SNI!L$1:L$65536)</f>
        <v>0</v>
      </c>
      <c r="G242">
        <v>1</v>
      </c>
      <c r="H242">
        <f>E242*F242*G242</f>
        <v>0</v>
      </c>
      <c r="K242">
        <f>L242-E242</f>
        <v>0</v>
      </c>
      <c r="L242">
        <v>14</v>
      </c>
    </row>
    <row r="243">
      <c r="A243">
        <f>A242+1</f>
        <v>4</v>
      </c>
      <c r="B243" t="str">
        <v>Pas. Saklar engkel</v>
      </c>
      <c r="C243" t="str">
        <v>ex Broco</v>
      </c>
      <c r="D243" t="str">
        <v>ttk</v>
      </c>
      <c r="E243">
        <f>'QTY-GTS'!N965</f>
        <v>43</v>
      </c>
      <c r="F243">
        <f>SUMIF(SNI!C$1:C$65536,'RAB - GTS'!B$1:B$65536,SNI!L$1:L$65536)</f>
        <v>0</v>
      </c>
      <c r="G243">
        <v>1</v>
      </c>
      <c r="H243">
        <f>E243*F243*G243</f>
        <v>0</v>
      </c>
      <c r="K243">
        <f>L243-E243</f>
        <v>0</v>
      </c>
      <c r="L243">
        <v>43</v>
      </c>
    </row>
    <row r="244">
      <c r="A244">
        <f>A243+1</f>
        <v>5</v>
      </c>
      <c r="B244" t="str">
        <v>Pas. Stop kontak</v>
      </c>
      <c r="C244" t="str">
        <v>ex Broco</v>
      </c>
      <c r="D244" t="str">
        <v>ttk</v>
      </c>
      <c r="E244">
        <f>'QTY-GTS'!N967</f>
        <v>14</v>
      </c>
      <c r="F244">
        <f>SUMIF(SNI!C$1:C$65536,'RAB - GTS'!B$1:B$65536,SNI!L$1:L$65536)</f>
        <v>0</v>
      </c>
      <c r="G244">
        <v>1</v>
      </c>
      <c r="H244">
        <f>E244*F244*G244</f>
        <v>0</v>
      </c>
      <c r="K244">
        <f>L244-E244</f>
        <v>0</v>
      </c>
      <c r="L244">
        <v>14</v>
      </c>
    </row>
    <row r="245">
      <c r="A245">
        <f>A244+1</f>
        <v>6</v>
      </c>
      <c r="B245" t="str">
        <v>Pas. Lampu TL 2 x 36 watt grille</v>
      </c>
      <c r="C245" t="str">
        <v>ex Panasonic</v>
      </c>
      <c r="D245" t="str">
        <v>bh</v>
      </c>
      <c r="E245">
        <f>'QTY-GTS'!N968</f>
        <v>13</v>
      </c>
      <c r="F245">
        <f>SUMIF(SNI!C$1:C$65536,'RAB - GTS'!B$1:B$65536,SNI!L$1:L$65536)</f>
        <v>0</v>
      </c>
      <c r="G245">
        <v>1</v>
      </c>
      <c r="H245">
        <f>E245*F245*G245</f>
        <v>0</v>
      </c>
      <c r="K245">
        <f>L245-E245</f>
        <v>0</v>
      </c>
      <c r="L245">
        <v>13</v>
      </c>
    </row>
    <row r="246">
      <c r="A246">
        <f>A245+1</f>
        <v>7</v>
      </c>
      <c r="B246" t="str">
        <v>Pas. Down light &amp; PLC 13 W</v>
      </c>
      <c r="C246" t="str">
        <v>ex Panasonic</v>
      </c>
      <c r="D246" t="str">
        <v>bh</v>
      </c>
      <c r="E246">
        <f>'QTY-GTS'!N969</f>
        <v>24</v>
      </c>
      <c r="F246">
        <f>SUMIF(SNI!C$1:C$65536,'RAB - GTS'!B$1:B$65536,SNI!L$1:L$65536)</f>
        <v>0</v>
      </c>
      <c r="G246">
        <v>1</v>
      </c>
      <c r="H246">
        <f>E246*F246*G246</f>
        <v>0</v>
      </c>
      <c r="I246">
        <f>SUM(H240:H246)</f>
        <v>0</v>
      </c>
      <c r="K246">
        <f>L246-E246</f>
        <v>0</v>
      </c>
      <c r="L246">
        <v>24</v>
      </c>
    </row>
    <row r="247">
      <c r="K247">
        <f>L247-E247</f>
        <v>0</v>
      </c>
    </row>
    <row r="248">
      <c r="A248" t="str">
        <v>C.2.2</v>
      </c>
      <c r="B248" t="str">
        <v>Pekerjaan Elektrikal, lantai atas</v>
      </c>
      <c r="K248">
        <f>L248-E248</f>
        <v>0</v>
      </c>
    </row>
    <row r="249">
      <c r="A249">
        <v>1</v>
      </c>
      <c r="B249" t="str">
        <v>Pas. Box Panel</v>
      </c>
      <c r="D249" t="str">
        <v>m</v>
      </c>
      <c r="E249">
        <f>'QTY-GTS'!N997</f>
        <v>1</v>
      </c>
      <c r="F249">
        <f>SUMIF(SNI!C$1:C$65536,'RAB - GTS'!B$1:B$65536,SNI!L$1:L$65536)</f>
        <v>0</v>
      </c>
      <c r="G249">
        <v>1.09</v>
      </c>
      <c r="H249">
        <f>E249*F249*G249</f>
        <v>0</v>
      </c>
      <c r="K249">
        <f>L249-E249</f>
        <v>0</v>
      </c>
      <c r="L249">
        <v>1</v>
      </c>
    </row>
    <row r="250">
      <c r="A250">
        <f>A249+1</f>
        <v>2</v>
      </c>
      <c r="B250" t="str">
        <v>Pas. Instalasi lampu</v>
      </c>
      <c r="C250" t="str">
        <v>ex Broco</v>
      </c>
      <c r="D250" t="str">
        <v>ttk</v>
      </c>
      <c r="E250">
        <f>'QTY-GTS'!N992</f>
        <v>30</v>
      </c>
      <c r="F250">
        <f>SUMIF(SNI!C$1:C$65536,'RAB - GTS'!B$1:B$65536,SNI!L$1:L$65536)</f>
        <v>0</v>
      </c>
      <c r="G250">
        <v>1.09</v>
      </c>
      <c r="H250">
        <f>E250*F250*G250</f>
        <v>0</v>
      </c>
      <c r="K250">
        <f>L250-E250</f>
        <v>0</v>
      </c>
      <c r="L250">
        <v>30</v>
      </c>
    </row>
    <row r="251">
      <c r="A251">
        <f>A250+1</f>
        <v>3</v>
      </c>
      <c r="B251" t="str">
        <v>Pas. Instalasi stop kontak</v>
      </c>
      <c r="C251" t="str">
        <v>ex Broco</v>
      </c>
      <c r="D251" t="str">
        <v>ttk</v>
      </c>
      <c r="E251">
        <f>'QTY-GTS'!N993</f>
        <v>15</v>
      </c>
      <c r="F251">
        <f>SUMIF(SNI!C$1:C$65536,'RAB - GTS'!B$1:B$65536,SNI!L$1:L$65536)</f>
        <v>0</v>
      </c>
      <c r="G251">
        <v>1.09</v>
      </c>
      <c r="H251">
        <f>E251*F251*G251</f>
        <v>0</v>
      </c>
      <c r="K251">
        <f>L251-E251</f>
        <v>0</v>
      </c>
      <c r="L251">
        <v>15</v>
      </c>
    </row>
    <row r="252">
      <c r="A252">
        <f>A251+1</f>
        <v>4</v>
      </c>
      <c r="B252" t="str">
        <v>Pas. Saklar engkel</v>
      </c>
      <c r="C252" t="str">
        <v>ex Broco</v>
      </c>
      <c r="D252" t="str">
        <v>ttk</v>
      </c>
      <c r="E252">
        <f>'QTY-GTS'!N992</f>
        <v>30</v>
      </c>
      <c r="F252">
        <f>SUMIF(SNI!C$1:C$65536,'RAB - GTS'!B$1:B$65536,SNI!L$1:L$65536)</f>
        <v>0</v>
      </c>
      <c r="G252">
        <v>1.09</v>
      </c>
      <c r="H252">
        <f>E252*F252*G252</f>
        <v>0</v>
      </c>
      <c r="K252">
        <f>L252-E252</f>
        <v>0</v>
      </c>
      <c r="L252">
        <v>30</v>
      </c>
    </row>
    <row r="253">
      <c r="A253">
        <f>A252+1</f>
        <v>5</v>
      </c>
      <c r="B253" t="str">
        <v>Pas. Stop kontak</v>
      </c>
      <c r="C253" t="str">
        <v>ex Broco</v>
      </c>
      <c r="D253" t="str">
        <v>ttk</v>
      </c>
      <c r="E253">
        <f>'QTY-GTS'!N994</f>
        <v>75</v>
      </c>
      <c r="F253">
        <f>SUMIF(SNI!C$1:C$65536,'RAB - GTS'!B$1:B$65536,SNI!L$1:L$65536)</f>
        <v>0</v>
      </c>
      <c r="G253">
        <v>1.09</v>
      </c>
      <c r="H253">
        <f>E253*F253*G253</f>
        <v>0</v>
      </c>
      <c r="K253">
        <f>L253-E253</f>
        <v>0</v>
      </c>
      <c r="L253">
        <v>75</v>
      </c>
    </row>
    <row r="254">
      <c r="A254">
        <f>A253+1</f>
        <v>6</v>
      </c>
      <c r="B254" t="str">
        <v>Pas. Lampu TL 2 x 36 watt grille</v>
      </c>
      <c r="C254" t="str">
        <v>ex Panasonic</v>
      </c>
      <c r="D254" t="str">
        <v>bh</v>
      </c>
      <c r="E254">
        <f>'QTY-GTS'!N995</f>
        <v>18</v>
      </c>
      <c r="F254">
        <f>SUMIF(SNI!C$1:C$65536,'RAB - GTS'!B$1:B$65536,SNI!L$1:L$65536)</f>
        <v>0</v>
      </c>
      <c r="G254">
        <v>1.09</v>
      </c>
      <c r="H254">
        <f>E254*F254*G254</f>
        <v>0</v>
      </c>
      <c r="K254">
        <f>L254-E254</f>
        <v>0</v>
      </c>
      <c r="L254">
        <v>18</v>
      </c>
    </row>
    <row r="255">
      <c r="A255">
        <f>A254+1</f>
        <v>7</v>
      </c>
      <c r="B255" t="str">
        <v>Pas. Down light &amp; PLC 13 W</v>
      </c>
      <c r="C255" t="str">
        <v>ex Panasonic</v>
      </c>
      <c r="D255" t="str">
        <v>bh</v>
      </c>
      <c r="E255">
        <f>'QTY-GTS'!N996</f>
        <v>27</v>
      </c>
      <c r="F255">
        <f>SUMIF(SNI!C$1:C$65536,'RAB - GTS'!B$1:B$65536,SNI!L$1:L$65536)</f>
        <v>0</v>
      </c>
      <c r="G255">
        <v>1.09</v>
      </c>
      <c r="H255">
        <f>E255*F255*G255</f>
        <v>0</v>
      </c>
      <c r="I255">
        <f>SUM(H249:H255)</f>
        <v>0</v>
      </c>
      <c r="K255">
        <f>L255-E255</f>
        <v>0</v>
      </c>
      <c r="L255">
        <v>27</v>
      </c>
    </row>
    <row r="256">
      <c r="K256">
        <f>L256-E256</f>
        <v>0</v>
      </c>
    </row>
    <row r="257">
      <c r="H257" t="str">
        <v>Jumlah C.2 .... Rp</v>
      </c>
      <c r="I257">
        <f>SUM(H240:H256)</f>
        <v>0</v>
      </c>
    </row>
    <row r="258">
      <c r="A258" t="str">
        <v>D.</v>
      </c>
      <c r="B258" t="str">
        <v>PEKERJAAN FINISHING</v>
      </c>
    </row>
    <row r="259">
      <c r="A259">
        <v>1</v>
      </c>
      <c r="B259" t="str">
        <v>Cat dinding dalam acrylic emulsion KW.I</v>
      </c>
      <c r="C259" t="str">
        <v>ex Dulux</v>
      </c>
      <c r="D259" t="str">
        <v>m2</v>
      </c>
      <c r="E259">
        <f>'QTY-GTS'!N611</f>
        <v>870.3739999999999</v>
      </c>
      <c r="F259">
        <f>SUMIF(SNI!C$1:C$65536,'RAB - GTS'!B$1:B$65536,SNI!L$1:L$65536)</f>
        <v>0</v>
      </c>
      <c r="G259">
        <v>1</v>
      </c>
      <c r="H259">
        <f>E259*F259*G259</f>
        <v>0</v>
      </c>
    </row>
    <row r="260">
      <c r="A260">
        <v>2</v>
      </c>
      <c r="B260" t="str">
        <v>Cat dinding dalam acrylic emulsion KW.I</v>
      </c>
      <c r="C260" t="str">
        <v>ex Dulux</v>
      </c>
      <c r="D260" t="str">
        <v>m2</v>
      </c>
      <c r="E260">
        <f>'QTY-GTS'!N803</f>
        <v>1246.548</v>
      </c>
      <c r="F260">
        <f>SUMIF(SNI!C$1:C$65536,'RAB - GTS'!B$1:B$65536,SNI!L$1:L$65536)</f>
        <v>0</v>
      </c>
      <c r="G260">
        <v>1.09</v>
      </c>
      <c r="H260">
        <f>E260*F260*G260</f>
        <v>0</v>
      </c>
    </row>
    <row r="261">
      <c r="A261">
        <v>3</v>
      </c>
      <c r="B261" t="str">
        <v>Cat plafond acrylic emulsion KW.I</v>
      </c>
      <c r="C261" t="str">
        <v>ex Dulux</v>
      </c>
      <c r="D261" t="str">
        <v>m2</v>
      </c>
      <c r="E261">
        <f>E142</f>
        <v>342.9</v>
      </c>
      <c r="F261">
        <f>SUMIF(SNI!C$1:C$65536,'RAB - GTS'!B$1:B$65536,SNI!L$1:L$65536)</f>
        <v>0</v>
      </c>
      <c r="G261">
        <v>1</v>
      </c>
      <c r="H261">
        <f>E261*F261*G261</f>
        <v>0</v>
      </c>
    </row>
    <row r="262">
      <c r="A262">
        <v>4</v>
      </c>
      <c r="B262" t="str">
        <v>Cat plafond acrylic emulsion KW.I</v>
      </c>
      <c r="C262" t="str">
        <v>ex Dulux</v>
      </c>
      <c r="D262" t="str">
        <v>m2</v>
      </c>
      <c r="E262">
        <f>E145</f>
        <v>489</v>
      </c>
      <c r="F262">
        <f>SUMIF(SNI!C$1:C$65536,'RAB - GTS'!B$1:B$65536,SNI!L$1:L$65536)</f>
        <v>0</v>
      </c>
      <c r="G262">
        <v>1.09</v>
      </c>
      <c r="H262">
        <f>E262*F262*G262</f>
        <v>0</v>
      </c>
    </row>
    <row r="263">
      <c r="A263">
        <v>5</v>
      </c>
      <c r="B263" t="str">
        <v>Railing Tangga Besi Hollow</v>
      </c>
      <c r="C263" t="str">
        <v>finish cat shynthetic</v>
      </c>
      <c r="D263" t="str">
        <v>m</v>
      </c>
      <c r="E263">
        <f>'QTY-GTS'!N708</f>
        <v>10</v>
      </c>
      <c r="F263">
        <f>SUMIF(SNI!C$1:C$65536,'RAB - GTS'!B$1:B$65536,SNI!L$1:L$65536)</f>
        <v>0</v>
      </c>
      <c r="G263">
        <v>1</v>
      </c>
      <c r="H263">
        <f>E263*F263*G263</f>
        <v>0</v>
      </c>
    </row>
    <row r="264">
      <c r="H264" t="str">
        <v>Jumlah D.2 .... Rp</v>
      </c>
      <c r="I264">
        <f>SUM(H259:H263)</f>
        <v>0</v>
      </c>
    </row>
  </sheetData>
  <mergeCells count="11">
    <mergeCell ref="H30:I30"/>
    <mergeCell ref="C157:C165"/>
    <mergeCell ref="C167:C175"/>
    <mergeCell ref="A2:I2"/>
    <mergeCell ref="A28:I28"/>
    <mergeCell ref="A29:A30"/>
    <mergeCell ref="B29:B30"/>
    <mergeCell ref="C29:C30"/>
    <mergeCell ref="D29:D30"/>
    <mergeCell ref="E29:E30"/>
    <mergeCell ref="H29:I29"/>
  </mergeCells>
  <hyperlinks>
    <hyperlink ref="J1" location="MENU!A1" tooltip="menu"/>
    <hyperlink ref="J2" location="HSBGN!A1" tooltip="HSBGN"/>
  </hyperlinks>
  <pageMargins left="0.64" right="0.2362204724409449" top="0.6692913385826772" bottom="0.41" header="0.35433070866141736" footer="0.15748031496062992"/>
  <ignoredErrors>
    <ignoredError numberStoredAsText="1" sqref="A1:N264"/>
  </ignoredErrors>
</worksheet>
</file>

<file path=xl/worksheets/sheet12.xml><?xml version="1.0" encoding="utf-8"?>
<worksheet xmlns="http://schemas.openxmlformats.org/spreadsheetml/2006/main" xmlns:r="http://schemas.openxmlformats.org/officeDocument/2006/relationships">
  <dimension ref="A1:L364"/>
  <sheetViews>
    <sheetView workbookViewId="0" rightToLeft="0"/>
  </sheetViews>
  <sheetData>
    <row r="1">
      <c r="A1" t="str">
        <v>menu</v>
      </c>
    </row>
    <row r="2">
      <c r="A2" t="str">
        <v>ANALISA HARGA SATUAN KUSEN</v>
      </c>
    </row>
    <row r="3">
      <c r="A3" t="str">
        <v>BANGUNAN GEDUNG BETINGKAT TIDAK SEDERHANA</v>
      </c>
    </row>
    <row r="5">
      <c r="A5" t="str">
        <v>NO</v>
      </c>
      <c r="B5" t="str">
        <v>ITEM PEKERJAAN</v>
      </c>
      <c r="D5" t="str">
        <v>PANJANG</v>
      </c>
      <c r="E5" t="str">
        <v>LEBAR</v>
      </c>
      <c r="F5" t="str">
        <v>LEBAR</v>
      </c>
      <c r="G5" t="str">
        <v>TINGGI</v>
      </c>
      <c r="H5" t="str">
        <v>JML</v>
      </c>
      <c r="I5" t="str">
        <v>VOLUME</v>
      </c>
      <c r="J5" t="str">
        <v>SAT</v>
      </c>
      <c r="K5" t="str">
        <v xml:space="preserve">HARGA </v>
      </c>
      <c r="L5" t="str">
        <v>JUMLAH</v>
      </c>
    </row>
    <row r="6">
      <c r="E6" t="str">
        <v>atas</v>
      </c>
      <c r="F6" t="str">
        <v>bawah</v>
      </c>
      <c r="G6" t="str">
        <v>BERAT</v>
      </c>
      <c r="K6" t="str">
        <v>SATUAN</v>
      </c>
      <c r="L6" t="str">
        <v>HARGA</v>
      </c>
    </row>
    <row r="8">
      <c r="B8" t="str">
        <v>PINTU &amp; KUSEN</v>
      </c>
    </row>
    <row r="10">
      <c r="A10">
        <v>1</v>
      </c>
      <c r="B10" t="str">
        <v>P 1 A</v>
      </c>
    </row>
    <row r="11">
      <c r="B11" t="str">
        <v>Kusen alumunium 3" PC</v>
      </c>
      <c r="D11">
        <v>2.52</v>
      </c>
      <c r="H11">
        <v>2</v>
      </c>
      <c r="I11">
        <f>D11*H11</f>
        <v>5.04</v>
      </c>
    </row>
    <row r="12">
      <c r="D12">
        <v>1</v>
      </c>
      <c r="H12">
        <v>2</v>
      </c>
      <c r="I12">
        <f>D12*H12</f>
        <v>2</v>
      </c>
    </row>
    <row r="13">
      <c r="I13">
        <f>I11+I12</f>
        <v>7.04</v>
      </c>
      <c r="J13" t="str">
        <v>m1</v>
      </c>
      <c r="K13">
        <f>SNI!L640</f>
        <v>0</v>
      </c>
      <c r="L13">
        <f>I13*K13</f>
        <v>0</v>
      </c>
    </row>
    <row r="14">
      <c r="B14" t="str">
        <v>Rangka pintu alumunium 4" PC</v>
      </c>
      <c r="D14">
        <v>2.4</v>
      </c>
      <c r="H14">
        <v>2</v>
      </c>
      <c r="I14">
        <f>D14*H14</f>
        <v>4.8</v>
      </c>
    </row>
    <row r="15">
      <c r="D15">
        <v>0.9</v>
      </c>
      <c r="H15">
        <v>4</v>
      </c>
      <c r="I15">
        <f>D15*H15</f>
        <v>3.6</v>
      </c>
    </row>
    <row r="16">
      <c r="I16">
        <f>I14+I15</f>
        <v>8.4</v>
      </c>
      <c r="J16" t="str">
        <v>m1</v>
      </c>
      <c r="K16">
        <f>SNI!L664</f>
        <v>0</v>
      </c>
      <c r="L16">
        <f>I16*K16</f>
        <v>0</v>
      </c>
    </row>
    <row r="17">
      <c r="B17" t="str">
        <v>Kaca 8 mm</v>
      </c>
      <c r="D17">
        <v>2.4</v>
      </c>
      <c r="E17">
        <v>0.9</v>
      </c>
      <c r="H17">
        <v>1</v>
      </c>
      <c r="I17">
        <f>D17*E17*H17</f>
        <v>2.16</v>
      </c>
      <c r="J17" t="str">
        <v>m2</v>
      </c>
      <c r="K17">
        <f>SNI!L932</f>
        <v>0</v>
      </c>
      <c r="L17">
        <f>I17*K17</f>
        <v>0</v>
      </c>
    </row>
    <row r="18">
      <c r="B18" t="str">
        <v>Engsel 4"</v>
      </c>
      <c r="I18">
        <v>3</v>
      </c>
      <c r="J18" t="str">
        <v>bh</v>
      </c>
      <c r="K18">
        <f>SNI!L897</f>
        <v>0</v>
      </c>
      <c r="L18">
        <f>I18*K18</f>
        <v>0</v>
      </c>
    </row>
    <row r="19">
      <c r="B19" t="str">
        <v>Handle pintu type HRE 75.01 ex CISA</v>
      </c>
      <c r="I19">
        <v>1</v>
      </c>
      <c r="J19" t="str">
        <v>bh</v>
      </c>
      <c r="K19">
        <f>SNI!L827</f>
        <v>0</v>
      </c>
      <c r="L19">
        <f>I19*K19</f>
        <v>0</v>
      </c>
    </row>
    <row r="20">
      <c r="B20" t="str">
        <v>Selinder CISA type 08510 ex CISA</v>
      </c>
      <c r="I20">
        <v>1</v>
      </c>
      <c r="J20" t="str">
        <v>bh</v>
      </c>
      <c r="K20">
        <f>SNI!L834</f>
        <v>0</v>
      </c>
      <c r="L20">
        <f>I20*K20</f>
        <v>0</v>
      </c>
    </row>
    <row r="21">
      <c r="B21" t="str">
        <v>Door Stoper</v>
      </c>
      <c r="I21">
        <v>1</v>
      </c>
      <c r="J21" t="str">
        <v>bh</v>
      </c>
      <c r="K21">
        <f>SNI!L848</f>
        <v>0</v>
      </c>
      <c r="L21">
        <f>I21*K21</f>
        <v>0</v>
      </c>
    </row>
    <row r="22">
      <c r="B22" t="str">
        <v>Door closer</v>
      </c>
      <c r="I22">
        <v>1</v>
      </c>
      <c r="J22" t="str">
        <v>bh</v>
      </c>
      <c r="K22">
        <f>SNI!L855</f>
        <v>0</v>
      </c>
      <c r="L22">
        <f>I22*K22</f>
        <v>0</v>
      </c>
    </row>
    <row r="23">
      <c r="B23" t="str">
        <v>Slot Tanam pintu doble</v>
      </c>
      <c r="D23">
        <v>1</v>
      </c>
      <c r="I23">
        <f>D23</f>
        <v>1</v>
      </c>
      <c r="J23" t="str">
        <v>set</v>
      </c>
      <c r="K23">
        <f>SNI!L883</f>
        <v>0</v>
      </c>
      <c r="L23">
        <f>I23*K23</f>
        <v>0</v>
      </c>
    </row>
    <row r="24">
      <c r="K24" t="str">
        <v>jumlah</v>
      </c>
      <c r="L24">
        <f>SUM(L16:L23)</f>
        <v>0</v>
      </c>
    </row>
    <row r="25">
      <c r="K25" t="str">
        <v>di bulatkan</v>
      </c>
      <c r="L25">
        <f>ROUND(L24,-2)</f>
        <v>0</v>
      </c>
    </row>
    <row r="27">
      <c r="A27">
        <f>A10+1</f>
        <v>2</v>
      </c>
      <c r="B27" t="str">
        <v>P 1 B</v>
      </c>
    </row>
    <row r="28">
      <c r="B28" t="str">
        <v>Kusen &amp; Pintu PVC toilet</v>
      </c>
      <c r="D28">
        <v>1</v>
      </c>
      <c r="H28">
        <v>1</v>
      </c>
      <c r="I28">
        <v>1</v>
      </c>
      <c r="J28" t="str">
        <v>unit</v>
      </c>
      <c r="K28">
        <f>SNI!L648</f>
        <v>0</v>
      </c>
      <c r="L28">
        <f>I28*K28</f>
        <v>0</v>
      </c>
    </row>
    <row r="29">
      <c r="K29" t="str">
        <v>jumlah</v>
      </c>
      <c r="L29">
        <f>SUM(L28:L28)</f>
        <v>0</v>
      </c>
    </row>
    <row r="30">
      <c r="K30" t="str">
        <v>di bulatkan</v>
      </c>
      <c r="L30">
        <f>ROUND(L29,-2)</f>
        <v>0</v>
      </c>
    </row>
    <row r="32">
      <c r="A32">
        <f>A27+1</f>
        <v>3</v>
      </c>
      <c r="B32" t="str">
        <v>P 1 C</v>
      </c>
    </row>
    <row r="33">
      <c r="B33" t="str">
        <v>Kusen &amp; Pintu PVC toilet</v>
      </c>
      <c r="D33">
        <v>1</v>
      </c>
      <c r="H33">
        <v>1</v>
      </c>
      <c r="I33">
        <v>1</v>
      </c>
      <c r="J33" t="str">
        <v>unit</v>
      </c>
      <c r="K33">
        <f>K28</f>
        <v>0</v>
      </c>
      <c r="L33">
        <f>I33*K33</f>
        <v>0</v>
      </c>
    </row>
    <row r="34">
      <c r="K34" t="str">
        <v>jumlah</v>
      </c>
      <c r="L34">
        <f>SUM(L33:L33)</f>
        <v>0</v>
      </c>
    </row>
    <row r="35">
      <c r="K35" t="str">
        <v>di bulatkan</v>
      </c>
      <c r="L35">
        <f>ROUND(L34,-2)</f>
        <v>0</v>
      </c>
    </row>
    <row r="36">
      <c r="L36">
        <f>I36*K36</f>
        <v>0</v>
      </c>
    </row>
    <row r="37">
      <c r="A37">
        <f>A32+1</f>
        <v>4</v>
      </c>
      <c r="B37" t="str">
        <v>P 2 A</v>
      </c>
    </row>
    <row r="38">
      <c r="B38" t="str">
        <v>Kusen alumunium 3" PC</v>
      </c>
      <c r="D38">
        <v>2.52</v>
      </c>
      <c r="H38">
        <v>2</v>
      </c>
      <c r="I38">
        <f>D38*H38</f>
        <v>5.04</v>
      </c>
    </row>
    <row r="39">
      <c r="D39">
        <v>1.9</v>
      </c>
      <c r="H39">
        <v>2</v>
      </c>
      <c r="I39">
        <f>D39*H39</f>
        <v>3.8</v>
      </c>
    </row>
    <row r="40">
      <c r="I40">
        <f>I38+I39</f>
        <v>8.84</v>
      </c>
      <c r="J40" t="str">
        <v>m1</v>
      </c>
      <c r="K40">
        <f>K13</f>
        <v>0</v>
      </c>
      <c r="L40">
        <f>I40*K40</f>
        <v>0</v>
      </c>
    </row>
    <row r="41">
      <c r="B41" t="str">
        <v>Alumunium standart 3" PC rangka daun jendela</v>
      </c>
      <c r="D41">
        <v>2.08</v>
      </c>
      <c r="H41">
        <v>2</v>
      </c>
      <c r="I41">
        <f>D41*H41</f>
        <v>4.16</v>
      </c>
    </row>
    <row r="42">
      <c r="D42">
        <v>1.8</v>
      </c>
      <c r="H42">
        <v>2</v>
      </c>
      <c r="I42">
        <f>D42*H42</f>
        <v>3.6</v>
      </c>
    </row>
    <row r="43">
      <c r="I43">
        <f>I41+I42</f>
        <v>7.76</v>
      </c>
      <c r="J43" t="str">
        <v>m1</v>
      </c>
      <c r="K43">
        <f>SNI!L681</f>
        <v>0</v>
      </c>
      <c r="L43">
        <f>I43*K43</f>
        <v>0</v>
      </c>
    </row>
    <row r="44">
      <c r="B44" t="str">
        <v>Kaca 8 mm</v>
      </c>
      <c r="D44">
        <v>2.4</v>
      </c>
      <c r="E44">
        <v>1.8</v>
      </c>
      <c r="H44">
        <v>1</v>
      </c>
      <c r="I44">
        <f>D44*E44*H44</f>
        <v>4.32</v>
      </c>
      <c r="J44" t="str">
        <v>m2</v>
      </c>
      <c r="K44">
        <f>K17</f>
        <v>0</v>
      </c>
      <c r="L44">
        <f>I44*K44</f>
        <v>0</v>
      </c>
    </row>
    <row r="45">
      <c r="B45" t="str">
        <v>Engsel 4"</v>
      </c>
      <c r="I45">
        <v>3</v>
      </c>
      <c r="J45" t="str">
        <v>set</v>
      </c>
      <c r="K45">
        <f>K18</f>
        <v>0</v>
      </c>
      <c r="L45">
        <f>I45*K45</f>
        <v>0</v>
      </c>
    </row>
    <row r="46">
      <c r="B46" t="str">
        <v>Handle pintu type HRE 75.01 ex CISA</v>
      </c>
      <c r="I46">
        <v>1</v>
      </c>
      <c r="J46" t="str">
        <v>bh</v>
      </c>
      <c r="K46">
        <f>K19</f>
        <v>0</v>
      </c>
      <c r="L46">
        <f>I46*K46</f>
        <v>0</v>
      </c>
    </row>
    <row r="47">
      <c r="B47" t="str">
        <v>Selinder CISA type 08510 ex CISA</v>
      </c>
      <c r="I47">
        <v>1</v>
      </c>
      <c r="J47" t="str">
        <v>bh</v>
      </c>
      <c r="K47">
        <f>K20</f>
        <v>0</v>
      </c>
      <c r="L47">
        <f>I47*K47</f>
        <v>0</v>
      </c>
    </row>
    <row r="48">
      <c r="B48" t="str">
        <v>Door Stoper</v>
      </c>
      <c r="I48">
        <v>1</v>
      </c>
      <c r="J48" t="str">
        <v>bh</v>
      </c>
      <c r="K48">
        <f>K21</f>
        <v>0</v>
      </c>
      <c r="L48">
        <f>I48*K48</f>
        <v>0</v>
      </c>
    </row>
    <row r="49">
      <c r="B49" t="str">
        <v>Door closer</v>
      </c>
      <c r="I49">
        <v>1</v>
      </c>
      <c r="J49" t="str">
        <v>bh</v>
      </c>
      <c r="K49">
        <f>K22</f>
        <v>0</v>
      </c>
      <c r="L49">
        <f>I49*K49</f>
        <v>0</v>
      </c>
    </row>
    <row r="50">
      <c r="B50" t="str">
        <v>Slot tanam</v>
      </c>
      <c r="D50">
        <v>1</v>
      </c>
      <c r="I50">
        <f>D50</f>
        <v>1</v>
      </c>
      <c r="J50" t="str">
        <v>set</v>
      </c>
      <c r="K50">
        <f>K23</f>
        <v>0</v>
      </c>
      <c r="L50">
        <f>I50*K50</f>
        <v>0</v>
      </c>
    </row>
    <row r="51">
      <c r="K51" t="str">
        <v>jumlah</v>
      </c>
      <c r="L51">
        <f>SUM(L38:L50)</f>
        <v>0</v>
      </c>
    </row>
    <row r="52">
      <c r="K52" t="str">
        <v>di bulatkan</v>
      </c>
      <c r="L52">
        <f>ROUND(L51,-2)</f>
        <v>0</v>
      </c>
    </row>
    <row r="54">
      <c r="A54">
        <f>A37+1</f>
        <v>5</v>
      </c>
      <c r="B54" t="str">
        <v>P J 1</v>
      </c>
    </row>
    <row r="55">
      <c r="B55" t="str">
        <v>Alumunium standart 3" PC</v>
      </c>
      <c r="D55">
        <v>3.2</v>
      </c>
      <c r="H55">
        <v>2</v>
      </c>
      <c r="I55">
        <f>D55*H55</f>
        <v>6.4</v>
      </c>
    </row>
    <row r="56">
      <c r="D56">
        <v>0.65</v>
      </c>
      <c r="H56">
        <v>2</v>
      </c>
      <c r="I56">
        <f>D56*H56</f>
        <v>1.3</v>
      </c>
    </row>
    <row r="57">
      <c r="D57">
        <v>2.3</v>
      </c>
      <c r="H57">
        <v>2</v>
      </c>
      <c r="I57">
        <f>D57*H57</f>
        <v>4.6</v>
      </c>
    </row>
    <row r="58">
      <c r="D58">
        <v>2.52</v>
      </c>
      <c r="H58">
        <v>2</v>
      </c>
      <c r="I58">
        <f>D58*H58</f>
        <v>5.04</v>
      </c>
    </row>
    <row r="59">
      <c r="D59">
        <v>0.5</v>
      </c>
      <c r="H59">
        <v>1</v>
      </c>
      <c r="I59">
        <f>D59*H59</f>
        <v>0.5</v>
      </c>
    </row>
    <row r="60">
      <c r="I60">
        <f>SUM(I55:I59)</f>
        <v>17.84</v>
      </c>
      <c r="J60" t="str">
        <v>m1</v>
      </c>
      <c r="K60">
        <f>K40</f>
        <v>0</v>
      </c>
      <c r="L60">
        <f>I60*K60</f>
        <v>0</v>
      </c>
    </row>
    <row r="61">
      <c r="B61" t="str">
        <v>Alumunium standart 3" PC rangka daun jendela</v>
      </c>
      <c r="D61">
        <v>2.4</v>
      </c>
      <c r="H61">
        <v>4</v>
      </c>
      <c r="I61">
        <f>D61*H61</f>
        <v>9.6</v>
      </c>
    </row>
    <row r="62">
      <c r="D62">
        <v>0.4</v>
      </c>
      <c r="H62">
        <v>8</v>
      </c>
      <c r="I62">
        <f>D62*H62</f>
        <v>3.2</v>
      </c>
    </row>
    <row r="63">
      <c r="D63">
        <v>0.65</v>
      </c>
      <c r="H63">
        <v>4</v>
      </c>
      <c r="I63">
        <f>D63*H63</f>
        <v>2.6</v>
      </c>
    </row>
    <row r="64">
      <c r="D64">
        <v>0.9</v>
      </c>
      <c r="H64">
        <v>4</v>
      </c>
      <c r="I64">
        <f>D64*H64</f>
        <v>3.6</v>
      </c>
    </row>
    <row r="65">
      <c r="I65">
        <f>SUM(I61:I64)</f>
        <v>19</v>
      </c>
      <c r="J65" t="str">
        <v>m1</v>
      </c>
      <c r="K65">
        <f>K43</f>
        <v>0</v>
      </c>
      <c r="L65">
        <f>I65*K65</f>
        <v>0</v>
      </c>
    </row>
    <row r="66">
      <c r="B66" t="str">
        <v>Kaca 8 mm</v>
      </c>
      <c r="D66">
        <v>2.4</v>
      </c>
      <c r="E66">
        <v>1.8</v>
      </c>
      <c r="H66">
        <v>1</v>
      </c>
      <c r="I66">
        <f>D66*E66*H66</f>
        <v>4.32</v>
      </c>
      <c r="J66" t="str">
        <v>m2</v>
      </c>
      <c r="K66">
        <f>K44</f>
        <v>0</v>
      </c>
      <c r="L66">
        <f>I66*K66</f>
        <v>0</v>
      </c>
    </row>
    <row r="67">
      <c r="D67">
        <v>0.6</v>
      </c>
      <c r="E67">
        <v>2.3</v>
      </c>
      <c r="H67">
        <v>2</v>
      </c>
      <c r="I67">
        <f>D67*E67*H67</f>
        <v>2.76</v>
      </c>
      <c r="J67" t="str">
        <v>m2</v>
      </c>
      <c r="K67">
        <f>K66</f>
        <v>0</v>
      </c>
      <c r="L67">
        <f>I67*K67</f>
        <v>0</v>
      </c>
    </row>
    <row r="68">
      <c r="B68" t="str">
        <v>Engsel pintu</v>
      </c>
      <c r="I68">
        <v>3</v>
      </c>
      <c r="J68" t="str">
        <v>set</v>
      </c>
      <c r="K68">
        <f>K45</f>
        <v>0</v>
      </c>
      <c r="L68">
        <f>I68*K68</f>
        <v>0</v>
      </c>
    </row>
    <row r="69">
      <c r="B69" t="str">
        <v>Handle pintu type HRE 75.01 ex CISA</v>
      </c>
      <c r="I69">
        <v>1</v>
      </c>
      <c r="J69" t="str">
        <v>bh</v>
      </c>
      <c r="K69">
        <f>K46</f>
        <v>0</v>
      </c>
      <c r="L69">
        <f>I69*K69</f>
        <v>0</v>
      </c>
    </row>
    <row r="70">
      <c r="B70" t="str">
        <v>Selinder CISA type 08510 ex CISA</v>
      </c>
      <c r="I70">
        <v>1</v>
      </c>
      <c r="J70" t="str">
        <v>bh</v>
      </c>
      <c r="K70">
        <f>K47</f>
        <v>0</v>
      </c>
      <c r="L70">
        <f>I70*K70</f>
        <v>0</v>
      </c>
    </row>
    <row r="71">
      <c r="B71" t="str">
        <v>Door Stoper</v>
      </c>
      <c r="I71">
        <v>1</v>
      </c>
      <c r="J71" t="str">
        <v>bh</v>
      </c>
      <c r="K71">
        <f>K48</f>
        <v>0</v>
      </c>
      <c r="L71">
        <f>I71*K71</f>
        <v>0</v>
      </c>
    </row>
    <row r="72">
      <c r="B72" t="str">
        <v>Door closer</v>
      </c>
      <c r="I72">
        <v>1</v>
      </c>
      <c r="J72" t="str">
        <v>bh</v>
      </c>
      <c r="K72">
        <f>K49</f>
        <v>0</v>
      </c>
      <c r="L72">
        <f>I72*K72</f>
        <v>0</v>
      </c>
    </row>
    <row r="73">
      <c r="B73" t="str">
        <v>Slot tanam</v>
      </c>
      <c r="D73">
        <v>1</v>
      </c>
      <c r="I73">
        <f>D73</f>
        <v>1</v>
      </c>
      <c r="J73" t="str">
        <v>set</v>
      </c>
      <c r="K73">
        <f>K50</f>
        <v>0</v>
      </c>
      <c r="L73">
        <f>I73*K73</f>
        <v>0</v>
      </c>
    </row>
    <row r="74">
      <c r="K74" t="str">
        <v>jumlah</v>
      </c>
      <c r="L74">
        <f>SUM(L55:L73)</f>
        <v>0</v>
      </c>
    </row>
    <row r="75">
      <c r="K75" t="str">
        <v>di bulatkan</v>
      </c>
      <c r="L75">
        <f>ROUND(L74,-2)</f>
        <v>0</v>
      </c>
    </row>
    <row r="77">
      <c r="A77">
        <f>A54+1</f>
        <v>6</v>
      </c>
      <c r="B77" t="str">
        <v>J 1 A</v>
      </c>
    </row>
    <row r="78">
      <c r="B78" t="str">
        <v>Alumunium standart 3" PC</v>
      </c>
      <c r="D78">
        <v>0.62</v>
      </c>
      <c r="H78">
        <v>4</v>
      </c>
      <c r="I78">
        <f>D78*H78</f>
        <v>2.48</v>
      </c>
    </row>
    <row r="79">
      <c r="D79">
        <v>0.45</v>
      </c>
      <c r="H79">
        <v>4</v>
      </c>
      <c r="I79">
        <f>D79*H79</f>
        <v>1.8</v>
      </c>
    </row>
    <row r="80">
      <c r="I80">
        <f>I78+I79</f>
        <v>4.28</v>
      </c>
      <c r="J80" t="str">
        <v>m1</v>
      </c>
      <c r="K80">
        <f>K60</f>
        <v>0</v>
      </c>
      <c r="L80">
        <f>I80*K80</f>
        <v>0</v>
      </c>
    </row>
    <row r="81">
      <c r="B81" t="str">
        <v>Alumunium standart 3" PC rangka daun jendela</v>
      </c>
      <c r="D81">
        <v>0.6</v>
      </c>
      <c r="H81">
        <v>4</v>
      </c>
      <c r="I81">
        <f>D81*H81</f>
        <v>2.4</v>
      </c>
    </row>
    <row r="82">
      <c r="D82">
        <v>0.45</v>
      </c>
      <c r="H82">
        <v>4</v>
      </c>
      <c r="I82">
        <f>D82*H82</f>
        <v>1.8</v>
      </c>
    </row>
    <row r="83">
      <c r="I83">
        <f>I81+I82</f>
        <v>4.2</v>
      </c>
      <c r="J83" t="str">
        <v>m1</v>
      </c>
      <c r="K83">
        <f>K65</f>
        <v>0</v>
      </c>
      <c r="L83">
        <f>I83*K83</f>
        <v>0</v>
      </c>
    </row>
    <row r="84">
      <c r="B84" t="str">
        <v>Kaca 8 mm</v>
      </c>
      <c r="D84">
        <v>0.62</v>
      </c>
      <c r="E84">
        <v>0.45</v>
      </c>
      <c r="H84">
        <v>2</v>
      </c>
      <c r="I84">
        <f>D84*E84*H84</f>
        <v>0.558</v>
      </c>
      <c r="J84" t="str">
        <v>m2</v>
      </c>
      <c r="K84">
        <f>K67</f>
        <v>0</v>
      </c>
      <c r="L84">
        <f>I84*K84</f>
        <v>0</v>
      </c>
    </row>
    <row r="85">
      <c r="B85" t="str">
        <v>Grendel</v>
      </c>
      <c r="D85">
        <v>2</v>
      </c>
      <c r="I85">
        <f>D85</f>
        <v>2</v>
      </c>
      <c r="J85" t="str">
        <v>set</v>
      </c>
      <c r="K85">
        <f>SNI!L876</f>
        <v>0</v>
      </c>
      <c r="L85">
        <f>I85*K85</f>
        <v>0</v>
      </c>
    </row>
    <row r="86">
      <c r="B86" t="str">
        <v>Kait angin</v>
      </c>
      <c r="D86">
        <v>2</v>
      </c>
      <c r="I86">
        <f>D86</f>
        <v>2</v>
      </c>
      <c r="J86" t="str">
        <v>set</v>
      </c>
      <c r="K86">
        <f>'Isi Data'!E54</f>
        <v>0</v>
      </c>
      <c r="L86">
        <f>I86*K86</f>
        <v>0</v>
      </c>
    </row>
    <row r="87">
      <c r="K87" t="str">
        <v>jumlah</v>
      </c>
      <c r="L87">
        <f>SUM(L78:L86)</f>
        <v>0</v>
      </c>
    </row>
    <row r="88">
      <c r="K88" t="str">
        <v>di bulatkan</v>
      </c>
      <c r="L88">
        <f>ROUND(L87,-2)</f>
        <v>0</v>
      </c>
    </row>
    <row r="90">
      <c r="A90">
        <f>A77+1</f>
        <v>7</v>
      </c>
      <c r="B90" t="str">
        <v>J 1 B</v>
      </c>
    </row>
    <row r="91">
      <c r="B91" t="str">
        <v>Alumunium standart 3" PC</v>
      </c>
      <c r="D91">
        <v>1.62</v>
      </c>
      <c r="H91">
        <v>2</v>
      </c>
      <c r="I91">
        <f>D91*H91</f>
        <v>3.24</v>
      </c>
    </row>
    <row r="92">
      <c r="D92">
        <v>0.62</v>
      </c>
      <c r="H92">
        <v>3</v>
      </c>
      <c r="I92">
        <f>D92*H92</f>
        <v>1.8599999999999999</v>
      </c>
    </row>
    <row r="93">
      <c r="I93">
        <f>I91+I92</f>
        <v>5.1</v>
      </c>
      <c r="J93" t="str">
        <v>m1</v>
      </c>
      <c r="K93">
        <f>K80</f>
        <v>0</v>
      </c>
      <c r="L93">
        <f>I93*K93</f>
        <v>0</v>
      </c>
    </row>
    <row r="94">
      <c r="B94" t="str">
        <v>Alumunium standart 3" PC rangka daun jendela</v>
      </c>
      <c r="D94">
        <v>1.6</v>
      </c>
      <c r="H94">
        <v>2</v>
      </c>
      <c r="I94">
        <f>D94*H94</f>
        <v>3.2</v>
      </c>
    </row>
    <row r="95">
      <c r="D95">
        <v>0.6</v>
      </c>
      <c r="H95">
        <v>4</v>
      </c>
      <c r="I95">
        <f>D95*H95</f>
        <v>2.4</v>
      </c>
    </row>
    <row r="96">
      <c r="I96">
        <f>I94+I95</f>
        <v>5.6</v>
      </c>
      <c r="J96" t="str">
        <v>m1</v>
      </c>
      <c r="K96">
        <f>K83</f>
        <v>0</v>
      </c>
      <c r="L96">
        <f>I96*K96</f>
        <v>0</v>
      </c>
    </row>
    <row r="97">
      <c r="B97" t="str">
        <v>Kaca 8 mm</v>
      </c>
      <c r="D97">
        <v>1.6</v>
      </c>
      <c r="E97">
        <v>0.6</v>
      </c>
      <c r="H97">
        <v>1</v>
      </c>
      <c r="I97">
        <f>D97*E97*H97</f>
        <v>0.96</v>
      </c>
      <c r="J97" t="str">
        <v>m2</v>
      </c>
      <c r="K97">
        <f>K84</f>
        <v>0</v>
      </c>
      <c r="L97">
        <f>I97*K97</f>
        <v>0</v>
      </c>
    </row>
    <row r="98">
      <c r="B98" t="str">
        <v>Grendel</v>
      </c>
      <c r="D98">
        <v>2</v>
      </c>
      <c r="I98">
        <f>D98</f>
        <v>2</v>
      </c>
      <c r="J98" t="str">
        <v>set</v>
      </c>
      <c r="K98">
        <f>K85</f>
        <v>0</v>
      </c>
      <c r="L98">
        <f>I98*K98</f>
        <v>0</v>
      </c>
    </row>
    <row r="99">
      <c r="B99" t="str">
        <v>Kait angin</v>
      </c>
      <c r="D99">
        <v>2</v>
      </c>
      <c r="I99">
        <f>D99</f>
        <v>2</v>
      </c>
      <c r="J99" t="str">
        <v>set</v>
      </c>
      <c r="K99">
        <f>K86</f>
        <v>0</v>
      </c>
      <c r="L99">
        <f>I99*K99</f>
        <v>0</v>
      </c>
    </row>
    <row r="100">
      <c r="K100" t="str">
        <v>jumlah</v>
      </c>
      <c r="L100">
        <f>SUM(L93:L99)</f>
        <v>0</v>
      </c>
    </row>
    <row r="101">
      <c r="K101" t="str">
        <v>di bulatkan</v>
      </c>
      <c r="L101">
        <f>ROUND(L100,-2)</f>
        <v>0</v>
      </c>
    </row>
    <row r="102">
      <c r="A102">
        <f>+A90+1</f>
        <v>8</v>
      </c>
      <c r="B102" t="str">
        <v>J 1 C</v>
      </c>
    </row>
    <row r="103">
      <c r="B103" t="str">
        <v>Alumunium standart 3" PC</v>
      </c>
      <c r="D103">
        <v>1.67</v>
      </c>
      <c r="H103">
        <v>2</v>
      </c>
      <c r="I103">
        <f>D103*H103</f>
        <v>3.34</v>
      </c>
    </row>
    <row r="104">
      <c r="D104">
        <v>0.62</v>
      </c>
      <c r="H104">
        <v>4</v>
      </c>
      <c r="I104">
        <f>D104*H104</f>
        <v>2.48</v>
      </c>
    </row>
    <row r="105">
      <c r="I105">
        <f>I103+I104</f>
        <v>5.82</v>
      </c>
      <c r="J105" t="str">
        <v>m1</v>
      </c>
      <c r="K105">
        <f>K93</f>
        <v>0</v>
      </c>
      <c r="L105">
        <f>I105*K105</f>
        <v>0</v>
      </c>
    </row>
    <row r="106">
      <c r="B106" t="str">
        <v>Alumunium standart 3" PC rangka daun jendela</v>
      </c>
      <c r="D106">
        <v>1.67</v>
      </c>
      <c r="H106">
        <v>2</v>
      </c>
      <c r="I106">
        <f>D106*H106</f>
        <v>3.34</v>
      </c>
    </row>
    <row r="107">
      <c r="D107">
        <v>0.6</v>
      </c>
      <c r="H107">
        <v>4</v>
      </c>
      <c r="I107">
        <f>D107*H107</f>
        <v>2.4</v>
      </c>
    </row>
    <row r="108">
      <c r="I108">
        <f>I106+I107</f>
        <v>5.74</v>
      </c>
      <c r="J108" t="str">
        <v>m1</v>
      </c>
      <c r="K108">
        <f>K96</f>
        <v>0</v>
      </c>
      <c r="L108">
        <f>I108*K108</f>
        <v>0</v>
      </c>
    </row>
    <row r="109">
      <c r="B109" t="str">
        <v>Kaca 8 mm</v>
      </c>
      <c r="D109">
        <v>1.6</v>
      </c>
      <c r="E109">
        <v>0.6</v>
      </c>
      <c r="H109">
        <v>1</v>
      </c>
      <c r="I109">
        <f>D109*E109*H109</f>
        <v>0.96</v>
      </c>
      <c r="J109" t="str">
        <v>m2</v>
      </c>
      <c r="K109">
        <f>K97</f>
        <v>0</v>
      </c>
      <c r="L109">
        <f>I109*K109</f>
        <v>0</v>
      </c>
    </row>
    <row r="110">
      <c r="B110" t="str">
        <v>Grendel</v>
      </c>
      <c r="D110">
        <v>2</v>
      </c>
      <c r="I110">
        <f>D110</f>
        <v>2</v>
      </c>
      <c r="J110" t="str">
        <v>set</v>
      </c>
      <c r="K110">
        <f>K98</f>
        <v>0</v>
      </c>
      <c r="L110">
        <f>I110*K110</f>
        <v>0</v>
      </c>
    </row>
    <row r="111">
      <c r="B111" t="str">
        <v>Kait angin</v>
      </c>
      <c r="D111">
        <v>2</v>
      </c>
      <c r="I111">
        <f>D111</f>
        <v>2</v>
      </c>
      <c r="J111" t="str">
        <v>set</v>
      </c>
      <c r="K111">
        <f>K99</f>
        <v>0</v>
      </c>
      <c r="L111">
        <f>I111*K111</f>
        <v>0</v>
      </c>
    </row>
    <row r="112">
      <c r="K112" t="str">
        <v>jumlah</v>
      </c>
      <c r="L112">
        <f>SUM(L105:L111)</f>
        <v>0</v>
      </c>
    </row>
    <row r="113">
      <c r="K113" t="str">
        <v>di bulatkan</v>
      </c>
      <c r="L113">
        <f>SUM(L105:L111)</f>
        <v>0</v>
      </c>
    </row>
    <row r="115">
      <c r="A115">
        <f>A102+1</f>
        <v>9</v>
      </c>
      <c r="B115" t="str">
        <v>J 2 A</v>
      </c>
    </row>
    <row r="116">
      <c r="B116" t="str">
        <v>Alumunium standart 3" PC</v>
      </c>
      <c r="D116">
        <v>1.67</v>
      </c>
      <c r="H116">
        <v>3</v>
      </c>
      <c r="I116">
        <f>D116*H116</f>
        <v>5.01</v>
      </c>
    </row>
    <row r="117">
      <c r="D117">
        <v>1.35</v>
      </c>
      <c r="H117">
        <v>3</v>
      </c>
      <c r="I117">
        <f>D117*H117</f>
        <v>4.050000000000001</v>
      </c>
    </row>
    <row r="118">
      <c r="I118">
        <f>I116+I117</f>
        <v>9.06</v>
      </c>
      <c r="J118" t="str">
        <v>m1</v>
      </c>
      <c r="K118">
        <f>K105</f>
        <v>0</v>
      </c>
      <c r="L118">
        <f>I118*K118</f>
        <v>0</v>
      </c>
    </row>
    <row r="119">
      <c r="B119" t="str">
        <v>Alumunium standart 3" PC rangka daun jendela</v>
      </c>
      <c r="D119">
        <v>1.67</v>
      </c>
      <c r="H119">
        <v>4</v>
      </c>
      <c r="I119">
        <f>D119*H119</f>
        <v>6.68</v>
      </c>
    </row>
    <row r="120">
      <c r="D120">
        <v>1.35</v>
      </c>
      <c r="H120">
        <v>4</v>
      </c>
      <c r="I120">
        <f>D120*H120</f>
        <v>5.4</v>
      </c>
    </row>
    <row r="121">
      <c r="I121">
        <f>I119+I120</f>
        <v>12.08</v>
      </c>
      <c r="J121" t="str">
        <v>m1</v>
      </c>
      <c r="K121">
        <f>K108</f>
        <v>0</v>
      </c>
      <c r="L121">
        <f>I121*K121</f>
        <v>0</v>
      </c>
    </row>
    <row r="122">
      <c r="B122" t="str">
        <v>Kaca 8 mm</v>
      </c>
      <c r="D122">
        <v>1.6</v>
      </c>
      <c r="E122">
        <v>1.3</v>
      </c>
      <c r="H122">
        <v>1</v>
      </c>
      <c r="I122">
        <f>D122*E122*H122</f>
        <v>2.08</v>
      </c>
      <c r="J122" t="str">
        <v>m2</v>
      </c>
      <c r="K122">
        <f>K109</f>
        <v>0</v>
      </c>
      <c r="L122">
        <f>I122*K122</f>
        <v>0</v>
      </c>
    </row>
    <row r="123">
      <c r="B123" t="str">
        <v>Grendel</v>
      </c>
      <c r="D123">
        <v>4</v>
      </c>
      <c r="I123">
        <f>D123</f>
        <v>4</v>
      </c>
      <c r="J123" t="str">
        <v>set</v>
      </c>
      <c r="K123">
        <f>K110</f>
        <v>0</v>
      </c>
      <c r="L123">
        <f>I123*K123</f>
        <v>0</v>
      </c>
    </row>
    <row r="124">
      <c r="B124" t="str">
        <v>Kait angin</v>
      </c>
      <c r="D124">
        <v>4</v>
      </c>
      <c r="I124">
        <f>D124</f>
        <v>4</v>
      </c>
      <c r="J124" t="str">
        <v>set</v>
      </c>
      <c r="K124">
        <f>K111</f>
        <v>0</v>
      </c>
      <c r="L124">
        <f>I124*K124</f>
        <v>0</v>
      </c>
    </row>
    <row r="125">
      <c r="K125" t="str">
        <v>jumlah</v>
      </c>
      <c r="L125">
        <f>SUM(L118:L124)</f>
        <v>0</v>
      </c>
    </row>
    <row r="126">
      <c r="K126" t="str">
        <v>di bulatkan</v>
      </c>
      <c r="L126">
        <f>ROUND(L125,-2)</f>
        <v>0</v>
      </c>
    </row>
    <row r="127">
      <c r="A127">
        <f>A115+1</f>
        <v>10</v>
      </c>
      <c r="B127" t="str">
        <v>J 2 B</v>
      </c>
    </row>
    <row r="128">
      <c r="B128" t="str">
        <v>Alumunium standart 3" PC</v>
      </c>
      <c r="D128">
        <v>1.6</v>
      </c>
      <c r="H128">
        <v>3</v>
      </c>
      <c r="I128">
        <f>D128*H128</f>
        <v>4.800000000000001</v>
      </c>
    </row>
    <row r="129">
      <c r="D129">
        <v>1.35</v>
      </c>
      <c r="H129">
        <v>4</v>
      </c>
      <c r="I129">
        <f>D129*H129</f>
        <v>5.4</v>
      </c>
    </row>
    <row r="130">
      <c r="I130">
        <f>I128+I129</f>
        <v>10.200000000000001</v>
      </c>
      <c r="J130" t="str">
        <v>m1</v>
      </c>
      <c r="K130">
        <f>K118</f>
        <v>0</v>
      </c>
      <c r="L130">
        <f>I130*K130</f>
        <v>0</v>
      </c>
    </row>
    <row r="131">
      <c r="B131" t="str">
        <v>Alumunium standart 3" PC rangka daun jendela</v>
      </c>
      <c r="D131">
        <v>1.6</v>
      </c>
      <c r="H131">
        <v>3</v>
      </c>
      <c r="I131">
        <f>D131*H131</f>
        <v>4.800000000000001</v>
      </c>
    </row>
    <row r="132">
      <c r="D132">
        <v>1.35</v>
      </c>
      <c r="H132">
        <v>4</v>
      </c>
      <c r="I132">
        <f>D132*H132</f>
        <v>5.4</v>
      </c>
    </row>
    <row r="133">
      <c r="I133">
        <f>I131+I132</f>
        <v>10.200000000000001</v>
      </c>
      <c r="J133" t="str">
        <v>m1</v>
      </c>
      <c r="K133">
        <f>K121</f>
        <v>0</v>
      </c>
      <c r="L133">
        <f>I133*K133</f>
        <v>0</v>
      </c>
    </row>
    <row r="134">
      <c r="B134" t="str">
        <v>Kaca 8 mm</v>
      </c>
      <c r="D134">
        <v>1.6</v>
      </c>
      <c r="E134">
        <v>1.3</v>
      </c>
      <c r="H134">
        <v>1</v>
      </c>
      <c r="I134">
        <f>D134*E134*H134</f>
        <v>2.08</v>
      </c>
      <c r="J134" t="str">
        <v>m2</v>
      </c>
      <c r="K134">
        <f>K122</f>
        <v>0</v>
      </c>
      <c r="L134">
        <f>I134*K134</f>
        <v>0</v>
      </c>
    </row>
    <row r="135">
      <c r="B135" t="str">
        <v>Grendel</v>
      </c>
      <c r="D135">
        <v>4</v>
      </c>
      <c r="I135">
        <f>D135</f>
        <v>4</v>
      </c>
      <c r="J135" t="str">
        <v>set</v>
      </c>
      <c r="K135">
        <f>K123</f>
        <v>0</v>
      </c>
      <c r="L135">
        <f>I135*K135</f>
        <v>0</v>
      </c>
    </row>
    <row r="136">
      <c r="B136" t="str">
        <v>Kait angin</v>
      </c>
      <c r="D136">
        <v>4</v>
      </c>
      <c r="I136">
        <f>D136</f>
        <v>4</v>
      </c>
      <c r="J136" t="str">
        <v>set</v>
      </c>
      <c r="K136">
        <f>K111</f>
        <v>0</v>
      </c>
      <c r="L136">
        <f>I136*K136</f>
        <v>0</v>
      </c>
    </row>
    <row r="137">
      <c r="K137" t="str">
        <v>jumlah</v>
      </c>
      <c r="L137">
        <f>SUM(L130:L136)</f>
        <v>0</v>
      </c>
    </row>
    <row r="138">
      <c r="K138" t="str">
        <v>di bulatkan</v>
      </c>
      <c r="L138">
        <f>ROUND(L137,-2)</f>
        <v>0</v>
      </c>
    </row>
    <row r="140">
      <c r="A140">
        <f>+A127+1</f>
        <v>11</v>
      </c>
      <c r="B140" t="str">
        <v>J 3 A</v>
      </c>
    </row>
    <row r="141">
      <c r="B141" t="str">
        <v>Alumunium standart 3" PC</v>
      </c>
      <c r="D141">
        <v>1.67</v>
      </c>
      <c r="H141">
        <v>4</v>
      </c>
      <c r="I141">
        <f>D141*H141</f>
        <v>6.68</v>
      </c>
    </row>
    <row r="142">
      <c r="D142">
        <v>2</v>
      </c>
      <c r="H142">
        <v>3</v>
      </c>
      <c r="I142">
        <f>D142*H142</f>
        <v>6</v>
      </c>
    </row>
    <row r="143">
      <c r="I143">
        <f>I141+I142</f>
        <v>12.68</v>
      </c>
      <c r="J143" t="str">
        <v>m1</v>
      </c>
      <c r="K143">
        <f>K130</f>
        <v>0</v>
      </c>
      <c r="L143">
        <f>I143*K143</f>
        <v>0</v>
      </c>
    </row>
    <row r="144">
      <c r="B144" t="str">
        <v>Alumunium standart 3" PC rangka daun jendela</v>
      </c>
      <c r="D144">
        <v>1.67</v>
      </c>
      <c r="H144">
        <v>6</v>
      </c>
      <c r="I144">
        <f>D144*H144</f>
        <v>10.02</v>
      </c>
    </row>
    <row r="145">
      <c r="D145">
        <v>2</v>
      </c>
      <c r="H145">
        <v>4</v>
      </c>
      <c r="I145">
        <f>D145*H145</f>
        <v>8</v>
      </c>
    </row>
    <row r="146">
      <c r="I146">
        <f>I144+I145</f>
        <v>18.02</v>
      </c>
      <c r="J146" t="str">
        <v>m1</v>
      </c>
      <c r="K146">
        <f>K133</f>
        <v>0</v>
      </c>
      <c r="L146">
        <f>I146*K146</f>
        <v>0</v>
      </c>
    </row>
    <row r="147">
      <c r="B147" t="str">
        <v>Kaca 8 mm</v>
      </c>
      <c r="D147">
        <v>1.6</v>
      </c>
      <c r="E147">
        <v>1.9</v>
      </c>
      <c r="H147">
        <v>1</v>
      </c>
      <c r="I147">
        <f>D147*E147*H147</f>
        <v>3.04</v>
      </c>
      <c r="J147" t="str">
        <v>m2</v>
      </c>
      <c r="K147">
        <f>K134</f>
        <v>0</v>
      </c>
      <c r="L147">
        <f>I147*K147</f>
        <v>0</v>
      </c>
    </row>
    <row r="148">
      <c r="B148" t="str">
        <v>Grendel</v>
      </c>
      <c r="D148">
        <v>6</v>
      </c>
      <c r="I148">
        <f>D148</f>
        <v>6</v>
      </c>
      <c r="J148" t="str">
        <v>set</v>
      </c>
      <c r="K148">
        <f>K135</f>
        <v>0</v>
      </c>
      <c r="L148">
        <f>I148*K148</f>
        <v>0</v>
      </c>
    </row>
    <row r="149">
      <c r="B149" t="str">
        <v>Kait angin</v>
      </c>
      <c r="D149">
        <v>6</v>
      </c>
      <c r="I149">
        <f>D149</f>
        <v>6</v>
      </c>
      <c r="J149" t="str">
        <v>set</v>
      </c>
      <c r="K149">
        <f>K124</f>
        <v>0</v>
      </c>
      <c r="L149">
        <f>I149*K149</f>
        <v>0</v>
      </c>
    </row>
    <row r="150">
      <c r="K150" t="str">
        <v>jumlah</v>
      </c>
      <c r="L150">
        <f>SUM(L142:L149)</f>
        <v>0</v>
      </c>
    </row>
    <row r="151">
      <c r="K151" t="str">
        <v>di bulatkan</v>
      </c>
      <c r="L151">
        <f>ROUND(L150,-2)</f>
        <v>0</v>
      </c>
    </row>
    <row r="153">
      <c r="A153">
        <f>+A140+1</f>
        <v>12</v>
      </c>
      <c r="B153" t="str">
        <v>J 3 B</v>
      </c>
    </row>
    <row r="154">
      <c r="B154" t="str">
        <v>Alumunium standart 3" PC</v>
      </c>
      <c r="D154">
        <v>1.9</v>
      </c>
      <c r="H154">
        <v>4</v>
      </c>
      <c r="I154">
        <f>D154*H154</f>
        <v>7.6</v>
      </c>
    </row>
    <row r="155">
      <c r="D155">
        <v>2</v>
      </c>
      <c r="H155">
        <v>5</v>
      </c>
      <c r="I155">
        <f>D155*H155</f>
        <v>10</v>
      </c>
    </row>
    <row r="156">
      <c r="I156">
        <f>I154+I155</f>
        <v>17.6</v>
      </c>
      <c r="J156" t="str">
        <v>m1</v>
      </c>
      <c r="K156">
        <f>K143</f>
        <v>0</v>
      </c>
      <c r="L156">
        <f>I156*K156</f>
        <v>0</v>
      </c>
    </row>
    <row r="157">
      <c r="B157" t="str">
        <v>Alumunium standart 3" PC rangka daun jendela</v>
      </c>
      <c r="D157">
        <v>0.425</v>
      </c>
      <c r="H157">
        <v>6</v>
      </c>
      <c r="I157">
        <f>D157*H157</f>
        <v>2.55</v>
      </c>
    </row>
    <row r="158">
      <c r="D158">
        <v>0.61</v>
      </c>
      <c r="H158">
        <v>6</v>
      </c>
      <c r="I158">
        <f>D158*H158</f>
        <v>3.66</v>
      </c>
    </row>
    <row r="159">
      <c r="I159">
        <f>I157+I158</f>
        <v>6.21</v>
      </c>
      <c r="J159" t="str">
        <v>m1</v>
      </c>
      <c r="K159">
        <f>K146</f>
        <v>0</v>
      </c>
      <c r="L159">
        <f>I159*K159</f>
        <v>0</v>
      </c>
    </row>
    <row r="160">
      <c r="B160" t="str">
        <v>Kaca 8 mm</v>
      </c>
      <c r="D160">
        <v>1.8</v>
      </c>
      <c r="E160">
        <v>1.9</v>
      </c>
      <c r="H160">
        <v>1</v>
      </c>
      <c r="I160">
        <f>D160*E160*H160</f>
        <v>3.42</v>
      </c>
      <c r="J160" t="str">
        <v>m2</v>
      </c>
      <c r="K160">
        <f>K134</f>
        <v>0</v>
      </c>
      <c r="L160">
        <f>I160*K160</f>
        <v>0</v>
      </c>
    </row>
    <row r="161">
      <c r="B161" t="str">
        <f>B148</f>
        <v>Grendel</v>
      </c>
      <c r="D161">
        <v>6</v>
      </c>
      <c r="I161">
        <f>D161</f>
        <v>6</v>
      </c>
      <c r="J161" t="str">
        <v>set</v>
      </c>
      <c r="K161">
        <f>K148</f>
        <v>0</v>
      </c>
      <c r="L161">
        <f>I161*K161</f>
        <v>0</v>
      </c>
    </row>
    <row r="162">
      <c r="B162" t="str">
        <v>Kait angin</v>
      </c>
      <c r="D162">
        <v>6</v>
      </c>
      <c r="I162">
        <f>D162</f>
        <v>6</v>
      </c>
      <c r="J162" t="str">
        <v>set</v>
      </c>
      <c r="K162">
        <f>K149</f>
        <v>0</v>
      </c>
      <c r="L162">
        <f>I162*K162</f>
        <v>0</v>
      </c>
    </row>
    <row r="163">
      <c r="K163" t="str">
        <v>jumlah</v>
      </c>
      <c r="L163">
        <f>SUM(L155:L162)</f>
        <v>0</v>
      </c>
    </row>
    <row r="164">
      <c r="K164" t="str">
        <v>di bulatkan</v>
      </c>
      <c r="L164">
        <f>ROUND(L163,-2)</f>
        <v>0</v>
      </c>
    </row>
    <row r="165">
      <c r="A165">
        <f>+A153+1</f>
        <v>13</v>
      </c>
      <c r="B165" t="str">
        <v>J 4 A</v>
      </c>
    </row>
    <row r="166">
      <c r="B166" t="str">
        <v>Alumunium standart 3" PC</v>
      </c>
      <c r="D166">
        <v>1.67</v>
      </c>
      <c r="H166">
        <v>5</v>
      </c>
      <c r="I166">
        <f>D166*H166</f>
        <v>8.35</v>
      </c>
    </row>
    <row r="167">
      <c r="D167">
        <v>3.4</v>
      </c>
      <c r="H167">
        <v>3</v>
      </c>
      <c r="I167">
        <f>D167*H167</f>
        <v>10.2</v>
      </c>
    </row>
    <row r="168">
      <c r="I168">
        <f>I166+I167</f>
        <v>18.549999999999997</v>
      </c>
      <c r="J168" t="str">
        <v>m1</v>
      </c>
      <c r="K168">
        <f>K156</f>
        <v>0</v>
      </c>
      <c r="L168">
        <f>I168*K168</f>
        <v>0</v>
      </c>
    </row>
    <row r="169">
      <c r="B169" t="str">
        <v>Kaca 8 mm</v>
      </c>
      <c r="D169">
        <v>1.6</v>
      </c>
      <c r="E169">
        <v>3.4</v>
      </c>
      <c r="H169">
        <v>1</v>
      </c>
      <c r="I169">
        <f>D169*E169*H169</f>
        <v>5.44</v>
      </c>
      <c r="J169" t="str">
        <v>m2</v>
      </c>
      <c r="K169">
        <f>K160</f>
        <v>0</v>
      </c>
      <c r="L169">
        <f>I169*K169</f>
        <v>0</v>
      </c>
    </row>
    <row r="170">
      <c r="K170" t="str">
        <v>jumlah</v>
      </c>
      <c r="L170">
        <f>SUM(L168:L169)</f>
        <v>0</v>
      </c>
    </row>
    <row r="171">
      <c r="K171" t="str">
        <v>di bulatkan</v>
      </c>
      <c r="L171">
        <f>ROUND(L170,-2)</f>
        <v>0</v>
      </c>
    </row>
    <row r="173">
      <c r="A173">
        <f>A165+1</f>
        <v>14</v>
      </c>
      <c r="B173" t="str">
        <v>J 5 A</v>
      </c>
    </row>
    <row r="174">
      <c r="B174" t="str">
        <v>Alumunium standart 3" PC</v>
      </c>
      <c r="D174">
        <v>1.9</v>
      </c>
      <c r="H174">
        <v>8</v>
      </c>
      <c r="I174">
        <f>D174*H174</f>
        <v>15.2</v>
      </c>
    </row>
    <row r="175">
      <c r="D175">
        <v>4.52</v>
      </c>
      <c r="H175">
        <v>5</v>
      </c>
      <c r="I175">
        <f>D175*H175</f>
        <v>22.599999999999998</v>
      </c>
    </row>
    <row r="176">
      <c r="I176">
        <f>I174+I175</f>
        <v>37.8</v>
      </c>
      <c r="J176" t="str">
        <v>m1</v>
      </c>
      <c r="K176">
        <f>K168</f>
        <v>0</v>
      </c>
      <c r="L176">
        <f>I176*K176</f>
        <v>0</v>
      </c>
    </row>
    <row r="177">
      <c r="B177" t="str">
        <v>Alumunium standart 3" rangka daun jendela</v>
      </c>
      <c r="D177">
        <v>0.425</v>
      </c>
      <c r="H177">
        <v>20</v>
      </c>
      <c r="I177">
        <f>D177*H177</f>
        <v>8.5</v>
      </c>
    </row>
    <row r="178">
      <c r="D178">
        <v>0.6</v>
      </c>
      <c r="H178">
        <v>20</v>
      </c>
      <c r="I178">
        <f>D178*H178</f>
        <v>12</v>
      </c>
    </row>
    <row r="179">
      <c r="I179">
        <f>I177+I178</f>
        <v>20.5</v>
      </c>
      <c r="J179" t="str">
        <v>m1</v>
      </c>
      <c r="K179">
        <f>K159</f>
        <v>0</v>
      </c>
      <c r="L179">
        <f>I179*K179</f>
        <v>0</v>
      </c>
    </row>
    <row r="180">
      <c r="B180" t="str">
        <v>Kaca 8 mm</v>
      </c>
      <c r="D180">
        <v>1.9</v>
      </c>
      <c r="E180">
        <v>4.5</v>
      </c>
      <c r="H180">
        <v>1</v>
      </c>
      <c r="I180">
        <f>D180*E180*H180</f>
        <v>8.549999999999999</v>
      </c>
      <c r="J180" t="str">
        <v>m2</v>
      </c>
      <c r="K180">
        <f>K160</f>
        <v>0</v>
      </c>
      <c r="L180">
        <f>I180*K180</f>
        <v>0</v>
      </c>
    </row>
    <row r="181">
      <c r="B181" t="str">
        <f>B161</f>
        <v>Grendel</v>
      </c>
      <c r="D181">
        <v>10</v>
      </c>
      <c r="I181">
        <f>D181</f>
        <v>10</v>
      </c>
      <c r="J181" t="str">
        <v>set</v>
      </c>
      <c r="K181">
        <f>K161</f>
        <v>0</v>
      </c>
      <c r="L181">
        <f>I181*K181</f>
        <v>0</v>
      </c>
    </row>
    <row r="182">
      <c r="B182" t="str">
        <v>Kait angin</v>
      </c>
      <c r="D182">
        <v>10</v>
      </c>
      <c r="I182">
        <f>D182</f>
        <v>10</v>
      </c>
      <c r="J182" t="str">
        <v>set</v>
      </c>
      <c r="K182">
        <f>K162</f>
        <v>0</v>
      </c>
      <c r="L182">
        <f>I182*K182</f>
        <v>0</v>
      </c>
    </row>
    <row r="183">
      <c r="K183" t="str">
        <v>jumlah</v>
      </c>
      <c r="L183">
        <f>SUM(L176:L182)</f>
        <v>0</v>
      </c>
    </row>
    <row r="184">
      <c r="K184" t="str">
        <v>di bulatkan</v>
      </c>
      <c r="L184">
        <f>ROUND(L183,-2)</f>
        <v>0</v>
      </c>
    </row>
    <row r="187">
      <c r="A187" t="str">
        <v>ANALISA HARGA SATUAN KUSEN</v>
      </c>
    </row>
    <row r="188">
      <c r="A188" t="str">
        <v>BANGUNAN GEDUNG BETINGKAT SEDERHANA</v>
      </c>
    </row>
    <row r="190">
      <c r="A190" t="str">
        <v>NO</v>
      </c>
      <c r="B190" t="str">
        <v>ITEM PEKERJAAN</v>
      </c>
      <c r="D190" t="str">
        <v>PANJANG</v>
      </c>
      <c r="E190" t="str">
        <v>LEBAR</v>
      </c>
      <c r="F190" t="str">
        <v>LEBAR</v>
      </c>
      <c r="G190" t="str">
        <v>TINGGI</v>
      </c>
      <c r="H190" t="str">
        <v>JML</v>
      </c>
      <c r="I190" t="str">
        <v>VOLUME</v>
      </c>
      <c r="J190" t="str">
        <v>SAT</v>
      </c>
      <c r="K190" t="str">
        <v xml:space="preserve">HARGA </v>
      </c>
      <c r="L190" t="str">
        <v>JUMLAH</v>
      </c>
    </row>
    <row r="191">
      <c r="E191" t="str">
        <v>atas</v>
      </c>
      <c r="F191" t="str">
        <v>bawah</v>
      </c>
      <c r="G191" t="str">
        <v>BERAT</v>
      </c>
      <c r="K191" t="str">
        <v>SATUAN</v>
      </c>
      <c r="L191" t="str">
        <v>HARGA</v>
      </c>
    </row>
    <row r="192">
      <c r="A192">
        <f>A184+1</f>
        <v>1</v>
      </c>
      <c r="B192" t="str">
        <v>P 1 A</v>
      </c>
    </row>
    <row r="193">
      <c r="B193" t="str">
        <v>Kusen alumunium 3" CA</v>
      </c>
      <c r="D193">
        <v>2.52</v>
      </c>
      <c r="H193">
        <v>2</v>
      </c>
      <c r="I193">
        <f>D193*H193</f>
        <v>5.04</v>
      </c>
    </row>
    <row r="194">
      <c r="D194">
        <v>1</v>
      </c>
      <c r="H194">
        <v>2</v>
      </c>
      <c r="I194">
        <f>D194*H194</f>
        <v>2</v>
      </c>
    </row>
    <row r="195">
      <c r="I195">
        <f>I193+I194</f>
        <v>7.04</v>
      </c>
      <c r="J195" t="str">
        <v>m1</v>
      </c>
      <c r="K195">
        <f>SNI!L632</f>
        <v>0</v>
      </c>
      <c r="L195">
        <f>I195*K195</f>
        <v>0</v>
      </c>
    </row>
    <row r="196">
      <c r="B196" t="str">
        <v>Frame pintu alumunium 4" CA</v>
      </c>
      <c r="D196">
        <v>2.4</v>
      </c>
      <c r="H196">
        <v>2</v>
      </c>
      <c r="I196">
        <f>D196*H196</f>
        <v>4.8</v>
      </c>
    </row>
    <row r="197">
      <c r="D197">
        <v>0.9</v>
      </c>
      <c r="H197">
        <v>4</v>
      </c>
      <c r="I197">
        <f>D197*H197</f>
        <v>3.6</v>
      </c>
    </row>
    <row r="198">
      <c r="I198">
        <f>I196+I197</f>
        <v>8.4</v>
      </c>
      <c r="J198" t="str">
        <v>m1</v>
      </c>
      <c r="K198">
        <f>SNI!L656</f>
        <v>0</v>
      </c>
      <c r="L198">
        <f>I198*K198</f>
        <v>0</v>
      </c>
    </row>
    <row r="199">
      <c r="B199" t="str">
        <v>Kaca 8 mm</v>
      </c>
      <c r="D199">
        <v>2.4</v>
      </c>
      <c r="E199">
        <v>0.9</v>
      </c>
      <c r="H199">
        <v>1</v>
      </c>
      <c r="I199">
        <f>D199*E199*H199</f>
        <v>2.16</v>
      </c>
      <c r="J199" t="str">
        <v>m2</v>
      </c>
      <c r="K199">
        <f>SNI!L932</f>
        <v>0</v>
      </c>
      <c r="L199">
        <f>I199*K199</f>
        <v>0</v>
      </c>
    </row>
    <row r="200">
      <c r="B200" t="str">
        <v>Engsel 4"</v>
      </c>
      <c r="I200">
        <v>3</v>
      </c>
      <c r="J200" t="str">
        <v>bh</v>
      </c>
      <c r="K200">
        <f>SNI!L897</f>
        <v>0</v>
      </c>
      <c r="L200">
        <f>I200*K200</f>
        <v>0</v>
      </c>
    </row>
    <row r="201">
      <c r="B201" t="str">
        <v>Handle pintu type HRE 75.01 ex CISA</v>
      </c>
      <c r="I201">
        <v>1</v>
      </c>
      <c r="J201" t="str">
        <v>bh</v>
      </c>
      <c r="K201">
        <f>SNI!L827</f>
        <v>0</v>
      </c>
      <c r="L201">
        <f>I201*K201</f>
        <v>0</v>
      </c>
    </row>
    <row r="202">
      <c r="B202" t="str">
        <v>Selinder CISA type 08510 ex CISA</v>
      </c>
      <c r="I202">
        <v>1</v>
      </c>
      <c r="J202" t="str">
        <v>bh</v>
      </c>
      <c r="K202">
        <f>SNI!L834</f>
        <v>0</v>
      </c>
      <c r="L202">
        <f>I202*K202</f>
        <v>0</v>
      </c>
    </row>
    <row r="203">
      <c r="B203" t="str">
        <v>Door Stoper</v>
      </c>
      <c r="I203">
        <v>1</v>
      </c>
      <c r="J203" t="str">
        <v>bh</v>
      </c>
      <c r="K203">
        <f>SNI!L848</f>
        <v>0</v>
      </c>
      <c r="L203">
        <f>I203*K203</f>
        <v>0</v>
      </c>
    </row>
    <row r="204">
      <c r="B204" t="str">
        <v>Door closer</v>
      </c>
      <c r="I204">
        <v>1</v>
      </c>
      <c r="J204" t="str">
        <v>bh</v>
      </c>
      <c r="K204">
        <f>SNI!L855</f>
        <v>0</v>
      </c>
      <c r="L204">
        <f>I204*K204</f>
        <v>0</v>
      </c>
    </row>
    <row r="205">
      <c r="B205" t="str">
        <v>Slot pengunci</v>
      </c>
      <c r="D205">
        <v>1</v>
      </c>
      <c r="I205">
        <f>D205</f>
        <v>1</v>
      </c>
      <c r="J205" t="str">
        <v>set</v>
      </c>
      <c r="K205">
        <f>K23</f>
        <v>0</v>
      </c>
      <c r="L205">
        <f>I205*K205</f>
        <v>0</v>
      </c>
    </row>
    <row r="206">
      <c r="K206" t="str">
        <v>jumlah</v>
      </c>
      <c r="L206">
        <f>SUM(L195:L205)</f>
        <v>0</v>
      </c>
    </row>
    <row r="207">
      <c r="K207" t="str">
        <v>di bulatkan</v>
      </c>
      <c r="L207">
        <f>ROUND(L206,-2)</f>
        <v>0</v>
      </c>
    </row>
    <row r="209">
      <c r="A209">
        <f>A192+1</f>
        <v>2</v>
      </c>
      <c r="B209" t="str">
        <v>P 1 B</v>
      </c>
    </row>
    <row r="210">
      <c r="B210" t="str">
        <v>Kusen &amp; Pintu PVC toilet</v>
      </c>
      <c r="D210">
        <v>1</v>
      </c>
      <c r="H210">
        <v>1</v>
      </c>
      <c r="I210">
        <v>1</v>
      </c>
      <c r="J210" t="str">
        <v>unit</v>
      </c>
      <c r="K210">
        <f>SNI!L648</f>
        <v>0</v>
      </c>
      <c r="L210">
        <f>I210*K210</f>
        <v>0</v>
      </c>
    </row>
    <row r="211">
      <c r="K211" t="str">
        <v>jumlah</v>
      </c>
      <c r="L211">
        <f>SUM(L210:L210)</f>
        <v>0</v>
      </c>
    </row>
    <row r="212">
      <c r="K212" t="str">
        <v>di bulatkan</v>
      </c>
      <c r="L212">
        <f>ROUND(L211,-2)</f>
        <v>0</v>
      </c>
    </row>
    <row r="214">
      <c r="A214">
        <f>A209+1</f>
        <v>3</v>
      </c>
      <c r="B214" t="str">
        <v>P 1 C</v>
      </c>
    </row>
    <row r="215">
      <c r="B215" t="str">
        <v>Kusen &amp; Pintu PVC toilet</v>
      </c>
      <c r="D215">
        <v>1</v>
      </c>
      <c r="H215">
        <v>1</v>
      </c>
      <c r="I215">
        <v>1</v>
      </c>
      <c r="J215" t="str">
        <v>unit</v>
      </c>
      <c r="K215">
        <f>SNI!L648</f>
        <v>0</v>
      </c>
      <c r="L215">
        <f>I215*K215</f>
        <v>0</v>
      </c>
    </row>
    <row r="216">
      <c r="K216" t="str">
        <v>jumlah</v>
      </c>
      <c r="L216">
        <f>SUM(L215:L215)</f>
        <v>0</v>
      </c>
    </row>
    <row r="217">
      <c r="K217" t="str">
        <v>di bulatkan</v>
      </c>
      <c r="L217">
        <f>ROUND(L216,-2)</f>
        <v>0</v>
      </c>
    </row>
    <row r="218">
      <c r="L218">
        <f>I218*K218</f>
        <v>0</v>
      </c>
    </row>
    <row r="219">
      <c r="A219">
        <f>A214+1</f>
        <v>4</v>
      </c>
      <c r="B219" t="str">
        <v>P 2 A</v>
      </c>
    </row>
    <row r="220">
      <c r="B220" t="str">
        <v>Alumunium standart 3" CA</v>
      </c>
      <c r="D220">
        <v>2.52</v>
      </c>
      <c r="H220">
        <v>2</v>
      </c>
      <c r="I220">
        <f>D220*H220</f>
        <v>5.04</v>
      </c>
    </row>
    <row r="221">
      <c r="D221">
        <v>1.9</v>
      </c>
      <c r="H221">
        <v>2</v>
      </c>
      <c r="I221">
        <f>D221*H221</f>
        <v>3.8</v>
      </c>
    </row>
    <row r="222">
      <c r="I222">
        <f>I220+I221</f>
        <v>8.84</v>
      </c>
      <c r="J222" t="str">
        <v>m1</v>
      </c>
      <c r="K222">
        <f>SNI!L632</f>
        <v>0</v>
      </c>
      <c r="L222">
        <f>I222*K222</f>
        <v>0</v>
      </c>
    </row>
    <row r="223">
      <c r="B223" t="str">
        <v>Alumunium standart 3" CA rangka daun jendela</v>
      </c>
      <c r="D223">
        <v>2.08</v>
      </c>
      <c r="H223">
        <v>2</v>
      </c>
      <c r="I223">
        <f>D223*H223</f>
        <v>4.16</v>
      </c>
    </row>
    <row r="224">
      <c r="D224">
        <v>1.8</v>
      </c>
      <c r="H224">
        <v>2</v>
      </c>
      <c r="I224">
        <f>D224*H224</f>
        <v>3.6</v>
      </c>
    </row>
    <row r="225">
      <c r="I225">
        <f>I223+I224</f>
        <v>7.76</v>
      </c>
      <c r="J225" t="str">
        <v>m1</v>
      </c>
      <c r="K225">
        <f>SNI!L673</f>
        <v>0</v>
      </c>
      <c r="L225">
        <f>I225*K225</f>
        <v>0</v>
      </c>
    </row>
    <row r="226">
      <c r="B226" t="str">
        <v>Kaca 8 mm</v>
      </c>
      <c r="D226">
        <v>2.4</v>
      </c>
      <c r="E226">
        <v>1.8</v>
      </c>
      <c r="H226">
        <v>1</v>
      </c>
      <c r="I226">
        <f>D226*E226*H226</f>
        <v>4.32</v>
      </c>
      <c r="J226" t="str">
        <v>m2</v>
      </c>
      <c r="K226">
        <f>K199</f>
        <v>0</v>
      </c>
      <c r="L226">
        <f>I226*K226</f>
        <v>0</v>
      </c>
    </row>
    <row r="227">
      <c r="B227" t="str">
        <v>Engsel 4"</v>
      </c>
      <c r="I227">
        <v>3</v>
      </c>
      <c r="J227" t="str">
        <v>bh</v>
      </c>
      <c r="K227">
        <f>K200</f>
        <v>0</v>
      </c>
      <c r="L227">
        <f>I227*K227</f>
        <v>0</v>
      </c>
    </row>
    <row r="228">
      <c r="B228" t="str">
        <v>Handle pintu type HRE 75.01 ex CISA</v>
      </c>
      <c r="I228">
        <v>1</v>
      </c>
      <c r="J228" t="str">
        <v>bh</v>
      </c>
      <c r="K228">
        <f>K201</f>
        <v>0</v>
      </c>
      <c r="L228">
        <f>I228*K228</f>
        <v>0</v>
      </c>
    </row>
    <row r="229">
      <c r="B229" t="str">
        <v>Selinder CISA type 08510 ex CISA</v>
      </c>
      <c r="I229">
        <v>1</v>
      </c>
      <c r="J229" t="str">
        <v>bh</v>
      </c>
      <c r="K229">
        <f>K202</f>
        <v>0</v>
      </c>
      <c r="L229">
        <f>I229*K229</f>
        <v>0</v>
      </c>
    </row>
    <row r="230">
      <c r="B230" t="str">
        <v>Door Stoper</v>
      </c>
      <c r="I230">
        <v>1</v>
      </c>
      <c r="J230" t="str">
        <v>bh</v>
      </c>
      <c r="K230">
        <f>K203</f>
        <v>0</v>
      </c>
      <c r="L230">
        <f>I230*K230</f>
        <v>0</v>
      </c>
    </row>
    <row r="231">
      <c r="B231" t="str">
        <v>Door closer</v>
      </c>
      <c r="I231">
        <v>1</v>
      </c>
      <c r="J231" t="str">
        <v>bh</v>
      </c>
      <c r="L231">
        <f>I231*K231</f>
        <v>0</v>
      </c>
    </row>
    <row r="232">
      <c r="B232" t="str">
        <v>Slot pengunci</v>
      </c>
      <c r="D232">
        <v>1</v>
      </c>
      <c r="I232">
        <f>D232</f>
        <v>1</v>
      </c>
      <c r="J232" t="str">
        <v>set</v>
      </c>
      <c r="K232">
        <f>K205</f>
        <v>0</v>
      </c>
      <c r="L232">
        <f>I232*K232</f>
        <v>0</v>
      </c>
    </row>
    <row r="233">
      <c r="K233" t="str">
        <v>jumlah</v>
      </c>
      <c r="L233">
        <f>SUM(L219:L232)</f>
        <v>0</v>
      </c>
    </row>
    <row r="234">
      <c r="K234" t="str">
        <v>di bulatkan</v>
      </c>
      <c r="L234">
        <f>ROUND(L233,-2)</f>
        <v>0</v>
      </c>
    </row>
    <row r="236">
      <c r="A236">
        <f>A219+1</f>
        <v>5</v>
      </c>
      <c r="B236" t="str">
        <v>P J 1</v>
      </c>
    </row>
    <row r="237">
      <c r="B237" t="str">
        <v>Alumunium standart 3" CA</v>
      </c>
      <c r="D237">
        <v>3.2</v>
      </c>
      <c r="H237">
        <v>2</v>
      </c>
      <c r="I237">
        <f>D237*H237</f>
        <v>6.4</v>
      </c>
    </row>
    <row r="238">
      <c r="D238">
        <v>0.65</v>
      </c>
      <c r="H238">
        <v>2</v>
      </c>
      <c r="I238">
        <f>D238*H238</f>
        <v>1.3</v>
      </c>
    </row>
    <row r="239">
      <c r="D239">
        <v>2.3</v>
      </c>
      <c r="H239">
        <v>2</v>
      </c>
      <c r="I239">
        <f>D239*H239</f>
        <v>4.6</v>
      </c>
    </row>
    <row r="240">
      <c r="D240">
        <v>2.52</v>
      </c>
      <c r="H240">
        <v>2</v>
      </c>
      <c r="I240">
        <f>D240*H240</f>
        <v>5.04</v>
      </c>
    </row>
    <row r="241">
      <c r="D241">
        <v>0.5</v>
      </c>
      <c r="H241">
        <v>1</v>
      </c>
      <c r="I241">
        <f>D241*H241</f>
        <v>0.5</v>
      </c>
    </row>
    <row r="242">
      <c r="I242">
        <f>SUM(I237:I241)</f>
        <v>17.84</v>
      </c>
      <c r="J242" t="str">
        <v>m1</v>
      </c>
      <c r="K242">
        <f>K222</f>
        <v>0</v>
      </c>
      <c r="L242">
        <f>I242*K242</f>
        <v>0</v>
      </c>
    </row>
    <row r="243">
      <c r="B243" t="str">
        <v>Alumunium standart 3" CA rangka daun jendela</v>
      </c>
      <c r="D243">
        <v>2.4</v>
      </c>
      <c r="H243">
        <v>4</v>
      </c>
      <c r="I243">
        <f>D243*H243</f>
        <v>9.6</v>
      </c>
    </row>
    <row r="244">
      <c r="D244">
        <v>0.4</v>
      </c>
      <c r="H244">
        <v>8</v>
      </c>
      <c r="I244">
        <f>D244*H244</f>
        <v>3.2</v>
      </c>
    </row>
    <row r="245">
      <c r="D245">
        <v>0.65</v>
      </c>
      <c r="H245">
        <v>4</v>
      </c>
      <c r="I245">
        <f>D245*H245</f>
        <v>2.6</v>
      </c>
    </row>
    <row r="246">
      <c r="D246">
        <v>0.9</v>
      </c>
      <c r="H246">
        <v>4</v>
      </c>
      <c r="I246">
        <f>D246*H246</f>
        <v>3.6</v>
      </c>
    </row>
    <row r="247">
      <c r="I247">
        <f>SUM(I243:I246)</f>
        <v>19</v>
      </c>
      <c r="J247" t="str">
        <v>m1</v>
      </c>
      <c r="K247">
        <f>K225</f>
        <v>0</v>
      </c>
      <c r="L247">
        <f>I247*K247</f>
        <v>0</v>
      </c>
    </row>
    <row r="248">
      <c r="B248" t="str">
        <v>Kaca 8 mm</v>
      </c>
      <c r="D248">
        <v>2.4</v>
      </c>
      <c r="E248">
        <v>1.8</v>
      </c>
      <c r="H248">
        <v>1</v>
      </c>
      <c r="I248">
        <f>D248*E248*H248</f>
        <v>4.32</v>
      </c>
      <c r="J248" t="str">
        <v>m2</v>
      </c>
      <c r="K248">
        <f>K226</f>
        <v>0</v>
      </c>
      <c r="L248">
        <f>I248*K248</f>
        <v>0</v>
      </c>
    </row>
    <row r="249">
      <c r="D249">
        <v>0.6</v>
      </c>
      <c r="E249">
        <v>2.3</v>
      </c>
      <c r="H249">
        <v>2</v>
      </c>
      <c r="I249">
        <f>D249*E249*H249</f>
        <v>2.76</v>
      </c>
      <c r="J249" t="str">
        <v>m2</v>
      </c>
      <c r="K249">
        <f>K248</f>
        <v>0</v>
      </c>
      <c r="L249">
        <f>I249*K249</f>
        <v>0</v>
      </c>
    </row>
    <row r="250">
      <c r="B250" t="str">
        <v>Engsel 4"</v>
      </c>
      <c r="I250">
        <v>3</v>
      </c>
      <c r="J250" t="str">
        <v>bh</v>
      </c>
      <c r="K250">
        <f>K200</f>
        <v>0</v>
      </c>
      <c r="L250">
        <f>I250*K250</f>
        <v>0</v>
      </c>
    </row>
    <row r="251">
      <c r="B251" t="str">
        <v>Handle pintu type HRE 75.01 ex CISA</v>
      </c>
      <c r="I251">
        <v>1</v>
      </c>
      <c r="J251" t="str">
        <v>bh</v>
      </c>
      <c r="K251">
        <f>K201</f>
        <v>0</v>
      </c>
      <c r="L251">
        <f>I251*K251</f>
        <v>0</v>
      </c>
    </row>
    <row r="252">
      <c r="B252" t="str">
        <v>Selinder CISA type 08510 ex CISA</v>
      </c>
      <c r="I252">
        <v>1</v>
      </c>
      <c r="J252" t="str">
        <v>bh</v>
      </c>
      <c r="K252">
        <f>K202</f>
        <v>0</v>
      </c>
      <c r="L252">
        <f>I252*K252</f>
        <v>0</v>
      </c>
    </row>
    <row r="253">
      <c r="B253" t="str">
        <v>Slot pengunci</v>
      </c>
      <c r="D253">
        <v>1</v>
      </c>
      <c r="I253">
        <f>D253</f>
        <v>1</v>
      </c>
      <c r="J253" t="str">
        <v>set</v>
      </c>
      <c r="K253">
        <f>K205</f>
        <v>0</v>
      </c>
      <c r="L253">
        <f>I253*K253</f>
        <v>0</v>
      </c>
    </row>
    <row r="254">
      <c r="K254" t="str">
        <v>jumlah</v>
      </c>
      <c r="L254">
        <f>SUM(L241:L253)</f>
        <v>0</v>
      </c>
    </row>
    <row r="255">
      <c r="K255" t="str">
        <v>di bulatkan</v>
      </c>
      <c r="L255">
        <f>ROUND(L254,-2)</f>
        <v>0</v>
      </c>
    </row>
    <row r="257">
      <c r="A257">
        <f>A236+1</f>
        <v>6</v>
      </c>
      <c r="B257" t="str">
        <v>J 1 A</v>
      </c>
    </row>
    <row r="258">
      <c r="B258" t="str">
        <v>Alumunium standart 3" CA</v>
      </c>
      <c r="D258">
        <v>0.62</v>
      </c>
      <c r="H258">
        <v>4</v>
      </c>
      <c r="I258">
        <f>D258*H258</f>
        <v>2.48</v>
      </c>
    </row>
    <row r="259">
      <c r="D259">
        <v>0.45</v>
      </c>
      <c r="H259">
        <v>4</v>
      </c>
      <c r="I259">
        <f>D259*H259</f>
        <v>1.8</v>
      </c>
    </row>
    <row r="260">
      <c r="I260">
        <f>I258+I259</f>
        <v>4.28</v>
      </c>
      <c r="J260" t="str">
        <v>m1</v>
      </c>
      <c r="K260">
        <f>K242</f>
        <v>0</v>
      </c>
      <c r="L260">
        <f>I260*K260</f>
        <v>0</v>
      </c>
    </row>
    <row r="261">
      <c r="B261" t="str">
        <v>Alumunium standart 3" CA rangka daun jendela</v>
      </c>
      <c r="D261">
        <v>0.6</v>
      </c>
      <c r="H261">
        <v>4</v>
      </c>
      <c r="I261">
        <f>D261*H261</f>
        <v>2.4</v>
      </c>
    </row>
    <row r="262">
      <c r="D262">
        <v>0.45</v>
      </c>
      <c r="H262">
        <v>4</v>
      </c>
      <c r="I262">
        <f>D262*H262</f>
        <v>1.8</v>
      </c>
    </row>
    <row r="263">
      <c r="I263">
        <f>I261+I262</f>
        <v>4.2</v>
      </c>
      <c r="J263" t="str">
        <v>m1</v>
      </c>
      <c r="K263">
        <f>K247</f>
        <v>0</v>
      </c>
      <c r="L263">
        <f>I263*K263</f>
        <v>0</v>
      </c>
    </row>
    <row r="264">
      <c r="B264" t="str">
        <v>Kaca 8 mm</v>
      </c>
      <c r="D264">
        <v>0.62</v>
      </c>
      <c r="E264">
        <v>0.45</v>
      </c>
      <c r="H264">
        <v>2</v>
      </c>
      <c r="I264">
        <f>D264*E264*H264</f>
        <v>0.558</v>
      </c>
      <c r="J264" t="str">
        <v>m2</v>
      </c>
      <c r="K264">
        <f>K249</f>
        <v>0</v>
      </c>
      <c r="L264">
        <f>I264*K264</f>
        <v>0</v>
      </c>
    </row>
    <row r="265">
      <c r="B265" t="str">
        <v>Grendel</v>
      </c>
      <c r="D265">
        <v>2</v>
      </c>
      <c r="I265">
        <f>D265</f>
        <v>2</v>
      </c>
      <c r="J265" t="str">
        <v>set</v>
      </c>
      <c r="K265">
        <f>K85</f>
        <v>0</v>
      </c>
      <c r="L265">
        <f>I265*K265</f>
        <v>0</v>
      </c>
    </row>
    <row r="266">
      <c r="B266" t="str">
        <v>Kait angin</v>
      </c>
      <c r="D266">
        <v>2</v>
      </c>
      <c r="I266">
        <f>D266</f>
        <v>2</v>
      </c>
      <c r="J266" t="str">
        <v>set</v>
      </c>
      <c r="K266">
        <f>K86</f>
        <v>0</v>
      </c>
      <c r="L266">
        <f>I266*K266</f>
        <v>0</v>
      </c>
    </row>
    <row r="267">
      <c r="K267" t="str">
        <v>jumlah</v>
      </c>
      <c r="L267">
        <f>SUM(L259:L266)</f>
        <v>0</v>
      </c>
    </row>
    <row r="268">
      <c r="K268" t="str">
        <v>di bulatkan</v>
      </c>
      <c r="L268">
        <f>ROUND(L267,-2)</f>
        <v>0</v>
      </c>
    </row>
    <row r="270">
      <c r="A270">
        <f>A257+1</f>
        <v>7</v>
      </c>
      <c r="B270" t="str">
        <v>J 1 B</v>
      </c>
    </row>
    <row r="271">
      <c r="B271" t="str">
        <v>Alumunium standart 3" CA</v>
      </c>
      <c r="D271">
        <v>1.62</v>
      </c>
      <c r="H271">
        <v>2</v>
      </c>
      <c r="I271">
        <f>D271*H271</f>
        <v>3.24</v>
      </c>
    </row>
    <row r="272">
      <c r="D272">
        <v>0.62</v>
      </c>
      <c r="H272">
        <v>3</v>
      </c>
      <c r="I272">
        <f>D272*H272</f>
        <v>1.8599999999999999</v>
      </c>
    </row>
    <row r="273">
      <c r="I273">
        <f>I271+I272</f>
        <v>5.1</v>
      </c>
      <c r="J273" t="str">
        <v>m1</v>
      </c>
      <c r="K273">
        <f>K260</f>
        <v>0</v>
      </c>
      <c r="L273">
        <f>I273*K273</f>
        <v>0</v>
      </c>
    </row>
    <row r="274">
      <c r="B274" t="str">
        <v>Alumunium standart 3" CA rangka daun jendela</v>
      </c>
      <c r="D274">
        <v>1.6</v>
      </c>
      <c r="H274">
        <v>2</v>
      </c>
      <c r="I274">
        <f>D274*H274</f>
        <v>3.2</v>
      </c>
    </row>
    <row r="275">
      <c r="D275">
        <v>0.6</v>
      </c>
      <c r="H275">
        <v>4</v>
      </c>
      <c r="I275">
        <f>D275*H275</f>
        <v>2.4</v>
      </c>
    </row>
    <row r="276">
      <c r="I276">
        <f>I274+I275</f>
        <v>5.6</v>
      </c>
      <c r="J276" t="str">
        <v>m1</v>
      </c>
      <c r="K276">
        <f>'Isi Data'!E45</f>
        <v>0</v>
      </c>
      <c r="L276">
        <f>I276*K276</f>
        <v>0</v>
      </c>
    </row>
    <row r="277">
      <c r="B277" t="str">
        <v>Kaca 8 mm</v>
      </c>
      <c r="D277">
        <v>1.6</v>
      </c>
      <c r="E277">
        <v>0.6</v>
      </c>
      <c r="H277">
        <v>1</v>
      </c>
      <c r="I277">
        <f>D277*E277*H277</f>
        <v>0.96</v>
      </c>
      <c r="J277" t="str">
        <v>m2</v>
      </c>
      <c r="K277">
        <f>K264</f>
        <v>0</v>
      </c>
      <c r="L277">
        <f>I277*K277</f>
        <v>0</v>
      </c>
    </row>
    <row r="278">
      <c r="B278" t="str">
        <v>Grendel</v>
      </c>
      <c r="D278">
        <v>2</v>
      </c>
      <c r="I278">
        <f>D278</f>
        <v>2</v>
      </c>
      <c r="J278" t="str">
        <v>set</v>
      </c>
      <c r="K278">
        <f>K265</f>
        <v>0</v>
      </c>
      <c r="L278">
        <f>I278*K278</f>
        <v>0</v>
      </c>
    </row>
    <row r="279">
      <c r="B279" t="str">
        <v>Kait angin</v>
      </c>
      <c r="D279">
        <v>2</v>
      </c>
      <c r="I279">
        <f>D279</f>
        <v>2</v>
      </c>
      <c r="J279" t="str">
        <v>set</v>
      </c>
      <c r="K279">
        <f>K266</f>
        <v>0</v>
      </c>
      <c r="L279">
        <f>I279*K279</f>
        <v>0</v>
      </c>
    </row>
    <row r="280">
      <c r="K280" t="str">
        <v>jumlah</v>
      </c>
      <c r="L280">
        <f>SUM(L272:L279)</f>
        <v>0</v>
      </c>
    </row>
    <row r="281">
      <c r="K281" t="str">
        <v>di bulatkan</v>
      </c>
      <c r="L281">
        <f>ROUND(L280,-2)</f>
        <v>0</v>
      </c>
    </row>
    <row r="282">
      <c r="A282">
        <f>+A270+1</f>
        <v>8</v>
      </c>
      <c r="B282" t="str">
        <v>J 1 C</v>
      </c>
    </row>
    <row r="283">
      <c r="B283" t="str">
        <v>Alumunium standart 3" CA</v>
      </c>
      <c r="D283">
        <v>1.67</v>
      </c>
      <c r="H283">
        <v>2</v>
      </c>
      <c r="I283">
        <f>D283*H283</f>
        <v>3.34</v>
      </c>
    </row>
    <row r="284">
      <c r="D284">
        <v>0.62</v>
      </c>
      <c r="H284">
        <v>4</v>
      </c>
      <c r="I284">
        <f>D284*H284</f>
        <v>2.48</v>
      </c>
    </row>
    <row r="285">
      <c r="I285">
        <f>I283+I284</f>
        <v>5.82</v>
      </c>
      <c r="J285" t="str">
        <v>m1</v>
      </c>
      <c r="K285">
        <f>K273</f>
        <v>0</v>
      </c>
      <c r="L285">
        <f>I285*K285</f>
        <v>0</v>
      </c>
    </row>
    <row r="286">
      <c r="B286" t="str">
        <v>Alumunium standart 3" CA rangka daun jendela</v>
      </c>
      <c r="D286">
        <v>1.67</v>
      </c>
      <c r="H286">
        <v>2</v>
      </c>
      <c r="I286">
        <f>D286*H286</f>
        <v>3.34</v>
      </c>
    </row>
    <row r="287">
      <c r="D287">
        <v>0.6</v>
      </c>
      <c r="H287">
        <v>4</v>
      </c>
      <c r="I287">
        <f>D287*H287</f>
        <v>2.4</v>
      </c>
    </row>
    <row r="288">
      <c r="I288">
        <f>I286+I287</f>
        <v>5.74</v>
      </c>
      <c r="J288" t="str">
        <v>m1</v>
      </c>
      <c r="K288">
        <f>K276</f>
        <v>0</v>
      </c>
      <c r="L288">
        <f>I288*K288</f>
        <v>0</v>
      </c>
    </row>
    <row r="289">
      <c r="B289" t="str">
        <v>Kaca 8 mm</v>
      </c>
      <c r="D289">
        <v>1.6</v>
      </c>
      <c r="E289">
        <v>0.6</v>
      </c>
      <c r="H289">
        <v>1</v>
      </c>
      <c r="I289">
        <f>D289*E289*H289</f>
        <v>0.96</v>
      </c>
      <c r="J289" t="str">
        <v>m2</v>
      </c>
      <c r="K289">
        <f>K277</f>
        <v>0</v>
      </c>
      <c r="L289">
        <f>I289*K289</f>
        <v>0</v>
      </c>
    </row>
    <row r="290">
      <c r="B290" t="str">
        <v>Grendel</v>
      </c>
      <c r="D290">
        <v>2</v>
      </c>
      <c r="I290">
        <f>D290</f>
        <v>2</v>
      </c>
      <c r="J290" t="str">
        <v>set</v>
      </c>
      <c r="K290">
        <f>K278</f>
        <v>0</v>
      </c>
      <c r="L290">
        <f>I290*K290</f>
        <v>0</v>
      </c>
    </row>
    <row r="291">
      <c r="B291" t="str">
        <v>Kait angin</v>
      </c>
      <c r="D291">
        <v>2</v>
      </c>
      <c r="I291">
        <f>D291</f>
        <v>2</v>
      </c>
      <c r="J291" t="str">
        <v>set</v>
      </c>
      <c r="K291">
        <f>K279</f>
        <v>0</v>
      </c>
      <c r="L291">
        <f>I291*K291</f>
        <v>0</v>
      </c>
    </row>
    <row r="292">
      <c r="K292" t="str">
        <v>jumlah</v>
      </c>
      <c r="L292">
        <f>SUM(L284:L291)</f>
        <v>0</v>
      </c>
    </row>
    <row r="293">
      <c r="K293" t="str">
        <v>di bulatkan</v>
      </c>
      <c r="L293">
        <f>SUM(L285:L291)</f>
        <v>0</v>
      </c>
    </row>
    <row r="295">
      <c r="A295">
        <f>A282+1</f>
        <v>9</v>
      </c>
      <c r="B295" t="str">
        <v>J 2 A</v>
      </c>
    </row>
    <row r="296">
      <c r="B296" t="str">
        <v>Alumunium standart 3" CA</v>
      </c>
      <c r="D296">
        <v>1.67</v>
      </c>
      <c r="H296">
        <v>3</v>
      </c>
      <c r="I296">
        <f>D296*H296</f>
        <v>5.01</v>
      </c>
    </row>
    <row r="297">
      <c r="D297">
        <v>1.35</v>
      </c>
      <c r="H297">
        <v>3</v>
      </c>
      <c r="I297">
        <f>D297*H297</f>
        <v>4.050000000000001</v>
      </c>
    </row>
    <row r="298">
      <c r="I298">
        <f>I296+I297</f>
        <v>9.06</v>
      </c>
      <c r="J298" t="str">
        <v>m1</v>
      </c>
      <c r="K298">
        <f>K285</f>
        <v>0</v>
      </c>
      <c r="L298">
        <f>I298*K298</f>
        <v>0</v>
      </c>
    </row>
    <row r="299">
      <c r="B299" t="str">
        <v>Alumunium standart 3" CA rangka daun jendela</v>
      </c>
      <c r="D299">
        <v>1.67</v>
      </c>
      <c r="H299">
        <v>4</v>
      </c>
      <c r="I299">
        <f>D299*H299</f>
        <v>6.68</v>
      </c>
    </row>
    <row r="300">
      <c r="D300">
        <v>1.35</v>
      </c>
      <c r="H300">
        <v>4</v>
      </c>
      <c r="I300">
        <f>D300*H300</f>
        <v>5.4</v>
      </c>
    </row>
    <row r="301">
      <c r="I301">
        <f>I299+I300</f>
        <v>12.08</v>
      </c>
      <c r="J301" t="str">
        <v>m1</v>
      </c>
      <c r="K301">
        <f>K288</f>
        <v>0</v>
      </c>
      <c r="L301">
        <f>I301*K301</f>
        <v>0</v>
      </c>
    </row>
    <row r="302">
      <c r="B302" t="str">
        <v>Kaca 8 mm</v>
      </c>
      <c r="D302">
        <v>1.6</v>
      </c>
      <c r="E302">
        <v>1.3</v>
      </c>
      <c r="H302">
        <v>1</v>
      </c>
      <c r="I302">
        <f>D302*E302*H302</f>
        <v>2.08</v>
      </c>
      <c r="J302" t="str">
        <v>m2</v>
      </c>
      <c r="K302">
        <f>K289</f>
        <v>0</v>
      </c>
      <c r="L302">
        <f>I302*K302</f>
        <v>0</v>
      </c>
    </row>
    <row r="303">
      <c r="B303" t="str">
        <v>Grendel</v>
      </c>
      <c r="D303">
        <v>4</v>
      </c>
      <c r="I303">
        <f>D303</f>
        <v>4</v>
      </c>
      <c r="J303" t="str">
        <v>set</v>
      </c>
      <c r="K303">
        <f>K290</f>
        <v>0</v>
      </c>
      <c r="L303">
        <f>I303*K303</f>
        <v>0</v>
      </c>
    </row>
    <row r="304">
      <c r="B304" t="str">
        <v>Kait angin</v>
      </c>
      <c r="D304">
        <v>4</v>
      </c>
      <c r="I304">
        <f>D304</f>
        <v>4</v>
      </c>
      <c r="J304" t="str">
        <v>set</v>
      </c>
      <c r="K304">
        <f>K291</f>
        <v>0</v>
      </c>
      <c r="L304">
        <f>I304*K304</f>
        <v>0</v>
      </c>
    </row>
    <row r="305">
      <c r="K305" t="str">
        <v>jumlah</v>
      </c>
      <c r="L305">
        <f>SUM(L297:L304)</f>
        <v>0</v>
      </c>
    </row>
    <row r="306">
      <c r="K306" t="str">
        <v>di bulatkan</v>
      </c>
      <c r="L306">
        <f>ROUND(L305,-2)</f>
        <v>0</v>
      </c>
    </row>
    <row r="307">
      <c r="A307">
        <f>A295+1</f>
        <v>10</v>
      </c>
      <c r="B307" t="str">
        <v>J 2 B</v>
      </c>
    </row>
    <row r="308">
      <c r="B308" t="str">
        <v>Alumunium standart 3" CA</v>
      </c>
      <c r="D308">
        <v>1.6</v>
      </c>
      <c r="H308">
        <v>3</v>
      </c>
      <c r="I308">
        <f>D308*H308</f>
        <v>4.800000000000001</v>
      </c>
    </row>
    <row r="309">
      <c r="D309">
        <v>1.35</v>
      </c>
      <c r="H309">
        <v>4</v>
      </c>
      <c r="I309">
        <f>D309*H309</f>
        <v>5.4</v>
      </c>
    </row>
    <row r="310">
      <c r="I310">
        <f>I308+I309</f>
        <v>10.200000000000001</v>
      </c>
      <c r="J310" t="str">
        <v>m1</v>
      </c>
      <c r="K310">
        <f>K298</f>
        <v>0</v>
      </c>
      <c r="L310">
        <f>I310*K310</f>
        <v>0</v>
      </c>
    </row>
    <row r="311">
      <c r="B311" t="str">
        <v>Alumunium standart 3" CA rangka daun jendela</v>
      </c>
      <c r="D311">
        <v>1.6</v>
      </c>
      <c r="H311">
        <v>3</v>
      </c>
      <c r="I311">
        <f>D311*H311</f>
        <v>4.800000000000001</v>
      </c>
    </row>
    <row r="312">
      <c r="D312">
        <v>1.35</v>
      </c>
      <c r="H312">
        <v>4</v>
      </c>
      <c r="I312">
        <f>D312*H312</f>
        <v>5.4</v>
      </c>
    </row>
    <row r="313">
      <c r="I313">
        <f>I311+I312</f>
        <v>10.200000000000001</v>
      </c>
      <c r="J313" t="str">
        <v>m1</v>
      </c>
      <c r="K313">
        <f>K301</f>
        <v>0</v>
      </c>
      <c r="L313">
        <f>I313*K313</f>
        <v>0</v>
      </c>
    </row>
    <row r="314">
      <c r="B314" t="str">
        <v>Kaca 8 mm</v>
      </c>
      <c r="D314">
        <v>1.6</v>
      </c>
      <c r="E314">
        <v>1.3</v>
      </c>
      <c r="H314">
        <v>1</v>
      </c>
      <c r="I314">
        <f>D314*E314*H314</f>
        <v>2.08</v>
      </c>
      <c r="J314" t="str">
        <v>m2</v>
      </c>
      <c r="K314">
        <f>K302</f>
        <v>0</v>
      </c>
      <c r="L314">
        <f>I314*K314</f>
        <v>0</v>
      </c>
    </row>
    <row r="315">
      <c r="B315" t="str">
        <v>Grendel</v>
      </c>
      <c r="D315">
        <v>4</v>
      </c>
      <c r="I315">
        <f>D315</f>
        <v>4</v>
      </c>
      <c r="J315" t="str">
        <v>set</v>
      </c>
      <c r="K315">
        <f>K303</f>
        <v>0</v>
      </c>
      <c r="L315">
        <f>I315*K315</f>
        <v>0</v>
      </c>
    </row>
    <row r="316">
      <c r="B316" t="str">
        <v>Kait angin</v>
      </c>
      <c r="D316">
        <v>4</v>
      </c>
      <c r="I316">
        <f>D316</f>
        <v>4</v>
      </c>
      <c r="J316" t="str">
        <v>set</v>
      </c>
      <c r="K316">
        <f>K291</f>
        <v>0</v>
      </c>
      <c r="L316">
        <f>I316*K316</f>
        <v>0</v>
      </c>
    </row>
    <row r="317">
      <c r="K317" t="str">
        <v>jumlah</v>
      </c>
      <c r="L317">
        <f>SUM(L309:L316)</f>
        <v>0</v>
      </c>
    </row>
    <row r="318">
      <c r="K318" t="str">
        <v>di bulatkan</v>
      </c>
      <c r="L318">
        <f>ROUND(L317,-2)</f>
        <v>0</v>
      </c>
    </row>
    <row r="320">
      <c r="A320">
        <f>+A307+1</f>
        <v>11</v>
      </c>
      <c r="B320" t="str">
        <v>J 3 A</v>
      </c>
    </row>
    <row r="321">
      <c r="B321" t="str">
        <v>Alumunium standart 3" CA</v>
      </c>
      <c r="D321">
        <v>1.67</v>
      </c>
      <c r="H321">
        <v>4</v>
      </c>
      <c r="I321">
        <f>D321*H321</f>
        <v>6.68</v>
      </c>
    </row>
    <row r="322">
      <c r="D322">
        <v>2</v>
      </c>
      <c r="H322">
        <v>3</v>
      </c>
      <c r="I322">
        <f>D322*H322</f>
        <v>6</v>
      </c>
    </row>
    <row r="323">
      <c r="I323">
        <f>I321+I322</f>
        <v>12.68</v>
      </c>
      <c r="J323" t="str">
        <v>m1</v>
      </c>
      <c r="K323">
        <f>K310</f>
        <v>0</v>
      </c>
      <c r="L323">
        <f>I323*K323</f>
        <v>0</v>
      </c>
    </row>
    <row r="324">
      <c r="B324" t="str">
        <v>Alumunium standart 3" CA rangka daun jendela</v>
      </c>
      <c r="D324">
        <v>1.67</v>
      </c>
      <c r="H324">
        <v>6</v>
      </c>
      <c r="I324">
        <f>D324*H324</f>
        <v>10.02</v>
      </c>
    </row>
    <row r="325">
      <c r="D325">
        <v>2</v>
      </c>
      <c r="H325">
        <v>4</v>
      </c>
      <c r="I325">
        <f>D325*H325</f>
        <v>8</v>
      </c>
    </row>
    <row r="326">
      <c r="I326">
        <f>I324+I325</f>
        <v>18.02</v>
      </c>
      <c r="J326" t="str">
        <v>m1</v>
      </c>
      <c r="K326">
        <f>K313</f>
        <v>0</v>
      </c>
      <c r="L326">
        <f>I326*K326</f>
        <v>0</v>
      </c>
    </row>
    <row r="327">
      <c r="B327" t="str">
        <v>Kaca 8 mm</v>
      </c>
      <c r="D327">
        <v>1.6</v>
      </c>
      <c r="E327">
        <v>1.9</v>
      </c>
      <c r="H327">
        <v>1</v>
      </c>
      <c r="I327">
        <f>D327*E327*H327</f>
        <v>3.04</v>
      </c>
      <c r="J327" t="str">
        <v>m2</v>
      </c>
      <c r="K327">
        <f>K314</f>
        <v>0</v>
      </c>
      <c r="L327">
        <f>I327*K327</f>
        <v>0</v>
      </c>
    </row>
    <row r="328">
      <c r="B328" t="str">
        <v>Grendel</v>
      </c>
      <c r="D328">
        <v>6</v>
      </c>
      <c r="I328">
        <f>D328</f>
        <v>6</v>
      </c>
      <c r="J328" t="str">
        <v>set</v>
      </c>
      <c r="K328">
        <f>K315</f>
        <v>0</v>
      </c>
      <c r="L328">
        <f>I328*K328</f>
        <v>0</v>
      </c>
    </row>
    <row r="329">
      <c r="B329" t="str">
        <v>Kait angin</v>
      </c>
      <c r="D329">
        <v>6</v>
      </c>
      <c r="I329">
        <f>D329</f>
        <v>6</v>
      </c>
      <c r="J329" t="str">
        <v>set</v>
      </c>
      <c r="K329">
        <f>K304</f>
        <v>0</v>
      </c>
      <c r="L329">
        <f>I329*K329</f>
        <v>0</v>
      </c>
    </row>
    <row r="330">
      <c r="K330" t="str">
        <v>jumlah</v>
      </c>
      <c r="L330">
        <f>SUM(L321:L329)</f>
        <v>0</v>
      </c>
    </row>
    <row r="331">
      <c r="K331" t="str">
        <v>di bulatkan</v>
      </c>
      <c r="L331">
        <f>ROUND(L330,-2)</f>
        <v>0</v>
      </c>
    </row>
    <row r="333">
      <c r="A333">
        <f>+A320+1</f>
        <v>12</v>
      </c>
      <c r="B333" t="str">
        <v>J 3 B</v>
      </c>
    </row>
    <row r="334">
      <c r="B334" t="str">
        <v>Alumunium standart 3" CA</v>
      </c>
      <c r="D334">
        <v>1.9</v>
      </c>
      <c r="H334">
        <v>4</v>
      </c>
      <c r="I334">
        <f>D334*H334</f>
        <v>7.6</v>
      </c>
    </row>
    <row r="335">
      <c r="D335">
        <v>2</v>
      </c>
      <c r="H335">
        <v>5</v>
      </c>
      <c r="I335">
        <f>D335*H335</f>
        <v>10</v>
      </c>
    </row>
    <row r="336">
      <c r="I336">
        <f>I334+I335</f>
        <v>17.6</v>
      </c>
      <c r="J336" t="str">
        <v>m1</v>
      </c>
      <c r="K336">
        <f>K323</f>
        <v>0</v>
      </c>
      <c r="L336">
        <f>I336*K336</f>
        <v>0</v>
      </c>
    </row>
    <row r="337">
      <c r="B337" t="str">
        <v>Alumunium standart 3" CA rangka daun jendela</v>
      </c>
      <c r="D337">
        <v>0.425</v>
      </c>
      <c r="H337">
        <v>6</v>
      </c>
      <c r="I337">
        <f>D337*H337</f>
        <v>2.55</v>
      </c>
    </row>
    <row r="338">
      <c r="D338">
        <v>0.61</v>
      </c>
      <c r="H338">
        <v>6</v>
      </c>
      <c r="I338">
        <f>D338*H338</f>
        <v>3.66</v>
      </c>
    </row>
    <row r="339">
      <c r="I339">
        <f>I337+I338</f>
        <v>6.21</v>
      </c>
      <c r="J339" t="str">
        <v>m1</v>
      </c>
      <c r="K339">
        <f>K326</f>
        <v>0</v>
      </c>
      <c r="L339">
        <f>I339*K339</f>
        <v>0</v>
      </c>
    </row>
    <row r="340">
      <c r="B340" t="str">
        <v>Kaca 8 mm</v>
      </c>
      <c r="D340">
        <v>1.8</v>
      </c>
      <c r="E340">
        <v>1.9</v>
      </c>
      <c r="H340">
        <v>1</v>
      </c>
      <c r="I340">
        <f>D340*E340*H340</f>
        <v>3.42</v>
      </c>
      <c r="J340" t="str">
        <v>m2</v>
      </c>
      <c r="K340">
        <f>K314</f>
        <v>0</v>
      </c>
      <c r="L340">
        <f>I340*K340</f>
        <v>0</v>
      </c>
    </row>
    <row r="341">
      <c r="B341" t="str">
        <v>Grendel</v>
      </c>
      <c r="D341">
        <v>6</v>
      </c>
      <c r="I341">
        <f>D341</f>
        <v>6</v>
      </c>
      <c r="J341" t="str">
        <v>set</v>
      </c>
      <c r="K341">
        <f>K328</f>
        <v>0</v>
      </c>
      <c r="L341">
        <f>I341*K341</f>
        <v>0</v>
      </c>
    </row>
    <row r="342">
      <c r="B342" t="str">
        <v>Kait angin</v>
      </c>
      <c r="D342">
        <v>6</v>
      </c>
      <c r="I342">
        <f>D342</f>
        <v>6</v>
      </c>
      <c r="J342" t="str">
        <v>set</v>
      </c>
      <c r="K342">
        <f>K329</f>
        <v>0</v>
      </c>
      <c r="L342">
        <f>I342*K342</f>
        <v>0</v>
      </c>
    </row>
    <row r="343">
      <c r="K343" t="str">
        <v>jumlah</v>
      </c>
      <c r="L343">
        <f>SUM(L335:L342)</f>
        <v>0</v>
      </c>
    </row>
    <row r="344">
      <c r="K344" t="str">
        <v>di bulatkan</v>
      </c>
      <c r="L344">
        <f>ROUND(L343,-2)</f>
        <v>0</v>
      </c>
    </row>
    <row r="345">
      <c r="A345">
        <f>+A333+1</f>
        <v>13</v>
      </c>
      <c r="B345" t="str">
        <v>J 4 A</v>
      </c>
    </row>
    <row r="346">
      <c r="B346" t="str">
        <v>Alumunium standart 3" CA</v>
      </c>
      <c r="D346">
        <v>1.67</v>
      </c>
      <c r="H346">
        <v>5</v>
      </c>
      <c r="I346">
        <f>D346*H346</f>
        <v>8.35</v>
      </c>
    </row>
    <row r="347">
      <c r="D347">
        <v>3.4</v>
      </c>
      <c r="H347">
        <v>3</v>
      </c>
      <c r="I347">
        <f>D347*H347</f>
        <v>10.2</v>
      </c>
    </row>
    <row r="348">
      <c r="I348">
        <f>I346+I347</f>
        <v>18.549999999999997</v>
      </c>
      <c r="J348" t="str">
        <v>m</v>
      </c>
      <c r="K348">
        <f>K336</f>
        <v>0</v>
      </c>
      <c r="L348">
        <f>I348*K348</f>
        <v>0</v>
      </c>
    </row>
    <row r="349">
      <c r="B349" t="str">
        <v>Kaca 8 mm</v>
      </c>
      <c r="D349">
        <v>1.6</v>
      </c>
      <c r="E349">
        <v>3.4</v>
      </c>
      <c r="H349">
        <v>1</v>
      </c>
      <c r="I349">
        <f>D349*E349*H349</f>
        <v>5.44</v>
      </c>
      <c r="J349" t="str">
        <v>m2</v>
      </c>
      <c r="K349">
        <f>K340</f>
        <v>0</v>
      </c>
      <c r="L349">
        <f>I349*K349</f>
        <v>0</v>
      </c>
    </row>
    <row r="350">
      <c r="K350" t="str">
        <v>jumlah</v>
      </c>
      <c r="L350">
        <f>SUM(L348:L349)</f>
        <v>0</v>
      </c>
    </row>
    <row r="351">
      <c r="K351" t="str">
        <v>di bulatkan</v>
      </c>
      <c r="L351">
        <f>ROUND(L350,-2)</f>
        <v>0</v>
      </c>
    </row>
    <row r="353">
      <c r="A353">
        <f>A345+1</f>
        <v>14</v>
      </c>
      <c r="B353" t="str">
        <v>J 5 A</v>
      </c>
    </row>
    <row r="354">
      <c r="B354" t="str">
        <v>Alumunium standart 3" CA</v>
      </c>
      <c r="D354">
        <v>1.9</v>
      </c>
      <c r="H354">
        <v>8</v>
      </c>
      <c r="I354">
        <f>D354*H354</f>
        <v>15.2</v>
      </c>
    </row>
    <row r="355">
      <c r="D355">
        <v>4.52</v>
      </c>
      <c r="H355">
        <v>5</v>
      </c>
      <c r="I355">
        <f>D355*H355</f>
        <v>22.599999999999998</v>
      </c>
    </row>
    <row r="356">
      <c r="I356">
        <f>I354+I355</f>
        <v>37.8</v>
      </c>
      <c r="J356" t="str">
        <v>m</v>
      </c>
      <c r="K356">
        <f>K348</f>
        <v>0</v>
      </c>
      <c r="L356">
        <f>I356*K356</f>
        <v>0</v>
      </c>
    </row>
    <row r="357">
      <c r="B357" t="str">
        <v>Alumunium standart 3" CA rangka daun jendela</v>
      </c>
      <c r="D357">
        <v>0.425</v>
      </c>
      <c r="H357">
        <v>20</v>
      </c>
      <c r="I357">
        <f>D357*H357</f>
        <v>8.5</v>
      </c>
    </row>
    <row r="358">
      <c r="D358">
        <v>0.6</v>
      </c>
      <c r="H358">
        <v>20</v>
      </c>
      <c r="I358">
        <f>D358*H358</f>
        <v>12</v>
      </c>
    </row>
    <row r="359">
      <c r="I359">
        <f>I357+I358</f>
        <v>20.5</v>
      </c>
      <c r="J359" t="str">
        <v>m</v>
      </c>
      <c r="K359">
        <f>K339</f>
        <v>0</v>
      </c>
      <c r="L359">
        <f>I359*K359</f>
        <v>0</v>
      </c>
    </row>
    <row r="360">
      <c r="B360" t="str">
        <v>Kaca 8 mm</v>
      </c>
      <c r="D360">
        <v>1.9</v>
      </c>
      <c r="E360">
        <v>4.5</v>
      </c>
      <c r="H360">
        <v>1</v>
      </c>
      <c r="I360">
        <f>D360*E360*H360</f>
        <v>8.549999999999999</v>
      </c>
      <c r="J360" t="str">
        <v>m2</v>
      </c>
      <c r="K360">
        <f>K340</f>
        <v>0</v>
      </c>
      <c r="L360">
        <f>I360*K360</f>
        <v>0</v>
      </c>
    </row>
    <row r="361">
      <c r="B361" t="str">
        <v>Grendel</v>
      </c>
      <c r="D361">
        <v>10</v>
      </c>
      <c r="I361">
        <f>D361</f>
        <v>10</v>
      </c>
      <c r="J361" t="str">
        <v>set</v>
      </c>
      <c r="K361">
        <f>K341</f>
        <v>0</v>
      </c>
      <c r="L361">
        <f>I361*K361</f>
        <v>0</v>
      </c>
    </row>
    <row r="362">
      <c r="B362" t="str">
        <v>Kait angin</v>
      </c>
      <c r="D362">
        <v>10</v>
      </c>
      <c r="I362">
        <f>D362</f>
        <v>10</v>
      </c>
      <c r="J362" t="str">
        <v>set</v>
      </c>
      <c r="K362">
        <f>K342</f>
        <v>0</v>
      </c>
      <c r="L362">
        <f>I362*K362</f>
        <v>0</v>
      </c>
    </row>
    <row r="363">
      <c r="K363" t="str">
        <v>jumlah</v>
      </c>
      <c r="L363">
        <f>SUM(L355:L362)</f>
        <v>0</v>
      </c>
    </row>
    <row r="364">
      <c r="K364" t="str">
        <v>di bulatkan</v>
      </c>
      <c r="L364">
        <f>ROUND(L363,-2)</f>
        <v>0</v>
      </c>
    </row>
  </sheetData>
  <hyperlinks>
    <hyperlink ref="A1" location="MENU!A1" tooltip="menu"/>
  </hyperlinks>
  <pageMargins left="0.75" right="0.75" top="1" bottom="1" header="0.5" footer="0.5"/>
  <ignoredErrors>
    <ignoredError numberStoredAsText="1" sqref="A1:L364"/>
  </ignoredErrors>
</worksheet>
</file>

<file path=xl/worksheets/sheet13.xml><?xml version="1.0" encoding="utf-8"?>
<worksheet xmlns="http://schemas.openxmlformats.org/spreadsheetml/2006/main" xmlns:r="http://schemas.openxmlformats.org/officeDocument/2006/relationships">
  <dimension ref="A1:S1080"/>
  <sheetViews>
    <sheetView workbookViewId="0" rightToLeft="0"/>
  </sheetViews>
  <sheetData>
    <row r="1">
      <c r="A1" t="str">
        <v>menu</v>
      </c>
    </row>
    <row r="10">
      <c r="A10" t="str">
        <v>NO</v>
      </c>
      <c r="B10" t="str">
        <v>ITEM PEKERJAAN</v>
      </c>
      <c r="E10" t="str">
        <v>NO</v>
      </c>
      <c r="F10" t="str">
        <v>KODE</v>
      </c>
      <c r="G10" t="str">
        <v>PANJANG</v>
      </c>
      <c r="H10" t="str">
        <v>LEBAR</v>
      </c>
      <c r="I10" t="str">
        <v>LEBAR</v>
      </c>
      <c r="J10" t="str">
        <v>TINGGI</v>
      </c>
      <c r="K10" t="str">
        <v>JML</v>
      </c>
      <c r="L10" t="str">
        <v>VOLUME</v>
      </c>
      <c r="M10" t="str">
        <v>SAT</v>
      </c>
      <c r="N10" t="str">
        <v>QUANTITY</v>
      </c>
    </row>
    <row r="11">
      <c r="F11" t="str">
        <v>GAMBAR</v>
      </c>
      <c r="H11" t="str">
        <v>atas</v>
      </c>
      <c r="I11" t="str">
        <v>bawah</v>
      </c>
      <c r="J11" t="str">
        <v>BERAT</v>
      </c>
    </row>
    <row r="14">
      <c r="A14" t="str">
        <v>I</v>
      </c>
      <c r="B14" t="str">
        <v>PEKERJAAN PERSIAPAN</v>
      </c>
    </row>
    <row r="15">
      <c r="A15">
        <v>1</v>
      </c>
      <c r="B15" t="str">
        <v xml:space="preserve">Mobilisasi  &amp; Demobilisasi  </v>
      </c>
      <c r="L15">
        <v>1</v>
      </c>
      <c r="M15" t="str">
        <v>ls</v>
      </c>
      <c r="N15">
        <f>+L15</f>
        <v>1</v>
      </c>
    </row>
    <row r="16">
      <c r="A16">
        <f>+A15+1</f>
        <v>2</v>
      </c>
      <c r="B16" t="str">
        <v>Direksi keet &amp; gudang</v>
      </c>
      <c r="G16">
        <v>5</v>
      </c>
      <c r="H16">
        <v>3</v>
      </c>
      <c r="K16">
        <v>1</v>
      </c>
      <c r="L16">
        <f>G16*H16*K16</f>
        <v>15</v>
      </c>
      <c r="M16" t="str">
        <v>m2</v>
      </c>
      <c r="N16">
        <f>L16</f>
        <v>15</v>
      </c>
    </row>
    <row r="17">
      <c r="A17">
        <f>A16+1</f>
        <v>3</v>
      </c>
      <c r="B17" t="str">
        <v>Papan nama proyek</v>
      </c>
      <c r="L17">
        <v>1</v>
      </c>
      <c r="M17" t="str">
        <v>ls</v>
      </c>
      <c r="N17">
        <v>1</v>
      </c>
    </row>
    <row r="18">
      <c r="A18">
        <f>+A17+1</f>
        <v>4</v>
      </c>
      <c r="B18" t="str">
        <v xml:space="preserve">Setting Out dan Pengukuran </v>
      </c>
      <c r="G18">
        <v>32</v>
      </c>
      <c r="H18">
        <v>15</v>
      </c>
      <c r="L18">
        <f>G18*H18</f>
        <v>480</v>
      </c>
      <c r="M18" t="str">
        <v>m2</v>
      </c>
      <c r="N18">
        <f>L18</f>
        <v>480</v>
      </c>
    </row>
    <row r="19">
      <c r="A19">
        <f>+A18+1</f>
        <v>5</v>
      </c>
      <c r="B19" t="str">
        <v>Bowplank</v>
      </c>
      <c r="G19">
        <v>100</v>
      </c>
      <c r="L19">
        <f>G19</f>
        <v>100</v>
      </c>
      <c r="M19" t="str">
        <v>m1</v>
      </c>
      <c r="N19">
        <f>L19</f>
        <v>100</v>
      </c>
    </row>
    <row r="20">
      <c r="A20">
        <f>A19+1</f>
        <v>6</v>
      </c>
      <c r="B20" t="str">
        <v xml:space="preserve">Pembersihan lahan </v>
      </c>
      <c r="G20">
        <v>32</v>
      </c>
      <c r="H20">
        <v>15</v>
      </c>
      <c r="K20">
        <v>1</v>
      </c>
      <c r="L20">
        <f>G20*H20*K20</f>
        <v>480</v>
      </c>
      <c r="M20" t="str">
        <v>m2</v>
      </c>
      <c r="N20">
        <f>L20</f>
        <v>480</v>
      </c>
    </row>
    <row r="21">
      <c r="A21">
        <f>A20+1</f>
        <v>7</v>
      </c>
      <c r="B21" t="str">
        <v>Pagar sementara seng + rangka kaso</v>
      </c>
      <c r="G21">
        <v>50</v>
      </c>
      <c r="L21">
        <f>G21</f>
        <v>50</v>
      </c>
      <c r="M21" t="str">
        <v>m</v>
      </c>
      <c r="N21">
        <f>L21</f>
        <v>50</v>
      </c>
    </row>
    <row r="22">
      <c r="A22">
        <f>+A21+1</f>
        <v>8</v>
      </c>
      <c r="B22" t="str">
        <v>Dokumen Kontrak, foto progres, As Built Drawing, laporan-laporan</v>
      </c>
      <c r="L22">
        <v>1</v>
      </c>
      <c r="M22" t="str">
        <v>ls</v>
      </c>
      <c r="N22">
        <f>+L22</f>
        <v>1</v>
      </c>
    </row>
    <row r="24">
      <c r="A24" t="str">
        <v>II</v>
      </c>
      <c r="B24" t="str">
        <v xml:space="preserve">PEKERJAAN BANGUNAN </v>
      </c>
    </row>
    <row r="26">
      <c r="A26" t="str">
        <v>A</v>
      </c>
      <c r="B26" t="str">
        <v>PEKERJAAN TANAH</v>
      </c>
    </row>
    <row r="27">
      <c r="A27">
        <v>1</v>
      </c>
      <c r="B27" t="str">
        <v>Urugan tanah merah</v>
      </c>
      <c r="F27" t="str">
        <v>kantor</v>
      </c>
      <c r="G27">
        <v>14.9</v>
      </c>
      <c r="H27">
        <v>41</v>
      </c>
      <c r="J27">
        <v>1.35</v>
      </c>
      <c r="K27">
        <v>1</v>
      </c>
      <c r="L27">
        <f>G27*H27*J27*K27</f>
        <v>824.715</v>
      </c>
      <c r="P27">
        <v>65</v>
      </c>
      <c r="Q27">
        <v>50</v>
      </c>
      <c r="R27">
        <v>0.89</v>
      </c>
      <c r="S27">
        <f>P27*Q27*R27</f>
        <v>2892.5</v>
      </c>
    </row>
    <row r="28">
      <c r="L28">
        <f>SUM(L27:L27)</f>
        <v>824.715</v>
      </c>
      <c r="M28" t="str">
        <v>m3</v>
      </c>
      <c r="N28">
        <f>L28</f>
        <v>824.715</v>
      </c>
      <c r="P28">
        <v>3.5</v>
      </c>
      <c r="Q28">
        <v>3</v>
      </c>
      <c r="R28">
        <f>P28*Q28</f>
        <v>10.5</v>
      </c>
    </row>
    <row r="30">
      <c r="A30">
        <f>A27+1</f>
        <v>2</v>
      </c>
      <c r="B30" t="str">
        <v>Galian tanah untuk pondasi</v>
      </c>
      <c r="E30" t="str">
        <v>P 1</v>
      </c>
      <c r="F30" t="str">
        <v>S-1001</v>
      </c>
      <c r="G30">
        <v>2.04</v>
      </c>
      <c r="H30">
        <v>1.2</v>
      </c>
      <c r="J30">
        <v>0.75</v>
      </c>
      <c r="K30">
        <v>12</v>
      </c>
      <c r="L30">
        <f>G30*H30*J30*K30</f>
        <v>22.031999999999996</v>
      </c>
    </row>
    <row r="31">
      <c r="E31" t="str">
        <v>P 2</v>
      </c>
      <c r="G31">
        <f>(2.04+0.8)/2</f>
        <v>1.42</v>
      </c>
      <c r="H31">
        <v>2.04</v>
      </c>
      <c r="J31">
        <v>0.75</v>
      </c>
      <c r="K31">
        <v>4</v>
      </c>
      <c r="L31">
        <f>G31*H31*J31*K31</f>
        <v>8.6904</v>
      </c>
    </row>
    <row r="32">
      <c r="E32" t="str">
        <v>TB</v>
      </c>
      <c r="G32">
        <v>10</v>
      </c>
      <c r="H32">
        <v>0.5</v>
      </c>
      <c r="J32">
        <v>0.5</v>
      </c>
      <c r="K32">
        <v>4</v>
      </c>
      <c r="L32">
        <f>G32*H32*J32*K32</f>
        <v>10</v>
      </c>
    </row>
    <row r="33">
      <c r="G33">
        <v>18</v>
      </c>
      <c r="H33">
        <v>0.5</v>
      </c>
      <c r="J33">
        <v>0.5</v>
      </c>
      <c r="K33">
        <v>4</v>
      </c>
      <c r="L33">
        <f>G33*H33*J33*K33</f>
        <v>18</v>
      </c>
    </row>
    <row r="34">
      <c r="L34">
        <f>SUM(L30:L33)</f>
        <v>58.72239999999999</v>
      </c>
      <c r="M34" t="str">
        <v>m3</v>
      </c>
      <c r="N34">
        <f>L34</f>
        <v>58.72239999999999</v>
      </c>
    </row>
    <row r="36">
      <c r="P36">
        <v>6</v>
      </c>
      <c r="Q36">
        <v>3</v>
      </c>
      <c r="R36">
        <f>P36*Q36</f>
        <v>18</v>
      </c>
    </row>
    <row r="37">
      <c r="A37" t="str">
        <v>B</v>
      </c>
      <c r="B37" t="str">
        <v>PEKERJAAN PONDASI</v>
      </c>
      <c r="P37">
        <v>10</v>
      </c>
      <c r="Q37">
        <v>3</v>
      </c>
      <c r="R37">
        <f>P37*Q37</f>
        <v>30</v>
      </c>
    </row>
    <row r="38">
      <c r="A38">
        <v>1</v>
      </c>
      <c r="B38" t="str">
        <v>PEKERJAAN TIANG PANCANG</v>
      </c>
    </row>
    <row r="39">
      <c r="A39">
        <f>A38+0.01</f>
        <v>1.01</v>
      </c>
      <c r="B39" t="str">
        <v>Pengadaan tiang pancang  280x280cmx280 x 13 m</v>
      </c>
      <c r="E39" t="str">
        <v>P2</v>
      </c>
      <c r="G39">
        <v>13</v>
      </c>
      <c r="J39">
        <v>2</v>
      </c>
      <c r="K39">
        <v>20</v>
      </c>
      <c r="L39">
        <f>G39*J39*K39</f>
        <v>520</v>
      </c>
    </row>
    <row r="40">
      <c r="E40" t="str">
        <v>P3</v>
      </c>
      <c r="G40">
        <v>13</v>
      </c>
      <c r="J40">
        <v>3</v>
      </c>
      <c r="K40">
        <v>4</v>
      </c>
      <c r="L40">
        <f>G40*J40*K40</f>
        <v>156</v>
      </c>
    </row>
    <row r="41">
      <c r="K41">
        <f>SUM(K39:K40)</f>
        <v>24</v>
      </c>
      <c r="L41">
        <f>SUM(L39:L40)</f>
        <v>676</v>
      </c>
      <c r="M41" t="str">
        <v>m1</v>
      </c>
      <c r="N41">
        <f>L41</f>
        <v>676</v>
      </c>
    </row>
    <row r="44">
      <c r="A44">
        <f>A39+0.01</f>
        <v>1.02</v>
      </c>
      <c r="B44" t="str">
        <v>Pemancangan tiang pancang</v>
      </c>
      <c r="E44" t="str">
        <v>P2</v>
      </c>
      <c r="G44">
        <f>+G39</f>
        <v>13</v>
      </c>
      <c r="J44">
        <f>+J39</f>
        <v>2</v>
      </c>
      <c r="K44">
        <f>+K39</f>
        <v>20</v>
      </c>
      <c r="L44">
        <f>G44*J44*K44</f>
        <v>520</v>
      </c>
    </row>
    <row r="45">
      <c r="E45" t="str">
        <v>P3</v>
      </c>
      <c r="G45">
        <f>+G40</f>
        <v>13</v>
      </c>
      <c r="J45">
        <f>+J40</f>
        <v>3</v>
      </c>
      <c r="K45">
        <f>+K40</f>
        <v>4</v>
      </c>
      <c r="L45">
        <f>G45*J45*K45</f>
        <v>156</v>
      </c>
    </row>
    <row r="46">
      <c r="L46">
        <f>SUM(L44:L45)</f>
        <v>676</v>
      </c>
      <c r="M46" t="str">
        <v>m1</v>
      </c>
      <c r="N46">
        <f>L46</f>
        <v>676</v>
      </c>
    </row>
    <row r="49">
      <c r="A49">
        <f>+A44+1</f>
        <v>2.02</v>
      </c>
      <c r="B49" t="str">
        <v xml:space="preserve">Sambungan tiang pancang ø 30cm / splice can </v>
      </c>
      <c r="G49">
        <v>2</v>
      </c>
      <c r="J49">
        <v>2</v>
      </c>
      <c r="K49">
        <f>+K39</f>
        <v>20</v>
      </c>
      <c r="L49">
        <f>G49*J49*K49</f>
        <v>80</v>
      </c>
    </row>
    <row r="50">
      <c r="G50">
        <v>2</v>
      </c>
      <c r="J50">
        <v>2</v>
      </c>
      <c r="K50">
        <f>K45</f>
        <v>4</v>
      </c>
      <c r="L50">
        <f>G50*J50*K50</f>
        <v>16</v>
      </c>
    </row>
    <row r="51">
      <c r="L51">
        <f>L49+L50</f>
        <v>96</v>
      </c>
      <c r="M51" t="str">
        <v>set</v>
      </c>
      <c r="N51">
        <f>L51</f>
        <v>96</v>
      </c>
    </row>
    <row r="53">
      <c r="A53">
        <f>+A49+1</f>
        <v>3.02</v>
      </c>
      <c r="B53" t="str">
        <v>Pengelasan tiang pancang</v>
      </c>
      <c r="G53">
        <f>+G49</f>
        <v>2</v>
      </c>
      <c r="J53">
        <f>+J49</f>
        <v>2</v>
      </c>
      <c r="K53">
        <f>+K49</f>
        <v>20</v>
      </c>
      <c r="L53">
        <f>G53*J53*K53</f>
        <v>80</v>
      </c>
    </row>
    <row r="54">
      <c r="G54">
        <f>+G50</f>
        <v>2</v>
      </c>
      <c r="J54">
        <f>+J50</f>
        <v>2</v>
      </c>
      <c r="K54">
        <f>+K50</f>
        <v>4</v>
      </c>
      <c r="L54">
        <f>G54*J54*K54</f>
        <v>16</v>
      </c>
    </row>
    <row r="55">
      <c r="L55">
        <f>L53+L54</f>
        <v>96</v>
      </c>
      <c r="M55" t="str">
        <v>set</v>
      </c>
      <c r="N55">
        <f>L55</f>
        <v>96</v>
      </c>
    </row>
    <row r="57">
      <c r="A57">
        <f>A44+0.01</f>
        <v>1.03</v>
      </c>
      <c r="B57" t="str">
        <v>Pemotongan kepala tiang pancang</v>
      </c>
      <c r="E57" t="str">
        <v>P2</v>
      </c>
      <c r="G57">
        <v>2</v>
      </c>
      <c r="K57">
        <f>K44</f>
        <v>20</v>
      </c>
      <c r="L57">
        <f>K57*G57</f>
        <v>40</v>
      </c>
    </row>
    <row r="58">
      <c r="E58" t="str">
        <v>P3</v>
      </c>
      <c r="G58">
        <v>3</v>
      </c>
      <c r="K58">
        <f>K45</f>
        <v>4</v>
      </c>
      <c r="L58">
        <f>K58*G58</f>
        <v>12</v>
      </c>
    </row>
    <row r="59">
      <c r="K59">
        <f>SUM(K57:K58)</f>
        <v>24</v>
      </c>
      <c r="L59">
        <f>SUM(L57:L58)</f>
        <v>52</v>
      </c>
      <c r="M59" t="str">
        <v>bh</v>
      </c>
      <c r="N59">
        <f>L59</f>
        <v>52</v>
      </c>
    </row>
    <row r="62">
      <c r="A62">
        <f>A38+1</f>
        <v>2</v>
      </c>
      <c r="B62" t="str">
        <v>Urugan psir tebal 10 cm</v>
      </c>
      <c r="E62" t="str">
        <v>P 2</v>
      </c>
      <c r="F62" t="str">
        <v>S-1001</v>
      </c>
      <c r="G62">
        <v>2.04</v>
      </c>
      <c r="H62">
        <v>1.2</v>
      </c>
      <c r="J62">
        <v>0.1</v>
      </c>
      <c r="K62">
        <v>20</v>
      </c>
      <c r="L62">
        <f>G62*H62*J62*K62</f>
        <v>4.896000000000001</v>
      </c>
    </row>
    <row r="63">
      <c r="E63" t="str">
        <v>P 3</v>
      </c>
      <c r="G63">
        <f>(2.04+0.8)/2</f>
        <v>1.42</v>
      </c>
      <c r="H63">
        <v>2.04</v>
      </c>
      <c r="J63">
        <v>0.1</v>
      </c>
      <c r="K63">
        <v>4</v>
      </c>
      <c r="L63">
        <f>G63*H63*J63*K63</f>
        <v>1.15872</v>
      </c>
    </row>
    <row r="64">
      <c r="E64" t="str">
        <v>T B1</v>
      </c>
      <c r="G64">
        <v>30</v>
      </c>
      <c r="H64">
        <v>0.3</v>
      </c>
      <c r="J64">
        <v>0.1</v>
      </c>
      <c r="K64">
        <v>4</v>
      </c>
      <c r="L64">
        <f>G64*H64*J64*K64</f>
        <v>3.6</v>
      </c>
    </row>
    <row r="65">
      <c r="G65">
        <v>12</v>
      </c>
      <c r="H65">
        <v>0.3</v>
      </c>
      <c r="J65">
        <v>0.1</v>
      </c>
      <c r="K65">
        <v>6</v>
      </c>
      <c r="L65">
        <f>G65*H65*J65*K65</f>
        <v>2.16</v>
      </c>
    </row>
    <row r="66">
      <c r="L66">
        <f>SUM(L62:L65)</f>
        <v>11.814720000000001</v>
      </c>
      <c r="M66" t="str">
        <v>m3</v>
      </c>
      <c r="N66">
        <f>L66</f>
        <v>11.814720000000001</v>
      </c>
    </row>
    <row r="68">
      <c r="A68">
        <f>A62+1</f>
        <v>3</v>
      </c>
      <c r="B68" t="str">
        <v>Lantai kerja ad. 1:3:5, tebal 5 cm</v>
      </c>
      <c r="E68" t="str">
        <v>P 2</v>
      </c>
      <c r="F68" t="str">
        <v>S-1001</v>
      </c>
      <c r="G68">
        <v>2.04</v>
      </c>
      <c r="H68">
        <v>1.2</v>
      </c>
      <c r="J68">
        <v>0.05</v>
      </c>
      <c r="K68">
        <v>20</v>
      </c>
      <c r="L68">
        <f>G68*H68*J68*K68</f>
        <v>2.4480000000000004</v>
      </c>
    </row>
    <row r="69">
      <c r="E69" t="str">
        <v>P 3</v>
      </c>
      <c r="G69">
        <f>(2.04+0.8)/2</f>
        <v>1.42</v>
      </c>
      <c r="H69">
        <v>2.04</v>
      </c>
      <c r="J69">
        <v>0.05</v>
      </c>
      <c r="K69">
        <v>4</v>
      </c>
      <c r="L69">
        <f>G69*H69*J69*K69</f>
        <v>0.57936</v>
      </c>
    </row>
    <row r="70">
      <c r="E70" t="str">
        <v>T B1</v>
      </c>
      <c r="G70">
        <v>30</v>
      </c>
      <c r="H70">
        <v>0.3</v>
      </c>
      <c r="J70">
        <v>0.05</v>
      </c>
      <c r="K70">
        <v>4</v>
      </c>
      <c r="L70">
        <f>G70*H70*J70*K70</f>
        <v>1.8</v>
      </c>
    </row>
    <row r="71">
      <c r="G71">
        <v>12</v>
      </c>
      <c r="H71">
        <v>0.3</v>
      </c>
      <c r="J71">
        <v>0.05</v>
      </c>
      <c r="K71">
        <v>6</v>
      </c>
      <c r="L71">
        <f>G71*H71*J71*K71</f>
        <v>1.08</v>
      </c>
    </row>
    <row r="72">
      <c r="L72">
        <f>SUM(L68:L71)</f>
        <v>5.907360000000001</v>
      </c>
      <c r="M72" t="str">
        <v>m3</v>
      </c>
      <c r="N72">
        <f>L72</f>
        <v>5.907360000000001</v>
      </c>
    </row>
    <row r="74">
      <c r="A74">
        <f>A68+1</f>
        <v>4</v>
      </c>
      <c r="B74" t="str">
        <v>Pilecap</v>
      </c>
    </row>
    <row r="75">
      <c r="B75" t="str">
        <v>Beton K 250</v>
      </c>
      <c r="E75" t="str">
        <v>P2</v>
      </c>
      <c r="G75">
        <v>1.54</v>
      </c>
      <c r="H75">
        <v>0.7</v>
      </c>
      <c r="J75">
        <v>0.75</v>
      </c>
      <c r="K75">
        <v>20</v>
      </c>
      <c r="L75">
        <f>G75*H75*J75*K75</f>
        <v>16.169999999999998</v>
      </c>
    </row>
    <row r="76">
      <c r="E76" t="str">
        <v>P3</v>
      </c>
      <c r="G76">
        <v>1.54</v>
      </c>
      <c r="H76">
        <v>0.5</v>
      </c>
      <c r="J76">
        <v>0.75</v>
      </c>
      <c r="K76">
        <v>4</v>
      </c>
      <c r="L76">
        <f>G76*H76*J76*K76</f>
        <v>2.31</v>
      </c>
    </row>
    <row r="77">
      <c r="G77">
        <f>(1.54+0.36)/2</f>
        <v>0.95</v>
      </c>
      <c r="H77">
        <v>0.92</v>
      </c>
      <c r="J77">
        <v>0.75</v>
      </c>
      <c r="K77">
        <v>32</v>
      </c>
      <c r="L77">
        <f>G77*H77*J77*K77</f>
        <v>20.976</v>
      </c>
    </row>
    <row r="78">
      <c r="L78">
        <f>SUM(L75:L77)</f>
        <v>39.455999999999996</v>
      </c>
      <c r="M78" t="str">
        <v>m3</v>
      </c>
      <c r="N78">
        <f>L78</f>
        <v>39.455999999999996</v>
      </c>
    </row>
    <row r="80">
      <c r="B80" t="str">
        <v>Besi beton dia 19</v>
      </c>
      <c r="E80" t="str">
        <v>P2</v>
      </c>
      <c r="G80">
        <f>1.54+0.2+0.2</f>
        <v>1.94</v>
      </c>
      <c r="J80">
        <v>2.25</v>
      </c>
      <c r="K80">
        <f>20*8</f>
        <v>160</v>
      </c>
      <c r="L80">
        <f>G80*J80*K80</f>
        <v>698.4000000000001</v>
      </c>
      <c r="P80">
        <f>1.5/0.125</f>
        <v>12</v>
      </c>
    </row>
    <row r="81">
      <c r="G81">
        <f>0.7+0.2+0.2</f>
        <v>1.0999999999999999</v>
      </c>
      <c r="J81">
        <v>2.25</v>
      </c>
      <c r="K81">
        <f>20*15</f>
        <v>300</v>
      </c>
      <c r="L81">
        <f>G81*J81*K81</f>
        <v>742.4999999999999</v>
      </c>
    </row>
    <row r="82">
      <c r="E82" t="str">
        <v>P3</v>
      </c>
      <c r="G82">
        <f>1.4+0.2+0.2</f>
        <v>1.7999999999999998</v>
      </c>
      <c r="J82">
        <v>2.25</v>
      </c>
      <c r="K82">
        <f>4*4</f>
        <v>16</v>
      </c>
      <c r="L82">
        <f>G82*J82*K82</f>
        <v>64.8</v>
      </c>
      <c r="P82">
        <f>2/0.125</f>
        <v>16</v>
      </c>
    </row>
    <row r="83">
      <c r="G83">
        <f>1.25+0.4</f>
        <v>1.65</v>
      </c>
      <c r="J83">
        <v>2.25</v>
      </c>
      <c r="K83">
        <f>2*4</f>
        <v>8</v>
      </c>
      <c r="L83">
        <f>G83*J83*K83</f>
        <v>29.7</v>
      </c>
    </row>
    <row r="84">
      <c r="G84">
        <f>1.1+0.4</f>
        <v>1.5</v>
      </c>
      <c r="J84">
        <v>2.25</v>
      </c>
      <c r="K84">
        <f>2*4</f>
        <v>8</v>
      </c>
      <c r="L84">
        <f>G84*J84*K84</f>
        <v>27</v>
      </c>
    </row>
    <row r="85">
      <c r="G85">
        <f>0.95+0.4</f>
        <v>1.35</v>
      </c>
      <c r="J85">
        <v>2.25</v>
      </c>
      <c r="K85">
        <f>2*4</f>
        <v>8</v>
      </c>
      <c r="L85">
        <f>G85*J85*K85</f>
        <v>24.3</v>
      </c>
    </row>
    <row r="86">
      <c r="G86">
        <f>0.8+0.4</f>
        <v>1.2000000000000002</v>
      </c>
      <c r="J86">
        <v>2.25</v>
      </c>
      <c r="K86">
        <f>2*4</f>
        <v>8</v>
      </c>
      <c r="L86">
        <f>G86*J86*K86</f>
        <v>21.6</v>
      </c>
    </row>
    <row r="87">
      <c r="G87">
        <f>0.6+0.4</f>
        <v>1</v>
      </c>
      <c r="J87">
        <v>2.25</v>
      </c>
      <c r="K87">
        <f>2*4</f>
        <v>8</v>
      </c>
      <c r="L87">
        <f>G87*J87*K87</f>
        <v>18</v>
      </c>
    </row>
    <row r="88">
      <c r="G88">
        <f>0.5+0.4</f>
        <v>0.9</v>
      </c>
      <c r="J88">
        <v>2.25</v>
      </c>
      <c r="K88">
        <f>2*4</f>
        <v>8</v>
      </c>
      <c r="L88">
        <f>G88*J88*K88</f>
        <v>16.2</v>
      </c>
    </row>
    <row r="89">
      <c r="G89">
        <f>1.54+0.4</f>
        <v>1.94</v>
      </c>
      <c r="J89">
        <v>2.25</v>
      </c>
      <c r="K89">
        <f>4*6</f>
        <v>24</v>
      </c>
      <c r="L89">
        <f>G89*J89*K89</f>
        <v>104.76</v>
      </c>
    </row>
    <row r="90">
      <c r="G90">
        <f>((1.54+0.36)/2)+0.4</f>
        <v>1.35</v>
      </c>
      <c r="J90">
        <v>2.25</v>
      </c>
      <c r="K90">
        <f>4*9</f>
        <v>36</v>
      </c>
      <c r="L90">
        <f>G90*J90*K90</f>
        <v>109.35000000000001</v>
      </c>
    </row>
    <row r="91">
      <c r="L91">
        <f>SUM(L80:L90)</f>
        <v>1856.61</v>
      </c>
      <c r="M91" t="str">
        <v>kg</v>
      </c>
      <c r="N91">
        <f>L91</f>
        <v>1856.61</v>
      </c>
      <c r="P91">
        <f>N91/N78</f>
        <v>47.05520072992701</v>
      </c>
    </row>
    <row r="93">
      <c r="B93" t="str">
        <v>Besi beton dia 13</v>
      </c>
      <c r="E93" t="str">
        <v>P2</v>
      </c>
      <c r="G93">
        <f>1.54+0.75+0.75</f>
        <v>3.04</v>
      </c>
      <c r="J93">
        <v>0.992</v>
      </c>
      <c r="K93">
        <f>4*20</f>
        <v>80</v>
      </c>
      <c r="L93">
        <f>G93*J93*K93</f>
        <v>241.2544</v>
      </c>
    </row>
    <row r="94">
      <c r="G94">
        <f>0.7+0.75+0.75</f>
        <v>2.2</v>
      </c>
      <c r="J94">
        <v>0.992</v>
      </c>
      <c r="K94">
        <f>8*20</f>
        <v>160</v>
      </c>
      <c r="L94">
        <f>G94*J94*K94</f>
        <v>349.1840000000001</v>
      </c>
    </row>
    <row r="95">
      <c r="E95" t="str">
        <v>P3</v>
      </c>
      <c r="G95">
        <f>1.4+0.75+0.75</f>
        <v>2.9</v>
      </c>
      <c r="J95">
        <v>0.992</v>
      </c>
      <c r="K95">
        <f>3*4</f>
        <v>12</v>
      </c>
      <c r="L95">
        <f>G95*J95*K95</f>
        <v>34.5216</v>
      </c>
    </row>
    <row r="96">
      <c r="G96">
        <f>1.1+0.75+0.75</f>
        <v>2.6</v>
      </c>
      <c r="J96">
        <v>0.992</v>
      </c>
      <c r="K96">
        <f>2*4</f>
        <v>8</v>
      </c>
      <c r="L96">
        <f>G96*J96*K96</f>
        <v>20.6336</v>
      </c>
    </row>
    <row r="97">
      <c r="G97">
        <f>0.8+0.75+0.75</f>
        <v>2.3</v>
      </c>
      <c r="J97">
        <v>0.992</v>
      </c>
      <c r="K97">
        <f>2*4</f>
        <v>8</v>
      </c>
      <c r="L97">
        <f>G97*J97*K97</f>
        <v>18.252799999999997</v>
      </c>
    </row>
    <row r="98">
      <c r="G98">
        <f>0.5+0.75+0.75</f>
        <v>2</v>
      </c>
      <c r="J98">
        <v>0.992</v>
      </c>
      <c r="K98">
        <f>2*4</f>
        <v>8</v>
      </c>
      <c r="L98">
        <f>G98*J98*K98</f>
        <v>15.872</v>
      </c>
    </row>
    <row r="99">
      <c r="G99">
        <f>1.54+0.75+0.75</f>
        <v>3.04</v>
      </c>
      <c r="J99">
        <v>0.992</v>
      </c>
      <c r="K99">
        <f>3*3</f>
        <v>9</v>
      </c>
      <c r="L99">
        <f>G99*J99*K99</f>
        <v>27.14112</v>
      </c>
    </row>
    <row r="100">
      <c r="G100">
        <f>((1.54+0.36)/2)+1.5</f>
        <v>2.45</v>
      </c>
      <c r="J100">
        <v>0.992</v>
      </c>
      <c r="K100">
        <f>4*5</f>
        <v>20</v>
      </c>
      <c r="L100">
        <f>G100*J100*K100</f>
        <v>48.608000000000004</v>
      </c>
    </row>
    <row r="101">
      <c r="L101">
        <f>IF(YEAR(NOW())=YEAR(NOW()),SUM(L93:L100),a)</f>
        <v>755.4675200000001</v>
      </c>
      <c r="M101" t="str">
        <v>kg</v>
      </c>
      <c r="N101">
        <f>L101</f>
        <v>755.4675200000001</v>
      </c>
    </row>
    <row r="103">
      <c r="B103" t="str">
        <v>Besi beton 10</v>
      </c>
      <c r="E103" t="str">
        <v>P2</v>
      </c>
      <c r="G103">
        <f>(0.7+1.54)*2</f>
        <v>4.48</v>
      </c>
      <c r="J103">
        <v>0.616</v>
      </c>
      <c r="K103">
        <f>20*2</f>
        <v>40</v>
      </c>
      <c r="L103">
        <f>G103*J103*K103</f>
        <v>110.3872</v>
      </c>
    </row>
    <row r="104">
      <c r="E104" t="str">
        <v>P3</v>
      </c>
      <c r="G104">
        <f>1.54+0.5+1.1+0.36+1.1+0.5</f>
        <v>5.1</v>
      </c>
      <c r="J104">
        <v>0.616</v>
      </c>
      <c r="K104">
        <f>2*4</f>
        <v>8</v>
      </c>
      <c r="L104">
        <f>G104*J104*K104</f>
        <v>25.1328</v>
      </c>
    </row>
    <row r="105">
      <c r="L105">
        <f>SUM(L103:L104)</f>
        <v>135.52</v>
      </c>
      <c r="M105" t="str">
        <v>kg</v>
      </c>
      <c r="N105">
        <f>L105</f>
        <v>135.52</v>
      </c>
    </row>
    <row r="107">
      <c r="B107" t="str">
        <v>Bekisting</v>
      </c>
      <c r="E107" t="str">
        <v>P2</v>
      </c>
      <c r="G107">
        <f>(0.7+1.54)*2</f>
        <v>4.48</v>
      </c>
      <c r="H107">
        <v>0.6</v>
      </c>
      <c r="K107">
        <v>20</v>
      </c>
      <c r="L107">
        <f>G107*H107*K107</f>
        <v>53.760000000000005</v>
      </c>
    </row>
    <row r="108">
      <c r="E108" t="str">
        <v>P3</v>
      </c>
      <c r="G108">
        <f>1.54+0.5+1.1+0.36+1.1+0.5</f>
        <v>5.1</v>
      </c>
      <c r="H108">
        <v>0.6</v>
      </c>
      <c r="K108">
        <v>4</v>
      </c>
      <c r="L108">
        <f>G108*H108*K108</f>
        <v>12.239999999999998</v>
      </c>
    </row>
    <row r="109">
      <c r="L109">
        <f>SUM(L107:L108)</f>
        <v>66</v>
      </c>
      <c r="M109" t="str">
        <v>m2</v>
      </c>
      <c r="N109">
        <f>L109</f>
        <v>66</v>
      </c>
    </row>
    <row r="111">
      <c r="A111">
        <f>A74+1</f>
        <v>5</v>
      </c>
      <c r="B111" t="str">
        <v>Pondasi batu kali</v>
      </c>
      <c r="E111" t="str">
        <v>a</v>
      </c>
      <c r="G111">
        <v>8</v>
      </c>
      <c r="H111">
        <f>(0.8+0.4)/2</f>
        <v>0.6000000000000001</v>
      </c>
      <c r="J111">
        <v>0.15</v>
      </c>
      <c r="K111">
        <v>1</v>
      </c>
      <c r="L111">
        <f>G111*H111*J111*K111</f>
        <v>0.7200000000000001</v>
      </c>
    </row>
    <row r="112">
      <c r="G112">
        <v>8</v>
      </c>
      <c r="H112">
        <v>0.45</v>
      </c>
      <c r="J112">
        <v>0.65</v>
      </c>
      <c r="K112">
        <v>1</v>
      </c>
      <c r="L112">
        <f>G112*H112*J112*K112</f>
        <v>2.3400000000000003</v>
      </c>
    </row>
    <row r="113">
      <c r="G113">
        <v>3.5</v>
      </c>
      <c r="H113">
        <v>0.6</v>
      </c>
      <c r="J113">
        <v>0.15</v>
      </c>
      <c r="K113">
        <v>1</v>
      </c>
      <c r="L113">
        <f>G113*H113*J113*K113</f>
        <v>0.315</v>
      </c>
    </row>
    <row r="114">
      <c r="G114">
        <v>3.5</v>
      </c>
      <c r="H114">
        <v>0.45</v>
      </c>
      <c r="J114">
        <v>0.65</v>
      </c>
      <c r="K114">
        <v>1</v>
      </c>
      <c r="L114">
        <f>G114*H114*J114*K114</f>
        <v>1.02375</v>
      </c>
    </row>
    <row r="115">
      <c r="G115">
        <v>3.5</v>
      </c>
      <c r="H115">
        <v>0.6</v>
      </c>
      <c r="J115">
        <v>0.15</v>
      </c>
      <c r="K115">
        <v>1</v>
      </c>
      <c r="L115">
        <f>G115*H115*J115*K115</f>
        <v>0.315</v>
      </c>
    </row>
    <row r="116">
      <c r="G116">
        <v>3.5</v>
      </c>
      <c r="H116">
        <v>0.45</v>
      </c>
      <c r="J116">
        <v>0.65</v>
      </c>
      <c r="K116">
        <v>2</v>
      </c>
      <c r="L116">
        <f>G116*H116*J116*K116</f>
        <v>2.0475</v>
      </c>
    </row>
    <row r="117">
      <c r="E117">
        <v>4</v>
      </c>
      <c r="G117">
        <v>13</v>
      </c>
      <c r="H117">
        <f>(0.8+0.4)/2</f>
        <v>0.6000000000000001</v>
      </c>
      <c r="J117">
        <v>0.15</v>
      </c>
      <c r="K117">
        <v>1</v>
      </c>
      <c r="L117">
        <f>G117*H117*J117*K117</f>
        <v>1.1700000000000002</v>
      </c>
    </row>
    <row r="118">
      <c r="G118">
        <v>13</v>
      </c>
      <c r="H118">
        <v>0.45</v>
      </c>
      <c r="J118">
        <v>0.65</v>
      </c>
      <c r="K118">
        <v>1</v>
      </c>
      <c r="L118">
        <f>G118*H118*J118*K118</f>
        <v>3.8025000000000007</v>
      </c>
    </row>
    <row r="119">
      <c r="E119" t="str">
        <v>b</v>
      </c>
      <c r="G119">
        <v>1.075</v>
      </c>
      <c r="H119">
        <f>(0.8+0.4)/2</f>
        <v>0.6000000000000001</v>
      </c>
      <c r="J119">
        <v>0.15</v>
      </c>
      <c r="K119">
        <v>2</v>
      </c>
      <c r="L119">
        <f>G119*H119*J119*K119</f>
        <v>0.1935</v>
      </c>
    </row>
    <row r="120">
      <c r="G120">
        <v>1.075</v>
      </c>
      <c r="H120">
        <v>0.45</v>
      </c>
      <c r="J120">
        <v>0.65</v>
      </c>
      <c r="K120">
        <v>2</v>
      </c>
      <c r="L120">
        <f>G120*H120*J120*K120</f>
        <v>0.6288750000000001</v>
      </c>
    </row>
    <row r="121">
      <c r="E121" t="str">
        <v>c</v>
      </c>
      <c r="G121">
        <v>1</v>
      </c>
      <c r="H121">
        <v>0.6</v>
      </c>
      <c r="J121">
        <v>0.15</v>
      </c>
      <c r="K121">
        <v>1</v>
      </c>
      <c r="L121">
        <f>G121*H121*J121*K121</f>
        <v>0.09</v>
      </c>
    </row>
    <row r="122">
      <c r="G122">
        <v>1</v>
      </c>
      <c r="H122">
        <v>0.45</v>
      </c>
      <c r="J122">
        <v>0.65</v>
      </c>
      <c r="K122">
        <v>1</v>
      </c>
      <c r="L122">
        <f>G122*H122*J122*K122</f>
        <v>0.29250000000000004</v>
      </c>
    </row>
    <row r="123">
      <c r="E123" t="str">
        <v>d</v>
      </c>
      <c r="G123">
        <v>1</v>
      </c>
      <c r="H123">
        <v>0.6</v>
      </c>
      <c r="J123">
        <v>0.15</v>
      </c>
      <c r="K123">
        <v>1</v>
      </c>
      <c r="L123">
        <f>G123*H123*J123*K123</f>
        <v>0.09</v>
      </c>
    </row>
    <row r="124">
      <c r="G124">
        <v>1</v>
      </c>
      <c r="H124">
        <v>0.45</v>
      </c>
      <c r="J124">
        <v>0.65</v>
      </c>
      <c r="K124">
        <v>1</v>
      </c>
      <c r="L124">
        <f>G124*H124*J124*K124</f>
        <v>0.29250000000000004</v>
      </c>
    </row>
    <row r="125">
      <c r="G125">
        <v>1.075</v>
      </c>
      <c r="H125">
        <f>(0.8+0.4)/2</f>
        <v>0.6000000000000001</v>
      </c>
      <c r="J125">
        <v>0.15</v>
      </c>
      <c r="K125">
        <v>2</v>
      </c>
      <c r="L125">
        <f>G125*H125*J125*K125</f>
        <v>0.1935</v>
      </c>
    </row>
    <row r="126">
      <c r="G126">
        <v>1.075</v>
      </c>
      <c r="H126">
        <v>0.45</v>
      </c>
      <c r="J126">
        <v>0.65</v>
      </c>
      <c r="K126">
        <v>2</v>
      </c>
      <c r="L126">
        <f>G126*H126*J126*K126</f>
        <v>0.6288750000000001</v>
      </c>
    </row>
    <row r="127">
      <c r="L127">
        <f>SUM(L111:L126)</f>
        <v>14.143500000000003</v>
      </c>
      <c r="M127" t="str">
        <v>m3</v>
      </c>
      <c r="N127">
        <f>L127</f>
        <v>14.143500000000003</v>
      </c>
    </row>
    <row r="129">
      <c r="B129" t="str">
        <v>Kolom Pedestal</v>
      </c>
    </row>
    <row r="130">
      <c r="B130" t="str">
        <v>Beton K 225</v>
      </c>
      <c r="E130" t="str">
        <v>P 1 / P 2</v>
      </c>
      <c r="G130">
        <v>0.35</v>
      </c>
      <c r="H130">
        <v>0.35</v>
      </c>
      <c r="J130">
        <v>1.3</v>
      </c>
      <c r="K130">
        <v>24</v>
      </c>
      <c r="L130">
        <f>G130*H130*J130*K130</f>
        <v>3.821999999999999</v>
      </c>
      <c r="M130" t="str">
        <v>m3</v>
      </c>
      <c r="N130">
        <f>L130</f>
        <v>3.821999999999999</v>
      </c>
    </row>
    <row r="132">
      <c r="B132" t="str">
        <v>Besi beton dia 16</v>
      </c>
      <c r="E132" t="str">
        <v>P 1 / P 2</v>
      </c>
      <c r="G132">
        <v>1.7</v>
      </c>
      <c r="J132">
        <v>1.558</v>
      </c>
      <c r="K132">
        <f>24*8</f>
        <v>192</v>
      </c>
      <c r="L132">
        <f>G132*J132*K132</f>
        <v>508.5312</v>
      </c>
      <c r="M132" t="str">
        <v>kg</v>
      </c>
      <c r="N132">
        <f>L132</f>
        <v>508.5312</v>
      </c>
    </row>
    <row r="134">
      <c r="B134" t="str">
        <v>Besi beton dia 10</v>
      </c>
      <c r="E134" t="str">
        <v>P 1 / P 2</v>
      </c>
      <c r="G134">
        <f>0.35*4</f>
        <v>1.4</v>
      </c>
      <c r="J134">
        <v>0.616</v>
      </c>
      <c r="K134">
        <f>6*24</f>
        <v>144</v>
      </c>
      <c r="L134">
        <f>G134*J134*K134</f>
        <v>124.1856</v>
      </c>
    </row>
    <row r="135">
      <c r="G135">
        <v>0.8</v>
      </c>
      <c r="J135">
        <v>0.616</v>
      </c>
      <c r="K135">
        <f>6*24</f>
        <v>144</v>
      </c>
      <c r="L135">
        <f>G135*J135*K135</f>
        <v>70.9632</v>
      </c>
    </row>
    <row r="136">
      <c r="L136">
        <f>SUM(L134:L135)</f>
        <v>195.1488</v>
      </c>
      <c r="M136" t="str">
        <v>kg</v>
      </c>
      <c r="N136">
        <f>L136</f>
        <v>195.1488</v>
      </c>
    </row>
    <row r="138">
      <c r="B138" t="str">
        <v>Bekisting</v>
      </c>
      <c r="E138" t="str">
        <v>P 1 / P 2</v>
      </c>
      <c r="G138">
        <v>1.4</v>
      </c>
      <c r="J138">
        <v>1.3</v>
      </c>
      <c r="K138">
        <v>24</v>
      </c>
      <c r="L138">
        <f>G138*J138*K138</f>
        <v>43.67999999999999</v>
      </c>
      <c r="M138" t="str">
        <v>m2</v>
      </c>
      <c r="N138">
        <f>L138</f>
        <v>43.67999999999999</v>
      </c>
    </row>
    <row r="140">
      <c r="A140">
        <f>A111+1</f>
        <v>6</v>
      </c>
      <c r="B140" t="str">
        <v>Sloof ( TB 1 )</v>
      </c>
    </row>
    <row r="141">
      <c r="B141" t="str">
        <v>Beton K 225</v>
      </c>
      <c r="E141" t="str">
        <v>A - F</v>
      </c>
      <c r="G141">
        <f>12-1.5</f>
        <v>10.5</v>
      </c>
      <c r="H141">
        <v>0.25</v>
      </c>
      <c r="J141">
        <v>0.5</v>
      </c>
      <c r="K141">
        <v>6</v>
      </c>
      <c r="L141">
        <f>G141*H141*J141*K141</f>
        <v>7.875</v>
      </c>
    </row>
    <row r="142">
      <c r="E142" t="str">
        <v>1 - 4</v>
      </c>
      <c r="G142">
        <f>30-3.5</f>
        <v>26.5</v>
      </c>
      <c r="H142">
        <v>0.25</v>
      </c>
      <c r="J142">
        <v>0.5</v>
      </c>
      <c r="K142">
        <v>4</v>
      </c>
      <c r="L142">
        <f>G142*H142*J142*K142</f>
        <v>13.25</v>
      </c>
    </row>
    <row r="143">
      <c r="L143">
        <f>SUM(L140:L142)</f>
        <v>21.125</v>
      </c>
      <c r="M143" t="str">
        <v>m3</v>
      </c>
      <c r="N143">
        <f>L143</f>
        <v>21.125</v>
      </c>
    </row>
    <row r="145">
      <c r="B145" t="str">
        <v>Besi beton dia 16</v>
      </c>
      <c r="E145" t="str">
        <v>A - F</v>
      </c>
      <c r="G145">
        <f>12+0.4</f>
        <v>12.4</v>
      </c>
      <c r="J145">
        <v>1.558</v>
      </c>
      <c r="K145">
        <f>6*6</f>
        <v>36</v>
      </c>
      <c r="L145">
        <f>G145*J145*K145</f>
        <v>695.4912</v>
      </c>
    </row>
    <row r="146">
      <c r="E146" t="str">
        <v>1 - 4</v>
      </c>
      <c r="G146">
        <f>30+0.4</f>
        <v>30.4</v>
      </c>
      <c r="J146">
        <v>1.558</v>
      </c>
      <c r="K146">
        <f>4*6</f>
        <v>24</v>
      </c>
      <c r="L146">
        <f>G146*J146*K146</f>
        <v>1136.7168</v>
      </c>
    </row>
    <row r="147">
      <c r="L147">
        <f>SUM(L145:L146)</f>
        <v>1832.208</v>
      </c>
      <c r="M147" t="str">
        <v>kg</v>
      </c>
      <c r="N147">
        <f>L147</f>
        <v>1832.208</v>
      </c>
    </row>
    <row r="149">
      <c r="B149" t="str">
        <v xml:space="preserve">Besi beton dia 10 </v>
      </c>
      <c r="E149" t="str">
        <v>A - F</v>
      </c>
      <c r="G149">
        <v>1.5</v>
      </c>
      <c r="J149">
        <v>0.616</v>
      </c>
      <c r="K149">
        <f>55*6</f>
        <v>330</v>
      </c>
      <c r="L149">
        <f>G149*J149*K149</f>
        <v>304.91999999999996</v>
      </c>
      <c r="P149">
        <f>(12-1.05)/0.2</f>
        <v>54.74999999999999</v>
      </c>
    </row>
    <row r="150">
      <c r="E150" t="str">
        <v>1 - 4</v>
      </c>
      <c r="G150">
        <v>1.5</v>
      </c>
      <c r="J150">
        <v>0.616</v>
      </c>
      <c r="K150">
        <f>141*4</f>
        <v>564</v>
      </c>
      <c r="L150">
        <f>G150*J150*K150</f>
        <v>521.136</v>
      </c>
      <c r="P150">
        <f>(30-1.75)/0.2</f>
        <v>141.25</v>
      </c>
    </row>
    <row r="151">
      <c r="L151">
        <f>SUM(L149:L150)</f>
        <v>826.0559999999999</v>
      </c>
      <c r="M151" t="str">
        <v>kg</v>
      </c>
      <c r="N151">
        <f>L151</f>
        <v>826.0559999999999</v>
      </c>
    </row>
    <row r="153">
      <c r="B153" t="str">
        <v>Bekisting</v>
      </c>
      <c r="E153" t="str">
        <v>A - F</v>
      </c>
      <c r="G153">
        <f>12-1.5</f>
        <v>10.5</v>
      </c>
      <c r="J153">
        <v>0.7</v>
      </c>
      <c r="K153">
        <v>6</v>
      </c>
      <c r="L153">
        <f>G153*J153*K153</f>
        <v>44.099999999999994</v>
      </c>
    </row>
    <row r="154">
      <c r="E154" t="str">
        <v>1 - 4</v>
      </c>
      <c r="G154">
        <f>30-3.5</f>
        <v>26.5</v>
      </c>
      <c r="J154">
        <v>0.7</v>
      </c>
      <c r="K154">
        <v>4</v>
      </c>
      <c r="L154">
        <f>G154*J154*K154</f>
        <v>74.19999999999999</v>
      </c>
    </row>
    <row r="155">
      <c r="L155">
        <f>SUM(L153:L154)</f>
        <v>118.29999999999998</v>
      </c>
      <c r="M155" t="str">
        <v>m2</v>
      </c>
      <c r="N155">
        <f>L155</f>
        <v>118.29999999999998</v>
      </c>
    </row>
    <row r="157">
      <c r="A157" t="str">
        <v>C</v>
      </c>
      <c r="B157" t="str">
        <v>PEKERJAAN  STRUKTUR</v>
      </c>
    </row>
    <row r="158">
      <c r="A158">
        <v>1</v>
      </c>
      <c r="B158" t="str">
        <v>LANTAI DASAR</v>
      </c>
    </row>
    <row r="159">
      <c r="A159">
        <f>+A158+0.01</f>
        <v>1.01</v>
      </c>
      <c r="B159" t="str">
        <v xml:space="preserve">Kolom </v>
      </c>
    </row>
    <row r="160">
      <c r="B160" t="str">
        <v>Beton K 250</v>
      </c>
      <c r="E160" t="str">
        <v>K 1</v>
      </c>
      <c r="G160">
        <v>0.35</v>
      </c>
      <c r="H160">
        <v>0.35</v>
      </c>
      <c r="J160">
        <v>3.5</v>
      </c>
      <c r="K160">
        <v>24</v>
      </c>
      <c r="L160">
        <f>G160*H160*J160*K160</f>
        <v>10.29</v>
      </c>
    </row>
    <row r="161">
      <c r="E161" t="str">
        <v>bordes</v>
      </c>
      <c r="G161">
        <v>0.2</v>
      </c>
      <c r="H161">
        <v>0.2</v>
      </c>
      <c r="J161">
        <v>2</v>
      </c>
      <c r="K161">
        <v>1</v>
      </c>
      <c r="L161">
        <f>G161*H161*J161*K161</f>
        <v>0.08000000000000002</v>
      </c>
    </row>
    <row r="162">
      <c r="E162" t="str">
        <v>Praktis</v>
      </c>
      <c r="G162">
        <v>0.13</v>
      </c>
      <c r="H162">
        <v>0.2</v>
      </c>
      <c r="J162">
        <v>3.5</v>
      </c>
      <c r="K162">
        <v>10</v>
      </c>
      <c r="L162">
        <f>G162*H162*J162*K162</f>
        <v>0.9100000000000001</v>
      </c>
    </row>
    <row r="163">
      <c r="L163">
        <f>SUM(L160:L161)</f>
        <v>10.37</v>
      </c>
      <c r="M163" t="str">
        <v>m3</v>
      </c>
      <c r="N163">
        <f>L163</f>
        <v>10.37</v>
      </c>
    </row>
    <row r="165">
      <c r="B165" t="str">
        <v>Besi beton dia 16</v>
      </c>
      <c r="E165" t="str">
        <v>K 1</v>
      </c>
      <c r="G165">
        <v>3.75</v>
      </c>
      <c r="J165">
        <v>1.558</v>
      </c>
      <c r="K165">
        <f>24*8</f>
        <v>192</v>
      </c>
      <c r="L165">
        <f>G165*J165*K165</f>
        <v>1121.76</v>
      </c>
      <c r="M165" t="str">
        <v>kg</v>
      </c>
      <c r="N165">
        <f>L165</f>
        <v>1121.76</v>
      </c>
    </row>
    <row r="167">
      <c r="B167" t="str">
        <v>Besi beton dia 13</v>
      </c>
      <c r="E167" t="str">
        <v>bordes</v>
      </c>
      <c r="G167">
        <v>2.2</v>
      </c>
      <c r="J167">
        <v>0.992</v>
      </c>
      <c r="K167">
        <v>4</v>
      </c>
      <c r="L167">
        <f>G167*J167*K167</f>
        <v>8.729600000000001</v>
      </c>
    </row>
    <row r="168">
      <c r="E168" t="str">
        <v>Praktis</v>
      </c>
      <c r="G168">
        <v>3.65</v>
      </c>
      <c r="J168">
        <v>0.992</v>
      </c>
      <c r="K168">
        <f>4*10</f>
        <v>40</v>
      </c>
      <c r="L168">
        <f>G168*J168*K168</f>
        <v>144.832</v>
      </c>
    </row>
    <row r="169">
      <c r="L169">
        <f>SUM(L167:L168)</f>
        <v>153.5616</v>
      </c>
      <c r="M169" t="str">
        <v>kg</v>
      </c>
      <c r="N169">
        <f>L169</f>
        <v>153.5616</v>
      </c>
    </row>
    <row r="171">
      <c r="B171" t="str">
        <v>Besi beton dia 10</v>
      </c>
      <c r="E171" t="str">
        <v>K 1</v>
      </c>
      <c r="G171">
        <f>0.35*4</f>
        <v>1.4</v>
      </c>
      <c r="J171">
        <v>0.616</v>
      </c>
      <c r="K171">
        <f>18*24</f>
        <v>432</v>
      </c>
      <c r="L171">
        <f>G171*J171*K171</f>
        <v>372.55679999999995</v>
      </c>
      <c r="P171">
        <f>3.5/0.2</f>
        <v>17.5</v>
      </c>
    </row>
    <row r="172">
      <c r="E172" t="str">
        <v>K 1</v>
      </c>
      <c r="G172">
        <v>0.8</v>
      </c>
      <c r="J172">
        <v>0.616</v>
      </c>
      <c r="K172">
        <f>18*24</f>
        <v>432</v>
      </c>
      <c r="L172">
        <f>G172*J172*K172</f>
        <v>212.8896</v>
      </c>
    </row>
    <row r="173">
      <c r="E173" t="str">
        <v>bordes</v>
      </c>
      <c r="G173">
        <v>0.8</v>
      </c>
      <c r="J173">
        <v>0.616</v>
      </c>
      <c r="K173">
        <v>13</v>
      </c>
      <c r="L173">
        <f>G173*J173*K173</f>
        <v>6.4064000000000005</v>
      </c>
    </row>
    <row r="174">
      <c r="L174">
        <f>SUM(L171:L173)</f>
        <v>591.8527999999999</v>
      </c>
      <c r="M174" t="str">
        <v>kg</v>
      </c>
      <c r="N174">
        <f>L174</f>
        <v>591.8527999999999</v>
      </c>
    </row>
    <row r="176">
      <c r="B176" t="str">
        <v>Bekisting</v>
      </c>
      <c r="E176" t="str">
        <v>K 1</v>
      </c>
      <c r="G176">
        <v>1.4</v>
      </c>
      <c r="J176">
        <v>3.5</v>
      </c>
      <c r="K176">
        <v>24</v>
      </c>
      <c r="L176">
        <f>G176*J176*K176</f>
        <v>117.6</v>
      </c>
    </row>
    <row r="177">
      <c r="E177" t="str">
        <v>botdes</v>
      </c>
      <c r="G177">
        <v>0.8</v>
      </c>
      <c r="J177">
        <v>2</v>
      </c>
      <c r="K177">
        <v>1</v>
      </c>
      <c r="L177">
        <f>G177*J177*K177</f>
        <v>1.6</v>
      </c>
    </row>
    <row r="178">
      <c r="E178" t="str">
        <v>praktis</v>
      </c>
      <c r="G178">
        <v>0.4</v>
      </c>
      <c r="J178">
        <v>3.5</v>
      </c>
      <c r="K178">
        <v>10</v>
      </c>
      <c r="L178">
        <f>G178*J178*K178</f>
        <v>14.000000000000002</v>
      </c>
    </row>
    <row r="179">
      <c r="L179">
        <f>SUM(L176:L178)</f>
        <v>133.2</v>
      </c>
      <c r="M179" t="str">
        <v>m2</v>
      </c>
      <c r="N179">
        <f>L179</f>
        <v>133.2</v>
      </c>
    </row>
    <row r="181">
      <c r="A181">
        <f>A159+0.01</f>
        <v>1.02</v>
      </c>
      <c r="B181" t="str">
        <v xml:space="preserve">Plat lantai </v>
      </c>
    </row>
    <row r="182">
      <c r="B182" t="str">
        <v>Urugan pasir tebal 10 cm</v>
      </c>
      <c r="G182">
        <v>32</v>
      </c>
      <c r="H182">
        <v>14</v>
      </c>
      <c r="J182">
        <v>0.1</v>
      </c>
      <c r="K182">
        <v>1</v>
      </c>
      <c r="L182">
        <f>G182*H182*J182*K182</f>
        <v>44.800000000000004</v>
      </c>
    </row>
    <row r="183">
      <c r="D183" t="str">
        <v xml:space="preserve">- </v>
      </c>
      <c r="G183">
        <v>14</v>
      </c>
      <c r="H183">
        <v>1</v>
      </c>
      <c r="J183">
        <v>0.1</v>
      </c>
      <c r="K183">
        <v>1</v>
      </c>
      <c r="L183">
        <f>G183*H183*J183*K183</f>
        <v>1.4000000000000001</v>
      </c>
    </row>
    <row r="184">
      <c r="G184">
        <v>13</v>
      </c>
      <c r="H184">
        <v>1</v>
      </c>
      <c r="J184">
        <v>0.1</v>
      </c>
      <c r="K184">
        <v>1</v>
      </c>
      <c r="L184">
        <f>G184*H184*J184*K184</f>
        <v>1.3</v>
      </c>
    </row>
    <row r="185">
      <c r="G185">
        <v>6</v>
      </c>
      <c r="H185">
        <v>1</v>
      </c>
      <c r="J185">
        <v>0.1</v>
      </c>
      <c r="K185">
        <v>1</v>
      </c>
      <c r="L185">
        <f>G185*H185*J185*K185</f>
        <v>0.6000000000000001</v>
      </c>
    </row>
    <row r="186">
      <c r="L186">
        <f>SUM(L182:L185)</f>
        <v>48.1</v>
      </c>
    </row>
    <row r="187">
      <c r="D187" t="str">
        <v>dikurangi</v>
      </c>
      <c r="G187">
        <f>12-1.5</f>
        <v>10.5</v>
      </c>
      <c r="H187">
        <v>0.25</v>
      </c>
      <c r="J187">
        <v>0.1</v>
      </c>
      <c r="K187">
        <v>6</v>
      </c>
      <c r="L187">
        <f>G187*H187*J187*K187</f>
        <v>1.5750000000000002</v>
      </c>
    </row>
    <row r="188">
      <c r="G188">
        <f>30-3.5</f>
        <v>26.5</v>
      </c>
      <c r="H188">
        <v>0.25</v>
      </c>
      <c r="J188">
        <v>0.1</v>
      </c>
      <c r="K188">
        <v>4</v>
      </c>
      <c r="L188">
        <f>G188*H188*J188*K188</f>
        <v>2.6500000000000004</v>
      </c>
    </row>
    <row r="189">
      <c r="L189">
        <f>SUM(L187:L188)</f>
        <v>4.2250000000000005</v>
      </c>
    </row>
    <row r="190">
      <c r="L190">
        <f>L186-L189</f>
        <v>43.875</v>
      </c>
      <c r="M190" t="str">
        <v>m3</v>
      </c>
      <c r="N190">
        <f>L190</f>
        <v>43.875</v>
      </c>
    </row>
    <row r="192">
      <c r="B192" t="str">
        <v>Lantai kerja ad 1:3:5, tebal 5 cm</v>
      </c>
      <c r="G192">
        <v>32</v>
      </c>
      <c r="H192">
        <v>14</v>
      </c>
      <c r="J192">
        <v>0.05</v>
      </c>
      <c r="K192">
        <v>1</v>
      </c>
      <c r="L192">
        <f>G192*H192*J192*K192</f>
        <v>22.400000000000002</v>
      </c>
    </row>
    <row r="193">
      <c r="G193">
        <v>14</v>
      </c>
      <c r="H193">
        <v>1</v>
      </c>
      <c r="J193">
        <v>0.05</v>
      </c>
      <c r="K193">
        <v>1</v>
      </c>
      <c r="L193">
        <f>G193*H193*J193*K193</f>
        <v>0.7000000000000001</v>
      </c>
    </row>
    <row r="194">
      <c r="G194">
        <v>13</v>
      </c>
      <c r="H194">
        <v>1</v>
      </c>
      <c r="J194">
        <v>0.05</v>
      </c>
      <c r="K194">
        <v>1</v>
      </c>
      <c r="L194">
        <f>G194*H194*J194*K194</f>
        <v>0.65</v>
      </c>
    </row>
    <row r="195">
      <c r="G195">
        <v>6</v>
      </c>
      <c r="H195">
        <v>1</v>
      </c>
      <c r="J195">
        <v>0.05</v>
      </c>
      <c r="K195">
        <v>1</v>
      </c>
      <c r="L195">
        <f>G195*H195*J195*K195</f>
        <v>0.30000000000000004</v>
      </c>
    </row>
    <row r="196">
      <c r="L196">
        <f>SUM(L192:L195)</f>
        <v>24.05</v>
      </c>
    </row>
    <row r="197">
      <c r="D197" t="str">
        <v>dikurangi</v>
      </c>
      <c r="G197">
        <f>12-1.5</f>
        <v>10.5</v>
      </c>
      <c r="H197">
        <v>0.25</v>
      </c>
      <c r="J197">
        <v>0.05</v>
      </c>
      <c r="K197">
        <v>6</v>
      </c>
      <c r="L197">
        <f>G197*H197*J197*K197</f>
        <v>0.7875000000000001</v>
      </c>
    </row>
    <row r="198">
      <c r="G198">
        <f>30-3.5</f>
        <v>26.5</v>
      </c>
      <c r="H198">
        <v>0.25</v>
      </c>
      <c r="J198">
        <v>0.05</v>
      </c>
      <c r="K198">
        <v>4</v>
      </c>
      <c r="L198">
        <f>G198*H198*J198*K198</f>
        <v>1.3250000000000002</v>
      </c>
    </row>
    <row r="199">
      <c r="L199">
        <f>SUM(L197:L198)</f>
        <v>2.1125000000000003</v>
      </c>
    </row>
    <row r="200">
      <c r="L200">
        <f>L196-L199</f>
        <v>21.9375</v>
      </c>
      <c r="M200" t="str">
        <v>m3</v>
      </c>
      <c r="N200">
        <f>L200</f>
        <v>21.9375</v>
      </c>
    </row>
    <row r="202">
      <c r="B202" t="str">
        <v>Beton K 250</v>
      </c>
      <c r="G202">
        <v>32</v>
      </c>
      <c r="H202">
        <v>14</v>
      </c>
      <c r="J202">
        <v>0.15</v>
      </c>
      <c r="K202">
        <v>1</v>
      </c>
      <c r="L202">
        <f>G202*H202*J202*K202</f>
        <v>67.2</v>
      </c>
    </row>
    <row r="203">
      <c r="G203">
        <v>14</v>
      </c>
      <c r="H203">
        <v>1</v>
      </c>
      <c r="J203">
        <v>0.15</v>
      </c>
      <c r="K203">
        <v>1</v>
      </c>
      <c r="L203">
        <f>G203*H203*J203*K203</f>
        <v>2.1</v>
      </c>
    </row>
    <row r="204">
      <c r="L204">
        <f>SUM(L202:L203)</f>
        <v>69.3</v>
      </c>
    </row>
    <row r="205">
      <c r="D205" t="str">
        <v>dikurangi</v>
      </c>
      <c r="G205">
        <f>12-1.5</f>
        <v>10.5</v>
      </c>
      <c r="H205">
        <v>0.25</v>
      </c>
      <c r="J205">
        <v>0.15</v>
      </c>
      <c r="K205">
        <v>6</v>
      </c>
      <c r="L205">
        <f>G205*H205*J205*K205</f>
        <v>2.3625</v>
      </c>
    </row>
    <row r="206">
      <c r="G206">
        <f>30-3.5</f>
        <v>26.5</v>
      </c>
      <c r="H206">
        <v>0.25</v>
      </c>
      <c r="J206">
        <v>0.15</v>
      </c>
      <c r="K206">
        <v>4</v>
      </c>
      <c r="L206">
        <f>G206*H206*J206*K206</f>
        <v>3.9749999999999996</v>
      </c>
    </row>
    <row r="207">
      <c r="L207">
        <f>SUM(L205:L206)</f>
        <v>6.3374999999999995</v>
      </c>
    </row>
    <row r="208">
      <c r="L208">
        <f>L204-L207</f>
        <v>62.9625</v>
      </c>
      <c r="M208" t="str">
        <v>m3</v>
      </c>
      <c r="N208">
        <f>L208</f>
        <v>62.9625</v>
      </c>
    </row>
    <row r="210">
      <c r="B210" t="str">
        <v>Besi beton dia 13</v>
      </c>
      <c r="G210">
        <v>32</v>
      </c>
      <c r="J210">
        <v>0.992</v>
      </c>
      <c r="K210">
        <f>70*2</f>
        <v>140</v>
      </c>
      <c r="L210">
        <f>G210*J210*K210</f>
        <v>4444.16</v>
      </c>
      <c r="P210">
        <f>14/0.1</f>
        <v>140</v>
      </c>
    </row>
    <row r="211">
      <c r="G211">
        <v>15</v>
      </c>
      <c r="J211">
        <v>0.992</v>
      </c>
      <c r="K211">
        <f>5*2</f>
        <v>10</v>
      </c>
      <c r="L211">
        <f>G211*J211*K211</f>
        <v>148.79999999999998</v>
      </c>
    </row>
    <row r="212">
      <c r="G212">
        <v>8</v>
      </c>
      <c r="J212">
        <v>0.992</v>
      </c>
      <c r="K212">
        <f>5*2</f>
        <v>10</v>
      </c>
      <c r="L212">
        <f>G212*J212*K212</f>
        <v>79.36</v>
      </c>
    </row>
    <row r="213">
      <c r="G213">
        <v>14.15</v>
      </c>
      <c r="J213">
        <v>0.992</v>
      </c>
      <c r="K213">
        <f>42*2*2</f>
        <v>168</v>
      </c>
      <c r="L213">
        <f>G213*J213*K213</f>
        <v>2358.1823999999997</v>
      </c>
    </row>
    <row r="214">
      <c r="G214">
        <v>15.15</v>
      </c>
      <c r="J214">
        <v>0.992</v>
      </c>
      <c r="K214">
        <f>17*2*2</f>
        <v>68</v>
      </c>
      <c r="L214">
        <f>G214*J214*K214</f>
        <v>1021.9584</v>
      </c>
    </row>
    <row r="215">
      <c r="G215">
        <v>16.15</v>
      </c>
      <c r="J215">
        <v>0.992</v>
      </c>
      <c r="K215">
        <f>40*2</f>
        <v>80</v>
      </c>
      <c r="L215">
        <f>G215*J215*K215</f>
        <v>1281.6639999999998</v>
      </c>
    </row>
    <row r="216">
      <c r="L216">
        <f>SUM(L210:L215)</f>
        <v>9334.124799999998</v>
      </c>
      <c r="M216" t="str">
        <v>kg</v>
      </c>
      <c r="N216">
        <f>L216</f>
        <v>9334.124799999998</v>
      </c>
    </row>
    <row r="218">
      <c r="B218" t="str">
        <v>Bekisting</v>
      </c>
      <c r="G218">
        <v>32</v>
      </c>
      <c r="J218">
        <v>0.15</v>
      </c>
      <c r="K218">
        <v>2</v>
      </c>
      <c r="L218">
        <f>G218*J218*K218</f>
        <v>9.6</v>
      </c>
    </row>
    <row r="219">
      <c r="G219">
        <v>15</v>
      </c>
      <c r="J219">
        <v>0.15</v>
      </c>
      <c r="K219">
        <v>2</v>
      </c>
      <c r="L219">
        <f>G219*J219*K219</f>
        <v>4.5</v>
      </c>
    </row>
    <row r="220">
      <c r="L220">
        <f>SUM(L218:L219)</f>
        <v>14.1</v>
      </c>
      <c r="M220" t="str">
        <v>m2</v>
      </c>
      <c r="N220">
        <f>L220</f>
        <v>14.1</v>
      </c>
    </row>
    <row r="222">
      <c r="A222">
        <f>A181+0.01</f>
        <v>1.03</v>
      </c>
      <c r="B222" t="str">
        <v>Balok bordes</v>
      </c>
    </row>
    <row r="223">
      <c r="B223" t="str">
        <v>Beton K 250</v>
      </c>
      <c r="G223">
        <v>6</v>
      </c>
      <c r="H223">
        <v>0.2</v>
      </c>
      <c r="J223">
        <v>0.3</v>
      </c>
      <c r="K223">
        <v>1</v>
      </c>
      <c r="L223">
        <f>G223*H223*J223*K223</f>
        <v>0.36000000000000004</v>
      </c>
      <c r="M223" t="str">
        <v>m3</v>
      </c>
      <c r="N223">
        <f>L223</f>
        <v>0.36000000000000004</v>
      </c>
    </row>
    <row r="224">
      <c r="B224" t="str">
        <v>Besi beton dia 13</v>
      </c>
      <c r="G224">
        <v>6</v>
      </c>
      <c r="J224">
        <v>0.992</v>
      </c>
      <c r="K224">
        <v>2</v>
      </c>
      <c r="L224">
        <f>G224*J224*K224</f>
        <v>11.904</v>
      </c>
      <c r="M224" t="str">
        <v>kg</v>
      </c>
      <c r="N224">
        <f>L224</f>
        <v>11.904</v>
      </c>
    </row>
    <row r="225">
      <c r="B225" t="str">
        <v>Besi beton dia 10</v>
      </c>
      <c r="G225">
        <v>1</v>
      </c>
      <c r="J225">
        <v>0.616</v>
      </c>
      <c r="K225">
        <v>30</v>
      </c>
      <c r="L225">
        <f>G225*J225*K225</f>
        <v>18.48</v>
      </c>
      <c r="M225" t="str">
        <v>kg</v>
      </c>
      <c r="N225">
        <f>L225</f>
        <v>18.48</v>
      </c>
    </row>
    <row r="226">
      <c r="B226" t="str">
        <v>Bekisting</v>
      </c>
      <c r="G226">
        <v>6</v>
      </c>
      <c r="H226">
        <v>0.65</v>
      </c>
      <c r="K226">
        <v>1</v>
      </c>
      <c r="L226">
        <f>G226*H226*K226</f>
        <v>3.9000000000000004</v>
      </c>
      <c r="M226" t="str">
        <v>m2</v>
      </c>
      <c r="N226">
        <f>L226</f>
        <v>3.9000000000000004</v>
      </c>
    </row>
    <row r="228">
      <c r="A228">
        <f>A222+0.01</f>
        <v>1.04</v>
      </c>
      <c r="B228" t="str">
        <v>Tangga</v>
      </c>
    </row>
    <row r="229">
      <c r="B229" t="str">
        <v>Beton K 250</v>
      </c>
      <c r="E229" t="str">
        <v>plat</v>
      </c>
      <c r="G229">
        <v>3.6</v>
      </c>
      <c r="H229">
        <v>1.625</v>
      </c>
      <c r="J229">
        <v>0.13</v>
      </c>
      <c r="K229">
        <v>2</v>
      </c>
      <c r="L229">
        <f>G229*H229*J229*K229</f>
        <v>1.5210000000000001</v>
      </c>
    </row>
    <row r="230">
      <c r="E230" t="str">
        <v>bordes</v>
      </c>
      <c r="G230">
        <v>3.35</v>
      </c>
      <c r="H230">
        <v>1.675</v>
      </c>
      <c r="J230">
        <v>0.13</v>
      </c>
      <c r="K230">
        <v>2</v>
      </c>
      <c r="L230">
        <f>G230*H230*J230*K230</f>
        <v>1.458925</v>
      </c>
    </row>
    <row r="231">
      <c r="E231" t="str">
        <v>trap</v>
      </c>
      <c r="G231">
        <v>1.625</v>
      </c>
      <c r="H231">
        <f>0.3*0.15/2</f>
        <v>0.0225</v>
      </c>
      <c r="K231">
        <v>24</v>
      </c>
      <c r="L231">
        <f>G231*H231*K231</f>
        <v>0.8775</v>
      </c>
    </row>
    <row r="232">
      <c r="L232">
        <f>SUM(L229:L231)</f>
        <v>3.857425</v>
      </c>
      <c r="M232" t="str">
        <v>m3</v>
      </c>
      <c r="N232">
        <f>L232</f>
        <v>3.857425</v>
      </c>
    </row>
    <row r="234">
      <c r="B234" t="str">
        <v>Besi beton dia 13</v>
      </c>
      <c r="E234" t="str">
        <v>plat</v>
      </c>
      <c r="G234">
        <v>4.1</v>
      </c>
      <c r="J234">
        <v>0.992</v>
      </c>
      <c r="K234">
        <f>9*2</f>
        <v>18</v>
      </c>
      <c r="L234">
        <f>G234*J234*K234</f>
        <v>73.2096</v>
      </c>
    </row>
    <row r="235">
      <c r="G235">
        <v>1.5</v>
      </c>
      <c r="J235">
        <v>0.992</v>
      </c>
      <c r="K235">
        <f>9*2*2</f>
        <v>36</v>
      </c>
      <c r="L235">
        <f>G235*J235*K235</f>
        <v>53.568</v>
      </c>
    </row>
    <row r="236">
      <c r="E236" t="str">
        <v>bordes</v>
      </c>
      <c r="G236">
        <v>2.25</v>
      </c>
      <c r="J236">
        <v>0.992</v>
      </c>
      <c r="K236">
        <f>17*2</f>
        <v>34</v>
      </c>
      <c r="L236">
        <f>G236*J236*K236</f>
        <v>75.888</v>
      </c>
    </row>
    <row r="237">
      <c r="L237">
        <f>SUM(L234:L236)</f>
        <v>202.66559999999998</v>
      </c>
      <c r="M237" t="str">
        <v>kg</v>
      </c>
      <c r="N237">
        <f>L237</f>
        <v>202.66559999999998</v>
      </c>
    </row>
    <row r="239">
      <c r="B239" t="str">
        <v>Besi beton dia 10</v>
      </c>
      <c r="E239" t="str">
        <v>plat</v>
      </c>
      <c r="G239">
        <v>1.625</v>
      </c>
      <c r="J239">
        <v>0.616</v>
      </c>
      <c r="K239">
        <v>2</v>
      </c>
      <c r="L239">
        <f>G239*J239*K239</f>
        <v>2.002</v>
      </c>
    </row>
    <row r="240">
      <c r="E240" t="str">
        <v>plat</v>
      </c>
      <c r="G240">
        <v>1.625</v>
      </c>
      <c r="J240">
        <v>0.616</v>
      </c>
      <c r="K240">
        <f>5*4</f>
        <v>20</v>
      </c>
      <c r="L240">
        <f>G240*J240*K240</f>
        <v>20.019999999999996</v>
      </c>
    </row>
    <row r="241">
      <c r="G241">
        <v>1.625</v>
      </c>
      <c r="J241">
        <v>0.616</v>
      </c>
      <c r="K241">
        <f>18*2</f>
        <v>36</v>
      </c>
      <c r="L241">
        <f>G241*J241*K241</f>
        <v>36.035999999999994</v>
      </c>
    </row>
    <row r="242">
      <c r="E242" t="str">
        <v>bordes</v>
      </c>
      <c r="G242">
        <v>3.35</v>
      </c>
      <c r="J242">
        <v>0.616</v>
      </c>
      <c r="K242">
        <f>8*2</f>
        <v>16</v>
      </c>
      <c r="L242">
        <f>G242*J242*K242</f>
        <v>33.0176</v>
      </c>
    </row>
    <row r="243">
      <c r="E243" t="str">
        <v>trap</v>
      </c>
      <c r="G243">
        <v>1.63</v>
      </c>
      <c r="J243">
        <v>0.616</v>
      </c>
      <c r="K243">
        <v>24</v>
      </c>
      <c r="L243">
        <f>G243*J243*K243</f>
        <v>24.097919999999995</v>
      </c>
    </row>
    <row r="244">
      <c r="G244">
        <v>0.6</v>
      </c>
      <c r="J244">
        <v>0.616</v>
      </c>
      <c r="K244">
        <f>8*24</f>
        <v>192</v>
      </c>
      <c r="L244">
        <f>G244*J244*K244</f>
        <v>70.9632</v>
      </c>
    </row>
    <row r="245">
      <c r="L245">
        <f>SUM(L239:L244)</f>
        <v>186.13672</v>
      </c>
      <c r="M245" t="str">
        <v>kg</v>
      </c>
      <c r="N245">
        <f>L245</f>
        <v>186.13672</v>
      </c>
    </row>
    <row r="247">
      <c r="B247" t="str">
        <v>Bekisting</v>
      </c>
      <c r="E247" t="str">
        <v>plat</v>
      </c>
      <c r="G247">
        <v>3.6</v>
      </c>
      <c r="H247">
        <v>1.625</v>
      </c>
      <c r="K247">
        <v>2</v>
      </c>
      <c r="L247">
        <f>G247*H247*K247</f>
        <v>11.700000000000001</v>
      </c>
    </row>
    <row r="248">
      <c r="E248" t="str">
        <v>bordes</v>
      </c>
      <c r="G248">
        <v>3.3</v>
      </c>
      <c r="H248">
        <v>1.675</v>
      </c>
      <c r="K248">
        <v>1</v>
      </c>
      <c r="L248">
        <f>G248*H248*K248</f>
        <v>5.5275</v>
      </c>
    </row>
    <row r="249">
      <c r="E249" t="str">
        <v>trap</v>
      </c>
      <c r="G249">
        <v>1.625</v>
      </c>
      <c r="H249">
        <v>0.15</v>
      </c>
      <c r="K249">
        <v>24</v>
      </c>
      <c r="L249">
        <f>G249*H249*K249</f>
        <v>5.85</v>
      </c>
    </row>
    <row r="250">
      <c r="G250">
        <f>0.15*0.3/2</f>
        <v>0.0225</v>
      </c>
      <c r="K250">
        <f>24*2</f>
        <v>48</v>
      </c>
      <c r="L250">
        <f>G250*K250</f>
        <v>1.08</v>
      </c>
    </row>
    <row r="251">
      <c r="L251">
        <f>SUM(L247:L250)</f>
        <v>24.1575</v>
      </c>
      <c r="M251" t="str">
        <v>m2</v>
      </c>
      <c r="N251">
        <f>L251</f>
        <v>24.1575</v>
      </c>
    </row>
    <row r="252">
      <c r="A252">
        <f>A158+1</f>
        <v>2</v>
      </c>
      <c r="B252" t="str">
        <v>LANTAI DUA</v>
      </c>
    </row>
    <row r="253">
      <c r="A253">
        <f>A252+0.01</f>
        <v>2.01</v>
      </c>
      <c r="B253" t="str">
        <v xml:space="preserve">Balok </v>
      </c>
    </row>
    <row r="254">
      <c r="B254" t="str">
        <v>Beton K 250</v>
      </c>
      <c r="E254" t="str">
        <v>A</v>
      </c>
      <c r="G254">
        <f>5-0.35</f>
        <v>4.65</v>
      </c>
      <c r="H254">
        <v>0.25</v>
      </c>
      <c r="J254">
        <v>0.5</v>
      </c>
      <c r="K254">
        <v>2</v>
      </c>
      <c r="L254">
        <f>G254*H254*J254*K254</f>
        <v>1.1625</v>
      </c>
    </row>
    <row r="255">
      <c r="G255">
        <v>2</v>
      </c>
      <c r="H255">
        <v>0.25</v>
      </c>
      <c r="J255">
        <v>0.5</v>
      </c>
      <c r="K255">
        <v>1</v>
      </c>
      <c r="L255">
        <f>G255*H255*J255*K255</f>
        <v>0.25</v>
      </c>
    </row>
    <row r="256">
      <c r="E256" t="str">
        <v>B</v>
      </c>
      <c r="G256">
        <f>5-0.35</f>
        <v>4.65</v>
      </c>
      <c r="H256">
        <v>0.25</v>
      </c>
      <c r="J256">
        <v>0.5</v>
      </c>
      <c r="K256">
        <v>2</v>
      </c>
      <c r="L256">
        <f>G256*H256*J256*K256</f>
        <v>1.1625</v>
      </c>
    </row>
    <row r="257">
      <c r="E257" t="str">
        <v>C</v>
      </c>
      <c r="G257">
        <f>(5+2.075)-(0.35+0.175)</f>
        <v>6.550000000000001</v>
      </c>
      <c r="H257">
        <v>0.25</v>
      </c>
      <c r="J257">
        <v>0.5</v>
      </c>
      <c r="K257">
        <v>1</v>
      </c>
      <c r="L257">
        <f>G257*H257*J257*K257</f>
        <v>0.8187500000000001</v>
      </c>
    </row>
    <row r="258">
      <c r="G258">
        <f>5-0.35</f>
        <v>4.65</v>
      </c>
      <c r="H258">
        <v>0.25</v>
      </c>
      <c r="J258">
        <v>0.5</v>
      </c>
      <c r="K258">
        <v>1</v>
      </c>
      <c r="L258">
        <f>G258*H258*J258*K258</f>
        <v>0.58125</v>
      </c>
    </row>
    <row r="259">
      <c r="E259" t="str">
        <v>D</v>
      </c>
      <c r="G259">
        <f>(5+2.075)-(0.35+0.175)</f>
        <v>6.550000000000001</v>
      </c>
      <c r="H259">
        <v>0.25</v>
      </c>
      <c r="J259">
        <v>0.5</v>
      </c>
      <c r="K259">
        <v>1</v>
      </c>
      <c r="L259">
        <f>G259*H259*J259*K259</f>
        <v>0.8187500000000001</v>
      </c>
    </row>
    <row r="260">
      <c r="G260">
        <f>5-0.35</f>
        <v>4.65</v>
      </c>
      <c r="H260">
        <v>0.25</v>
      </c>
      <c r="J260">
        <v>0.5</v>
      </c>
      <c r="K260">
        <v>1</v>
      </c>
      <c r="L260">
        <f>G260*H260*J260*K260</f>
        <v>0.58125</v>
      </c>
    </row>
    <row r="261">
      <c r="G261">
        <v>6</v>
      </c>
      <c r="H261">
        <v>0.25</v>
      </c>
      <c r="J261">
        <v>0.5</v>
      </c>
      <c r="K261">
        <v>1</v>
      </c>
      <c r="L261">
        <f>G261*H261*J261*K261</f>
        <v>0.75</v>
      </c>
    </row>
    <row r="262">
      <c r="E262" t="str">
        <v>E</v>
      </c>
      <c r="G262">
        <f>5-0.35</f>
        <v>4.65</v>
      </c>
      <c r="H262">
        <v>0.25</v>
      </c>
      <c r="J262">
        <v>0.5</v>
      </c>
      <c r="K262">
        <v>2</v>
      </c>
      <c r="L262">
        <f>G262*H262*J262*K262</f>
        <v>1.1625</v>
      </c>
    </row>
    <row r="263">
      <c r="E263" t="str">
        <v>F</v>
      </c>
      <c r="G263">
        <f>5-0.35</f>
        <v>4.65</v>
      </c>
      <c r="H263">
        <v>0.25</v>
      </c>
      <c r="J263">
        <v>0.5</v>
      </c>
      <c r="K263">
        <v>2</v>
      </c>
      <c r="L263">
        <f>G263*H263*J263*K263</f>
        <v>1.1625</v>
      </c>
    </row>
    <row r="264">
      <c r="G264">
        <v>2</v>
      </c>
      <c r="H264">
        <v>0.25</v>
      </c>
      <c r="J264">
        <v>0.5</v>
      </c>
      <c r="K264">
        <v>1</v>
      </c>
      <c r="L264">
        <f>G264*H264*J264*K264</f>
        <v>0.25</v>
      </c>
    </row>
    <row r="265">
      <c r="E265">
        <v>0</v>
      </c>
      <c r="G265">
        <v>6</v>
      </c>
      <c r="H265">
        <v>0.25</v>
      </c>
      <c r="J265">
        <v>0.5</v>
      </c>
      <c r="K265">
        <v>1</v>
      </c>
      <c r="L265">
        <f>G265*H265*J265*K265</f>
        <v>0.75</v>
      </c>
    </row>
    <row r="266">
      <c r="E266">
        <v>1</v>
      </c>
      <c r="G266">
        <f>30-1.75</f>
        <v>28.25</v>
      </c>
      <c r="H266">
        <v>0.3</v>
      </c>
      <c r="J266">
        <v>0.5</v>
      </c>
      <c r="K266">
        <v>1</v>
      </c>
      <c r="L266">
        <f>G266*H266*J266*K266</f>
        <v>4.2375</v>
      </c>
    </row>
    <row r="267">
      <c r="E267">
        <v>2</v>
      </c>
      <c r="G267">
        <f>30-1.75</f>
        <v>28.25</v>
      </c>
      <c r="H267">
        <v>0.3</v>
      </c>
      <c r="J267">
        <v>0.5</v>
      </c>
      <c r="K267">
        <v>1</v>
      </c>
      <c r="L267">
        <f>G267*H267*J267*K267</f>
        <v>4.2375</v>
      </c>
    </row>
    <row r="268">
      <c r="E268">
        <v>3</v>
      </c>
      <c r="G268">
        <f>30-1.75</f>
        <v>28.25</v>
      </c>
      <c r="H268">
        <v>0.3</v>
      </c>
      <c r="J268">
        <v>0.5</v>
      </c>
      <c r="K268">
        <v>1</v>
      </c>
      <c r="L268">
        <f>G268*H268*J268*K268</f>
        <v>4.2375</v>
      </c>
    </row>
    <row r="269">
      <c r="E269">
        <v>4</v>
      </c>
      <c r="G269">
        <f>30-1.75</f>
        <v>28.25</v>
      </c>
      <c r="H269">
        <v>0.3</v>
      </c>
      <c r="J269">
        <v>0.5</v>
      </c>
      <c r="K269">
        <v>1</v>
      </c>
      <c r="L269">
        <f>G269*H269*J269*K269</f>
        <v>4.2375</v>
      </c>
    </row>
    <row r="270">
      <c r="L270">
        <f>SUM(L253:L269)</f>
        <v>26.400000000000002</v>
      </c>
      <c r="M270" t="str">
        <v>m3</v>
      </c>
      <c r="N270">
        <f>L270</f>
        <v>26.400000000000002</v>
      </c>
    </row>
    <row r="272">
      <c r="B272" t="str">
        <v>Besi beton dia 19</v>
      </c>
      <c r="E272" t="str">
        <v>C</v>
      </c>
      <c r="G272">
        <f>3+0.6</f>
        <v>3.6</v>
      </c>
      <c r="J272">
        <v>2.25</v>
      </c>
      <c r="K272">
        <v>3</v>
      </c>
      <c r="L272">
        <f>G272*J272*K272</f>
        <v>24.299999999999997</v>
      </c>
    </row>
    <row r="273">
      <c r="E273" t="str">
        <v>D</v>
      </c>
      <c r="G273">
        <f>3+0.6</f>
        <v>3.6</v>
      </c>
      <c r="J273">
        <v>2.25</v>
      </c>
      <c r="K273">
        <v>3</v>
      </c>
      <c r="L273">
        <f>G273*J273*K273</f>
        <v>24.299999999999997</v>
      </c>
    </row>
    <row r="274">
      <c r="E274">
        <v>1</v>
      </c>
      <c r="G274">
        <f>1.5+0.67+0.1</f>
        <v>2.27</v>
      </c>
      <c r="J274">
        <v>2.25</v>
      </c>
      <c r="K274">
        <v>2</v>
      </c>
      <c r="L274">
        <f>G274*J274*K274</f>
        <v>10.215</v>
      </c>
    </row>
    <row r="275">
      <c r="G275">
        <v>3.15</v>
      </c>
      <c r="J275">
        <v>2.25</v>
      </c>
      <c r="K275">
        <f>4*1</f>
        <v>4</v>
      </c>
      <c r="L275">
        <f>G275*J275*K275</f>
        <v>28.349999999999998</v>
      </c>
    </row>
    <row r="276">
      <c r="E276">
        <v>2</v>
      </c>
      <c r="G276">
        <f>1.5+0.67+0.1</f>
        <v>2.27</v>
      </c>
      <c r="J276">
        <v>2.25</v>
      </c>
      <c r="K276">
        <v>2</v>
      </c>
      <c r="L276">
        <f>G276*J276*K276</f>
        <v>10.215</v>
      </c>
    </row>
    <row r="277">
      <c r="G277">
        <v>3.15</v>
      </c>
      <c r="J277">
        <v>2.25</v>
      </c>
      <c r="K277">
        <f>4*2</f>
        <v>8</v>
      </c>
      <c r="L277">
        <f>G277*J277*K277</f>
        <v>56.699999999999996</v>
      </c>
    </row>
    <row r="278">
      <c r="E278">
        <v>3</v>
      </c>
      <c r="G278">
        <f>1.5+0.67+0.1</f>
        <v>2.27</v>
      </c>
      <c r="J278">
        <v>2.25</v>
      </c>
      <c r="K278">
        <v>2</v>
      </c>
      <c r="L278">
        <f>G278*J278*K278</f>
        <v>10.215</v>
      </c>
    </row>
    <row r="279">
      <c r="G279">
        <v>3.15</v>
      </c>
      <c r="J279">
        <v>2.25</v>
      </c>
      <c r="K279">
        <f>4*2</f>
        <v>8</v>
      </c>
      <c r="L279">
        <f>G279*J279*K279</f>
        <v>56.699999999999996</v>
      </c>
    </row>
    <row r="280">
      <c r="E280">
        <v>4</v>
      </c>
      <c r="G280">
        <f>1.5+0.67+0.1</f>
        <v>2.27</v>
      </c>
      <c r="J280">
        <v>2.25</v>
      </c>
      <c r="K280">
        <v>2</v>
      </c>
      <c r="L280">
        <f>G280*J280*K280</f>
        <v>10.215</v>
      </c>
    </row>
    <row r="281">
      <c r="G281">
        <v>3.15</v>
      </c>
      <c r="J281">
        <v>2.25</v>
      </c>
      <c r="K281">
        <f>4*1</f>
        <v>4</v>
      </c>
      <c r="L281">
        <f>G281*J281*K281</f>
        <v>28.349999999999998</v>
      </c>
    </row>
    <row r="282">
      <c r="L282">
        <f>SUM(L272:L281)</f>
        <v>259.56</v>
      </c>
      <c r="M282" t="str">
        <v>kg</v>
      </c>
      <c r="N282">
        <f>L282</f>
        <v>259.56</v>
      </c>
    </row>
    <row r="284">
      <c r="B284" t="str">
        <v>Besi beton dia 16</v>
      </c>
      <c r="E284" t="str">
        <v>A</v>
      </c>
      <c r="G284">
        <f>5+1.17</f>
        <v>6.17</v>
      </c>
      <c r="J284">
        <v>1.558</v>
      </c>
      <c r="K284">
        <f>2*6</f>
        <v>12</v>
      </c>
      <c r="L284">
        <f>G284*J284*K284</f>
        <v>115.35432</v>
      </c>
    </row>
    <row r="285">
      <c r="E285" t="str">
        <v>B</v>
      </c>
      <c r="G285">
        <f>5+1.17</f>
        <v>6.17</v>
      </c>
      <c r="J285">
        <v>1.558</v>
      </c>
      <c r="K285">
        <f>2*6</f>
        <v>12</v>
      </c>
      <c r="L285">
        <f>G285*J285*K285</f>
        <v>115.35432</v>
      </c>
    </row>
    <row r="286">
      <c r="E286" t="str">
        <v>C</v>
      </c>
      <c r="G286">
        <f>(5+2.075)+1.17</f>
        <v>8.245000000000001</v>
      </c>
      <c r="J286">
        <v>1.558</v>
      </c>
      <c r="K286">
        <f>1*6</f>
        <v>6</v>
      </c>
      <c r="L286">
        <f>G286*J286*K286</f>
        <v>77.07426000000001</v>
      </c>
    </row>
    <row r="287">
      <c r="G287">
        <f>5+1.17</f>
        <v>6.17</v>
      </c>
      <c r="J287">
        <v>1.558</v>
      </c>
      <c r="K287">
        <f>1*6</f>
        <v>6</v>
      </c>
      <c r="L287">
        <f>G287*J287*K287</f>
        <v>57.67716</v>
      </c>
    </row>
    <row r="288">
      <c r="E288" t="str">
        <v>D</v>
      </c>
      <c r="G288">
        <f>(5+2.075)+1.17</f>
        <v>8.245000000000001</v>
      </c>
      <c r="J288">
        <v>1.558</v>
      </c>
      <c r="K288">
        <f>1*6</f>
        <v>6</v>
      </c>
      <c r="L288">
        <f>G288*J288*K288</f>
        <v>77.07426000000001</v>
      </c>
    </row>
    <row r="289">
      <c r="G289">
        <f>5+1.17</f>
        <v>6.17</v>
      </c>
      <c r="J289">
        <v>1.558</v>
      </c>
      <c r="K289">
        <f>1*6</f>
        <v>6</v>
      </c>
      <c r="L289">
        <f>G289*J289*K289</f>
        <v>57.67716</v>
      </c>
    </row>
    <row r="290">
      <c r="E290" t="str">
        <v>E</v>
      </c>
      <c r="G290">
        <f>5+1.17</f>
        <v>6.17</v>
      </c>
      <c r="J290">
        <v>1.558</v>
      </c>
      <c r="K290">
        <f>2*6</f>
        <v>12</v>
      </c>
      <c r="L290">
        <f>G290*J290*K290</f>
        <v>115.35432</v>
      </c>
    </row>
    <row r="291">
      <c r="E291" t="str">
        <v>F</v>
      </c>
      <c r="G291">
        <f>5+1.17</f>
        <v>6.17</v>
      </c>
      <c r="J291">
        <v>1.558</v>
      </c>
      <c r="K291">
        <f>2*6</f>
        <v>12</v>
      </c>
      <c r="L291">
        <f>G291*J291*K291</f>
        <v>115.35432</v>
      </c>
    </row>
    <row r="292">
      <c r="G292">
        <f>2+1.17</f>
        <v>3.17</v>
      </c>
      <c r="J292">
        <v>1.558</v>
      </c>
      <c r="K292">
        <f>1*6</f>
        <v>6</v>
      </c>
      <c r="L292">
        <f>G292*J292*K292</f>
        <v>29.63316</v>
      </c>
    </row>
    <row r="293">
      <c r="E293">
        <v>0</v>
      </c>
      <c r="G293">
        <f>6+1</f>
        <v>7</v>
      </c>
      <c r="J293">
        <v>1.558</v>
      </c>
      <c r="K293">
        <f>1*6</f>
        <v>6</v>
      </c>
      <c r="L293">
        <f>G293*J293*K293</f>
        <v>65.436</v>
      </c>
    </row>
    <row r="294">
      <c r="E294">
        <v>1</v>
      </c>
      <c r="G294">
        <f>30+1.17</f>
        <v>31.17</v>
      </c>
      <c r="J294">
        <v>1.558</v>
      </c>
      <c r="K294">
        <f>1*6</f>
        <v>6</v>
      </c>
      <c r="L294">
        <f>G294*J294*K294</f>
        <v>291.37716000000006</v>
      </c>
    </row>
    <row r="295">
      <c r="G295">
        <f>3+1</f>
        <v>4</v>
      </c>
      <c r="J295">
        <v>1.558</v>
      </c>
      <c r="K295">
        <v>5</v>
      </c>
      <c r="L295">
        <f>G295*J295*K295</f>
        <v>31.16</v>
      </c>
    </row>
    <row r="296">
      <c r="E296">
        <v>2</v>
      </c>
      <c r="G296">
        <f>30+1.17</f>
        <v>31.17</v>
      </c>
      <c r="J296">
        <v>1.558</v>
      </c>
      <c r="K296">
        <f>1*6</f>
        <v>6</v>
      </c>
      <c r="L296">
        <f>G296*J296*K296</f>
        <v>291.37716000000006</v>
      </c>
    </row>
    <row r="297">
      <c r="G297">
        <f>3+1</f>
        <v>4</v>
      </c>
      <c r="J297">
        <v>1.558</v>
      </c>
      <c r="K297">
        <v>5</v>
      </c>
      <c r="L297">
        <f>G297*J297*K297</f>
        <v>31.16</v>
      </c>
    </row>
    <row r="298">
      <c r="E298">
        <v>3</v>
      </c>
      <c r="G298">
        <f>30+1.17</f>
        <v>31.17</v>
      </c>
      <c r="J298">
        <v>1.558</v>
      </c>
      <c r="K298">
        <f>1*6</f>
        <v>6</v>
      </c>
      <c r="L298">
        <f>G298*J298*K298</f>
        <v>291.37716000000006</v>
      </c>
    </row>
    <row r="299">
      <c r="G299">
        <f>3+1</f>
        <v>4</v>
      </c>
      <c r="J299">
        <v>1.558</v>
      </c>
      <c r="K299">
        <v>5</v>
      </c>
      <c r="L299">
        <f>G299*J299*K299</f>
        <v>31.16</v>
      </c>
    </row>
    <row r="300">
      <c r="E300">
        <v>4</v>
      </c>
      <c r="G300">
        <f>30+1.17</f>
        <v>31.17</v>
      </c>
      <c r="J300">
        <v>1.558</v>
      </c>
      <c r="K300">
        <f>1*6</f>
        <v>6</v>
      </c>
      <c r="L300">
        <f>G300*J300*K300</f>
        <v>291.37716000000006</v>
      </c>
    </row>
    <row r="301">
      <c r="G301">
        <f>3+1</f>
        <v>4</v>
      </c>
      <c r="J301">
        <v>1.558</v>
      </c>
      <c r="K301">
        <v>5</v>
      </c>
      <c r="L301">
        <f>G301*J301*K301</f>
        <v>31.16</v>
      </c>
    </row>
    <row r="302">
      <c r="L302">
        <f>SUM(L271:L300)</f>
        <v>2604.09792</v>
      </c>
      <c r="M302" t="str">
        <v>kg</v>
      </c>
      <c r="N302">
        <f>L302</f>
        <v>2604.09792</v>
      </c>
    </row>
    <row r="304">
      <c r="B304" t="str">
        <v>Besi beton dia 13</v>
      </c>
      <c r="E304" t="str">
        <v>A</v>
      </c>
      <c r="G304">
        <f>2+1.17</f>
        <v>3.17</v>
      </c>
      <c r="J304">
        <v>0.992</v>
      </c>
      <c r="K304">
        <v>5</v>
      </c>
      <c r="L304">
        <f>G304*J304*K304</f>
        <v>15.723199999999999</v>
      </c>
    </row>
    <row r="305">
      <c r="E305" t="str">
        <v>D</v>
      </c>
      <c r="G305">
        <f>6+1.17</f>
        <v>7.17</v>
      </c>
      <c r="J305">
        <v>0.992</v>
      </c>
      <c r="K305">
        <v>5</v>
      </c>
      <c r="L305">
        <f>G305*J305*K305</f>
        <v>35.5632</v>
      </c>
    </row>
    <row r="306">
      <c r="E306" t="str">
        <v>F</v>
      </c>
      <c r="G306">
        <f>2+1.17</f>
        <v>3.17</v>
      </c>
      <c r="J306">
        <v>0.992</v>
      </c>
      <c r="K306">
        <v>5</v>
      </c>
      <c r="L306">
        <f>G306*J306*K306</f>
        <v>15.723199999999999</v>
      </c>
    </row>
    <row r="307">
      <c r="E307">
        <v>0</v>
      </c>
      <c r="G307">
        <f>6+1</f>
        <v>7</v>
      </c>
      <c r="J307">
        <v>0.99</v>
      </c>
      <c r="K307">
        <v>5</v>
      </c>
      <c r="L307">
        <f>G307*J307*K307</f>
        <v>34.65</v>
      </c>
    </row>
    <row r="308">
      <c r="L308">
        <f>SUM(L304:L307)</f>
        <v>101.65960000000001</v>
      </c>
      <c r="M308" t="str">
        <v>kg</v>
      </c>
      <c r="N308">
        <f>L308</f>
        <v>101.65960000000001</v>
      </c>
    </row>
    <row r="310">
      <c r="B310" t="str">
        <v>Besi beton dia 10</v>
      </c>
      <c r="E310" t="str">
        <v>A</v>
      </c>
      <c r="G310">
        <v>1.5</v>
      </c>
      <c r="J310">
        <v>0.616</v>
      </c>
      <c r="K310">
        <f>2*27</f>
        <v>54</v>
      </c>
      <c r="L310">
        <f>G310*J310*K310</f>
        <v>49.895999999999994</v>
      </c>
    </row>
    <row r="311">
      <c r="G311">
        <v>1.5</v>
      </c>
      <c r="J311">
        <v>0.616</v>
      </c>
      <c r="K311">
        <f>1*13</f>
        <v>13</v>
      </c>
      <c r="L311">
        <f>G311*J311*K311</f>
        <v>12.011999999999999</v>
      </c>
    </row>
    <row r="312">
      <c r="E312" t="str">
        <v>B</v>
      </c>
      <c r="G312">
        <v>1.5</v>
      </c>
      <c r="J312">
        <v>0.616</v>
      </c>
      <c r="K312">
        <f>2*27</f>
        <v>54</v>
      </c>
      <c r="L312">
        <f>G312*J312*K312</f>
        <v>49.895999999999994</v>
      </c>
    </row>
    <row r="313">
      <c r="E313" t="str">
        <v>C</v>
      </c>
      <c r="G313">
        <v>1.5</v>
      </c>
      <c r="J313">
        <v>0.616</v>
      </c>
      <c r="K313">
        <f>1*37</f>
        <v>37</v>
      </c>
      <c r="L313">
        <f>G313*J313*K313</f>
        <v>34.187999999999995</v>
      </c>
    </row>
    <row r="314">
      <c r="G314">
        <v>1.5</v>
      </c>
      <c r="J314">
        <v>0.616</v>
      </c>
      <c r="K314">
        <f>1*27</f>
        <v>27</v>
      </c>
      <c r="L314">
        <f>G314*J314*K314</f>
        <v>24.947999999999997</v>
      </c>
    </row>
    <row r="315">
      <c r="E315" t="str">
        <v>D</v>
      </c>
      <c r="G315">
        <v>1.5</v>
      </c>
      <c r="J315">
        <v>0.616</v>
      </c>
      <c r="K315">
        <f>1*37</f>
        <v>37</v>
      </c>
      <c r="L315">
        <f>G315*J315*K315</f>
        <v>34.187999999999995</v>
      </c>
    </row>
    <row r="316">
      <c r="G316">
        <v>1.5</v>
      </c>
      <c r="J316">
        <v>0.616</v>
      </c>
      <c r="K316">
        <f>1*27</f>
        <v>27</v>
      </c>
      <c r="L316">
        <f>G316*J316*K316</f>
        <v>24.947999999999997</v>
      </c>
    </row>
    <row r="317">
      <c r="G317">
        <v>1.5</v>
      </c>
      <c r="J317">
        <v>0.616</v>
      </c>
      <c r="K317">
        <f>1*40</f>
        <v>40</v>
      </c>
      <c r="L317">
        <f>G317*J317*K317</f>
        <v>36.959999999999994</v>
      </c>
    </row>
    <row r="318">
      <c r="E318" t="str">
        <v>E</v>
      </c>
      <c r="G318">
        <v>1.5</v>
      </c>
      <c r="J318">
        <v>0.616</v>
      </c>
      <c r="K318">
        <f>2*27</f>
        <v>54</v>
      </c>
      <c r="L318">
        <f>G318*J318*K318</f>
        <v>49.895999999999994</v>
      </c>
    </row>
    <row r="319">
      <c r="E319" t="str">
        <v>F</v>
      </c>
      <c r="G319">
        <v>1.5</v>
      </c>
      <c r="J319">
        <v>0.616</v>
      </c>
      <c r="K319">
        <f>2*27</f>
        <v>54</v>
      </c>
      <c r="L319">
        <f>G319*J319*K319</f>
        <v>49.895999999999994</v>
      </c>
    </row>
    <row r="320">
      <c r="G320">
        <v>1.5</v>
      </c>
      <c r="J320">
        <v>0.616</v>
      </c>
      <c r="K320">
        <f>1*13</f>
        <v>13</v>
      </c>
      <c r="L320">
        <f>G320*J320*K320</f>
        <v>12.011999999999999</v>
      </c>
    </row>
    <row r="321">
      <c r="E321">
        <v>0</v>
      </c>
      <c r="G321">
        <v>1.5</v>
      </c>
      <c r="J321">
        <v>0.616</v>
      </c>
      <c r="K321">
        <f>1*40</f>
        <v>40</v>
      </c>
      <c r="L321">
        <f>G321*J321*K321</f>
        <v>36.959999999999994</v>
      </c>
    </row>
    <row r="322">
      <c r="E322">
        <v>1</v>
      </c>
      <c r="G322">
        <v>1.6</v>
      </c>
      <c r="J322">
        <v>0.616</v>
      </c>
      <c r="K322">
        <f>1*161</f>
        <v>161</v>
      </c>
      <c r="L322">
        <f>G322*J322*K322</f>
        <v>158.6816</v>
      </c>
    </row>
    <row r="323">
      <c r="E323">
        <v>2</v>
      </c>
      <c r="G323">
        <v>1.6</v>
      </c>
      <c r="J323">
        <v>0.616</v>
      </c>
      <c r="K323">
        <f>1*161</f>
        <v>161</v>
      </c>
      <c r="L323">
        <f>G323*J323*K323</f>
        <v>158.6816</v>
      </c>
    </row>
    <row r="324">
      <c r="E324">
        <v>3</v>
      </c>
      <c r="G324">
        <v>1.6</v>
      </c>
      <c r="J324">
        <v>0.616</v>
      </c>
      <c r="K324">
        <f>1*161</f>
        <v>161</v>
      </c>
      <c r="L324">
        <f>G324*J324*K324</f>
        <v>158.6816</v>
      </c>
    </row>
    <row r="325">
      <c r="E325">
        <v>4</v>
      </c>
      <c r="G325">
        <v>1.6</v>
      </c>
      <c r="J325">
        <v>0.616</v>
      </c>
      <c r="K325">
        <f>1*161</f>
        <v>161</v>
      </c>
      <c r="L325">
        <f>G325*J325*K325</f>
        <v>158.6816</v>
      </c>
    </row>
    <row r="326">
      <c r="L326">
        <f>SUM(L310:L325)</f>
        <v>1050.5264000000002</v>
      </c>
      <c r="M326" t="str">
        <v>kg</v>
      </c>
      <c r="N326">
        <f>L326</f>
        <v>1050.5264000000002</v>
      </c>
    </row>
    <row r="328">
      <c r="B328" t="str">
        <v>Bekisting</v>
      </c>
      <c r="E328" t="str">
        <v>A</v>
      </c>
      <c r="G328">
        <f>5-0.35</f>
        <v>4.65</v>
      </c>
      <c r="H328">
        <f>0.25+0.5+0.35</f>
        <v>1.1</v>
      </c>
      <c r="K328">
        <v>2</v>
      </c>
      <c r="L328">
        <f>G328*H328*K328</f>
        <v>10.230000000000002</v>
      </c>
    </row>
    <row r="329">
      <c r="G329">
        <v>2</v>
      </c>
      <c r="H329">
        <v>1.1</v>
      </c>
      <c r="K329">
        <v>1</v>
      </c>
      <c r="L329">
        <f>G329*H329*K329</f>
        <v>2.2</v>
      </c>
    </row>
    <row r="330">
      <c r="E330" t="str">
        <v>B</v>
      </c>
      <c r="G330">
        <f>5-0.35</f>
        <v>4.65</v>
      </c>
      <c r="H330">
        <f>0.25+0.35+0.35</f>
        <v>0.95</v>
      </c>
      <c r="K330">
        <v>2</v>
      </c>
      <c r="L330">
        <f>G330*H330*K330</f>
        <v>8.835</v>
      </c>
    </row>
    <row r="331">
      <c r="E331" t="str">
        <v>C</v>
      </c>
      <c r="G331">
        <f>(5+2.075)-(0.35+0.175)</f>
        <v>6.550000000000001</v>
      </c>
      <c r="H331">
        <f>0.25+0.35+0.35</f>
        <v>0.95</v>
      </c>
      <c r="K331">
        <v>1</v>
      </c>
      <c r="L331">
        <f>G331*H331*K331</f>
        <v>6.2225</v>
      </c>
    </row>
    <row r="332">
      <c r="G332">
        <f>5-0.35</f>
        <v>4.65</v>
      </c>
      <c r="H332">
        <f>0.25+0.35+0.35</f>
        <v>0.95</v>
      </c>
      <c r="K332">
        <v>1</v>
      </c>
      <c r="L332">
        <f>G332*H332*K332</f>
        <v>4.4175</v>
      </c>
    </row>
    <row r="333">
      <c r="E333" t="str">
        <v>D</v>
      </c>
      <c r="G333">
        <f>(5+2.075)-(0.35+0.175)</f>
        <v>6.550000000000001</v>
      </c>
      <c r="H333">
        <f>0.25+0.35+0.35</f>
        <v>0.95</v>
      </c>
      <c r="K333">
        <v>1</v>
      </c>
      <c r="L333">
        <f>G333*H333*K333</f>
        <v>6.2225</v>
      </c>
    </row>
    <row r="334">
      <c r="G334">
        <f>5-0.35</f>
        <v>4.65</v>
      </c>
      <c r="H334">
        <f>0.25+0.35+0.35</f>
        <v>0.95</v>
      </c>
      <c r="K334">
        <v>1</v>
      </c>
      <c r="L334">
        <f>G334*H334*K334</f>
        <v>4.4175</v>
      </c>
    </row>
    <row r="335">
      <c r="G335">
        <v>6</v>
      </c>
      <c r="H335">
        <f>0.25+0.5+0.35</f>
        <v>1.1</v>
      </c>
      <c r="K335">
        <v>1</v>
      </c>
      <c r="L335">
        <f>G335*H335*K335</f>
        <v>6.6000000000000005</v>
      </c>
    </row>
    <row r="336">
      <c r="E336" t="str">
        <v>E</v>
      </c>
      <c r="G336">
        <f>5-0.35</f>
        <v>4.65</v>
      </c>
      <c r="H336">
        <f>0.25+0.35+0.35</f>
        <v>0.95</v>
      </c>
      <c r="K336">
        <v>2</v>
      </c>
      <c r="L336">
        <f>G336*H336*K336</f>
        <v>8.835</v>
      </c>
    </row>
    <row r="337">
      <c r="E337" t="str">
        <v>F</v>
      </c>
      <c r="G337">
        <f>5-0.35</f>
        <v>4.65</v>
      </c>
      <c r="H337">
        <f>0.25+0.5+0.35</f>
        <v>1.1</v>
      </c>
      <c r="K337">
        <v>2</v>
      </c>
      <c r="L337">
        <f>G337*H337*K337</f>
        <v>10.230000000000002</v>
      </c>
    </row>
    <row r="338">
      <c r="G338">
        <v>2</v>
      </c>
      <c r="H338">
        <f>0.25+0.5+0.35</f>
        <v>1.1</v>
      </c>
      <c r="K338">
        <v>1</v>
      </c>
      <c r="L338">
        <f>G338*H338*K338</f>
        <v>2.2</v>
      </c>
    </row>
    <row r="339">
      <c r="E339">
        <v>0</v>
      </c>
      <c r="G339">
        <v>6</v>
      </c>
      <c r="H339">
        <f>0.25+0.5+0.35</f>
        <v>1.1</v>
      </c>
      <c r="K339">
        <v>1</v>
      </c>
      <c r="L339">
        <f>G339*H339*K339</f>
        <v>6.6000000000000005</v>
      </c>
    </row>
    <row r="340">
      <c r="E340">
        <v>1</v>
      </c>
      <c r="G340">
        <f>30-1.75</f>
        <v>28.25</v>
      </c>
      <c r="H340">
        <f>0.3+0.5+0.35</f>
        <v>1.15</v>
      </c>
      <c r="K340">
        <v>1</v>
      </c>
      <c r="L340">
        <f>G340*H340*K340</f>
        <v>32.4875</v>
      </c>
    </row>
    <row r="341">
      <c r="E341">
        <v>2</v>
      </c>
      <c r="G341">
        <f>30-1.75</f>
        <v>28.25</v>
      </c>
      <c r="H341">
        <f>0.3+0.35+0.35</f>
        <v>0.9999999999999999</v>
      </c>
      <c r="K341">
        <v>1</v>
      </c>
      <c r="L341">
        <f>G341*H341*K341</f>
        <v>28.249999999999996</v>
      </c>
    </row>
    <row r="342">
      <c r="E342">
        <v>3</v>
      </c>
      <c r="G342">
        <f>30-1.75</f>
        <v>28.25</v>
      </c>
      <c r="H342">
        <f>0.3+0.35+0.35</f>
        <v>0.9999999999999999</v>
      </c>
      <c r="K342">
        <v>1</v>
      </c>
      <c r="L342">
        <f>G342*H342*K342</f>
        <v>28.249999999999996</v>
      </c>
    </row>
    <row r="343">
      <c r="E343">
        <v>4</v>
      </c>
      <c r="G343">
        <f>30-1.75</f>
        <v>28.25</v>
      </c>
      <c r="H343">
        <f>0.3+0.5+0.35</f>
        <v>1.15</v>
      </c>
      <c r="K343">
        <v>1</v>
      </c>
      <c r="L343">
        <f>G343*H343*K343</f>
        <v>32.4875</v>
      </c>
    </row>
    <row r="344">
      <c r="L344">
        <f>SUM(L328:L343)</f>
        <v>198.485</v>
      </c>
      <c r="M344" t="str">
        <v>m2</v>
      </c>
      <c r="N344">
        <f>L344</f>
        <v>198.485</v>
      </c>
    </row>
    <row r="346">
      <c r="A346">
        <f>A253+0.01</f>
        <v>2.0199999999999996</v>
      </c>
      <c r="B346" t="str">
        <v xml:space="preserve">Kolom </v>
      </c>
    </row>
    <row r="347">
      <c r="B347" t="str">
        <v>Beton K 250</v>
      </c>
      <c r="G347">
        <v>0.35</v>
      </c>
      <c r="H347">
        <v>0.35</v>
      </c>
      <c r="J347">
        <v>3.5</v>
      </c>
      <c r="K347">
        <v>24</v>
      </c>
      <c r="L347">
        <f>G347*H347*J347*K347</f>
        <v>10.29</v>
      </c>
    </row>
    <row r="348">
      <c r="G348">
        <v>0.13</v>
      </c>
      <c r="H348">
        <v>0.2</v>
      </c>
      <c r="J348">
        <v>3.5</v>
      </c>
      <c r="K348">
        <v>10</v>
      </c>
      <c r="L348">
        <f>G348*H348*J348*K348</f>
        <v>0.9100000000000001</v>
      </c>
    </row>
    <row r="349">
      <c r="L349">
        <f>SUM(L347:L348)</f>
        <v>11.2</v>
      </c>
      <c r="M349" t="str">
        <v>m3</v>
      </c>
      <c r="N349">
        <f>L349</f>
        <v>11.2</v>
      </c>
    </row>
    <row r="351">
      <c r="B351" t="str">
        <v>Besi beton dia 16</v>
      </c>
      <c r="G351">
        <v>3.15</v>
      </c>
      <c r="J351">
        <v>1.558</v>
      </c>
      <c r="K351">
        <f>24*8</f>
        <v>192</v>
      </c>
      <c r="L351">
        <f>G351*J351*K351</f>
        <v>942.2784</v>
      </c>
      <c r="M351" t="str">
        <v>kg</v>
      </c>
      <c r="N351">
        <f>L351</f>
        <v>942.2784</v>
      </c>
    </row>
    <row r="352">
      <c r="B352" t="str">
        <v>Besi beton dia 13</v>
      </c>
      <c r="E352" t="str">
        <v>Praktis</v>
      </c>
      <c r="G352">
        <v>3.65</v>
      </c>
      <c r="J352">
        <v>0.992</v>
      </c>
      <c r="K352">
        <f>4*10</f>
        <v>40</v>
      </c>
      <c r="L352">
        <f>G352*J352*K352</f>
        <v>144.832</v>
      </c>
      <c r="M352" t="str">
        <v>kg</v>
      </c>
      <c r="N352">
        <f>L352</f>
        <v>144.832</v>
      </c>
    </row>
    <row r="353">
      <c r="B353" t="str">
        <v>Besi beton dia 10</v>
      </c>
      <c r="E353" t="str">
        <v>K 1</v>
      </c>
      <c r="G353">
        <f>0.35*4</f>
        <v>1.4</v>
      </c>
      <c r="J353">
        <v>0.616</v>
      </c>
      <c r="K353">
        <f>18*24</f>
        <v>432</v>
      </c>
      <c r="L353">
        <f>G353*J353*K353</f>
        <v>372.55679999999995</v>
      </c>
    </row>
    <row r="354">
      <c r="E354" t="str">
        <v>K 1</v>
      </c>
      <c r="G354">
        <v>0.8</v>
      </c>
      <c r="J354">
        <v>0.616</v>
      </c>
      <c r="K354">
        <f>18*24</f>
        <v>432</v>
      </c>
      <c r="L354">
        <f>G354*J354*K354</f>
        <v>212.8896</v>
      </c>
    </row>
    <row r="355">
      <c r="E355" t="str">
        <v>Praktis</v>
      </c>
      <c r="G355">
        <v>0.66</v>
      </c>
      <c r="J355">
        <v>0.616</v>
      </c>
      <c r="K355">
        <f>10*23</f>
        <v>230</v>
      </c>
      <c r="L355">
        <f>G355*J355*K355</f>
        <v>93.50880000000001</v>
      </c>
    </row>
    <row r="356">
      <c r="L356">
        <f>SUM(L353:L355)</f>
        <v>678.9551999999999</v>
      </c>
      <c r="M356" t="str">
        <v>kg</v>
      </c>
      <c r="N356">
        <f>L356</f>
        <v>678.9551999999999</v>
      </c>
    </row>
    <row r="358">
      <c r="B358" t="str">
        <v>Bekisting</v>
      </c>
      <c r="G358">
        <v>1.4</v>
      </c>
      <c r="J358">
        <v>3.5</v>
      </c>
      <c r="K358">
        <v>24</v>
      </c>
      <c r="L358">
        <f>G358*J358*K358</f>
        <v>117.6</v>
      </c>
    </row>
    <row r="359">
      <c r="G359">
        <v>0.4</v>
      </c>
      <c r="J359">
        <v>3.5</v>
      </c>
      <c r="K359">
        <v>10</v>
      </c>
      <c r="L359">
        <f>G359*J359*K359</f>
        <v>14.000000000000002</v>
      </c>
    </row>
    <row r="360">
      <c r="L360">
        <f>SUM(L358:L359)</f>
        <v>131.6</v>
      </c>
      <c r="M360" t="str">
        <v>m2</v>
      </c>
      <c r="N360">
        <f>L360</f>
        <v>131.6</v>
      </c>
    </row>
    <row r="362">
      <c r="A362">
        <f>A346+0.01</f>
        <v>2.0299999999999994</v>
      </c>
      <c r="B362" t="str">
        <v xml:space="preserve">Plat lantai </v>
      </c>
    </row>
    <row r="363">
      <c r="B363" t="str">
        <v>Beton K 250</v>
      </c>
      <c r="E363">
        <v>1</v>
      </c>
      <c r="G363">
        <f>6-0.25</f>
        <v>5.75</v>
      </c>
      <c r="H363">
        <f>5-0.3</f>
        <v>4.7</v>
      </c>
      <c r="J363">
        <v>0.15</v>
      </c>
      <c r="K363">
        <v>9</v>
      </c>
      <c r="L363">
        <f>G363*H363*J363*K363</f>
        <v>36.48375</v>
      </c>
    </row>
    <row r="364">
      <c r="E364">
        <v>2</v>
      </c>
      <c r="G364">
        <f>6-3.3-0.25</f>
        <v>2.45</v>
      </c>
      <c r="H364">
        <f>5-0.3</f>
        <v>4.7</v>
      </c>
      <c r="J364">
        <v>0.15</v>
      </c>
      <c r="K364">
        <v>1</v>
      </c>
      <c r="L364">
        <f>G364*H364*J364*K364</f>
        <v>1.72725</v>
      </c>
    </row>
    <row r="365">
      <c r="D365" t="str">
        <v xml:space="preserve">- </v>
      </c>
      <c r="E365">
        <v>3</v>
      </c>
      <c r="G365">
        <f>6</f>
        <v>6</v>
      </c>
      <c r="H365">
        <f>2.07-0.25</f>
        <v>1.8199999999999998</v>
      </c>
      <c r="J365">
        <v>0.15</v>
      </c>
      <c r="K365">
        <v>1</v>
      </c>
      <c r="L365">
        <f>G365*H365*J365*K365</f>
        <v>1.6379999999999997</v>
      </c>
    </row>
    <row r="366">
      <c r="E366">
        <v>4</v>
      </c>
      <c r="G366">
        <v>30</v>
      </c>
      <c r="H366">
        <v>2</v>
      </c>
      <c r="J366">
        <v>0.15</v>
      </c>
      <c r="K366">
        <v>1</v>
      </c>
      <c r="L366">
        <f>G366*H366*J366*K366</f>
        <v>9</v>
      </c>
    </row>
    <row r="367">
      <c r="E367">
        <v>5</v>
      </c>
      <c r="G367">
        <v>13</v>
      </c>
      <c r="H367">
        <v>1</v>
      </c>
      <c r="J367">
        <v>0.15</v>
      </c>
      <c r="K367">
        <v>1</v>
      </c>
      <c r="L367">
        <f>G367*H367*J367*K367</f>
        <v>1.95</v>
      </c>
    </row>
    <row r="368">
      <c r="E368">
        <v>6</v>
      </c>
      <c r="G368">
        <v>3.5</v>
      </c>
      <c r="H368">
        <v>1</v>
      </c>
      <c r="J368">
        <v>0.15</v>
      </c>
      <c r="K368">
        <v>2</v>
      </c>
      <c r="L368">
        <f>G368*H368*J368*K368</f>
        <v>1.05</v>
      </c>
    </row>
    <row r="369">
      <c r="L369">
        <f>SUM(L363:L368)</f>
        <v>51.849</v>
      </c>
      <c r="M369" t="str">
        <v>m3</v>
      </c>
      <c r="N369">
        <f>L369</f>
        <v>51.849</v>
      </c>
    </row>
    <row r="371">
      <c r="B371" t="str">
        <v>Besi beton dia 10</v>
      </c>
      <c r="G371">
        <v>3.25</v>
      </c>
      <c r="J371">
        <v>0.992</v>
      </c>
      <c r="K371">
        <v>140</v>
      </c>
      <c r="L371">
        <f>G371*J371*K371</f>
        <v>451.36</v>
      </c>
    </row>
    <row r="372">
      <c r="G372">
        <v>3.25</v>
      </c>
      <c r="J372">
        <v>0.992</v>
      </c>
      <c r="K372">
        <v>40</v>
      </c>
      <c r="L372">
        <f>G372*J372*K372</f>
        <v>128.96</v>
      </c>
    </row>
    <row r="373">
      <c r="G373">
        <v>1.6</v>
      </c>
      <c r="J373">
        <v>0.99</v>
      </c>
      <c r="K373">
        <v>40</v>
      </c>
      <c r="L373">
        <f>G373*J373*K373</f>
        <v>63.36</v>
      </c>
    </row>
    <row r="374">
      <c r="L374">
        <f>SUM(L371:L373)</f>
        <v>643.6800000000001</v>
      </c>
      <c r="M374" t="str">
        <v>kg</v>
      </c>
      <c r="N374">
        <f>L374</f>
        <v>643.6800000000001</v>
      </c>
    </row>
    <row r="376">
      <c r="B376" t="str">
        <v>Besi beton dia 10</v>
      </c>
      <c r="E376">
        <v>1</v>
      </c>
      <c r="G376">
        <v>18</v>
      </c>
      <c r="J376">
        <v>0.616</v>
      </c>
      <c r="K376">
        <v>20</v>
      </c>
      <c r="L376">
        <f>G376*J376*K376</f>
        <v>221.76</v>
      </c>
      <c r="P376">
        <f>6/0.3</f>
        <v>20</v>
      </c>
    </row>
    <row r="377">
      <c r="G377">
        <v>6.7</v>
      </c>
      <c r="J377">
        <v>0.616</v>
      </c>
      <c r="K377">
        <v>20</v>
      </c>
      <c r="L377">
        <f>G377*J377*K377</f>
        <v>82.54400000000001</v>
      </c>
    </row>
    <row r="378">
      <c r="G378">
        <v>30</v>
      </c>
      <c r="J378">
        <v>0.616</v>
      </c>
      <c r="K378">
        <v>27</v>
      </c>
      <c r="L378">
        <f>G378*J378*K378</f>
        <v>498.96000000000004</v>
      </c>
      <c r="P378">
        <f>8/0.3</f>
        <v>26.666666666666668</v>
      </c>
    </row>
    <row r="379">
      <c r="G379">
        <v>14</v>
      </c>
      <c r="J379">
        <v>0.616</v>
      </c>
      <c r="K379">
        <f>12*2</f>
        <v>24</v>
      </c>
      <c r="L379">
        <f>G379*J379*K379</f>
        <v>206.976</v>
      </c>
    </row>
    <row r="380">
      <c r="G380">
        <v>6</v>
      </c>
      <c r="J380">
        <v>0.616</v>
      </c>
      <c r="K380">
        <v>6</v>
      </c>
      <c r="L380">
        <f>G380*J380*K380</f>
        <v>22.176</v>
      </c>
    </row>
    <row r="381">
      <c r="G381">
        <v>3</v>
      </c>
      <c r="J381">
        <v>0.616</v>
      </c>
      <c r="K381">
        <f>3*18</f>
        <v>54</v>
      </c>
      <c r="L381">
        <f>G381*J381*K381</f>
        <v>99.79199999999999</v>
      </c>
    </row>
    <row r="382">
      <c r="G382">
        <v>4</v>
      </c>
      <c r="J382">
        <v>0.616</v>
      </c>
      <c r="K382">
        <f>30*9</f>
        <v>270</v>
      </c>
      <c r="L382">
        <f>G382*J382*K382</f>
        <v>665.28</v>
      </c>
    </row>
    <row r="383">
      <c r="G383">
        <v>3</v>
      </c>
      <c r="J383">
        <v>0.616</v>
      </c>
      <c r="K383">
        <f>15*7</f>
        <v>105</v>
      </c>
      <c r="L383">
        <f>G383*J383*K383</f>
        <v>194.04</v>
      </c>
    </row>
    <row r="384">
      <c r="G384">
        <v>1.5</v>
      </c>
      <c r="J384">
        <v>0.616</v>
      </c>
      <c r="K384">
        <f>15*4</f>
        <v>60</v>
      </c>
      <c r="L384">
        <f>G384*J384*K384</f>
        <v>55.44</v>
      </c>
    </row>
    <row r="385">
      <c r="E385" t="str">
        <v>A</v>
      </c>
      <c r="G385">
        <v>12</v>
      </c>
      <c r="J385">
        <v>0.616</v>
      </c>
      <c r="K385">
        <v>100</v>
      </c>
      <c r="L385">
        <f>G385*J385*K385</f>
        <v>739.1999999999999</v>
      </c>
      <c r="P385">
        <f>30/0.3</f>
        <v>100</v>
      </c>
    </row>
    <row r="386">
      <c r="G386">
        <v>1.125</v>
      </c>
      <c r="J386">
        <v>0.616</v>
      </c>
      <c r="K386">
        <v>47</v>
      </c>
      <c r="L386">
        <f>G386*J386*K386</f>
        <v>32.571</v>
      </c>
      <c r="P386">
        <f>14/0.3</f>
        <v>46.66666666666667</v>
      </c>
    </row>
    <row r="387">
      <c r="G387">
        <v>1.125</v>
      </c>
      <c r="J387">
        <v>0.616</v>
      </c>
      <c r="K387">
        <v>26</v>
      </c>
      <c r="L387">
        <f>G387*J387*K387</f>
        <v>18.017999999999997</v>
      </c>
      <c r="P387">
        <f>4/0.3</f>
        <v>13.333333333333334</v>
      </c>
    </row>
    <row r="388">
      <c r="G388">
        <v>2.1</v>
      </c>
      <c r="J388">
        <v>0.616</v>
      </c>
      <c r="K388">
        <v>20</v>
      </c>
      <c r="L388">
        <f>G388*J388*K388</f>
        <v>25.872</v>
      </c>
    </row>
    <row r="389">
      <c r="G389">
        <v>3</v>
      </c>
      <c r="J389">
        <v>0.616</v>
      </c>
      <c r="K389">
        <f>3*20</f>
        <v>60</v>
      </c>
      <c r="L389">
        <f>G389*J389*K389</f>
        <v>110.88</v>
      </c>
    </row>
    <row r="390">
      <c r="G390">
        <v>4</v>
      </c>
      <c r="J390">
        <v>0.616</v>
      </c>
      <c r="K390">
        <f>10*9</f>
        <v>90</v>
      </c>
      <c r="L390">
        <f>G390*J390*K390</f>
        <v>221.76</v>
      </c>
    </row>
    <row r="391">
      <c r="G391">
        <v>4</v>
      </c>
      <c r="J391">
        <v>0.616</v>
      </c>
      <c r="K391">
        <f>20*9</f>
        <v>180</v>
      </c>
      <c r="L391">
        <f>G391*J391*K391</f>
        <v>443.52</v>
      </c>
    </row>
    <row r="392">
      <c r="L392">
        <f>SUM(L376:L391)</f>
        <v>3638.7889999999993</v>
      </c>
      <c r="P392">
        <f>L392/L369</f>
        <v>70.18050492777103</v>
      </c>
    </row>
    <row r="394">
      <c r="G394">
        <f>L369</f>
        <v>51.849</v>
      </c>
      <c r="K394">
        <v>90</v>
      </c>
      <c r="L394">
        <f>G394*K394</f>
        <v>4666.41</v>
      </c>
      <c r="M394" t="str">
        <v>kg</v>
      </c>
      <c r="N394">
        <f>L394</f>
        <v>4666.41</v>
      </c>
    </row>
    <row r="397">
      <c r="B397" t="str">
        <v>Bekisting</v>
      </c>
      <c r="E397">
        <v>1</v>
      </c>
      <c r="G397">
        <f>6-0.25</f>
        <v>5.75</v>
      </c>
      <c r="H397">
        <f>5-0.3</f>
        <v>4.7</v>
      </c>
      <c r="K397">
        <v>9</v>
      </c>
      <c r="L397">
        <f>G397*H397*K397</f>
        <v>243.22500000000002</v>
      </c>
    </row>
    <row r="398">
      <c r="E398">
        <v>2</v>
      </c>
      <c r="G398">
        <f>6-3.3-0.25</f>
        <v>2.45</v>
      </c>
      <c r="H398">
        <f>5-0.3</f>
        <v>4.7</v>
      </c>
      <c r="K398">
        <v>1</v>
      </c>
      <c r="L398">
        <f>G398*H398*K398</f>
        <v>11.515</v>
      </c>
    </row>
    <row r="399">
      <c r="E399">
        <v>3</v>
      </c>
      <c r="G399">
        <f>6</f>
        <v>6</v>
      </c>
      <c r="H399">
        <f>2.07-0.25</f>
        <v>1.8199999999999998</v>
      </c>
      <c r="K399">
        <v>1</v>
      </c>
      <c r="L399">
        <f>G399*H399*K399</f>
        <v>10.919999999999998</v>
      </c>
    </row>
    <row r="400">
      <c r="E400">
        <v>4</v>
      </c>
      <c r="G400">
        <v>30</v>
      </c>
      <c r="H400">
        <v>2</v>
      </c>
      <c r="K400">
        <v>1</v>
      </c>
      <c r="L400">
        <f>G400*H400*K400</f>
        <v>60</v>
      </c>
    </row>
    <row r="401">
      <c r="E401">
        <v>5</v>
      </c>
      <c r="G401">
        <v>13</v>
      </c>
      <c r="H401">
        <v>1.125</v>
      </c>
      <c r="K401">
        <v>1</v>
      </c>
      <c r="L401">
        <f>G401*H401*K401</f>
        <v>14.625</v>
      </c>
    </row>
    <row r="402">
      <c r="E402">
        <v>6</v>
      </c>
      <c r="G402">
        <v>3.3</v>
      </c>
      <c r="H402">
        <v>1.125</v>
      </c>
      <c r="K402">
        <v>1</v>
      </c>
      <c r="L402">
        <f>G402*H402*K402</f>
        <v>3.7125</v>
      </c>
    </row>
    <row r="403">
      <c r="L403">
        <f>SUM(L397:L402)</f>
        <v>343.9975</v>
      </c>
      <c r="M403" t="str">
        <v>m2</v>
      </c>
      <c r="N403">
        <f>L403</f>
        <v>343.9975</v>
      </c>
    </row>
    <row r="408">
      <c r="A408">
        <f>A362+0.01</f>
        <v>2.039999999999999</v>
      </c>
      <c r="B408" t="str">
        <v xml:space="preserve">Ring Balok </v>
      </c>
    </row>
    <row r="409">
      <c r="B409" t="str">
        <v>Beton K 250</v>
      </c>
      <c r="E409" t="str">
        <v>A</v>
      </c>
      <c r="G409">
        <f>5-0.35</f>
        <v>4.65</v>
      </c>
      <c r="H409">
        <v>0.2</v>
      </c>
      <c r="J409">
        <v>0.4</v>
      </c>
      <c r="K409">
        <v>2</v>
      </c>
      <c r="L409">
        <f>G409*H409*J409*K409</f>
        <v>0.7440000000000002</v>
      </c>
    </row>
    <row r="410">
      <c r="G410">
        <v>2</v>
      </c>
      <c r="H410">
        <v>0.2</v>
      </c>
      <c r="J410">
        <v>0.4</v>
      </c>
      <c r="K410">
        <v>1</v>
      </c>
      <c r="L410">
        <f>G410*H410*J410*K410</f>
        <v>0.16000000000000003</v>
      </c>
    </row>
    <row r="411">
      <c r="E411" t="str">
        <v>B</v>
      </c>
      <c r="G411">
        <v>1</v>
      </c>
      <c r="H411">
        <v>0.15</v>
      </c>
      <c r="J411">
        <v>0.25</v>
      </c>
      <c r="K411">
        <v>1</v>
      </c>
      <c r="L411">
        <f>G411*H411*J411*K411</f>
        <v>0.0375</v>
      </c>
    </row>
    <row r="412">
      <c r="G412">
        <v>1.075</v>
      </c>
      <c r="H412">
        <v>0.15</v>
      </c>
      <c r="J412">
        <v>0.25</v>
      </c>
      <c r="K412">
        <v>1</v>
      </c>
      <c r="L412">
        <f>G412*H412*J412*K412</f>
        <v>0.040312499999999994</v>
      </c>
    </row>
    <row r="413">
      <c r="E413" t="str">
        <v>C</v>
      </c>
      <c r="G413">
        <v>2.075</v>
      </c>
      <c r="H413">
        <v>0.15</v>
      </c>
      <c r="J413">
        <v>0.25</v>
      </c>
      <c r="K413">
        <v>1</v>
      </c>
      <c r="L413">
        <f>G413*H413*J413*K413</f>
        <v>0.0778125</v>
      </c>
    </row>
    <row r="414">
      <c r="G414">
        <v>1.075</v>
      </c>
      <c r="H414">
        <v>0.15</v>
      </c>
      <c r="J414">
        <v>0.25</v>
      </c>
      <c r="K414">
        <v>1</v>
      </c>
      <c r="L414">
        <f>G414*H414*J414*K414</f>
        <v>0.040312499999999994</v>
      </c>
    </row>
    <row r="415">
      <c r="E415" t="str">
        <v>D</v>
      </c>
      <c r="G415">
        <v>2.075</v>
      </c>
      <c r="H415">
        <v>0.15</v>
      </c>
      <c r="J415">
        <v>0.25</v>
      </c>
      <c r="K415">
        <v>1</v>
      </c>
      <c r="L415">
        <f>G415*H415*J415*K415</f>
        <v>0.0778125</v>
      </c>
    </row>
    <row r="416">
      <c r="G416">
        <v>1.075</v>
      </c>
      <c r="H416">
        <v>0.15</v>
      </c>
      <c r="J416">
        <v>0.25</v>
      </c>
      <c r="K416">
        <v>1</v>
      </c>
      <c r="L416">
        <f>G416*H416*J416*K416</f>
        <v>0.040312499999999994</v>
      </c>
    </row>
    <row r="417">
      <c r="G417">
        <v>1.075</v>
      </c>
      <c r="H417">
        <v>0.15</v>
      </c>
      <c r="J417">
        <v>0.25</v>
      </c>
      <c r="K417">
        <v>1</v>
      </c>
      <c r="L417">
        <f>G417*H417*J417*K417</f>
        <v>0.040312499999999994</v>
      </c>
    </row>
    <row r="418">
      <c r="G418">
        <v>1.075</v>
      </c>
      <c r="H418">
        <v>0.15</v>
      </c>
      <c r="J418">
        <v>0.25</v>
      </c>
      <c r="K418">
        <v>1</v>
      </c>
      <c r="L418">
        <f>G418*H418*J418*K418</f>
        <v>0.040312499999999994</v>
      </c>
    </row>
    <row r="419">
      <c r="E419" t="str">
        <v>F</v>
      </c>
      <c r="G419">
        <f>5-0.35</f>
        <v>4.65</v>
      </c>
      <c r="H419">
        <v>0.2</v>
      </c>
      <c r="J419">
        <v>0.4</v>
      </c>
      <c r="K419">
        <v>2</v>
      </c>
      <c r="L419">
        <f>G419*H419*J419*K419</f>
        <v>0.7440000000000002</v>
      </c>
    </row>
    <row r="420">
      <c r="G420">
        <v>2</v>
      </c>
      <c r="H420">
        <v>0.2</v>
      </c>
      <c r="J420">
        <v>0.4</v>
      </c>
      <c r="K420">
        <v>1</v>
      </c>
      <c r="L420">
        <f>G420*H420*J420*K420</f>
        <v>0.16000000000000003</v>
      </c>
    </row>
    <row r="421">
      <c r="E421" t="str">
        <v>1'</v>
      </c>
      <c r="G421">
        <v>8</v>
      </c>
      <c r="H421">
        <v>0.15</v>
      </c>
      <c r="J421">
        <v>0.25</v>
      </c>
      <c r="K421">
        <v>1</v>
      </c>
      <c r="L421">
        <f>G421*H421*J421*K421</f>
        <v>0.3</v>
      </c>
    </row>
    <row r="422">
      <c r="G422">
        <v>3.5</v>
      </c>
      <c r="H422">
        <v>0.15</v>
      </c>
      <c r="J422">
        <v>0.25</v>
      </c>
      <c r="K422">
        <v>2</v>
      </c>
      <c r="L422">
        <f>G422*H422*J422*K422</f>
        <v>0.2625</v>
      </c>
    </row>
    <row r="423">
      <c r="E423">
        <v>1</v>
      </c>
      <c r="G423">
        <f>30-1.75</f>
        <v>28.25</v>
      </c>
      <c r="H423">
        <v>0.2</v>
      </c>
      <c r="J423">
        <v>0.4</v>
      </c>
      <c r="K423">
        <v>1</v>
      </c>
      <c r="L423">
        <f>G423*H423*J423*K423</f>
        <v>2.2600000000000002</v>
      </c>
    </row>
    <row r="424">
      <c r="E424">
        <v>2</v>
      </c>
      <c r="G424">
        <f>30-1.75</f>
        <v>28.25</v>
      </c>
      <c r="H424">
        <v>0.2</v>
      </c>
      <c r="J424">
        <v>0.4</v>
      </c>
      <c r="K424">
        <v>1</v>
      </c>
      <c r="L424">
        <f>G424*H424*J424*K424</f>
        <v>2.2600000000000002</v>
      </c>
    </row>
    <row r="425">
      <c r="E425">
        <v>3</v>
      </c>
      <c r="G425">
        <f>30-1.75</f>
        <v>28.25</v>
      </c>
      <c r="H425">
        <v>0.2</v>
      </c>
      <c r="J425">
        <v>0.4</v>
      </c>
      <c r="K425">
        <v>1</v>
      </c>
      <c r="L425">
        <f>G425*H425*J425*K425</f>
        <v>2.2600000000000002</v>
      </c>
    </row>
    <row r="426">
      <c r="E426">
        <v>4</v>
      </c>
      <c r="G426">
        <f>30-1.75</f>
        <v>28.25</v>
      </c>
      <c r="H426">
        <v>0.2</v>
      </c>
      <c r="J426">
        <v>0.4</v>
      </c>
      <c r="K426">
        <v>1</v>
      </c>
      <c r="L426">
        <f>G426*H426*J426*K426</f>
        <v>2.2600000000000002</v>
      </c>
    </row>
    <row r="427">
      <c r="G427">
        <v>13</v>
      </c>
      <c r="H427">
        <v>0.15</v>
      </c>
      <c r="J427">
        <v>0.25</v>
      </c>
      <c r="K427">
        <v>1</v>
      </c>
      <c r="L427">
        <f>G427*H427*J427*K427</f>
        <v>0.4875</v>
      </c>
    </row>
    <row r="428">
      <c r="L428">
        <f>SUM(L408:L426)</f>
        <v>11.8051875</v>
      </c>
      <c r="M428" t="str">
        <v>m3</v>
      </c>
      <c r="N428">
        <f>L428</f>
        <v>11.8051875</v>
      </c>
    </row>
    <row r="430">
      <c r="B430" t="str">
        <v>Besi beton dia 16</v>
      </c>
      <c r="E430" t="str">
        <v>A</v>
      </c>
      <c r="G430">
        <f>5+1.17</f>
        <v>6.17</v>
      </c>
      <c r="J430">
        <v>1.558</v>
      </c>
      <c r="K430">
        <f>2*6</f>
        <v>12</v>
      </c>
      <c r="L430">
        <f>G430*J430*K430</f>
        <v>115.35432</v>
      </c>
    </row>
    <row r="431">
      <c r="E431" t="str">
        <v>F</v>
      </c>
      <c r="G431">
        <f>5+1.17</f>
        <v>6.17</v>
      </c>
      <c r="J431">
        <v>1.558</v>
      </c>
      <c r="K431">
        <f>2*6</f>
        <v>12</v>
      </c>
      <c r="L431">
        <f>G431*J431*K431</f>
        <v>115.35432</v>
      </c>
    </row>
    <row r="432">
      <c r="E432">
        <v>1</v>
      </c>
      <c r="G432">
        <f>30+1.17</f>
        <v>31.17</v>
      </c>
      <c r="J432">
        <v>1.558</v>
      </c>
      <c r="K432">
        <f>1*4</f>
        <v>4</v>
      </c>
      <c r="L432">
        <f>G432*J432*K432</f>
        <v>194.25144000000003</v>
      </c>
    </row>
    <row r="433">
      <c r="G433">
        <f>3+1</f>
        <v>4</v>
      </c>
      <c r="J433">
        <v>1.558</v>
      </c>
      <c r="K433">
        <v>5</v>
      </c>
      <c r="L433">
        <f>G433*J433*K433</f>
        <v>31.16</v>
      </c>
    </row>
    <row r="434">
      <c r="E434">
        <v>2</v>
      </c>
      <c r="G434">
        <f>30+1.17</f>
        <v>31.17</v>
      </c>
      <c r="J434">
        <v>1.558</v>
      </c>
      <c r="K434">
        <f>1*4</f>
        <v>4</v>
      </c>
      <c r="L434">
        <f>G434*J434*K434</f>
        <v>194.25144000000003</v>
      </c>
    </row>
    <row r="435">
      <c r="G435">
        <f>3+1</f>
        <v>4</v>
      </c>
      <c r="J435">
        <v>1.558</v>
      </c>
      <c r="K435">
        <v>5</v>
      </c>
      <c r="L435">
        <f>G435*J435*K435</f>
        <v>31.16</v>
      </c>
    </row>
    <row r="436">
      <c r="E436">
        <v>3</v>
      </c>
      <c r="G436">
        <f>30+1.17</f>
        <v>31.17</v>
      </c>
      <c r="J436">
        <v>1.558</v>
      </c>
      <c r="K436">
        <f>1*4</f>
        <v>4</v>
      </c>
      <c r="L436">
        <f>G436*J436*K436</f>
        <v>194.25144000000003</v>
      </c>
    </row>
    <row r="437">
      <c r="G437">
        <f>3+1</f>
        <v>4</v>
      </c>
      <c r="J437">
        <v>1.558</v>
      </c>
      <c r="K437">
        <v>5</v>
      </c>
      <c r="L437">
        <f>G437*J437*K437</f>
        <v>31.16</v>
      </c>
    </row>
    <row r="438">
      <c r="E438">
        <v>4</v>
      </c>
      <c r="G438">
        <f>30+1.17</f>
        <v>31.17</v>
      </c>
      <c r="J438">
        <v>1.558</v>
      </c>
      <c r="K438">
        <f>1*4</f>
        <v>4</v>
      </c>
      <c r="L438">
        <f>G438*J438*K438</f>
        <v>194.25144000000003</v>
      </c>
    </row>
    <row r="439">
      <c r="G439">
        <f>3+1</f>
        <v>4</v>
      </c>
      <c r="J439">
        <v>1.558</v>
      </c>
      <c r="K439">
        <v>5</v>
      </c>
      <c r="L439">
        <f>G439*J439*K439</f>
        <v>31.16</v>
      </c>
    </row>
    <row r="440">
      <c r="L440">
        <f>SUM(L429:L438)</f>
        <v>1101.1944</v>
      </c>
      <c r="M440" t="str">
        <v>kg</v>
      </c>
      <c r="N440">
        <f>L440</f>
        <v>1101.1944</v>
      </c>
    </row>
    <row r="442">
      <c r="B442" t="str">
        <v>Besi beton dia 13</v>
      </c>
      <c r="E442" t="str">
        <v>A</v>
      </c>
      <c r="G442">
        <f>2+1.17</f>
        <v>3.17</v>
      </c>
      <c r="J442">
        <v>0.992</v>
      </c>
      <c r="K442">
        <v>4</v>
      </c>
      <c r="L442">
        <f>G442*J442*K442</f>
        <v>12.57856</v>
      </c>
    </row>
    <row r="443">
      <c r="E443" t="str">
        <v>B</v>
      </c>
      <c r="G443">
        <v>1</v>
      </c>
      <c r="J443">
        <v>0.992</v>
      </c>
      <c r="K443">
        <v>4</v>
      </c>
      <c r="L443">
        <f>G443*J443*K443</f>
        <v>3.968</v>
      </c>
    </row>
    <row r="444">
      <c r="G444">
        <v>1.08</v>
      </c>
      <c r="J444">
        <v>0.992</v>
      </c>
      <c r="K444">
        <v>4</v>
      </c>
      <c r="L444">
        <f>G444*J444*K444</f>
        <v>4.28544</v>
      </c>
    </row>
    <row r="445">
      <c r="E445" t="str">
        <v>C</v>
      </c>
      <c r="G445">
        <v>2.08</v>
      </c>
      <c r="J445">
        <v>0.992</v>
      </c>
      <c r="K445">
        <v>4</v>
      </c>
      <c r="L445">
        <f>G445*J445*K445</f>
        <v>8.25344</v>
      </c>
    </row>
    <row r="446">
      <c r="G446">
        <v>1.08</v>
      </c>
      <c r="J446">
        <v>0.992</v>
      </c>
      <c r="K446">
        <v>4</v>
      </c>
      <c r="L446">
        <f>G446*J446*K446</f>
        <v>4.28544</v>
      </c>
    </row>
    <row r="447">
      <c r="E447" t="str">
        <v>D</v>
      </c>
      <c r="G447">
        <v>2.08</v>
      </c>
      <c r="J447">
        <v>0.992</v>
      </c>
      <c r="K447">
        <v>4</v>
      </c>
      <c r="L447">
        <f>G447*J447*K447</f>
        <v>8.25344</v>
      </c>
    </row>
    <row r="448">
      <c r="G448">
        <v>1.08</v>
      </c>
      <c r="J448">
        <v>0.992</v>
      </c>
      <c r="K448">
        <v>4</v>
      </c>
      <c r="L448">
        <f>G448*J448*K448</f>
        <v>4.28544</v>
      </c>
    </row>
    <row r="449">
      <c r="G449">
        <v>1.08</v>
      </c>
      <c r="J449">
        <v>0.992</v>
      </c>
      <c r="K449">
        <v>4</v>
      </c>
      <c r="L449">
        <f>G449*J449*K449</f>
        <v>4.28544</v>
      </c>
    </row>
    <row r="450">
      <c r="G450">
        <v>1.08</v>
      </c>
      <c r="J450">
        <v>0.992</v>
      </c>
      <c r="K450">
        <v>4</v>
      </c>
      <c r="L450">
        <f>G450*J450*K450</f>
        <v>4.28544</v>
      </c>
    </row>
    <row r="451">
      <c r="E451" t="str">
        <v>F</v>
      </c>
      <c r="G451">
        <f>2+1.17</f>
        <v>3.17</v>
      </c>
      <c r="J451">
        <v>0.992</v>
      </c>
      <c r="K451">
        <v>4</v>
      </c>
      <c r="L451">
        <f>G451*J451*K451</f>
        <v>12.57856</v>
      </c>
    </row>
    <row r="452">
      <c r="E452" t="str">
        <v>1"</v>
      </c>
      <c r="G452">
        <v>8</v>
      </c>
      <c r="J452">
        <v>0.992</v>
      </c>
      <c r="K452">
        <v>4</v>
      </c>
      <c r="L452">
        <f>G452*J452*K452</f>
        <v>31.744</v>
      </c>
    </row>
    <row r="453">
      <c r="G453">
        <v>3.5</v>
      </c>
      <c r="J453">
        <v>0.992</v>
      </c>
      <c r="K453">
        <f>2*4</f>
        <v>8</v>
      </c>
      <c r="L453">
        <f>G453*J453*K453</f>
        <v>27.776</v>
      </c>
    </row>
    <row r="454">
      <c r="E454">
        <v>1</v>
      </c>
      <c r="G454">
        <f>3+1</f>
        <v>4</v>
      </c>
      <c r="J454">
        <v>0.992</v>
      </c>
      <c r="K454">
        <v>5</v>
      </c>
      <c r="L454">
        <f>G454*J454*K454</f>
        <v>19.84</v>
      </c>
    </row>
    <row r="455">
      <c r="E455">
        <v>2</v>
      </c>
      <c r="G455">
        <f>3+1</f>
        <v>4</v>
      </c>
      <c r="J455">
        <v>0.992</v>
      </c>
      <c r="K455">
        <v>5</v>
      </c>
      <c r="L455">
        <f>G455*J455*K455</f>
        <v>19.84</v>
      </c>
    </row>
    <row r="456">
      <c r="E456">
        <v>3</v>
      </c>
      <c r="G456">
        <f>3+1</f>
        <v>4</v>
      </c>
      <c r="J456">
        <v>0.992</v>
      </c>
      <c r="K456">
        <v>5</v>
      </c>
      <c r="L456">
        <f>G456*J456*K456</f>
        <v>19.84</v>
      </c>
    </row>
    <row r="457">
      <c r="E457">
        <v>4</v>
      </c>
      <c r="G457">
        <f>3+1</f>
        <v>4</v>
      </c>
      <c r="J457">
        <v>0.992</v>
      </c>
      <c r="K457">
        <v>5</v>
      </c>
      <c r="L457">
        <f>G457*J457*K457</f>
        <v>19.84</v>
      </c>
    </row>
    <row r="458">
      <c r="G458">
        <v>13</v>
      </c>
      <c r="J458">
        <v>0.992</v>
      </c>
      <c r="K458">
        <v>4</v>
      </c>
      <c r="L458">
        <f>G458*J458*K458</f>
        <v>51.584</v>
      </c>
    </row>
    <row r="459">
      <c r="L459">
        <f>SUM(L442:L458)</f>
        <v>257.5232</v>
      </c>
      <c r="M459" t="str">
        <v>kg</v>
      </c>
      <c r="N459">
        <f>L459</f>
        <v>257.5232</v>
      </c>
    </row>
    <row r="461">
      <c r="B461" t="str">
        <v>Besi beton dia 10</v>
      </c>
      <c r="E461" t="str">
        <v>A</v>
      </c>
      <c r="G461">
        <v>1.2</v>
      </c>
      <c r="J461">
        <v>0.616</v>
      </c>
      <c r="K461">
        <f>2*27</f>
        <v>54</v>
      </c>
      <c r="L461">
        <f>G461*J461*K461</f>
        <v>39.916799999999995</v>
      </c>
    </row>
    <row r="462">
      <c r="G462">
        <v>1.2</v>
      </c>
      <c r="J462">
        <v>0.616</v>
      </c>
      <c r="K462">
        <v>11</v>
      </c>
      <c r="L462">
        <f>G462*J462*K462</f>
        <v>8.1312</v>
      </c>
    </row>
    <row r="463">
      <c r="E463" t="str">
        <v>B</v>
      </c>
      <c r="G463">
        <v>0.8</v>
      </c>
      <c r="J463">
        <v>0.616</v>
      </c>
      <c r="K463">
        <v>5</v>
      </c>
      <c r="L463">
        <f>G463*J463*K463</f>
        <v>2.464</v>
      </c>
    </row>
    <row r="464">
      <c r="G464">
        <v>0.8</v>
      </c>
      <c r="J464">
        <v>0.616</v>
      </c>
      <c r="K464">
        <v>5</v>
      </c>
      <c r="L464">
        <f>G464*J464*K464</f>
        <v>2.464</v>
      </c>
    </row>
    <row r="465">
      <c r="E465" t="str">
        <v>C</v>
      </c>
      <c r="G465">
        <v>0.8</v>
      </c>
      <c r="J465">
        <v>0.616</v>
      </c>
      <c r="K465">
        <v>10</v>
      </c>
      <c r="L465">
        <f>G465*J465*K465</f>
        <v>4.928</v>
      </c>
    </row>
    <row r="466">
      <c r="G466">
        <v>0.8</v>
      </c>
      <c r="J466">
        <v>0.616</v>
      </c>
      <c r="K466">
        <v>5</v>
      </c>
      <c r="L466">
        <f>G466*J466*K466</f>
        <v>2.464</v>
      </c>
    </row>
    <row r="467">
      <c r="E467" t="str">
        <v>D</v>
      </c>
      <c r="G467">
        <v>0.8</v>
      </c>
      <c r="J467">
        <v>0.616</v>
      </c>
      <c r="K467">
        <v>10</v>
      </c>
      <c r="L467">
        <f>G467*J467*K467</f>
        <v>4.928</v>
      </c>
    </row>
    <row r="468">
      <c r="G468">
        <v>0.8</v>
      </c>
      <c r="J468">
        <v>0.616</v>
      </c>
      <c r="K468">
        <v>5</v>
      </c>
      <c r="L468">
        <f>G468*J468*K468</f>
        <v>2.464</v>
      </c>
    </row>
    <row r="469">
      <c r="G469">
        <v>0.8</v>
      </c>
      <c r="J469">
        <v>0.616</v>
      </c>
      <c r="K469">
        <v>5</v>
      </c>
      <c r="L469">
        <f>G469*J469*K469</f>
        <v>2.464</v>
      </c>
    </row>
    <row r="470">
      <c r="G470">
        <v>0.8</v>
      </c>
      <c r="J470">
        <v>0.616</v>
      </c>
      <c r="K470">
        <v>5</v>
      </c>
      <c r="L470">
        <f>G470*J470*K470</f>
        <v>2.464</v>
      </c>
    </row>
    <row r="471">
      <c r="E471" t="str">
        <v>F</v>
      </c>
      <c r="G471">
        <v>1.2</v>
      </c>
      <c r="J471">
        <v>0.616</v>
      </c>
      <c r="K471">
        <f>2*27</f>
        <v>54</v>
      </c>
      <c r="L471">
        <f>G471*J471*K471</f>
        <v>39.916799999999995</v>
      </c>
    </row>
    <row r="472">
      <c r="G472">
        <v>1.2</v>
      </c>
      <c r="J472">
        <v>0.616</v>
      </c>
      <c r="K472">
        <v>11</v>
      </c>
      <c r="L472">
        <f>G472*J472*K472</f>
        <v>8.1312</v>
      </c>
    </row>
    <row r="473">
      <c r="E473" t="str">
        <v>1'</v>
      </c>
      <c r="G473">
        <v>0.8</v>
      </c>
      <c r="J473">
        <v>0.616</v>
      </c>
      <c r="K473">
        <v>40</v>
      </c>
      <c r="L473">
        <f>G473*J473*K473</f>
        <v>19.712</v>
      </c>
    </row>
    <row r="474">
      <c r="G474">
        <v>0.8</v>
      </c>
      <c r="J474">
        <v>0.616</v>
      </c>
      <c r="K474">
        <f>2*17</f>
        <v>34</v>
      </c>
      <c r="L474">
        <f>G474*J474*K474</f>
        <v>16.755200000000002</v>
      </c>
    </row>
    <row r="475">
      <c r="E475">
        <v>1</v>
      </c>
      <c r="G475">
        <v>1.2</v>
      </c>
      <c r="J475">
        <v>0.616</v>
      </c>
      <c r="K475">
        <f>1*161</f>
        <v>161</v>
      </c>
      <c r="L475">
        <f>G475*J475*K475</f>
        <v>119.01119999999999</v>
      </c>
    </row>
    <row r="476">
      <c r="E476">
        <v>2</v>
      </c>
      <c r="G476">
        <v>1.2</v>
      </c>
      <c r="J476">
        <v>0.616</v>
      </c>
      <c r="K476">
        <f>1*161</f>
        <v>161</v>
      </c>
      <c r="L476">
        <f>G476*J476*K476</f>
        <v>119.01119999999999</v>
      </c>
    </row>
    <row r="477">
      <c r="E477">
        <v>3</v>
      </c>
      <c r="G477">
        <v>1.2</v>
      </c>
      <c r="J477">
        <v>0.616</v>
      </c>
      <c r="K477">
        <f>1*161</f>
        <v>161</v>
      </c>
      <c r="L477">
        <f>G477*J477*K477</f>
        <v>119.01119999999999</v>
      </c>
    </row>
    <row r="478">
      <c r="E478">
        <v>4</v>
      </c>
      <c r="G478">
        <v>1.2</v>
      </c>
      <c r="J478">
        <v>0.616</v>
      </c>
      <c r="K478">
        <f>1*161</f>
        <v>161</v>
      </c>
      <c r="L478">
        <f>G478*J478*K478</f>
        <v>119.01119999999999</v>
      </c>
    </row>
    <row r="479">
      <c r="G479">
        <v>0.8</v>
      </c>
      <c r="J479">
        <v>0.616</v>
      </c>
      <c r="K479">
        <v>65</v>
      </c>
      <c r="L479">
        <f>G479*J479*K479</f>
        <v>32.032000000000004</v>
      </c>
    </row>
    <row r="480">
      <c r="L480">
        <f>SUM(L461:L479)</f>
        <v>665.28</v>
      </c>
      <c r="M480" t="str">
        <v>kg</v>
      </c>
      <c r="N480">
        <f>L480</f>
        <v>665.28</v>
      </c>
    </row>
    <row r="482">
      <c r="B482" t="str">
        <v>Bekisting</v>
      </c>
      <c r="E482" t="str">
        <v>A</v>
      </c>
      <c r="G482">
        <f>5-0.35</f>
        <v>4.65</v>
      </c>
      <c r="H482">
        <f>0.2+0.4+0.4</f>
        <v>1</v>
      </c>
      <c r="K482">
        <v>2</v>
      </c>
      <c r="L482">
        <f>G482*H482*K482</f>
        <v>9.3</v>
      </c>
    </row>
    <row r="483">
      <c r="G483">
        <v>2</v>
      </c>
      <c r="H483">
        <f>0.2+0.4+0.4</f>
        <v>1</v>
      </c>
      <c r="K483">
        <v>1</v>
      </c>
      <c r="L483">
        <f>G483*H483*K483</f>
        <v>2</v>
      </c>
    </row>
    <row r="484">
      <c r="E484" t="str">
        <v>B</v>
      </c>
      <c r="G484">
        <v>1</v>
      </c>
      <c r="H484">
        <v>0.5</v>
      </c>
      <c r="K484">
        <v>1</v>
      </c>
      <c r="L484">
        <f>G484*H484*K484</f>
        <v>0.5</v>
      </c>
    </row>
    <row r="485">
      <c r="G485">
        <v>1.075</v>
      </c>
      <c r="H485">
        <v>0.5</v>
      </c>
      <c r="K485">
        <v>1</v>
      </c>
      <c r="L485">
        <f>G485*H485*K485</f>
        <v>0.5375</v>
      </c>
    </row>
    <row r="486">
      <c r="E486" t="str">
        <v>C</v>
      </c>
      <c r="G486">
        <v>2.075</v>
      </c>
      <c r="H486">
        <v>0.5</v>
      </c>
      <c r="K486">
        <v>1</v>
      </c>
      <c r="L486">
        <f>G486*H486*K486</f>
        <v>1.0375</v>
      </c>
    </row>
    <row r="487">
      <c r="G487">
        <v>1.075</v>
      </c>
      <c r="H487">
        <v>0.5</v>
      </c>
      <c r="K487">
        <v>1</v>
      </c>
      <c r="L487">
        <f>G487*H487*K487</f>
        <v>0.5375</v>
      </c>
    </row>
    <row r="488">
      <c r="E488" t="str">
        <v>D</v>
      </c>
      <c r="G488">
        <v>2.075</v>
      </c>
      <c r="H488">
        <v>0.5</v>
      </c>
      <c r="K488">
        <v>1</v>
      </c>
      <c r="L488">
        <f>G488*H488*K488</f>
        <v>1.0375</v>
      </c>
    </row>
    <row r="489">
      <c r="G489">
        <v>1.075</v>
      </c>
      <c r="H489">
        <v>0.5</v>
      </c>
      <c r="K489">
        <v>1</v>
      </c>
      <c r="L489">
        <f>G489*H489*K489</f>
        <v>0.5375</v>
      </c>
    </row>
    <row r="490">
      <c r="G490">
        <v>1.075</v>
      </c>
      <c r="H490">
        <v>0.5</v>
      </c>
      <c r="K490">
        <v>1</v>
      </c>
      <c r="L490">
        <f>G490*H490*K490</f>
        <v>0.5375</v>
      </c>
    </row>
    <row r="491">
      <c r="G491">
        <v>1.075</v>
      </c>
      <c r="H491">
        <v>0.5</v>
      </c>
      <c r="K491">
        <v>1</v>
      </c>
      <c r="L491">
        <f>G491*H491*K491</f>
        <v>0.5375</v>
      </c>
    </row>
    <row r="492">
      <c r="E492" t="str">
        <v>F</v>
      </c>
      <c r="G492">
        <f>5-0.35</f>
        <v>4.65</v>
      </c>
      <c r="H492">
        <f>0.2+0.4+0.4</f>
        <v>1</v>
      </c>
      <c r="K492">
        <v>2</v>
      </c>
      <c r="L492">
        <f>G492*H492*K492</f>
        <v>9.3</v>
      </c>
    </row>
    <row r="493">
      <c r="G493">
        <v>2</v>
      </c>
      <c r="H493">
        <f>0.2+0.4+0.4</f>
        <v>1</v>
      </c>
      <c r="K493">
        <v>1</v>
      </c>
      <c r="L493">
        <f>G493*H493*K493</f>
        <v>2</v>
      </c>
    </row>
    <row r="494">
      <c r="E494" t="str">
        <v>1'</v>
      </c>
      <c r="G494">
        <v>8</v>
      </c>
      <c r="H494">
        <v>0.5</v>
      </c>
      <c r="K494">
        <v>1</v>
      </c>
      <c r="L494">
        <f>G494*H494*K494</f>
        <v>4</v>
      </c>
    </row>
    <row r="495">
      <c r="G495">
        <v>3.5</v>
      </c>
      <c r="H495">
        <v>0.5</v>
      </c>
      <c r="K495">
        <v>2</v>
      </c>
      <c r="L495">
        <f>G495*H495*K495</f>
        <v>3.5</v>
      </c>
    </row>
    <row r="496">
      <c r="E496">
        <v>1</v>
      </c>
      <c r="G496">
        <f>30-1.75</f>
        <v>28.25</v>
      </c>
      <c r="H496">
        <f>0.2+0.4+0.4</f>
        <v>1</v>
      </c>
      <c r="K496">
        <v>1</v>
      </c>
      <c r="L496">
        <f>G496*H496*K496</f>
        <v>28.25</v>
      </c>
    </row>
    <row r="497">
      <c r="E497">
        <v>2</v>
      </c>
      <c r="G497">
        <f>30-1.75</f>
        <v>28.25</v>
      </c>
      <c r="H497">
        <f>0.2+0.4+0.4</f>
        <v>1</v>
      </c>
      <c r="K497">
        <v>1</v>
      </c>
      <c r="L497">
        <f>G497*H497*K497</f>
        <v>28.25</v>
      </c>
    </row>
    <row r="498">
      <c r="E498">
        <v>3</v>
      </c>
      <c r="G498">
        <f>30-1.75</f>
        <v>28.25</v>
      </c>
      <c r="H498">
        <f>0.2+0.4+0.4</f>
        <v>1</v>
      </c>
      <c r="K498">
        <v>1</v>
      </c>
      <c r="L498">
        <f>G498*H498*K498</f>
        <v>28.25</v>
      </c>
    </row>
    <row r="499">
      <c r="E499">
        <v>4</v>
      </c>
      <c r="G499">
        <f>30-1.75</f>
        <v>28.25</v>
      </c>
      <c r="H499">
        <f>0.2+0.4+0.4</f>
        <v>1</v>
      </c>
      <c r="K499">
        <v>1</v>
      </c>
      <c r="L499">
        <f>G499*H499*K499</f>
        <v>28.25</v>
      </c>
    </row>
    <row r="500">
      <c r="G500">
        <v>13</v>
      </c>
      <c r="H500">
        <v>0.5</v>
      </c>
      <c r="K500">
        <v>1</v>
      </c>
      <c r="L500">
        <f>G500*H500*K500</f>
        <v>6.5</v>
      </c>
    </row>
    <row r="501">
      <c r="L501">
        <f>SUM(L482:L499)</f>
        <v>148.3625</v>
      </c>
      <c r="M501" t="str">
        <v>m2</v>
      </c>
      <c r="N501">
        <f>L501</f>
        <v>148.3625</v>
      </c>
    </row>
    <row r="503">
      <c r="B503" t="str">
        <v>Dak beton</v>
      </c>
      <c r="G503">
        <v>3.5</v>
      </c>
      <c r="H503">
        <v>0.5</v>
      </c>
      <c r="J503">
        <v>0.12</v>
      </c>
      <c r="K503">
        <v>8</v>
      </c>
      <c r="L503">
        <f>G503*H503*J503*K503</f>
        <v>1.68</v>
      </c>
      <c r="M503" t="str">
        <v>m3</v>
      </c>
      <c r="N503">
        <f>L503</f>
        <v>1.68</v>
      </c>
    </row>
    <row r="505">
      <c r="B505" t="str">
        <v>Water profing</v>
      </c>
      <c r="G505">
        <v>3.5</v>
      </c>
      <c r="H505">
        <v>0.5</v>
      </c>
      <c r="K505">
        <v>8</v>
      </c>
      <c r="L505">
        <f>G505*H505*K505</f>
        <v>14</v>
      </c>
      <c r="M505" t="str">
        <v>m2</v>
      </c>
      <c r="N505">
        <f>L505</f>
        <v>14</v>
      </c>
    </row>
    <row r="507">
      <c r="A507" t="str">
        <v>D</v>
      </c>
      <c r="B507" t="str">
        <v>PEKERJAAN ARSITEKTUR</v>
      </c>
    </row>
    <row r="508">
      <c r="B508" t="str">
        <v>LANTAI DASAR</v>
      </c>
    </row>
    <row r="509">
      <c r="A509">
        <v>1</v>
      </c>
      <c r="B509" t="str">
        <v>PEKERJAAN DINDING</v>
      </c>
    </row>
    <row r="510">
      <c r="A510">
        <f>A509+0.01</f>
        <v>1.01</v>
      </c>
      <c r="B510" t="str">
        <v>Pasangan 1/2 batu bata ad 1:2</v>
      </c>
      <c r="G510">
        <v>5</v>
      </c>
      <c r="H510">
        <v>1.5</v>
      </c>
      <c r="K510">
        <v>2</v>
      </c>
      <c r="L510">
        <f>G510*H510*K510</f>
        <v>15</v>
      </c>
    </row>
    <row r="511">
      <c r="G511">
        <f>5-0.8</f>
        <v>4.2</v>
      </c>
      <c r="H511">
        <v>1.5</v>
      </c>
      <c r="K511">
        <v>1</v>
      </c>
      <c r="L511">
        <f>G511*H511*K511</f>
        <v>6.300000000000001</v>
      </c>
    </row>
    <row r="512">
      <c r="G512">
        <v>4</v>
      </c>
      <c r="H512">
        <v>1.5</v>
      </c>
      <c r="K512">
        <v>1</v>
      </c>
      <c r="L512">
        <f>G512*H512*K512</f>
        <v>6</v>
      </c>
    </row>
    <row r="513">
      <c r="G513">
        <v>2</v>
      </c>
      <c r="H513">
        <v>1.5</v>
      </c>
      <c r="K513">
        <v>1</v>
      </c>
      <c r="L513">
        <f>G513*H513*K513</f>
        <v>3</v>
      </c>
    </row>
    <row r="514">
      <c r="G514">
        <f>2-0.7</f>
        <v>1.3</v>
      </c>
      <c r="H514">
        <v>1.5</v>
      </c>
      <c r="K514">
        <v>1</v>
      </c>
      <c r="L514">
        <f>G514*H514*K514</f>
        <v>1.9500000000000002</v>
      </c>
    </row>
    <row r="515">
      <c r="L515">
        <f>SUM(L510:L514)</f>
        <v>32.25</v>
      </c>
    </row>
    <row r="516">
      <c r="G516">
        <v>2</v>
      </c>
      <c r="H516">
        <v>1.35</v>
      </c>
      <c r="K516">
        <v>1</v>
      </c>
      <c r="L516">
        <f>G516*H516*K516</f>
        <v>2.7</v>
      </c>
    </row>
    <row r="517">
      <c r="L517">
        <f>SUM(L515:L516)</f>
        <v>34.95</v>
      </c>
      <c r="M517" t="str">
        <v>m2</v>
      </c>
      <c r="N517">
        <f>L517</f>
        <v>34.95</v>
      </c>
    </row>
    <row r="519">
      <c r="A519">
        <f>A510+0.01</f>
        <v>1.02</v>
      </c>
      <c r="B519" t="str">
        <v>Pasangan 1/2 batu bata ad 1:4</v>
      </c>
      <c r="E519" t="str">
        <v>a</v>
      </c>
      <c r="G519">
        <v>10</v>
      </c>
      <c r="J519">
        <v>3.6</v>
      </c>
      <c r="K519">
        <v>1</v>
      </c>
      <c r="L519">
        <f>G519*J519*K519</f>
        <v>36</v>
      </c>
    </row>
    <row r="520">
      <c r="G520">
        <v>2</v>
      </c>
      <c r="J520">
        <v>3.6</v>
      </c>
      <c r="K520">
        <v>1</v>
      </c>
      <c r="L520">
        <f>G520*J520*K520</f>
        <v>7.2</v>
      </c>
    </row>
    <row r="521">
      <c r="G521">
        <v>0.5</v>
      </c>
      <c r="J521">
        <v>3.6</v>
      </c>
      <c r="K521">
        <v>1</v>
      </c>
      <c r="L521">
        <f>G521*J521*K521</f>
        <v>1.8</v>
      </c>
    </row>
    <row r="522">
      <c r="E522" t="str">
        <v>b</v>
      </c>
      <c r="G522">
        <v>5</v>
      </c>
      <c r="J522">
        <v>3.6</v>
      </c>
      <c r="K522">
        <v>1</v>
      </c>
      <c r="L522">
        <f>G522*J522*K522</f>
        <v>18</v>
      </c>
    </row>
    <row r="523">
      <c r="G523">
        <v>1</v>
      </c>
      <c r="J523">
        <v>3.6</v>
      </c>
      <c r="K523">
        <v>1</v>
      </c>
      <c r="L523">
        <f>G523*J523*K523</f>
        <v>3.6</v>
      </c>
    </row>
    <row r="524">
      <c r="E524" t="str">
        <v>c</v>
      </c>
      <c r="G524">
        <v>1</v>
      </c>
      <c r="J524">
        <v>3.6</v>
      </c>
      <c r="K524">
        <v>1</v>
      </c>
      <c r="L524">
        <f>G524*J524*K524</f>
        <v>3.6</v>
      </c>
    </row>
    <row r="525">
      <c r="E525" t="str">
        <v>d</v>
      </c>
      <c r="G525">
        <v>5</v>
      </c>
      <c r="J525">
        <v>3.6</v>
      </c>
      <c r="K525">
        <v>1</v>
      </c>
      <c r="L525">
        <f>G525*J525*K525</f>
        <v>18</v>
      </c>
    </row>
    <row r="526">
      <c r="G526">
        <v>5</v>
      </c>
      <c r="J526">
        <v>3.6</v>
      </c>
      <c r="K526">
        <v>1</v>
      </c>
      <c r="L526">
        <f>G526*J526*K526</f>
        <v>18</v>
      </c>
    </row>
    <row r="527">
      <c r="G527">
        <v>1</v>
      </c>
      <c r="J527">
        <v>3.6</v>
      </c>
      <c r="K527">
        <v>1</v>
      </c>
      <c r="L527">
        <f>G527*J527*K527</f>
        <v>3.6</v>
      </c>
    </row>
    <row r="528">
      <c r="E528" t="str">
        <v>e</v>
      </c>
      <c r="G528">
        <v>5</v>
      </c>
      <c r="J528">
        <v>3.6</v>
      </c>
      <c r="K528">
        <v>1</v>
      </c>
      <c r="L528">
        <f>G528*J528*K528</f>
        <v>18</v>
      </c>
    </row>
    <row r="529">
      <c r="G529">
        <v>5</v>
      </c>
      <c r="J529">
        <v>3.6</v>
      </c>
      <c r="K529">
        <v>1</v>
      </c>
      <c r="L529">
        <f>G529*J529*K529</f>
        <v>18</v>
      </c>
    </row>
    <row r="530">
      <c r="G530">
        <v>2</v>
      </c>
      <c r="J530">
        <v>3.6</v>
      </c>
      <c r="K530">
        <v>1</v>
      </c>
      <c r="L530">
        <f>G530*J530*K530</f>
        <v>7.2</v>
      </c>
    </row>
    <row r="531">
      <c r="G531">
        <v>2</v>
      </c>
      <c r="J531">
        <v>3.6</v>
      </c>
      <c r="K531">
        <v>1</v>
      </c>
      <c r="L531">
        <f>G531*J531*K531</f>
        <v>7.2</v>
      </c>
    </row>
    <row r="532">
      <c r="E532" t="str">
        <v>f</v>
      </c>
      <c r="G532">
        <v>10</v>
      </c>
      <c r="J532">
        <v>3.6</v>
      </c>
      <c r="K532">
        <v>1</v>
      </c>
      <c r="L532">
        <f>G532*J532*K532</f>
        <v>36</v>
      </c>
    </row>
    <row r="533">
      <c r="E533">
        <v>0</v>
      </c>
      <c r="G533">
        <v>0.75</v>
      </c>
      <c r="J533">
        <v>3.6</v>
      </c>
      <c r="K533">
        <v>6</v>
      </c>
      <c r="L533">
        <f>G533*J533*K533</f>
        <v>16.200000000000003</v>
      </c>
    </row>
    <row r="534">
      <c r="E534">
        <v>1</v>
      </c>
      <c r="G534">
        <v>12</v>
      </c>
      <c r="J534">
        <v>3.6</v>
      </c>
      <c r="K534">
        <v>1</v>
      </c>
      <c r="L534">
        <f>G534*J534*K534</f>
        <v>43.2</v>
      </c>
    </row>
    <row r="535">
      <c r="G535">
        <v>12</v>
      </c>
      <c r="J535">
        <v>3.6</v>
      </c>
      <c r="K535">
        <v>1</v>
      </c>
      <c r="L535">
        <f>G535*J535*K535</f>
        <v>43.2</v>
      </c>
    </row>
    <row r="536">
      <c r="G536">
        <v>6</v>
      </c>
      <c r="J536">
        <v>3.6</v>
      </c>
      <c r="K536">
        <v>1</v>
      </c>
      <c r="L536">
        <f>G536*J536*K536</f>
        <v>21.6</v>
      </c>
    </row>
    <row r="537">
      <c r="G537">
        <v>4</v>
      </c>
      <c r="J537">
        <v>3.6</v>
      </c>
      <c r="K537">
        <v>1</v>
      </c>
      <c r="L537">
        <f>G537*J537*K537</f>
        <v>14.4</v>
      </c>
    </row>
    <row r="538">
      <c r="G538">
        <v>1.7</v>
      </c>
      <c r="J538">
        <v>3.6</v>
      </c>
      <c r="K538">
        <v>1</v>
      </c>
      <c r="L538">
        <f>G538*J538*K538</f>
        <v>6.12</v>
      </c>
    </row>
    <row r="539">
      <c r="E539">
        <v>2</v>
      </c>
      <c r="G539">
        <v>8.5</v>
      </c>
      <c r="J539">
        <v>3.6</v>
      </c>
      <c r="K539">
        <v>1</v>
      </c>
      <c r="L539">
        <f>G539*J539*K539</f>
        <v>30.6</v>
      </c>
    </row>
    <row r="540">
      <c r="G540">
        <v>4.58</v>
      </c>
      <c r="J540">
        <v>3.6</v>
      </c>
      <c r="K540">
        <v>1</v>
      </c>
      <c r="L540">
        <f>G540*J540*K540</f>
        <v>16.488</v>
      </c>
    </row>
    <row r="541">
      <c r="G541">
        <v>1</v>
      </c>
      <c r="J541">
        <v>3.6</v>
      </c>
      <c r="K541">
        <v>1</v>
      </c>
      <c r="L541">
        <f>G541*J541*K541</f>
        <v>3.6</v>
      </c>
    </row>
    <row r="542">
      <c r="E542">
        <v>3</v>
      </c>
      <c r="G542">
        <v>26</v>
      </c>
      <c r="J542">
        <v>3.6</v>
      </c>
      <c r="K542">
        <v>1</v>
      </c>
      <c r="L542">
        <f>G542*J542*K542</f>
        <v>93.60000000000001</v>
      </c>
    </row>
    <row r="543">
      <c r="G543">
        <v>2</v>
      </c>
      <c r="J543">
        <v>3.6</v>
      </c>
      <c r="K543">
        <v>1</v>
      </c>
      <c r="L543">
        <f>G543*J543*K543</f>
        <v>7.2</v>
      </c>
    </row>
    <row r="544">
      <c r="G544">
        <v>1.2</v>
      </c>
      <c r="J544">
        <v>3.6</v>
      </c>
      <c r="K544">
        <v>1</v>
      </c>
      <c r="L544">
        <f>G544*J544*K544</f>
        <v>4.32</v>
      </c>
    </row>
    <row r="545">
      <c r="E545">
        <v>4</v>
      </c>
      <c r="G545">
        <v>8.5</v>
      </c>
      <c r="J545">
        <v>3.6</v>
      </c>
      <c r="K545">
        <v>1</v>
      </c>
      <c r="L545">
        <f>G545*J545*K545</f>
        <v>30.6</v>
      </c>
    </row>
    <row r="546">
      <c r="G546">
        <v>8.5</v>
      </c>
      <c r="J546">
        <v>3.6</v>
      </c>
      <c r="K546">
        <v>1</v>
      </c>
      <c r="L546">
        <f>G546*J546*K546</f>
        <v>30.6</v>
      </c>
    </row>
    <row r="547">
      <c r="G547">
        <v>13</v>
      </c>
      <c r="J547">
        <v>3.6</v>
      </c>
      <c r="K547">
        <v>1</v>
      </c>
      <c r="L547">
        <f>G547*J547*K547</f>
        <v>46.800000000000004</v>
      </c>
    </row>
    <row r="548">
      <c r="L548">
        <f>SUM(L519:L547)</f>
        <v>604.728</v>
      </c>
    </row>
    <row r="549">
      <c r="D549" t="str">
        <v>dikurangi</v>
      </c>
    </row>
    <row r="550">
      <c r="E550" t="str">
        <v>P1A</v>
      </c>
      <c r="F550" t="str">
        <v>pintu</v>
      </c>
      <c r="G550">
        <v>1</v>
      </c>
      <c r="J550">
        <v>2.5</v>
      </c>
      <c r="K550">
        <v>9</v>
      </c>
      <c r="L550">
        <f>G550*J550*K550</f>
        <v>22.5</v>
      </c>
    </row>
    <row r="551">
      <c r="E551" t="str">
        <v>P1B</v>
      </c>
      <c r="G551">
        <v>0.8</v>
      </c>
      <c r="J551">
        <v>2.1</v>
      </c>
      <c r="K551">
        <v>6</v>
      </c>
      <c r="L551">
        <f>G551*J551*K551</f>
        <v>10.080000000000002</v>
      </c>
    </row>
    <row r="552">
      <c r="E552" t="str">
        <v>P2A</v>
      </c>
      <c r="G552">
        <v>1.9</v>
      </c>
      <c r="J552">
        <v>2.5</v>
      </c>
      <c r="K552">
        <v>2</v>
      </c>
      <c r="L552">
        <f>G552*J552*K552</f>
        <v>9.5</v>
      </c>
    </row>
    <row r="553">
      <c r="E553" t="str">
        <v>PJ1</v>
      </c>
      <c r="G553">
        <v>1.9</v>
      </c>
      <c r="J553">
        <v>2.5</v>
      </c>
      <c r="K553">
        <v>1</v>
      </c>
      <c r="L553">
        <f>K553*J553*G553</f>
        <v>4.75</v>
      </c>
    </row>
    <row r="554">
      <c r="G554">
        <v>0.65</v>
      </c>
      <c r="J554">
        <v>2.3</v>
      </c>
      <c r="K554">
        <v>1</v>
      </c>
      <c r="L554">
        <f>K554*J554*G554</f>
        <v>1.4949999999999999</v>
      </c>
    </row>
    <row r="555">
      <c r="E555" t="str">
        <v>J1A</v>
      </c>
      <c r="G555">
        <v>0.4</v>
      </c>
      <c r="J555">
        <v>0.62</v>
      </c>
      <c r="K555">
        <f>8*2</f>
        <v>16</v>
      </c>
      <c r="L555">
        <f>K555*J555*G555</f>
        <v>3.968</v>
      </c>
    </row>
    <row r="556">
      <c r="E556" t="str">
        <v>J2A</v>
      </c>
      <c r="G556">
        <v>1.6</v>
      </c>
      <c r="J556">
        <v>1.35</v>
      </c>
      <c r="K556">
        <v>10</v>
      </c>
      <c r="L556">
        <f>K556*J556*G556</f>
        <v>21.6</v>
      </c>
    </row>
    <row r="557">
      <c r="E557" t="str">
        <v>J3A</v>
      </c>
      <c r="G557">
        <v>1.6</v>
      </c>
      <c r="J557">
        <v>2</v>
      </c>
      <c r="K557">
        <v>4</v>
      </c>
      <c r="L557">
        <f>K557*J557*G557</f>
        <v>12.8</v>
      </c>
    </row>
    <row r="558">
      <c r="E558" t="str">
        <v>J4A</v>
      </c>
      <c r="G558">
        <v>1.6</v>
      </c>
      <c r="J558">
        <v>3.4</v>
      </c>
      <c r="K558">
        <v>4</v>
      </c>
      <c r="L558">
        <f>K558*J558*G558</f>
        <v>21.76</v>
      </c>
    </row>
    <row r="559">
      <c r="E559" t="str">
        <v>J5A</v>
      </c>
      <c r="G559">
        <v>1.9</v>
      </c>
      <c r="J559">
        <v>4.52</v>
      </c>
      <c r="K559">
        <v>1</v>
      </c>
      <c r="L559">
        <f>K559*J559*G559</f>
        <v>8.588</v>
      </c>
    </row>
    <row r="560">
      <c r="E560" t="str">
        <v>Pas 1:2</v>
      </c>
      <c r="G560">
        <f>L515</f>
        <v>32.25</v>
      </c>
      <c r="J560">
        <v>1</v>
      </c>
      <c r="K560">
        <v>1</v>
      </c>
      <c r="L560">
        <f>K560*J560*G560</f>
        <v>32.25</v>
      </c>
    </row>
    <row r="561">
      <c r="L561">
        <f>SUM(L550:L560)</f>
        <v>149.291</v>
      </c>
    </row>
    <row r="562">
      <c r="L562">
        <f>L548-L561</f>
        <v>455.43699999999995</v>
      </c>
      <c r="M562" t="str">
        <v>m2</v>
      </c>
      <c r="N562">
        <f>L562</f>
        <v>455.43699999999995</v>
      </c>
      <c r="O562">
        <v>966.09</v>
      </c>
    </row>
    <row r="564">
      <c r="A564">
        <f>A519+0.01</f>
        <v>1.03</v>
      </c>
      <c r="B564" t="str">
        <v>Dinding partisi double gypsum termasuk rangka</v>
      </c>
      <c r="G564">
        <v>5</v>
      </c>
      <c r="J564">
        <v>3</v>
      </c>
      <c r="K564">
        <v>2</v>
      </c>
      <c r="L564">
        <f>G564*J564*K564</f>
        <v>30</v>
      </c>
    </row>
    <row r="565">
      <c r="G565">
        <v>6</v>
      </c>
      <c r="J565">
        <v>3</v>
      </c>
      <c r="K565">
        <v>2</v>
      </c>
      <c r="L565">
        <f>G565*J565*K565</f>
        <v>36</v>
      </c>
    </row>
    <row r="566">
      <c r="G566">
        <v>3</v>
      </c>
      <c r="J566">
        <v>3</v>
      </c>
      <c r="K566">
        <v>1</v>
      </c>
      <c r="L566">
        <f>G566*J566*K566</f>
        <v>9</v>
      </c>
    </row>
    <row r="567">
      <c r="L567">
        <f>SUM(L564:L565)</f>
        <v>66</v>
      </c>
      <c r="M567" t="str">
        <v>m2</v>
      </c>
      <c r="N567">
        <f>L567</f>
        <v>66</v>
      </c>
    </row>
    <row r="569">
      <c r="A569">
        <f>A564+0.01</f>
        <v>1.04</v>
      </c>
      <c r="B569" t="str">
        <v>Dinding partisi  Toilet</v>
      </c>
      <c r="G569">
        <v>1.5</v>
      </c>
      <c r="H569">
        <v>2</v>
      </c>
      <c r="K569">
        <v>2</v>
      </c>
      <c r="L569">
        <f>G569*H569*K569</f>
        <v>6</v>
      </c>
      <c r="M569" t="str">
        <v>m2</v>
      </c>
      <c r="N569">
        <f>L569</f>
        <v>6</v>
      </c>
    </row>
    <row r="571">
      <c r="A571">
        <f>A569+0.01</f>
        <v>1.05</v>
      </c>
      <c r="B571" t="str">
        <v>Penebalan  plester</v>
      </c>
      <c r="E571" t="str">
        <v>dpn</v>
      </c>
      <c r="G571">
        <v>0.62</v>
      </c>
      <c r="J571">
        <v>4</v>
      </c>
      <c r="K571">
        <v>10</v>
      </c>
      <c r="L571">
        <f>G571*J571*K571</f>
        <v>24.8</v>
      </c>
    </row>
    <row r="572">
      <c r="G572">
        <v>0.815</v>
      </c>
      <c r="J572">
        <v>4</v>
      </c>
      <c r="K572">
        <v>2</v>
      </c>
      <c r="L572">
        <f>G572*J572*K572</f>
        <v>6.52</v>
      </c>
    </row>
    <row r="573">
      <c r="E573" t="str">
        <v>blk</v>
      </c>
      <c r="G573">
        <v>0.3</v>
      </c>
      <c r="J573">
        <v>4</v>
      </c>
      <c r="K573">
        <v>6</v>
      </c>
      <c r="L573">
        <f>G573*J573*K573</f>
        <v>7.199999999999999</v>
      </c>
    </row>
    <row r="574">
      <c r="G574">
        <v>0.54</v>
      </c>
      <c r="J574">
        <v>4</v>
      </c>
      <c r="K574">
        <v>4</v>
      </c>
      <c r="L574">
        <f>G574*J574*K574</f>
        <v>8.64</v>
      </c>
    </row>
    <row r="575">
      <c r="G575">
        <v>1.45</v>
      </c>
      <c r="J575">
        <v>4</v>
      </c>
      <c r="K575">
        <v>2</v>
      </c>
      <c r="L575">
        <f>G575*J575*K575</f>
        <v>11.6</v>
      </c>
    </row>
    <row r="576">
      <c r="G576">
        <v>0.62</v>
      </c>
      <c r="J576">
        <v>4</v>
      </c>
      <c r="K576">
        <v>2</v>
      </c>
      <c r="L576">
        <f>G576*J576*K576</f>
        <v>4.96</v>
      </c>
    </row>
    <row r="577">
      <c r="L577">
        <f>SUM(L571:L576)</f>
        <v>63.72</v>
      </c>
      <c r="M577" t="str">
        <v>m2</v>
      </c>
      <c r="N577">
        <f>L577</f>
        <v>63.72</v>
      </c>
    </row>
    <row r="582">
      <c r="A582">
        <f>A571+0.01</f>
        <v>1.06</v>
      </c>
      <c r="B582" t="str">
        <v>Plester aci ad 1:4</v>
      </c>
      <c r="E582">
        <v>1</v>
      </c>
      <c r="G582">
        <f>L562</f>
        <v>455.43699999999995</v>
      </c>
      <c r="K582">
        <v>2</v>
      </c>
      <c r="L582">
        <f>G582*K582</f>
        <v>910.8739999999999</v>
      </c>
    </row>
    <row r="583">
      <c r="G583">
        <v>3.2</v>
      </c>
      <c r="J583">
        <v>4</v>
      </c>
      <c r="K583">
        <v>2</v>
      </c>
      <c r="L583">
        <f>K583*J583*G583</f>
        <v>25.6</v>
      </c>
    </row>
    <row r="584">
      <c r="L584">
        <f>SUM(L582:L583)</f>
        <v>936.4739999999999</v>
      </c>
    </row>
    <row r="586">
      <c r="F586" t="str">
        <v>keramik</v>
      </c>
      <c r="G586">
        <f>L596</f>
        <v>50.10000000000001</v>
      </c>
      <c r="K586">
        <v>1</v>
      </c>
      <c r="L586">
        <f>G586*K586</f>
        <v>50.10000000000001</v>
      </c>
    </row>
    <row r="587">
      <c r="G587">
        <f>L599</f>
        <v>16</v>
      </c>
      <c r="K587">
        <v>1</v>
      </c>
      <c r="L587">
        <f>G587*K587</f>
        <v>16</v>
      </c>
    </row>
    <row r="588">
      <c r="L588">
        <f>SUM(L586:L587)</f>
        <v>66.10000000000001</v>
      </c>
    </row>
    <row r="590">
      <c r="L590">
        <f>L584-L588</f>
        <v>870.3739999999999</v>
      </c>
      <c r="M590" t="str">
        <v>m2</v>
      </c>
      <c r="N590">
        <f>L590</f>
        <v>870.3739999999999</v>
      </c>
    </row>
    <row r="593">
      <c r="A593">
        <f>A582+0.01</f>
        <v>1.07</v>
      </c>
      <c r="B593" t="str">
        <v>Keramik dinding 20x25</v>
      </c>
      <c r="E593" t="str">
        <v>pnntry</v>
      </c>
      <c r="G593">
        <v>8.3</v>
      </c>
      <c r="H593">
        <v>1.5</v>
      </c>
      <c r="K593">
        <v>1</v>
      </c>
      <c r="L593">
        <f>G593*H593*K593</f>
        <v>12.450000000000001</v>
      </c>
    </row>
    <row r="594">
      <c r="E594" t="str">
        <v>jani</v>
      </c>
      <c r="G594">
        <v>5</v>
      </c>
      <c r="H594">
        <v>1.5</v>
      </c>
      <c r="L594">
        <f>G594*H594*K594</f>
        <v>0</v>
      </c>
    </row>
    <row r="595">
      <c r="E595" t="str">
        <v>toilet</v>
      </c>
      <c r="G595">
        <f>5+5+4+2+1.2+4.4+3.5</f>
        <v>25.1</v>
      </c>
      <c r="H595">
        <v>1.5</v>
      </c>
      <c r="K595">
        <v>1</v>
      </c>
      <c r="L595">
        <f>G595*H595*K595</f>
        <v>37.650000000000006</v>
      </c>
    </row>
    <row r="596">
      <c r="L596">
        <f>SUM(L593:L595)</f>
        <v>50.10000000000001</v>
      </c>
      <c r="M596" t="str">
        <v>m2</v>
      </c>
      <c r="N596">
        <f>L596</f>
        <v>50.10000000000001</v>
      </c>
    </row>
    <row r="598">
      <c r="A598">
        <f>A593+0.01</f>
        <v>1.08</v>
      </c>
      <c r="B598" t="str">
        <v>Plester  mortar grip</v>
      </c>
      <c r="E598">
        <v>1</v>
      </c>
      <c r="G598">
        <v>1</v>
      </c>
      <c r="H598">
        <v>4</v>
      </c>
      <c r="K598">
        <v>4</v>
      </c>
      <c r="L598">
        <f>G598*H598*K598</f>
        <v>16</v>
      </c>
    </row>
    <row r="599">
      <c r="L599">
        <f>SUM(L598)</f>
        <v>16</v>
      </c>
      <c r="M599" t="str">
        <v>m</v>
      </c>
      <c r="N599">
        <f>L599</f>
        <v>16</v>
      </c>
    </row>
    <row r="602">
      <c r="B602" t="str">
        <v>Overstek</v>
      </c>
      <c r="E602">
        <v>1</v>
      </c>
      <c r="G602">
        <v>8</v>
      </c>
      <c r="K602">
        <v>1</v>
      </c>
      <c r="L602">
        <f>G602*K602</f>
        <v>8</v>
      </c>
    </row>
    <row r="603">
      <c r="E603">
        <v>2</v>
      </c>
      <c r="G603">
        <v>13</v>
      </c>
      <c r="K603">
        <v>1</v>
      </c>
      <c r="L603">
        <f>G603*K603</f>
        <v>13</v>
      </c>
    </row>
    <row r="604">
      <c r="E604">
        <v>3</v>
      </c>
      <c r="G604">
        <v>8</v>
      </c>
      <c r="K604">
        <v>1</v>
      </c>
      <c r="L604">
        <f>G604*K604</f>
        <v>8</v>
      </c>
    </row>
    <row r="605">
      <c r="G605">
        <v>8</v>
      </c>
      <c r="K605">
        <v>1</v>
      </c>
      <c r="L605">
        <f>G605*K605</f>
        <v>8</v>
      </c>
    </row>
    <row r="606">
      <c r="E606">
        <v>4</v>
      </c>
      <c r="G606">
        <v>8</v>
      </c>
      <c r="K606">
        <v>1</v>
      </c>
      <c r="L606">
        <f>G606*K606</f>
        <v>8</v>
      </c>
    </row>
    <row r="607">
      <c r="E607">
        <v>1</v>
      </c>
      <c r="G607">
        <v>0.8</v>
      </c>
      <c r="L607">
        <f>SUM(L602:L606)</f>
        <v>45</v>
      </c>
      <c r="M607" t="str">
        <v>m</v>
      </c>
      <c r="N607">
        <f>L607</f>
        <v>45</v>
      </c>
    </row>
    <row r="609">
      <c r="A609">
        <f>A598+1</f>
        <v>2.08</v>
      </c>
      <c r="B609" t="str">
        <v xml:space="preserve">Cat tembok </v>
      </c>
    </row>
    <row r="610">
      <c r="D610" t="str">
        <v>plester 1:2</v>
      </c>
      <c r="G610">
        <f>L590</f>
        <v>870.3739999999999</v>
      </c>
      <c r="K610">
        <v>1</v>
      </c>
      <c r="L610">
        <f>G610*K610</f>
        <v>870.3739999999999</v>
      </c>
    </row>
    <row r="611">
      <c r="L611">
        <f>L610</f>
        <v>870.3739999999999</v>
      </c>
      <c r="M611" t="str">
        <v>m2</v>
      </c>
      <c r="N611">
        <f>L611</f>
        <v>870.3739999999999</v>
      </c>
    </row>
    <row r="613">
      <c r="B613" t="str">
        <v>Dinding partisi double gypsum</v>
      </c>
      <c r="G613">
        <v>5</v>
      </c>
      <c r="J613">
        <v>3</v>
      </c>
      <c r="K613">
        <v>2</v>
      </c>
      <c r="L613">
        <f>G613*J613*K613</f>
        <v>30</v>
      </c>
    </row>
    <row r="614">
      <c r="G614">
        <v>6</v>
      </c>
      <c r="J614">
        <v>3</v>
      </c>
      <c r="K614">
        <v>2</v>
      </c>
      <c r="L614">
        <f>G614*J614*K614</f>
        <v>36</v>
      </c>
    </row>
    <row r="615">
      <c r="G615">
        <v>3</v>
      </c>
      <c r="J615">
        <v>3</v>
      </c>
      <c r="K615">
        <v>1</v>
      </c>
      <c r="L615">
        <f>G615*J615*K615</f>
        <v>9</v>
      </c>
    </row>
    <row r="616">
      <c r="L616">
        <f>SUM(L613:L614)</f>
        <v>66</v>
      </c>
      <c r="M616" t="str">
        <v>m2</v>
      </c>
      <c r="N616">
        <f>L616</f>
        <v>66</v>
      </c>
    </row>
    <row r="620">
      <c r="A620">
        <f>A509+1</f>
        <v>2</v>
      </c>
      <c r="B620" t="str">
        <v>PEKERJAAN KUSEN PINTU DAN JENDELA</v>
      </c>
    </row>
    <row r="621">
      <c r="A621">
        <f>A620+0.01</f>
        <v>2.01</v>
      </c>
      <c r="B621" t="str">
        <v>Kusen pintu P1 A</v>
      </c>
      <c r="L621">
        <v>9</v>
      </c>
      <c r="M621" t="str">
        <v>unit</v>
      </c>
      <c r="N621">
        <f>L621</f>
        <v>9</v>
      </c>
    </row>
    <row r="622">
      <c r="A622">
        <f>A621+0.01</f>
        <v>2.0199999999999996</v>
      </c>
      <c r="B622" t="str">
        <v>Kusen pintu P 1 B</v>
      </c>
      <c r="L622">
        <v>6</v>
      </c>
      <c r="M622" t="str">
        <v>unit</v>
      </c>
      <c r="N622">
        <f>L622</f>
        <v>6</v>
      </c>
    </row>
    <row r="623">
      <c r="A623">
        <f>A622+0.01</f>
        <v>2.0299999999999994</v>
      </c>
      <c r="B623" t="str">
        <v>Kusen pintu P 2 A</v>
      </c>
      <c r="L623">
        <v>2</v>
      </c>
      <c r="M623" t="str">
        <v>unit</v>
      </c>
      <c r="N623">
        <f>L623</f>
        <v>2</v>
      </c>
    </row>
    <row r="624">
      <c r="A624">
        <f>A623+0.01</f>
        <v>2.039999999999999</v>
      </c>
      <c r="B624" t="str">
        <v>Kusen pintu P J 1</v>
      </c>
      <c r="L624">
        <v>1</v>
      </c>
      <c r="M624" t="str">
        <v>unit</v>
      </c>
      <c r="N624">
        <f>L624</f>
        <v>1</v>
      </c>
    </row>
    <row r="625">
      <c r="A625">
        <f>A624+0.01</f>
        <v>2.049999999999999</v>
      </c>
      <c r="B625" t="str">
        <v>Kusen Pintu jendela J 1 A</v>
      </c>
      <c r="L625">
        <v>8</v>
      </c>
      <c r="M625" t="str">
        <v>unit</v>
      </c>
      <c r="N625">
        <f>L625</f>
        <v>8</v>
      </c>
    </row>
    <row r="626">
      <c r="A626">
        <f>A625+0.01</f>
        <v>2.0599999999999987</v>
      </c>
      <c r="B626" t="str">
        <v>Kusen Pintu jendela J 2 A</v>
      </c>
      <c r="L626">
        <v>10</v>
      </c>
      <c r="M626" t="str">
        <v>unit</v>
      </c>
      <c r="N626">
        <f>L626</f>
        <v>10</v>
      </c>
    </row>
    <row r="627">
      <c r="A627">
        <f>A626+0.01</f>
        <v>2.0699999999999985</v>
      </c>
      <c r="B627" t="str">
        <v>Kusen Pintu jendela J 3 A</v>
      </c>
      <c r="L627">
        <v>4</v>
      </c>
      <c r="M627" t="str">
        <v>unit</v>
      </c>
      <c r="N627">
        <f>L627</f>
        <v>4</v>
      </c>
    </row>
    <row r="628">
      <c r="A628">
        <f>A627+0.01</f>
        <v>2.0799999999999983</v>
      </c>
      <c r="B628" t="str">
        <v>Kusen Pintu jendela  J 4 A</v>
      </c>
      <c r="L628">
        <v>2</v>
      </c>
      <c r="M628" t="str">
        <v>unit</v>
      </c>
      <c r="N628">
        <f>L628</f>
        <v>2</v>
      </c>
    </row>
    <row r="629">
      <c r="A629">
        <f>A628+0.01</f>
        <v>2.089999999999998</v>
      </c>
      <c r="B629" t="str">
        <v>Kusen Pintu jendela  J 5 A</v>
      </c>
      <c r="L629">
        <v>1</v>
      </c>
      <c r="M629" t="str">
        <v>unit</v>
      </c>
      <c r="N629">
        <f>L629</f>
        <v>1</v>
      </c>
    </row>
    <row r="636">
      <c r="A636">
        <f>A620+1</f>
        <v>3</v>
      </c>
      <c r="B636" t="str">
        <v xml:space="preserve">PEKERJAAN LANTAI </v>
      </c>
    </row>
    <row r="637">
      <c r="A637">
        <f>A636+0.01</f>
        <v>3.01</v>
      </c>
      <c r="B637" t="str">
        <v>Lantai keramik 20 x20</v>
      </c>
      <c r="G637">
        <v>2</v>
      </c>
      <c r="H637">
        <v>5</v>
      </c>
      <c r="K637">
        <v>1</v>
      </c>
      <c r="L637">
        <f>G637*H637*K637</f>
        <v>10</v>
      </c>
    </row>
    <row r="638">
      <c r="G638">
        <v>2</v>
      </c>
      <c r="H638">
        <v>3.5</v>
      </c>
      <c r="K638">
        <v>1</v>
      </c>
      <c r="L638">
        <f>G638*H638*K638</f>
        <v>7</v>
      </c>
    </row>
    <row r="639">
      <c r="L639">
        <f>SUM(L637:L638)</f>
        <v>17</v>
      </c>
      <c r="M639" t="str">
        <v>m2</v>
      </c>
      <c r="N639">
        <f>L639</f>
        <v>17</v>
      </c>
    </row>
    <row r="641">
      <c r="A641">
        <f>A637+0.01</f>
        <v>3.0199999999999996</v>
      </c>
      <c r="B641" t="str">
        <v>Lantai  keramik  30x30</v>
      </c>
      <c r="G641">
        <v>14.5</v>
      </c>
      <c r="H641">
        <v>32</v>
      </c>
      <c r="K641">
        <v>1</v>
      </c>
      <c r="L641">
        <f>G641*H641*K641</f>
        <v>464</v>
      </c>
    </row>
    <row r="642">
      <c r="G642">
        <v>15</v>
      </c>
      <c r="H642">
        <v>1</v>
      </c>
      <c r="K642">
        <v>1</v>
      </c>
      <c r="L642">
        <f>G642*H642*K642</f>
        <v>15</v>
      </c>
    </row>
    <row r="643">
      <c r="G643">
        <v>6.7</v>
      </c>
      <c r="H643">
        <v>1.3</v>
      </c>
      <c r="K643">
        <v>1</v>
      </c>
      <c r="L643">
        <f>G643*H643*K643</f>
        <v>8.71</v>
      </c>
    </row>
    <row r="644">
      <c r="L644">
        <f>SUM(L641:L643)</f>
        <v>487.71</v>
      </c>
    </row>
    <row r="645">
      <c r="G645">
        <f>L639</f>
        <v>17</v>
      </c>
      <c r="K645">
        <v>1</v>
      </c>
      <c r="L645">
        <f>G645*K645</f>
        <v>17</v>
      </c>
    </row>
    <row r="646">
      <c r="L646">
        <f>L644-L645</f>
        <v>470.71</v>
      </c>
      <c r="M646" t="str">
        <v>m2</v>
      </c>
      <c r="N646">
        <f>L646</f>
        <v>470.71</v>
      </c>
    </row>
    <row r="648">
      <c r="B648" t="str">
        <v>Urugan pasir</v>
      </c>
      <c r="G648">
        <v>14.5</v>
      </c>
      <c r="H648">
        <v>32</v>
      </c>
      <c r="J648">
        <v>0.05</v>
      </c>
      <c r="K648">
        <v>1</v>
      </c>
      <c r="L648">
        <f>G648*H648*J648*K648</f>
        <v>23.200000000000003</v>
      </c>
    </row>
    <row r="649">
      <c r="G649">
        <v>15</v>
      </c>
      <c r="H649">
        <v>1</v>
      </c>
      <c r="J649">
        <v>0.05</v>
      </c>
      <c r="K649">
        <v>1</v>
      </c>
      <c r="L649">
        <f>G649*H649*J649*K649</f>
        <v>0.75</v>
      </c>
    </row>
    <row r="650">
      <c r="G650">
        <v>6.7</v>
      </c>
      <c r="H650">
        <v>1.3</v>
      </c>
      <c r="J650">
        <v>0.05</v>
      </c>
      <c r="K650">
        <v>1</v>
      </c>
      <c r="L650">
        <f>G650*H650*J650*K650</f>
        <v>0.43550000000000005</v>
      </c>
    </row>
    <row r="651">
      <c r="L651">
        <f>SUM(L648:L650)</f>
        <v>24.385500000000004</v>
      </c>
      <c r="M651" t="str">
        <v>m3</v>
      </c>
      <c r="N651">
        <f>L651</f>
        <v>24.385500000000004</v>
      </c>
    </row>
    <row r="653">
      <c r="B653" t="str">
        <v>Lantai kerja ad. 1:3:5 alas keramik, tebal 3 cm</v>
      </c>
      <c r="G653">
        <f>L644</f>
        <v>487.71</v>
      </c>
      <c r="J653">
        <v>0.03</v>
      </c>
      <c r="K653">
        <v>1</v>
      </c>
      <c r="L653">
        <f>G653*J653*K653</f>
        <v>14.6313</v>
      </c>
      <c r="M653" t="str">
        <v>m3</v>
      </c>
      <c r="N653">
        <f>L653</f>
        <v>14.6313</v>
      </c>
    </row>
    <row r="654">
      <c r="B654" t="str">
        <v>Plint keramik 10x30 ex Roman</v>
      </c>
      <c r="E654" t="str">
        <v>a</v>
      </c>
      <c r="G654">
        <v>10</v>
      </c>
      <c r="K654">
        <v>1</v>
      </c>
      <c r="L654">
        <f>G654*K654</f>
        <v>10</v>
      </c>
    </row>
    <row r="655">
      <c r="G655">
        <v>2</v>
      </c>
      <c r="K655">
        <v>2</v>
      </c>
      <c r="L655">
        <f>G655*K655</f>
        <v>4</v>
      </c>
    </row>
    <row r="656">
      <c r="E656" t="str">
        <v>b</v>
      </c>
      <c r="G656">
        <v>5</v>
      </c>
      <c r="K656">
        <v>2</v>
      </c>
      <c r="L656">
        <f>G656*K656</f>
        <v>10</v>
      </c>
    </row>
    <row r="657">
      <c r="G657">
        <v>1</v>
      </c>
      <c r="K657">
        <v>1</v>
      </c>
      <c r="L657">
        <f>G657*K657</f>
        <v>1</v>
      </c>
      <c r="N657" t="str">
        <v>partisi</v>
      </c>
    </row>
    <row r="658">
      <c r="G658">
        <v>1</v>
      </c>
      <c r="K658">
        <v>1</v>
      </c>
      <c r="L658">
        <f>G658*K658</f>
        <v>1</v>
      </c>
    </row>
    <row r="659">
      <c r="E659" t="str">
        <v>c</v>
      </c>
      <c r="G659">
        <v>1</v>
      </c>
      <c r="K659">
        <v>2</v>
      </c>
      <c r="L659">
        <f>G659*K659</f>
        <v>2</v>
      </c>
    </row>
    <row r="660">
      <c r="E660" t="str">
        <v>d</v>
      </c>
      <c r="G660">
        <v>6</v>
      </c>
      <c r="K660">
        <v>2</v>
      </c>
      <c r="L660">
        <f>G660*K660</f>
        <v>12</v>
      </c>
    </row>
    <row r="661">
      <c r="G661">
        <v>6</v>
      </c>
      <c r="K661">
        <v>2</v>
      </c>
      <c r="L661">
        <f>G661*K661</f>
        <v>12</v>
      </c>
      <c r="N661" t="str">
        <v>beton</v>
      </c>
    </row>
    <row r="662">
      <c r="G662">
        <v>1</v>
      </c>
      <c r="K662">
        <v>1</v>
      </c>
      <c r="L662">
        <f>G662*K662</f>
        <v>1</v>
      </c>
    </row>
    <row r="663">
      <c r="E663" t="str">
        <v>e</v>
      </c>
      <c r="G663">
        <v>5</v>
      </c>
      <c r="K663">
        <v>2</v>
      </c>
      <c r="L663">
        <f>G663*K663</f>
        <v>10</v>
      </c>
    </row>
    <row r="664">
      <c r="G664">
        <v>5</v>
      </c>
      <c r="K664">
        <v>2</v>
      </c>
      <c r="L664">
        <f>G664*K664</f>
        <v>10</v>
      </c>
      <c r="N664" t="str">
        <v>partisi</v>
      </c>
    </row>
    <row r="665">
      <c r="G665">
        <v>5</v>
      </c>
      <c r="K665">
        <v>1</v>
      </c>
      <c r="L665">
        <f>G665*K665</f>
        <v>5</v>
      </c>
    </row>
    <row r="666">
      <c r="G666">
        <v>2</v>
      </c>
      <c r="K666">
        <v>2</v>
      </c>
      <c r="L666">
        <f>G666*K666</f>
        <v>4</v>
      </c>
    </row>
    <row r="667">
      <c r="E667" t="str">
        <v>f</v>
      </c>
      <c r="G667">
        <v>5</v>
      </c>
      <c r="K667">
        <v>2</v>
      </c>
      <c r="L667">
        <f>G667*K667</f>
        <v>10</v>
      </c>
    </row>
    <row r="668">
      <c r="E668">
        <v>0</v>
      </c>
      <c r="G668">
        <v>3.5</v>
      </c>
      <c r="K668">
        <v>2</v>
      </c>
      <c r="L668">
        <f>G668*K668</f>
        <v>7</v>
      </c>
    </row>
    <row r="669">
      <c r="G669">
        <v>6</v>
      </c>
      <c r="K669">
        <v>2</v>
      </c>
      <c r="L669">
        <f>G669*K669</f>
        <v>12</v>
      </c>
    </row>
    <row r="670">
      <c r="E670">
        <v>1</v>
      </c>
      <c r="G670">
        <v>8.5</v>
      </c>
      <c r="K670">
        <v>2</v>
      </c>
      <c r="L670">
        <f>G670*K670</f>
        <v>17</v>
      </c>
    </row>
    <row r="671">
      <c r="G671">
        <v>6</v>
      </c>
      <c r="K671">
        <v>1</v>
      </c>
      <c r="L671">
        <f>G671*K671</f>
        <v>6</v>
      </c>
    </row>
    <row r="672">
      <c r="E672">
        <v>2</v>
      </c>
      <c r="G672">
        <v>8.5</v>
      </c>
      <c r="K672">
        <v>2</v>
      </c>
      <c r="L672">
        <f>G672*K672</f>
        <v>17</v>
      </c>
    </row>
    <row r="673">
      <c r="G673">
        <v>5</v>
      </c>
      <c r="K673">
        <v>2</v>
      </c>
      <c r="L673">
        <f>G673*K673</f>
        <v>10</v>
      </c>
    </row>
    <row r="674">
      <c r="E674">
        <v>3</v>
      </c>
      <c r="G674">
        <v>23</v>
      </c>
      <c r="K674">
        <v>2</v>
      </c>
      <c r="L674">
        <f>G674*K674</f>
        <v>46</v>
      </c>
    </row>
    <row r="675">
      <c r="E675">
        <v>4</v>
      </c>
      <c r="G675">
        <v>24</v>
      </c>
      <c r="K675">
        <v>1</v>
      </c>
      <c r="L675">
        <f>G675*K675</f>
        <v>24</v>
      </c>
    </row>
    <row r="676">
      <c r="L676">
        <f>SUM(L654:L675)</f>
        <v>231</v>
      </c>
    </row>
    <row r="677">
      <c r="E677" t="str">
        <v>P1</v>
      </c>
      <c r="F677" t="str">
        <v>pintu</v>
      </c>
      <c r="G677">
        <v>3</v>
      </c>
      <c r="K677">
        <v>2</v>
      </c>
      <c r="L677">
        <f>G677*K677</f>
        <v>6</v>
      </c>
    </row>
    <row r="678">
      <c r="E678" t="str">
        <v>P2</v>
      </c>
      <c r="G678">
        <v>1.8</v>
      </c>
      <c r="K678">
        <v>6</v>
      </c>
      <c r="L678">
        <f>G678*K678</f>
        <v>10.8</v>
      </c>
    </row>
    <row r="679">
      <c r="E679" t="str">
        <v>P3</v>
      </c>
      <c r="G679">
        <v>0.9</v>
      </c>
      <c r="K679">
        <v>20</v>
      </c>
      <c r="L679">
        <f>G679*K679</f>
        <v>18</v>
      </c>
    </row>
    <row r="680">
      <c r="L680">
        <f>SUM(L677:L679)</f>
        <v>34.8</v>
      </c>
    </row>
    <row r="681">
      <c r="L681">
        <f>L676-L680</f>
        <v>196.2</v>
      </c>
      <c r="M681" t="str">
        <v>m1</v>
      </c>
      <c r="N681">
        <f>L681</f>
        <v>196.2</v>
      </c>
    </row>
    <row r="683">
      <c r="A683">
        <f>A641+0.01</f>
        <v>3.0299999999999994</v>
      </c>
      <c r="B683" t="str">
        <v>Rolagh bata</v>
      </c>
      <c r="G683">
        <v>16.45</v>
      </c>
      <c r="K683">
        <v>2</v>
      </c>
      <c r="L683">
        <f>G683*K683</f>
        <v>32.9</v>
      </c>
    </row>
    <row r="684">
      <c r="G684">
        <v>32</v>
      </c>
      <c r="K684">
        <v>2</v>
      </c>
      <c r="L684">
        <f>G684*K684</f>
        <v>64</v>
      </c>
    </row>
    <row r="685">
      <c r="L685">
        <f>SUM(L683:L684)</f>
        <v>96.9</v>
      </c>
      <c r="M685" t="str">
        <v>m</v>
      </c>
      <c r="N685">
        <f>L685</f>
        <v>96.9</v>
      </c>
    </row>
    <row r="686">
      <c r="A686">
        <f>A636+1</f>
        <v>4</v>
      </c>
      <c r="B686" t="str">
        <v>PEKERJAAN PLAFOND</v>
      </c>
    </row>
    <row r="687">
      <c r="A687">
        <f>A686+0.01</f>
        <v>4.01</v>
      </c>
      <c r="B687" t="str">
        <v>Plafond calsi board + rangka hollow + cat</v>
      </c>
      <c r="G687">
        <v>5</v>
      </c>
      <c r="H687">
        <v>2</v>
      </c>
      <c r="K687">
        <v>1</v>
      </c>
      <c r="L687">
        <f>G687*H687</f>
        <v>10</v>
      </c>
    </row>
    <row r="688">
      <c r="G688">
        <v>3.5</v>
      </c>
      <c r="H688">
        <v>2</v>
      </c>
      <c r="K688">
        <v>1</v>
      </c>
      <c r="L688">
        <f>G688*H688</f>
        <v>7</v>
      </c>
    </row>
    <row r="689">
      <c r="L689">
        <f>SUM(L687:L688)</f>
        <v>17</v>
      </c>
      <c r="M689" t="str">
        <v>m2</v>
      </c>
      <c r="N689">
        <f>L689</f>
        <v>17</v>
      </c>
    </row>
    <row r="691">
      <c r="A691">
        <f>A687+0.01</f>
        <v>4.02</v>
      </c>
      <c r="B691" t="str">
        <v>Plafond gypsum board + rangka hollow + cat</v>
      </c>
      <c r="G691">
        <v>13.5</v>
      </c>
      <c r="H691">
        <v>1</v>
      </c>
      <c r="K691">
        <v>1</v>
      </c>
      <c r="L691">
        <f>G691*H691*K691</f>
        <v>13.5</v>
      </c>
    </row>
    <row r="692">
      <c r="G692">
        <v>12</v>
      </c>
      <c r="H692">
        <v>30</v>
      </c>
      <c r="K692">
        <v>1</v>
      </c>
      <c r="L692">
        <f>G692*H692*K692</f>
        <v>360</v>
      </c>
    </row>
    <row r="693">
      <c r="L693">
        <f>SUM(L691:L692)</f>
        <v>373.5</v>
      </c>
    </row>
    <row r="694">
      <c r="D694" t="str">
        <v>dikurangi</v>
      </c>
      <c r="E694" t="str">
        <v>calsi</v>
      </c>
      <c r="G694">
        <f>L689</f>
        <v>17</v>
      </c>
      <c r="H694">
        <v>1</v>
      </c>
      <c r="K694">
        <v>1</v>
      </c>
      <c r="L694">
        <f>G694*H694*K694</f>
        <v>17</v>
      </c>
    </row>
    <row r="695">
      <c r="E695" t="str">
        <v>btn</v>
      </c>
      <c r="G695">
        <v>6</v>
      </c>
      <c r="H695">
        <v>1</v>
      </c>
      <c r="K695">
        <v>1</v>
      </c>
      <c r="L695">
        <f>G695*H695*K695</f>
        <v>6</v>
      </c>
    </row>
    <row r="696">
      <c r="E696" t="str">
        <v>btn</v>
      </c>
      <c r="G696">
        <v>2</v>
      </c>
      <c r="H696">
        <v>0.9</v>
      </c>
      <c r="K696">
        <v>2</v>
      </c>
      <c r="L696">
        <f>G696*H696*K696</f>
        <v>3.6</v>
      </c>
    </row>
    <row r="697">
      <c r="E697" t="str">
        <v>tngg</v>
      </c>
      <c r="G697">
        <v>6</v>
      </c>
      <c r="H697">
        <v>3.5</v>
      </c>
      <c r="K697">
        <v>1</v>
      </c>
      <c r="L697">
        <f>G697*H697*K697</f>
        <v>21</v>
      </c>
    </row>
    <row r="698">
      <c r="L698">
        <f>SUM(L694:L697)</f>
        <v>47.6</v>
      </c>
    </row>
    <row r="699">
      <c r="L699">
        <f>L693-L698</f>
        <v>325.9</v>
      </c>
      <c r="M699" t="str">
        <v>m2</v>
      </c>
      <c r="N699">
        <f>L699</f>
        <v>325.9</v>
      </c>
    </row>
    <row r="700">
      <c r="A700">
        <f>A691+0.01</f>
        <v>4.029999999999999</v>
      </c>
      <c r="B700" t="str">
        <v>Canopy</v>
      </c>
      <c r="G700">
        <v>6</v>
      </c>
      <c r="H700">
        <v>6</v>
      </c>
      <c r="K700">
        <v>1</v>
      </c>
      <c r="L700">
        <f>G700*H700*K700</f>
        <v>36</v>
      </c>
      <c r="M700" t="str">
        <v>m2</v>
      </c>
      <c r="N700">
        <f>L700</f>
        <v>36</v>
      </c>
    </row>
    <row r="701">
      <c r="A701">
        <f>A686+1</f>
        <v>5</v>
      </c>
      <c r="B701" t="str">
        <v>PEKERJAAN TANGGA</v>
      </c>
    </row>
    <row r="702">
      <c r="A702">
        <f>A701+0.01</f>
        <v>5.01</v>
      </c>
      <c r="B702" t="str">
        <v>Keramik tangga</v>
      </c>
      <c r="G702">
        <v>3.5</v>
      </c>
      <c r="H702">
        <v>6</v>
      </c>
      <c r="K702">
        <v>1</v>
      </c>
      <c r="L702">
        <f>G702*H702*K702</f>
        <v>21</v>
      </c>
    </row>
    <row r="703">
      <c r="G703">
        <v>1.7</v>
      </c>
      <c r="H703">
        <v>0.15</v>
      </c>
      <c r="K703">
        <v>22</v>
      </c>
      <c r="L703">
        <f>G703*H703*K703</f>
        <v>5.61</v>
      </c>
    </row>
    <row r="704">
      <c r="L704">
        <f>SUM(L702:L703)</f>
        <v>26.61</v>
      </c>
      <c r="M704" t="str">
        <v>m2</v>
      </c>
      <c r="N704">
        <f>L704</f>
        <v>26.61</v>
      </c>
    </row>
    <row r="706">
      <c r="A706">
        <f>A702+0.01</f>
        <v>5.02</v>
      </c>
      <c r="B706" t="str">
        <v>Railing</v>
      </c>
      <c r="G706">
        <v>4</v>
      </c>
      <c r="K706">
        <v>2</v>
      </c>
      <c r="L706">
        <f>G706*K706</f>
        <v>8</v>
      </c>
    </row>
    <row r="707">
      <c r="G707">
        <v>2</v>
      </c>
      <c r="K707">
        <v>1</v>
      </c>
      <c r="L707">
        <f>G707*K707</f>
        <v>2</v>
      </c>
    </row>
    <row r="708">
      <c r="L708">
        <f>SUM(L706:L707)</f>
        <v>10</v>
      </c>
      <c r="M708" t="str">
        <v>m</v>
      </c>
      <c r="N708">
        <f>L708</f>
        <v>10</v>
      </c>
    </row>
    <row r="709">
      <c r="A709">
        <f>A706+0.01</f>
        <v>5.029999999999999</v>
      </c>
      <c r="B709" t="str">
        <v>Pengecatan</v>
      </c>
      <c r="G709">
        <v>3.5</v>
      </c>
      <c r="H709">
        <v>7.5</v>
      </c>
      <c r="K709">
        <v>1</v>
      </c>
      <c r="L709">
        <f>G709*H709*K709</f>
        <v>26.25</v>
      </c>
      <c r="M709" t="str">
        <v>m2</v>
      </c>
      <c r="N709">
        <f>L709</f>
        <v>26.25</v>
      </c>
    </row>
    <row r="714">
      <c r="A714">
        <f>A701+1</f>
        <v>6</v>
      </c>
      <c r="B714" t="str">
        <v>PEKERJAAN SANITASI</v>
      </c>
    </row>
    <row r="715">
      <c r="A715">
        <f>A714+0.01</f>
        <v>6.01</v>
      </c>
      <c r="B715" t="str">
        <v>Closed jongkok CE - 7 ex Toto</v>
      </c>
      <c r="L715">
        <v>4</v>
      </c>
      <c r="M715" t="str">
        <v>unit</v>
      </c>
      <c r="N715">
        <f>L715</f>
        <v>4</v>
      </c>
    </row>
    <row r="716">
      <c r="A716">
        <f>A715+0.01</f>
        <v>6.02</v>
      </c>
      <c r="B716" t="str">
        <v>Urinoir  U 57 M termasuk accesoriesnya</v>
      </c>
      <c r="L716">
        <v>2</v>
      </c>
      <c r="M716" t="str">
        <v>umit</v>
      </c>
      <c r="N716">
        <f>L716</f>
        <v>2</v>
      </c>
    </row>
    <row r="717">
      <c r="B717" t="str">
        <v>Wastafel</v>
      </c>
      <c r="L717">
        <v>2</v>
      </c>
      <c r="M717" t="str">
        <v>unit</v>
      </c>
      <c r="N717">
        <f>L717</f>
        <v>2</v>
      </c>
    </row>
    <row r="718">
      <c r="A718">
        <f>A716+0.01</f>
        <v>6.029999999999999</v>
      </c>
      <c r="B718" t="str">
        <v>Floor drain  TX 1BN</v>
      </c>
      <c r="L718">
        <v>7</v>
      </c>
      <c r="M718" t="str">
        <v>bh</v>
      </c>
      <c r="N718">
        <f>L718</f>
        <v>7</v>
      </c>
    </row>
    <row r="719">
      <c r="A719">
        <f>A718+0.01</f>
        <v>6.039999999999999</v>
      </c>
      <c r="B719" t="str">
        <v>Kran dinding T 23 B 13</v>
      </c>
      <c r="L719">
        <v>4</v>
      </c>
      <c r="M719" t="str">
        <v>bh</v>
      </c>
      <c r="N719">
        <f>L719</f>
        <v>4</v>
      </c>
    </row>
    <row r="720">
      <c r="A720">
        <f>A719+0.01</f>
        <v>6.049999999999999</v>
      </c>
      <c r="B720" t="str">
        <v>Meja Pantry</v>
      </c>
      <c r="L720">
        <v>1</v>
      </c>
      <c r="M720" t="str">
        <v>unit</v>
      </c>
      <c r="N720">
        <f>L720</f>
        <v>1</v>
      </c>
    </row>
    <row r="721">
      <c r="A721">
        <f>A720+0.01</f>
        <v>6.059999999999999</v>
      </c>
      <c r="B721" t="str">
        <v>Septictank</v>
      </c>
      <c r="L721">
        <v>2</v>
      </c>
      <c r="M721" t="str">
        <v>unit</v>
      </c>
      <c r="N721">
        <f>+L721</f>
        <v>2</v>
      </c>
    </row>
    <row r="722">
      <c r="A722">
        <f>A721+0.01</f>
        <v>6.0699999999999985</v>
      </c>
      <c r="B722" t="str">
        <v>Rembesan</v>
      </c>
      <c r="L722">
        <v>2</v>
      </c>
      <c r="M722" t="str">
        <v>unit</v>
      </c>
      <c r="N722">
        <f>+L722</f>
        <v>2</v>
      </c>
    </row>
    <row r="726">
      <c r="B726" t="str">
        <v>LANTAI DUA</v>
      </c>
    </row>
    <row r="727">
      <c r="A727">
        <v>1</v>
      </c>
      <c r="B727" t="str">
        <v>PEKERJAAN DINDING</v>
      </c>
    </row>
    <row r="728">
      <c r="A728">
        <f>A727+0.01</f>
        <v>1.01</v>
      </c>
      <c r="B728" t="str">
        <v>Pasangan 1/2 batu bata ad 1:2</v>
      </c>
      <c r="F728" t="str">
        <v>toilet camat</v>
      </c>
      <c r="G728">
        <v>1.5</v>
      </c>
      <c r="H728">
        <v>1.5</v>
      </c>
      <c r="K728">
        <v>3</v>
      </c>
      <c r="L728">
        <f>G728*H728*K728</f>
        <v>6.75</v>
      </c>
    </row>
    <row r="729">
      <c r="G729">
        <v>2</v>
      </c>
      <c r="H729">
        <v>1.5</v>
      </c>
      <c r="K729">
        <v>2</v>
      </c>
      <c r="L729">
        <f>G729*H729*K729</f>
        <v>6</v>
      </c>
    </row>
    <row r="730">
      <c r="G730">
        <v>1.1</v>
      </c>
      <c r="H730">
        <v>1.5</v>
      </c>
      <c r="K730">
        <v>2</v>
      </c>
      <c r="L730">
        <f>G730*H730*K730</f>
        <v>3.3000000000000003</v>
      </c>
    </row>
    <row r="731">
      <c r="F731" t="str">
        <v>toilet kar</v>
      </c>
      <c r="G731">
        <v>5</v>
      </c>
      <c r="H731">
        <v>1.5</v>
      </c>
      <c r="K731">
        <v>2</v>
      </c>
      <c r="L731">
        <f>G731*H731*K731</f>
        <v>15</v>
      </c>
    </row>
    <row r="732">
      <c r="G732">
        <v>3</v>
      </c>
      <c r="H732">
        <v>1.5</v>
      </c>
      <c r="K732">
        <v>1</v>
      </c>
      <c r="L732">
        <f>G732*H732*K732</f>
        <v>4.5</v>
      </c>
    </row>
    <row r="733">
      <c r="G733">
        <v>1.2</v>
      </c>
      <c r="H733">
        <v>1.5</v>
      </c>
      <c r="K733">
        <v>1</v>
      </c>
      <c r="L733">
        <f>G733*H733*K733</f>
        <v>1.7999999999999998</v>
      </c>
    </row>
    <row r="734">
      <c r="G734">
        <v>1.5</v>
      </c>
      <c r="H734">
        <v>1.5</v>
      </c>
      <c r="K734">
        <v>1</v>
      </c>
      <c r="L734">
        <f>G734*H734*K734</f>
        <v>2.25</v>
      </c>
    </row>
    <row r="735">
      <c r="G735">
        <v>2.5</v>
      </c>
      <c r="H735">
        <v>1.5</v>
      </c>
      <c r="K735">
        <v>1</v>
      </c>
      <c r="L735">
        <f>G735*H735*K735</f>
        <v>3.75</v>
      </c>
    </row>
    <row r="736">
      <c r="G736">
        <v>2.5</v>
      </c>
      <c r="H736">
        <v>0.5</v>
      </c>
      <c r="K736">
        <v>2</v>
      </c>
      <c r="L736">
        <f>G736*H736*K736</f>
        <v>2.5</v>
      </c>
    </row>
    <row r="737">
      <c r="G737">
        <v>1</v>
      </c>
      <c r="H737">
        <v>1.5</v>
      </c>
      <c r="K737">
        <v>1</v>
      </c>
      <c r="L737">
        <f>G737*H737*K737</f>
        <v>1.5</v>
      </c>
    </row>
    <row r="738">
      <c r="L738">
        <f>SUM(L728:L737)</f>
        <v>47.349999999999994</v>
      </c>
      <c r="M738" t="str">
        <v>m2</v>
      </c>
      <c r="N738">
        <f>L738</f>
        <v>47.349999999999994</v>
      </c>
    </row>
    <row r="739">
      <c r="G739">
        <v>1.5</v>
      </c>
      <c r="H739">
        <v>0.83</v>
      </c>
      <c r="K739">
        <v>2</v>
      </c>
      <c r="L739">
        <f>G739*H739*K739</f>
        <v>2.4899999999999998</v>
      </c>
    </row>
    <row r="740">
      <c r="L740">
        <f>SUM(L738:L739)</f>
        <v>49.839999999999996</v>
      </c>
      <c r="M740" t="str">
        <v>m2</v>
      </c>
      <c r="N740">
        <f>L740</f>
        <v>49.839999999999996</v>
      </c>
    </row>
    <row r="742">
      <c r="A742">
        <f>A728+0.01</f>
        <v>1.02</v>
      </c>
      <c r="B742" t="str">
        <v>Pasangan 1/2 batu bata ad 1:4</v>
      </c>
      <c r="E742" t="str">
        <v>a</v>
      </c>
      <c r="G742">
        <v>5</v>
      </c>
      <c r="J742">
        <v>4</v>
      </c>
      <c r="K742">
        <v>2</v>
      </c>
      <c r="L742">
        <f>G742*J742*K742</f>
        <v>40</v>
      </c>
    </row>
    <row r="743">
      <c r="G743">
        <v>2</v>
      </c>
      <c r="J743">
        <v>4</v>
      </c>
      <c r="K743">
        <v>1</v>
      </c>
      <c r="L743">
        <f>G743*J743*K743</f>
        <v>8</v>
      </c>
    </row>
    <row r="744">
      <c r="G744">
        <v>1.5</v>
      </c>
      <c r="J744">
        <v>4</v>
      </c>
      <c r="K744">
        <v>1</v>
      </c>
      <c r="L744">
        <f>G744*J744*K744</f>
        <v>6</v>
      </c>
    </row>
    <row r="745">
      <c r="G745">
        <v>1.5</v>
      </c>
      <c r="J745">
        <v>4</v>
      </c>
      <c r="K745">
        <v>1</v>
      </c>
      <c r="L745">
        <f>G745*J745*K745</f>
        <v>6</v>
      </c>
    </row>
    <row r="746">
      <c r="E746" t="str">
        <v>b</v>
      </c>
      <c r="G746">
        <v>1</v>
      </c>
      <c r="J746">
        <v>5</v>
      </c>
      <c r="K746">
        <v>2</v>
      </c>
      <c r="L746">
        <f>G746*J746*K746</f>
        <v>10</v>
      </c>
    </row>
    <row r="747">
      <c r="E747" t="str">
        <v>c</v>
      </c>
      <c r="G747">
        <v>7</v>
      </c>
      <c r="J747">
        <v>5</v>
      </c>
      <c r="K747">
        <v>1</v>
      </c>
      <c r="L747">
        <f>G747*J747*K747</f>
        <v>35</v>
      </c>
    </row>
    <row r="748">
      <c r="G748">
        <v>5</v>
      </c>
      <c r="J748">
        <v>5</v>
      </c>
      <c r="K748">
        <v>1</v>
      </c>
      <c r="L748">
        <f>G748*J748*K748</f>
        <v>25</v>
      </c>
    </row>
    <row r="749">
      <c r="E749" t="str">
        <v>d</v>
      </c>
      <c r="G749">
        <v>7</v>
      </c>
      <c r="J749">
        <v>5</v>
      </c>
      <c r="K749">
        <v>1</v>
      </c>
      <c r="L749">
        <f>G749*J749*K749</f>
        <v>35</v>
      </c>
    </row>
    <row r="750">
      <c r="G750">
        <v>5</v>
      </c>
      <c r="J750">
        <v>4</v>
      </c>
      <c r="K750">
        <v>1</v>
      </c>
      <c r="L750">
        <f>G750*J750*K750</f>
        <v>20</v>
      </c>
    </row>
    <row r="751">
      <c r="G751">
        <v>6</v>
      </c>
      <c r="J751">
        <v>4</v>
      </c>
      <c r="K751">
        <v>1</v>
      </c>
      <c r="L751">
        <f>G751*J751*K751</f>
        <v>24</v>
      </c>
    </row>
    <row r="752">
      <c r="G752">
        <v>1</v>
      </c>
      <c r="J752">
        <v>5</v>
      </c>
      <c r="K752">
        <v>1</v>
      </c>
      <c r="L752">
        <f>G752*J752*K752</f>
        <v>5</v>
      </c>
    </row>
    <row r="753">
      <c r="E753" t="str">
        <v>e</v>
      </c>
      <c r="G753">
        <v>5</v>
      </c>
      <c r="J753">
        <v>4</v>
      </c>
      <c r="K753">
        <v>1</v>
      </c>
      <c r="L753">
        <f>G753*J753*K753</f>
        <v>20</v>
      </c>
    </row>
    <row r="754">
      <c r="G754">
        <v>1.5</v>
      </c>
      <c r="J754">
        <v>4</v>
      </c>
      <c r="K754">
        <v>1</v>
      </c>
      <c r="L754">
        <f>G754*J754*K754</f>
        <v>6</v>
      </c>
    </row>
    <row r="755">
      <c r="G755">
        <v>2</v>
      </c>
      <c r="J755">
        <v>4</v>
      </c>
      <c r="K755">
        <v>1</v>
      </c>
      <c r="L755">
        <f>G755*J755*K755</f>
        <v>8</v>
      </c>
    </row>
    <row r="756">
      <c r="E756" t="str">
        <v>f</v>
      </c>
      <c r="G756">
        <v>5</v>
      </c>
      <c r="J756">
        <v>4</v>
      </c>
      <c r="K756">
        <v>2</v>
      </c>
      <c r="L756">
        <f>G756*J756*K756</f>
        <v>40</v>
      </c>
    </row>
    <row r="757">
      <c r="E757">
        <v>0</v>
      </c>
      <c r="G757">
        <v>6</v>
      </c>
      <c r="J757">
        <v>5</v>
      </c>
      <c r="K757">
        <v>1</v>
      </c>
      <c r="L757">
        <f>G757*J757*K757</f>
        <v>30</v>
      </c>
    </row>
    <row r="758">
      <c r="G758">
        <v>3.5</v>
      </c>
      <c r="J758">
        <v>5</v>
      </c>
      <c r="K758">
        <v>2</v>
      </c>
      <c r="L758">
        <f>G758*J758*K758</f>
        <v>35</v>
      </c>
    </row>
    <row r="759">
      <c r="E759">
        <v>1</v>
      </c>
      <c r="G759">
        <v>8.5</v>
      </c>
      <c r="J759">
        <v>4</v>
      </c>
      <c r="K759">
        <v>2</v>
      </c>
      <c r="L759">
        <f>G759*J759*K759</f>
        <v>68</v>
      </c>
    </row>
    <row r="760">
      <c r="E760">
        <v>2</v>
      </c>
      <c r="G760">
        <v>18</v>
      </c>
      <c r="J760">
        <v>4</v>
      </c>
      <c r="K760">
        <v>1</v>
      </c>
      <c r="L760">
        <f>G760*J760*K760</f>
        <v>72</v>
      </c>
    </row>
    <row r="761">
      <c r="G761">
        <v>8.5</v>
      </c>
      <c r="J761">
        <v>5</v>
      </c>
      <c r="K761">
        <v>1</v>
      </c>
      <c r="L761">
        <f>G761*J761*K761</f>
        <v>42.5</v>
      </c>
    </row>
    <row r="762">
      <c r="E762">
        <v>3</v>
      </c>
      <c r="G762">
        <v>12</v>
      </c>
      <c r="J762">
        <v>4</v>
      </c>
      <c r="K762">
        <v>1</v>
      </c>
      <c r="L762">
        <f>G762*J762*K762</f>
        <v>48</v>
      </c>
    </row>
    <row r="763">
      <c r="G763">
        <v>9</v>
      </c>
      <c r="J763">
        <v>5</v>
      </c>
      <c r="K763">
        <v>2</v>
      </c>
      <c r="L763">
        <f>G763*J763*K763</f>
        <v>90</v>
      </c>
    </row>
    <row r="764">
      <c r="G764">
        <v>0.5</v>
      </c>
      <c r="J764">
        <v>6</v>
      </c>
      <c r="K764">
        <v>1</v>
      </c>
      <c r="L764">
        <f>G764*J764*K764</f>
        <v>3</v>
      </c>
    </row>
    <row r="765">
      <c r="E765">
        <v>4</v>
      </c>
      <c r="G765">
        <v>8.5</v>
      </c>
      <c r="J765">
        <v>4</v>
      </c>
      <c r="K765">
        <v>2</v>
      </c>
      <c r="L765">
        <f>G765*J765*K765</f>
        <v>68</v>
      </c>
    </row>
    <row r="766">
      <c r="G766">
        <v>13</v>
      </c>
      <c r="J766">
        <v>5</v>
      </c>
      <c r="K766">
        <v>1</v>
      </c>
      <c r="L766">
        <f>G766*J766*K766</f>
        <v>65</v>
      </c>
    </row>
    <row r="767">
      <c r="D767" t="str">
        <v>dikurangi</v>
      </c>
      <c r="L767">
        <f>SUM(L742:L766)</f>
        <v>809.5</v>
      </c>
    </row>
    <row r="769">
      <c r="E769" t="str">
        <v>P1A</v>
      </c>
      <c r="G769">
        <v>1</v>
      </c>
      <c r="J769">
        <v>2.5</v>
      </c>
      <c r="K769">
        <v>9</v>
      </c>
      <c r="L769">
        <f>G769*J769*K769</f>
        <v>22.5</v>
      </c>
    </row>
    <row r="770">
      <c r="E770" t="str">
        <v>P1b</v>
      </c>
      <c r="G770">
        <v>0.8</v>
      </c>
      <c r="J770">
        <v>2.1</v>
      </c>
      <c r="K770">
        <v>4</v>
      </c>
      <c r="L770">
        <f>G770*J770*K770</f>
        <v>6.720000000000001</v>
      </c>
    </row>
    <row r="771">
      <c r="E771" t="str">
        <v>P2A</v>
      </c>
      <c r="G771">
        <v>1.9</v>
      </c>
      <c r="J771">
        <v>2.5</v>
      </c>
      <c r="K771">
        <v>1</v>
      </c>
      <c r="L771">
        <f>K771*J771*G771</f>
        <v>4.75</v>
      </c>
    </row>
    <row r="772">
      <c r="E772" t="str">
        <v>J1A</v>
      </c>
      <c r="G772">
        <v>0.4</v>
      </c>
      <c r="J772">
        <v>0.62</v>
      </c>
      <c r="K772">
        <f>6*2</f>
        <v>12</v>
      </c>
      <c r="L772">
        <f>K772*J772*G772</f>
        <v>2.976</v>
      </c>
    </row>
    <row r="773">
      <c r="E773" t="str">
        <v>J1C</v>
      </c>
      <c r="G773">
        <v>0.62</v>
      </c>
      <c r="J773">
        <v>1.6</v>
      </c>
      <c r="K773">
        <v>2</v>
      </c>
      <c r="L773">
        <f>K773*J773*G773</f>
        <v>1.984</v>
      </c>
    </row>
    <row r="774">
      <c r="E774" t="str">
        <v>J2B</v>
      </c>
      <c r="G774">
        <v>1.35</v>
      </c>
      <c r="J774">
        <v>1.6</v>
      </c>
      <c r="K774">
        <v>12</v>
      </c>
      <c r="L774">
        <f>K774*J774*G774</f>
        <v>25.920000000000005</v>
      </c>
    </row>
    <row r="775">
      <c r="E775" t="str">
        <v>J3A</v>
      </c>
      <c r="G775">
        <v>2</v>
      </c>
      <c r="J775">
        <v>1.6</v>
      </c>
      <c r="K775">
        <v>2</v>
      </c>
      <c r="L775">
        <f>K775*J775*G775</f>
        <v>6.4</v>
      </c>
    </row>
    <row r="776">
      <c r="E776" t="str">
        <v>J3B</v>
      </c>
      <c r="G776">
        <v>2</v>
      </c>
      <c r="J776">
        <v>1.9</v>
      </c>
      <c r="K776">
        <v>2</v>
      </c>
      <c r="L776">
        <f>K776*J776*G776</f>
        <v>7.6</v>
      </c>
    </row>
    <row r="777">
      <c r="E777" t="str">
        <v>J5A</v>
      </c>
      <c r="G777">
        <v>4.52</v>
      </c>
      <c r="J777">
        <v>1.9</v>
      </c>
      <c r="K777">
        <v>2</v>
      </c>
      <c r="L777">
        <f>K777*J777*G777</f>
        <v>17.176</v>
      </c>
    </row>
    <row r="778">
      <c r="E778" t="str">
        <v>Pas 1:2</v>
      </c>
      <c r="G778">
        <f>L738</f>
        <v>47.349999999999994</v>
      </c>
      <c r="J778">
        <v>1</v>
      </c>
      <c r="K778">
        <v>1</v>
      </c>
      <c r="L778">
        <f>K778*J778*G778</f>
        <v>47.349999999999994</v>
      </c>
    </row>
    <row r="779">
      <c r="L779">
        <f>SUM(L769:L778)</f>
        <v>143.376</v>
      </c>
    </row>
    <row r="780">
      <c r="L780">
        <f>L767-L779</f>
        <v>666.124</v>
      </c>
      <c r="M780" t="str">
        <v>m2</v>
      </c>
      <c r="N780">
        <f>L780</f>
        <v>666.124</v>
      </c>
    </row>
    <row r="782">
      <c r="A782">
        <f>A742+0.01</f>
        <v>1.03</v>
      </c>
      <c r="B782" t="str">
        <v>Dinding partisi double gypsum termasuk rangka</v>
      </c>
      <c r="G782">
        <v>5</v>
      </c>
      <c r="J782">
        <v>3.4</v>
      </c>
      <c r="K782">
        <v>3</v>
      </c>
      <c r="L782">
        <f>G782*J782*K782</f>
        <v>51</v>
      </c>
    </row>
    <row r="783">
      <c r="G783">
        <v>3.5</v>
      </c>
      <c r="J783">
        <v>3.4</v>
      </c>
      <c r="K783">
        <v>1</v>
      </c>
      <c r="L783">
        <f>G783*J783*K783</f>
        <v>11.9</v>
      </c>
    </row>
    <row r="784">
      <c r="L784">
        <f>SUM(L782:L783)</f>
        <v>62.9</v>
      </c>
      <c r="M784" t="str">
        <v>m2</v>
      </c>
      <c r="N784">
        <f>L784</f>
        <v>62.9</v>
      </c>
    </row>
    <row r="786">
      <c r="A786">
        <f>A782+0.01</f>
        <v>1.04</v>
      </c>
      <c r="B786" t="str">
        <v>Penebalan  Plester</v>
      </c>
      <c r="E786" t="str">
        <v>dpn</v>
      </c>
      <c r="G786">
        <v>0.62</v>
      </c>
      <c r="J786">
        <v>4</v>
      </c>
      <c r="K786">
        <v>10</v>
      </c>
      <c r="L786">
        <f>G786*J786*K786</f>
        <v>24.8</v>
      </c>
    </row>
    <row r="787">
      <c r="G787">
        <v>0.815</v>
      </c>
      <c r="J787">
        <v>3.5</v>
      </c>
      <c r="K787">
        <v>2</v>
      </c>
      <c r="L787">
        <f>G787*J787*K787</f>
        <v>5.705</v>
      </c>
    </row>
    <row r="788">
      <c r="G788">
        <v>6.15</v>
      </c>
      <c r="J788">
        <v>1.5</v>
      </c>
      <c r="K788">
        <v>1</v>
      </c>
      <c r="L788">
        <f>G788*J788*K788</f>
        <v>9.225000000000001</v>
      </c>
    </row>
    <row r="789">
      <c r="G789">
        <v>0.3</v>
      </c>
      <c r="J789">
        <v>4</v>
      </c>
      <c r="K789">
        <v>6</v>
      </c>
      <c r="L789">
        <f>G789*J789*K789</f>
        <v>7.199999999999999</v>
      </c>
    </row>
    <row r="790">
      <c r="G790">
        <v>0.54</v>
      </c>
      <c r="J790">
        <v>4</v>
      </c>
      <c r="K790">
        <v>4</v>
      </c>
      <c r="L790">
        <f>G790*J790*K790</f>
        <v>8.64</v>
      </c>
    </row>
    <row r="791">
      <c r="G791">
        <v>1.45</v>
      </c>
      <c r="J791">
        <v>2</v>
      </c>
      <c r="K791">
        <v>2</v>
      </c>
      <c r="L791">
        <f>G791*J791*K791</f>
        <v>5.8</v>
      </c>
    </row>
    <row r="792">
      <c r="L792">
        <f>SUM(L786:L791)</f>
        <v>61.370000000000005</v>
      </c>
      <c r="M792" t="str">
        <v>m2</v>
      </c>
      <c r="N792">
        <f>L792</f>
        <v>61.370000000000005</v>
      </c>
    </row>
    <row r="795">
      <c r="A795">
        <f>A786+0.01</f>
        <v>1.05</v>
      </c>
      <c r="B795" t="str">
        <v>Plester aci ad 1:4</v>
      </c>
      <c r="E795">
        <v>1</v>
      </c>
      <c r="G795">
        <f>L780</f>
        <v>666.124</v>
      </c>
      <c r="K795">
        <v>2</v>
      </c>
      <c r="L795">
        <f>G795*K795</f>
        <v>1332.248</v>
      </c>
    </row>
    <row r="796">
      <c r="G796">
        <v>3.2</v>
      </c>
      <c r="J796">
        <v>4</v>
      </c>
      <c r="K796">
        <v>2</v>
      </c>
    </row>
    <row r="797">
      <c r="L797">
        <f>SUM(L795:L796)</f>
        <v>1332.248</v>
      </c>
    </row>
    <row r="799">
      <c r="F799" t="str">
        <v>keramik</v>
      </c>
      <c r="G799">
        <f>L810</f>
        <v>56.699999999999996</v>
      </c>
      <c r="K799">
        <v>1</v>
      </c>
      <c r="L799">
        <f>G799*K799</f>
        <v>56.699999999999996</v>
      </c>
    </row>
    <row r="800">
      <c r="F800" t="str">
        <v>grip</v>
      </c>
      <c r="G800">
        <f>L815</f>
        <v>29</v>
      </c>
      <c r="K800">
        <v>1</v>
      </c>
      <c r="L800">
        <f>G800*K800</f>
        <v>29</v>
      </c>
    </row>
    <row r="801">
      <c r="L801">
        <f>SUM(L799:L800)</f>
        <v>85.69999999999999</v>
      </c>
    </row>
    <row r="803">
      <c r="L803">
        <f>L797-L801</f>
        <v>1246.548</v>
      </c>
      <c r="M803" t="str">
        <v>m2</v>
      </c>
      <c r="N803">
        <f>L803</f>
        <v>1246.548</v>
      </c>
    </row>
    <row r="806">
      <c r="A806">
        <f>A795+0.01</f>
        <v>1.06</v>
      </c>
      <c r="B806" t="str">
        <v>Keramik dinding 20x25</v>
      </c>
      <c r="E806" t="str">
        <v>tiolet cmt</v>
      </c>
      <c r="G806">
        <v>12.4</v>
      </c>
      <c r="H806">
        <v>1.5</v>
      </c>
      <c r="K806">
        <v>1</v>
      </c>
      <c r="L806">
        <f>G806*H806*K806</f>
        <v>18.6</v>
      </c>
    </row>
    <row r="807">
      <c r="E807" t="str">
        <v>jani</v>
      </c>
      <c r="G807">
        <v>6</v>
      </c>
      <c r="H807">
        <v>1.5</v>
      </c>
      <c r="K807">
        <v>1</v>
      </c>
    </row>
    <row r="808">
      <c r="E808" t="str">
        <v>toilet</v>
      </c>
      <c r="G808">
        <v>25.4</v>
      </c>
      <c r="H808">
        <v>1.5</v>
      </c>
      <c r="K808">
        <v>1</v>
      </c>
      <c r="L808">
        <f>G808*H808*K808</f>
        <v>38.099999999999994</v>
      </c>
    </row>
    <row r="809">
      <c r="G809">
        <v>2.5</v>
      </c>
      <c r="H809">
        <v>0.37</v>
      </c>
      <c r="K809">
        <v>4</v>
      </c>
      <c r="L809">
        <f>G809*H809*K809</f>
        <v>3.7</v>
      </c>
    </row>
    <row r="810">
      <c r="L810">
        <f>SUM(L806:L808)</f>
        <v>56.699999999999996</v>
      </c>
      <c r="M810" t="str">
        <v>m2</v>
      </c>
      <c r="N810">
        <f>L810</f>
        <v>56.699999999999996</v>
      </c>
    </row>
    <row r="812">
      <c r="A812">
        <f>A806+0.01</f>
        <v>1.07</v>
      </c>
      <c r="B812" t="str">
        <v>Plester mortar grip</v>
      </c>
      <c r="G812">
        <v>3.5</v>
      </c>
      <c r="H812">
        <v>1.5</v>
      </c>
      <c r="K812">
        <v>2</v>
      </c>
      <c r="L812">
        <f>G812*H812*K812</f>
        <v>10.5</v>
      </c>
    </row>
    <row r="813">
      <c r="G813">
        <v>1</v>
      </c>
      <c r="H813">
        <v>2</v>
      </c>
      <c r="K813">
        <v>4</v>
      </c>
      <c r="L813">
        <f>G813*H813*K813</f>
        <v>8</v>
      </c>
    </row>
    <row r="814">
      <c r="G814">
        <v>3.5</v>
      </c>
      <c r="H814">
        <v>0.6</v>
      </c>
      <c r="K814">
        <v>5</v>
      </c>
      <c r="L814">
        <f>G814*H814*K814</f>
        <v>10.5</v>
      </c>
    </row>
    <row r="815">
      <c r="L815">
        <f>SUM(L812:L814)</f>
        <v>29</v>
      </c>
      <c r="M815" t="str">
        <v>m</v>
      </c>
      <c r="N815">
        <f>L815</f>
        <v>29</v>
      </c>
    </row>
    <row r="817">
      <c r="B817" t="str">
        <v>Overstek</v>
      </c>
      <c r="E817">
        <v>1</v>
      </c>
      <c r="G817">
        <v>8.5</v>
      </c>
      <c r="K817">
        <v>1</v>
      </c>
      <c r="L817">
        <f>G817*K817</f>
        <v>8.5</v>
      </c>
    </row>
    <row r="818">
      <c r="E818">
        <v>2</v>
      </c>
      <c r="G818">
        <v>5</v>
      </c>
      <c r="K818">
        <v>1</v>
      </c>
      <c r="L818">
        <f>G818*K818</f>
        <v>5</v>
      </c>
    </row>
    <row r="819">
      <c r="E819">
        <v>3</v>
      </c>
      <c r="G819">
        <v>8.5</v>
      </c>
      <c r="K819">
        <v>1</v>
      </c>
      <c r="L819">
        <f>G819*K819</f>
        <v>8.5</v>
      </c>
    </row>
    <row r="820">
      <c r="G820">
        <v>8.5</v>
      </c>
      <c r="K820">
        <v>1</v>
      </c>
      <c r="L820">
        <f>G820*K820</f>
        <v>8.5</v>
      </c>
    </row>
    <row r="821">
      <c r="E821">
        <v>4</v>
      </c>
      <c r="G821">
        <v>5</v>
      </c>
      <c r="K821">
        <v>1</v>
      </c>
      <c r="L821">
        <f>G821*K821</f>
        <v>5</v>
      </c>
    </row>
    <row r="822">
      <c r="G822">
        <v>8.5</v>
      </c>
      <c r="K822">
        <v>1</v>
      </c>
      <c r="L822">
        <f>G822*K822</f>
        <v>8.5</v>
      </c>
    </row>
    <row r="823">
      <c r="L823">
        <f>SUM(L817:L822)</f>
        <v>44</v>
      </c>
      <c r="M823" t="str">
        <v>m</v>
      </c>
      <c r="N823">
        <f>L823</f>
        <v>44</v>
      </c>
    </row>
    <row r="825">
      <c r="A825">
        <f>A812+0.01</f>
        <v>1.08</v>
      </c>
      <c r="B825" t="str">
        <v>Cat tembok interior</v>
      </c>
    </row>
    <row r="826">
      <c r="D826" t="str">
        <v>plester 1:2</v>
      </c>
      <c r="G826">
        <f>L803</f>
        <v>1246.548</v>
      </c>
      <c r="K826">
        <v>1</v>
      </c>
      <c r="L826">
        <f>G826*K826</f>
        <v>1246.548</v>
      </c>
    </row>
    <row r="827">
      <c r="L827">
        <f>L826</f>
        <v>1246.548</v>
      </c>
      <c r="M827" t="str">
        <v>m2</v>
      </c>
      <c r="N827">
        <f>L827</f>
        <v>1246.548</v>
      </c>
    </row>
    <row r="829">
      <c r="B829" t="str">
        <v>Dinding partisi double gypsum</v>
      </c>
      <c r="G829">
        <v>5</v>
      </c>
      <c r="J829">
        <v>3.6</v>
      </c>
      <c r="K829">
        <v>3</v>
      </c>
      <c r="L829">
        <f>G829*J829*K829</f>
        <v>54</v>
      </c>
    </row>
    <row r="830">
      <c r="G830">
        <v>4</v>
      </c>
      <c r="J830">
        <v>3.6</v>
      </c>
      <c r="K830">
        <v>1</v>
      </c>
      <c r="L830">
        <f>G830*J830*K830</f>
        <v>14.4</v>
      </c>
    </row>
    <row r="831">
      <c r="L831">
        <f>SUM(L829:L830)</f>
        <v>68.4</v>
      </c>
      <c r="M831" t="str">
        <v>m2</v>
      </c>
      <c r="N831">
        <f>L831</f>
        <v>68.4</v>
      </c>
    </row>
    <row r="835">
      <c r="A835">
        <f>A727+1</f>
        <v>2</v>
      </c>
      <c r="B835" t="str">
        <v>PEKERJAAN KUSEN PINTU DAN JENDELA</v>
      </c>
    </row>
    <row r="836">
      <c r="A836">
        <f>A835+0.01</f>
        <v>2.01</v>
      </c>
      <c r="B836" t="str">
        <v>Kusen pintu P 1 A</v>
      </c>
      <c r="L836">
        <v>9</v>
      </c>
      <c r="M836" t="str">
        <v>unit</v>
      </c>
      <c r="N836">
        <f>L836</f>
        <v>9</v>
      </c>
    </row>
    <row r="837">
      <c r="A837">
        <f>A836+0.01</f>
        <v>2.0199999999999996</v>
      </c>
      <c r="B837" t="str">
        <v>Kusen pintu P 1 B</v>
      </c>
      <c r="L837">
        <v>4</v>
      </c>
      <c r="M837" t="str">
        <v>unit</v>
      </c>
      <c r="N837">
        <f>L837</f>
        <v>4</v>
      </c>
    </row>
    <row r="838">
      <c r="A838">
        <f>A837+0.01</f>
        <v>2.0299999999999994</v>
      </c>
      <c r="B838" t="str">
        <v>Kusen pintu  P 2 A</v>
      </c>
      <c r="L838">
        <v>1</v>
      </c>
      <c r="M838" t="str">
        <v>unit</v>
      </c>
      <c r="N838">
        <f>L838</f>
        <v>1</v>
      </c>
    </row>
    <row r="839">
      <c r="A839">
        <f>A838+0.01</f>
        <v>2.039999999999999</v>
      </c>
      <c r="B839" t="str">
        <v>Kusen Pintu jendela J 1 A</v>
      </c>
      <c r="L839">
        <v>6</v>
      </c>
      <c r="M839" t="str">
        <v>unit</v>
      </c>
      <c r="N839">
        <f>L839</f>
        <v>6</v>
      </c>
    </row>
    <row r="840">
      <c r="A840">
        <f>A839+0.01</f>
        <v>2.049999999999999</v>
      </c>
      <c r="B840" t="str">
        <v>Kusen Pintu jendela J 1 C</v>
      </c>
      <c r="L840">
        <v>2</v>
      </c>
      <c r="M840" t="str">
        <v>unit</v>
      </c>
      <c r="N840">
        <f>L840</f>
        <v>2</v>
      </c>
    </row>
    <row r="841">
      <c r="A841">
        <f>A840+0.01</f>
        <v>2.0599999999999987</v>
      </c>
      <c r="B841" t="str">
        <v>Kusen Pintu jendela J 2 B</v>
      </c>
      <c r="L841">
        <v>12</v>
      </c>
      <c r="M841" t="str">
        <v>unit</v>
      </c>
      <c r="N841">
        <f>L841</f>
        <v>12</v>
      </c>
    </row>
    <row r="842">
      <c r="A842">
        <f>A841+0.01</f>
        <v>2.0699999999999985</v>
      </c>
      <c r="B842" t="str">
        <v>Kusen Pintu jendela J 3 A</v>
      </c>
      <c r="L842">
        <v>2</v>
      </c>
      <c r="M842" t="str">
        <v>unit</v>
      </c>
      <c r="N842">
        <f>L842</f>
        <v>2</v>
      </c>
    </row>
    <row r="843">
      <c r="A843">
        <f>A842+0.01</f>
        <v>2.0799999999999983</v>
      </c>
      <c r="B843" t="str">
        <v>Kusen Pintu jendela J 3 B</v>
      </c>
      <c r="L843">
        <v>2</v>
      </c>
      <c r="M843" t="str">
        <v>unit</v>
      </c>
      <c r="N843">
        <f>L843</f>
        <v>2</v>
      </c>
    </row>
    <row r="844">
      <c r="A844">
        <f>A843+0.01</f>
        <v>2.089999999999998</v>
      </c>
      <c r="B844" t="str">
        <v>Kusen Pintu jendela J 5 A</v>
      </c>
      <c r="L844">
        <v>2</v>
      </c>
      <c r="M844" t="str">
        <v>unit</v>
      </c>
      <c r="N844">
        <f>L844</f>
        <v>2</v>
      </c>
    </row>
    <row r="850">
      <c r="A850">
        <f>A835+1</f>
        <v>3</v>
      </c>
      <c r="B850" t="str">
        <v xml:space="preserve">PEKERJAAN LANTAI </v>
      </c>
    </row>
    <row r="851">
      <c r="A851">
        <f>A850+0.01</f>
        <v>3.01</v>
      </c>
      <c r="B851" t="str">
        <v>Lantai  keramik  20x20</v>
      </c>
      <c r="G851">
        <v>4</v>
      </c>
      <c r="H851">
        <v>1.5</v>
      </c>
      <c r="K851">
        <v>1</v>
      </c>
      <c r="L851">
        <f>G851*H851*K851</f>
        <v>6</v>
      </c>
    </row>
    <row r="852">
      <c r="G852">
        <v>4.15</v>
      </c>
      <c r="H852">
        <v>3</v>
      </c>
      <c r="K852">
        <v>1</v>
      </c>
      <c r="L852">
        <f>G852*H852*K852</f>
        <v>12.450000000000001</v>
      </c>
    </row>
    <row r="853">
      <c r="L853">
        <f>SUM(L851:L852)</f>
        <v>18.450000000000003</v>
      </c>
      <c r="M853" t="str">
        <v>m2</v>
      </c>
      <c r="N853">
        <f>L853</f>
        <v>18.450000000000003</v>
      </c>
    </row>
    <row r="855">
      <c r="A855">
        <f>A851+0.01</f>
        <v>3.0199999999999996</v>
      </c>
      <c r="B855" t="str">
        <v>Lantai  keramik  30x30</v>
      </c>
      <c r="G855">
        <v>12</v>
      </c>
      <c r="H855">
        <v>30</v>
      </c>
      <c r="K855">
        <v>1</v>
      </c>
      <c r="L855">
        <f>G855*H855*K855</f>
        <v>360</v>
      </c>
    </row>
    <row r="856">
      <c r="G856">
        <v>13</v>
      </c>
      <c r="H856">
        <v>1</v>
      </c>
      <c r="K856">
        <v>1</v>
      </c>
      <c r="L856">
        <f>G856*H856*K856</f>
        <v>13</v>
      </c>
    </row>
    <row r="857">
      <c r="G857">
        <v>3.5</v>
      </c>
      <c r="H857">
        <v>1</v>
      </c>
      <c r="K857">
        <v>1</v>
      </c>
      <c r="L857">
        <f>G857*H857*K857</f>
        <v>3.5</v>
      </c>
    </row>
    <row r="858">
      <c r="G858">
        <v>6</v>
      </c>
      <c r="H858">
        <v>2</v>
      </c>
      <c r="K858">
        <v>1</v>
      </c>
      <c r="L858">
        <f>G858*H858*K858</f>
        <v>12</v>
      </c>
    </row>
    <row r="859">
      <c r="L859">
        <f>SUM(L855:L858)</f>
        <v>388.5</v>
      </c>
    </row>
    <row r="860">
      <c r="E860" t="str">
        <v>20x20</v>
      </c>
      <c r="G860">
        <f>L853</f>
        <v>18.450000000000003</v>
      </c>
      <c r="H860">
        <v>1</v>
      </c>
      <c r="K860">
        <v>1</v>
      </c>
      <c r="L860">
        <f>G860*H860*K860</f>
        <v>18.450000000000003</v>
      </c>
    </row>
    <row r="861">
      <c r="G861">
        <v>3.5</v>
      </c>
      <c r="H861">
        <v>5</v>
      </c>
      <c r="K861">
        <v>1</v>
      </c>
      <c r="L861">
        <f>G861*H861*K861</f>
        <v>17.5</v>
      </c>
    </row>
    <row r="862">
      <c r="G862">
        <v>2</v>
      </c>
      <c r="H862">
        <v>0.5</v>
      </c>
      <c r="K862">
        <v>2</v>
      </c>
      <c r="L862">
        <f>G862*H862*K862</f>
        <v>2</v>
      </c>
    </row>
    <row r="863">
      <c r="L863">
        <f>SUM(L860:L862)</f>
        <v>37.95</v>
      </c>
    </row>
    <row r="864">
      <c r="L864">
        <f>L859-L863</f>
        <v>350.55</v>
      </c>
      <c r="M864" t="str">
        <v>m2</v>
      </c>
      <c r="N864">
        <f>L864</f>
        <v>350.55</v>
      </c>
    </row>
    <row r="866">
      <c r="B866" t="str">
        <v>Plint keramik 10x30 ex Roman</v>
      </c>
      <c r="E866" t="str">
        <v>a</v>
      </c>
      <c r="G866">
        <v>5</v>
      </c>
      <c r="K866">
        <v>1</v>
      </c>
      <c r="L866">
        <f>G866*K866</f>
        <v>5</v>
      </c>
    </row>
    <row r="867">
      <c r="G867">
        <v>2</v>
      </c>
      <c r="K867">
        <v>1</v>
      </c>
      <c r="L867">
        <f>G867*K867</f>
        <v>2</v>
      </c>
    </row>
    <row r="868">
      <c r="G868">
        <v>3.5</v>
      </c>
      <c r="K868">
        <v>1</v>
      </c>
      <c r="L868">
        <f>G868*K868</f>
        <v>3.5</v>
      </c>
    </row>
    <row r="869">
      <c r="G869">
        <v>1.5</v>
      </c>
      <c r="K869">
        <v>1</v>
      </c>
      <c r="L869">
        <f>G869*K869</f>
        <v>1.5</v>
      </c>
    </row>
    <row r="870">
      <c r="E870" t="str">
        <v>b</v>
      </c>
      <c r="G870">
        <v>1</v>
      </c>
      <c r="K870">
        <v>2</v>
      </c>
      <c r="L870">
        <f>G870*K870</f>
        <v>2</v>
      </c>
    </row>
    <row r="871">
      <c r="E871" t="str">
        <v>c</v>
      </c>
      <c r="G871">
        <v>5</v>
      </c>
      <c r="K871">
        <v>1</v>
      </c>
      <c r="L871">
        <f>G871*K871</f>
        <v>5</v>
      </c>
    </row>
    <row r="872">
      <c r="E872" t="str">
        <v>c</v>
      </c>
      <c r="G872">
        <v>6</v>
      </c>
      <c r="K872">
        <v>1</v>
      </c>
      <c r="L872">
        <f>G872*K872</f>
        <v>6</v>
      </c>
    </row>
    <row r="873">
      <c r="G873">
        <v>5</v>
      </c>
      <c r="K873">
        <v>2</v>
      </c>
      <c r="L873">
        <f>G873*K873</f>
        <v>10</v>
      </c>
    </row>
    <row r="874">
      <c r="E874" t="str">
        <v>d</v>
      </c>
      <c r="G874">
        <v>6</v>
      </c>
      <c r="K874">
        <v>6</v>
      </c>
      <c r="L874">
        <f>G874*K874</f>
        <v>36</v>
      </c>
    </row>
    <row r="875">
      <c r="G875">
        <v>5</v>
      </c>
      <c r="K875">
        <v>2</v>
      </c>
      <c r="L875">
        <f>G875*K875</f>
        <v>10</v>
      </c>
    </row>
    <row r="876">
      <c r="G876">
        <v>1</v>
      </c>
      <c r="K876">
        <v>1</v>
      </c>
      <c r="L876">
        <f>G876*K876</f>
        <v>1</v>
      </c>
    </row>
    <row r="877">
      <c r="G877">
        <v>5</v>
      </c>
      <c r="K877">
        <v>5</v>
      </c>
      <c r="L877">
        <f>G877*K877</f>
        <v>25</v>
      </c>
    </row>
    <row r="878">
      <c r="E878" t="str">
        <v>e</v>
      </c>
      <c r="G878">
        <v>5</v>
      </c>
      <c r="K878">
        <v>2</v>
      </c>
      <c r="L878">
        <f>G878*K878</f>
        <v>10</v>
      </c>
    </row>
    <row r="879">
      <c r="G879">
        <v>0.5</v>
      </c>
      <c r="K879">
        <v>1</v>
      </c>
      <c r="L879">
        <f>G879*K879</f>
        <v>0.5</v>
      </c>
    </row>
    <row r="880">
      <c r="G880">
        <v>2</v>
      </c>
      <c r="K880">
        <v>1</v>
      </c>
      <c r="L880">
        <f>G880*K880</f>
        <v>2</v>
      </c>
    </row>
    <row r="881">
      <c r="E881" t="str">
        <v>f</v>
      </c>
      <c r="G881">
        <v>5</v>
      </c>
      <c r="K881">
        <v>1</v>
      </c>
      <c r="L881">
        <f>G881*K881</f>
        <v>5</v>
      </c>
    </row>
    <row r="882">
      <c r="E882">
        <v>0</v>
      </c>
      <c r="G882">
        <v>6</v>
      </c>
      <c r="K882">
        <v>1</v>
      </c>
      <c r="L882">
        <f>G882*K882</f>
        <v>6</v>
      </c>
    </row>
    <row r="883">
      <c r="G883">
        <v>3.5</v>
      </c>
      <c r="K883">
        <v>2</v>
      </c>
      <c r="L883">
        <f>G883*K883</f>
        <v>7</v>
      </c>
    </row>
    <row r="884">
      <c r="G884">
        <v>8.5</v>
      </c>
      <c r="K884">
        <v>2</v>
      </c>
      <c r="L884">
        <f>G884*K884</f>
        <v>17</v>
      </c>
    </row>
    <row r="885">
      <c r="G885">
        <v>4</v>
      </c>
      <c r="K885">
        <v>4</v>
      </c>
      <c r="L885">
        <f>G885*K885</f>
        <v>16</v>
      </c>
    </row>
    <row r="886">
      <c r="E886">
        <v>2</v>
      </c>
      <c r="G886">
        <v>17</v>
      </c>
      <c r="K886">
        <v>2</v>
      </c>
      <c r="L886">
        <f>G886*K886</f>
        <v>34</v>
      </c>
    </row>
    <row r="887">
      <c r="G887">
        <v>6</v>
      </c>
      <c r="K887">
        <v>2</v>
      </c>
      <c r="L887">
        <f>G887*K887</f>
        <v>12</v>
      </c>
    </row>
    <row r="888">
      <c r="E888">
        <v>3</v>
      </c>
      <c r="G888">
        <v>12</v>
      </c>
      <c r="K888">
        <v>2</v>
      </c>
      <c r="L888">
        <f>G888*K888</f>
        <v>24</v>
      </c>
    </row>
    <row r="889">
      <c r="G889">
        <v>9</v>
      </c>
      <c r="K889">
        <v>2</v>
      </c>
      <c r="L889">
        <f>G889*K889</f>
        <v>18</v>
      </c>
    </row>
    <row r="890">
      <c r="E890">
        <v>4</v>
      </c>
      <c r="G890">
        <v>30</v>
      </c>
      <c r="K890">
        <v>1</v>
      </c>
      <c r="L890">
        <f>G890*K890</f>
        <v>30</v>
      </c>
    </row>
    <row r="891">
      <c r="L891">
        <f>SUM(L866:L890)</f>
        <v>288.5</v>
      </c>
    </row>
    <row r="892">
      <c r="G892">
        <v>1.8</v>
      </c>
      <c r="K892">
        <v>2</v>
      </c>
      <c r="L892">
        <f>G892*K892</f>
        <v>3.6</v>
      </c>
    </row>
    <row r="893">
      <c r="G893">
        <v>0.8</v>
      </c>
      <c r="K893">
        <v>16</v>
      </c>
      <c r="L893">
        <f>G893*K893</f>
        <v>12.8</v>
      </c>
    </row>
    <row r="894">
      <c r="L894">
        <f>SUM(L892:L893)</f>
        <v>16.400000000000002</v>
      </c>
    </row>
    <row r="895">
      <c r="L895">
        <f>L891-L894</f>
        <v>272.1</v>
      </c>
      <c r="M895" t="str">
        <v>m1</v>
      </c>
      <c r="N895">
        <f>L895</f>
        <v>272.1</v>
      </c>
    </row>
    <row r="897">
      <c r="A897">
        <f>A850+1</f>
        <v>4</v>
      </c>
      <c r="B897" t="str">
        <v>PEKERJAAN PLAFOND</v>
      </c>
    </row>
    <row r="898">
      <c r="A898">
        <f>A897+0.01</f>
        <v>4.01</v>
      </c>
      <c r="B898" t="str">
        <v>Plafond calsi board + rangka hollow + cat</v>
      </c>
      <c r="G898">
        <v>13</v>
      </c>
      <c r="H898">
        <v>1</v>
      </c>
      <c r="K898">
        <v>1</v>
      </c>
      <c r="L898">
        <f>G898*H898*K898</f>
        <v>13</v>
      </c>
    </row>
    <row r="899">
      <c r="G899">
        <v>1</v>
      </c>
      <c r="H899">
        <v>1</v>
      </c>
      <c r="K899">
        <v>2</v>
      </c>
      <c r="L899">
        <f>G899*H899*K899</f>
        <v>2</v>
      </c>
    </row>
    <row r="900">
      <c r="G900">
        <v>9.5</v>
      </c>
      <c r="H900">
        <v>1</v>
      </c>
      <c r="K900">
        <v>4</v>
      </c>
      <c r="L900">
        <f>G900*H900*K900</f>
        <v>38</v>
      </c>
    </row>
    <row r="901">
      <c r="G901">
        <v>12</v>
      </c>
      <c r="H901">
        <v>1</v>
      </c>
      <c r="K901">
        <v>2</v>
      </c>
      <c r="L901">
        <f>G901*H901*K901</f>
        <v>24</v>
      </c>
    </row>
    <row r="902">
      <c r="G902">
        <v>2</v>
      </c>
      <c r="H902">
        <v>0.5</v>
      </c>
      <c r="K902">
        <v>2</v>
      </c>
      <c r="L902">
        <f>G902*H902*K902</f>
        <v>2</v>
      </c>
    </row>
    <row r="903">
      <c r="G903">
        <v>1</v>
      </c>
      <c r="H903">
        <v>1</v>
      </c>
      <c r="K903">
        <v>2</v>
      </c>
      <c r="L903">
        <f>G903*H903*K903</f>
        <v>2</v>
      </c>
    </row>
    <row r="904">
      <c r="G904">
        <v>4</v>
      </c>
      <c r="H904">
        <v>1</v>
      </c>
      <c r="K904">
        <v>2</v>
      </c>
      <c r="L904">
        <f>G904*H904*K904</f>
        <v>8</v>
      </c>
    </row>
    <row r="905">
      <c r="G905">
        <v>1</v>
      </c>
      <c r="H905">
        <v>1</v>
      </c>
      <c r="K905">
        <v>2</v>
      </c>
      <c r="L905">
        <f>G905*H905*K905</f>
        <v>2</v>
      </c>
    </row>
    <row r="906">
      <c r="G906">
        <v>8</v>
      </c>
      <c r="H906">
        <v>1</v>
      </c>
      <c r="K906">
        <v>1</v>
      </c>
      <c r="L906">
        <f>G906*H906*K906</f>
        <v>8</v>
      </c>
    </row>
    <row r="907">
      <c r="G907">
        <v>4</v>
      </c>
      <c r="H907">
        <v>1.5</v>
      </c>
      <c r="K907">
        <v>1</v>
      </c>
      <c r="L907">
        <f>G907*H907*K907</f>
        <v>6</v>
      </c>
    </row>
    <row r="908">
      <c r="G908">
        <v>4.15</v>
      </c>
      <c r="H908">
        <v>3</v>
      </c>
      <c r="K908">
        <v>1</v>
      </c>
      <c r="L908">
        <f>G908*H908*K908</f>
        <v>12.450000000000001</v>
      </c>
    </row>
    <row r="909">
      <c r="L909">
        <f>SUM(L898:L908)</f>
        <v>117.45</v>
      </c>
      <c r="M909" t="str">
        <v>m2</v>
      </c>
      <c r="N909">
        <f>L909</f>
        <v>117.45</v>
      </c>
    </row>
    <row r="911">
      <c r="A911">
        <f>A898+0.01</f>
        <v>4.02</v>
      </c>
      <c r="B911" t="str">
        <v>Plafond gypsum board + rangka hollow + cat</v>
      </c>
      <c r="G911">
        <v>12</v>
      </c>
      <c r="H911">
        <v>30</v>
      </c>
      <c r="K911">
        <v>1</v>
      </c>
      <c r="L911">
        <f>G911*H911*K911</f>
        <v>360</v>
      </c>
    </row>
    <row r="912">
      <c r="G912">
        <v>13</v>
      </c>
      <c r="H912">
        <v>1</v>
      </c>
      <c r="K912">
        <v>2</v>
      </c>
      <c r="L912">
        <f>G912*H912*K912</f>
        <v>26</v>
      </c>
    </row>
    <row r="913">
      <c r="G913">
        <v>6</v>
      </c>
      <c r="H913">
        <v>1</v>
      </c>
      <c r="K913">
        <v>1</v>
      </c>
      <c r="L913">
        <f>G913*H913*K913</f>
        <v>6</v>
      </c>
    </row>
    <row r="914">
      <c r="L914">
        <f>SUM(L911:L913)</f>
        <v>392</v>
      </c>
    </row>
    <row r="915">
      <c r="D915" t="str">
        <v>dikurangi</v>
      </c>
      <c r="G915">
        <v>18.45</v>
      </c>
      <c r="H915">
        <v>1</v>
      </c>
      <c r="K915">
        <v>1</v>
      </c>
      <c r="L915">
        <f>G915*H915*K915</f>
        <v>18.45</v>
      </c>
    </row>
    <row r="916">
      <c r="G916">
        <v>2</v>
      </c>
      <c r="H916">
        <v>0.5</v>
      </c>
      <c r="K916">
        <v>2</v>
      </c>
      <c r="L916">
        <f>G916*H916*K916</f>
        <v>2</v>
      </c>
    </row>
    <row r="917">
      <c r="L917">
        <f>SUM(L915:L916)</f>
        <v>20.45</v>
      </c>
    </row>
    <row r="918">
      <c r="L918">
        <f>L914-L917</f>
        <v>371.55</v>
      </c>
      <c r="M918" t="str">
        <v>m2</v>
      </c>
      <c r="N918">
        <f>L918</f>
        <v>371.55</v>
      </c>
    </row>
    <row r="920">
      <c r="A920">
        <f>A686+1</f>
        <v>5</v>
      </c>
      <c r="B920" t="str">
        <v>PEKERJAAN ATAP</v>
      </c>
    </row>
    <row r="921">
      <c r="A921">
        <f>A920+0.01</f>
        <v>5.01</v>
      </c>
      <c r="B921" t="str">
        <v>Rangka atap baja ringan</v>
      </c>
      <c r="E921">
        <v>1</v>
      </c>
      <c r="F921" t="str">
        <v>smp</v>
      </c>
      <c r="G921">
        <v>14.15</v>
      </c>
      <c r="H921">
        <f>8/2</f>
        <v>4</v>
      </c>
      <c r="K921">
        <v>2</v>
      </c>
      <c r="L921">
        <f>G921*H921*K921</f>
        <v>113.2</v>
      </c>
    </row>
    <row r="922">
      <c r="E922">
        <v>2</v>
      </c>
      <c r="G922">
        <v>8.5</v>
      </c>
      <c r="H922">
        <v>6.5</v>
      </c>
      <c r="K922">
        <v>4</v>
      </c>
      <c r="L922">
        <f>G922*H922*K922</f>
        <v>221</v>
      </c>
    </row>
    <row r="923">
      <c r="G923">
        <f>(9.5+8.5)/2</f>
        <v>9</v>
      </c>
      <c r="H923">
        <v>1.5</v>
      </c>
      <c r="K923">
        <v>4</v>
      </c>
      <c r="L923">
        <f>G923*H923*K923</f>
        <v>54</v>
      </c>
    </row>
    <row r="924">
      <c r="E924">
        <v>3</v>
      </c>
      <c r="G924">
        <v>15.15</v>
      </c>
      <c r="H924">
        <f>8.5/2</f>
        <v>4.25</v>
      </c>
      <c r="K924">
        <v>2</v>
      </c>
      <c r="L924">
        <f>G924*H924*K924</f>
        <v>128.775</v>
      </c>
    </row>
    <row r="925">
      <c r="G925">
        <v>1.5</v>
      </c>
      <c r="H925">
        <v>11</v>
      </c>
      <c r="K925">
        <v>4</v>
      </c>
      <c r="L925">
        <f>G925*H925*K925</f>
        <v>66</v>
      </c>
    </row>
    <row r="926">
      <c r="G926">
        <v>3</v>
      </c>
      <c r="H926">
        <v>4</v>
      </c>
      <c r="K926">
        <v>2</v>
      </c>
      <c r="L926">
        <f>G926*H926*K926</f>
        <v>24</v>
      </c>
    </row>
    <row r="927">
      <c r="L927">
        <f>SUM(L921:L926)</f>
        <v>606.975</v>
      </c>
      <c r="M927" t="str">
        <v>m2</v>
      </c>
      <c r="N927">
        <f>L927</f>
        <v>606.975</v>
      </c>
    </row>
    <row r="929">
      <c r="A929">
        <f>A921+0.01</f>
        <v>5.02</v>
      </c>
      <c r="B929" t="str">
        <v>Atap metal</v>
      </c>
      <c r="G929">
        <f>L927</f>
        <v>606.975</v>
      </c>
      <c r="K929">
        <v>1</v>
      </c>
      <c r="L929">
        <f>G929*K929</f>
        <v>606.975</v>
      </c>
      <c r="M929" t="str">
        <v>m2</v>
      </c>
      <c r="N929">
        <f>L929</f>
        <v>606.975</v>
      </c>
    </row>
    <row r="931">
      <c r="A931">
        <f>A929+0.01</f>
        <v>5.029999999999999</v>
      </c>
      <c r="B931" t="str">
        <v>Talang jurai</v>
      </c>
      <c r="G931">
        <v>9</v>
      </c>
      <c r="K931">
        <v>4</v>
      </c>
      <c r="L931">
        <f>G931*K931</f>
        <v>36</v>
      </c>
    </row>
    <row r="932">
      <c r="G932">
        <v>5</v>
      </c>
      <c r="K932">
        <v>2</v>
      </c>
      <c r="L932">
        <f>G932*K932</f>
        <v>10</v>
      </c>
    </row>
    <row r="933">
      <c r="L933">
        <f>SUM(L931:L932)</f>
        <v>46</v>
      </c>
      <c r="M933" t="str">
        <v>m</v>
      </c>
      <c r="N933">
        <f>L933</f>
        <v>46</v>
      </c>
    </row>
    <row r="936">
      <c r="A936">
        <f>A931+0.01</f>
        <v>5.039999999999999</v>
      </c>
      <c r="B936" t="str">
        <v>Nok</v>
      </c>
      <c r="G936">
        <v>10</v>
      </c>
      <c r="K936">
        <v>4</v>
      </c>
      <c r="L936">
        <f>G936*K936</f>
        <v>40</v>
      </c>
    </row>
    <row r="937">
      <c r="G937">
        <v>7.5</v>
      </c>
      <c r="K937">
        <v>2</v>
      </c>
      <c r="L937">
        <f>G937*K937</f>
        <v>15</v>
      </c>
    </row>
    <row r="938">
      <c r="G938">
        <v>11</v>
      </c>
      <c r="K938">
        <v>4</v>
      </c>
      <c r="L938">
        <f>G938*K938</f>
        <v>44</v>
      </c>
    </row>
    <row r="939">
      <c r="G939">
        <v>5</v>
      </c>
      <c r="K939">
        <v>2</v>
      </c>
      <c r="L939">
        <f>G939*K939</f>
        <v>10</v>
      </c>
    </row>
    <row r="940">
      <c r="G940">
        <v>2</v>
      </c>
      <c r="K940">
        <v>1</v>
      </c>
      <c r="L940">
        <f>G940*K940</f>
        <v>2</v>
      </c>
    </row>
    <row r="941">
      <c r="G941">
        <v>1</v>
      </c>
      <c r="K941">
        <v>1</v>
      </c>
      <c r="L941">
        <f>G941*K941</f>
        <v>1</v>
      </c>
    </row>
    <row r="942">
      <c r="L942">
        <f>SUM(L936:L941)</f>
        <v>112</v>
      </c>
      <c r="M942" t="str">
        <v>m</v>
      </c>
      <c r="N942">
        <f>L942</f>
        <v>112</v>
      </c>
    </row>
    <row r="944">
      <c r="A944">
        <f>A936+0.01</f>
        <v>5.049999999999999</v>
      </c>
      <c r="B944" t="str">
        <v>Lisplank</v>
      </c>
      <c r="G944">
        <v>15.5</v>
      </c>
      <c r="K944">
        <v>1</v>
      </c>
      <c r="L944">
        <f>G944*K944</f>
        <v>15.5</v>
      </c>
    </row>
    <row r="945">
      <c r="G945">
        <v>2</v>
      </c>
      <c r="K945">
        <v>4</v>
      </c>
      <c r="L945">
        <f>G945*K945</f>
        <v>8</v>
      </c>
    </row>
    <row r="946">
      <c r="G946">
        <v>10</v>
      </c>
      <c r="K946">
        <v>4</v>
      </c>
      <c r="L946">
        <f>G946*K946</f>
        <v>40</v>
      </c>
    </row>
    <row r="947">
      <c r="G947">
        <v>14</v>
      </c>
      <c r="K947">
        <v>2</v>
      </c>
      <c r="L947">
        <f>G947*K947</f>
        <v>28</v>
      </c>
    </row>
    <row r="948">
      <c r="G948">
        <v>4</v>
      </c>
      <c r="K948">
        <v>2</v>
      </c>
      <c r="L948">
        <f>G948*K948</f>
        <v>8</v>
      </c>
    </row>
    <row r="949">
      <c r="G949">
        <v>1.5</v>
      </c>
      <c r="K949">
        <v>2</v>
      </c>
      <c r="L949">
        <f>G949*K949</f>
        <v>3</v>
      </c>
    </row>
    <row r="950">
      <c r="G950">
        <v>7</v>
      </c>
      <c r="K950">
        <v>3</v>
      </c>
      <c r="L950">
        <f>G950*K950</f>
        <v>21</v>
      </c>
    </row>
    <row r="951">
      <c r="L951">
        <f>SUM(L944:L950)</f>
        <v>123.5</v>
      </c>
      <c r="M951" t="str">
        <v>m</v>
      </c>
      <c r="N951">
        <f>L951</f>
        <v>123.5</v>
      </c>
    </row>
    <row r="953">
      <c r="A953">
        <f>A920+1</f>
        <v>6</v>
      </c>
      <c r="B953" t="str">
        <v>PEKERJAAN SANITARY</v>
      </c>
    </row>
    <row r="954">
      <c r="A954">
        <f>A953+0.01</f>
        <v>6.01</v>
      </c>
      <c r="B954" t="str">
        <v>Closed duduk CW 660 J/SW 660J termasuk accesoriesnya</v>
      </c>
      <c r="L954">
        <v>2</v>
      </c>
      <c r="M954" t="str">
        <v>unit</v>
      </c>
      <c r="N954">
        <f>+L954</f>
        <v>2</v>
      </c>
    </row>
    <row r="955">
      <c r="A955">
        <f>A954+0.01</f>
        <v>6.02</v>
      </c>
      <c r="B955" t="str">
        <v>Closed jongkok</v>
      </c>
      <c r="L955">
        <v>2</v>
      </c>
      <c r="M955" t="str">
        <v>bh</v>
      </c>
      <c r="N955">
        <f>+L955</f>
        <v>2</v>
      </c>
    </row>
    <row r="956">
      <c r="B956" t="str">
        <v>Urinoir  U 57 M termasuk accesoriesnya</v>
      </c>
      <c r="L956">
        <v>3</v>
      </c>
      <c r="M956" t="str">
        <v>unit</v>
      </c>
      <c r="N956">
        <f>+L956</f>
        <v>3</v>
      </c>
    </row>
    <row r="957">
      <c r="A957">
        <f>A955+0.01</f>
        <v>6.029999999999999</v>
      </c>
      <c r="B957" t="str">
        <v>Floor drain  TX 1BN</v>
      </c>
      <c r="L957">
        <v>6</v>
      </c>
      <c r="M957" t="str">
        <v>bh</v>
      </c>
      <c r="N957">
        <f>+L957</f>
        <v>6</v>
      </c>
    </row>
    <row r="958">
      <c r="A958">
        <f>A957+0.01</f>
        <v>6.039999999999999</v>
      </c>
      <c r="B958" t="str">
        <v>Kran dinding T 23 B 13</v>
      </c>
      <c r="L958">
        <v>10</v>
      </c>
      <c r="M958" t="str">
        <v>bh</v>
      </c>
      <c r="N958">
        <f>+L958</f>
        <v>10</v>
      </c>
    </row>
    <row r="962">
      <c r="A962" t="str">
        <v>E</v>
      </c>
      <c r="B962" t="str">
        <v>PEKERJAAN M &amp; E</v>
      </c>
    </row>
    <row r="963">
      <c r="B963" t="str">
        <v>LANTAI DASAR</v>
      </c>
    </row>
    <row r="964">
      <c r="A964">
        <v>1</v>
      </c>
      <c r="B964" t="str">
        <v>Pekerjaan Listrik</v>
      </c>
    </row>
    <row r="965">
      <c r="A965">
        <f>A964+0.01</f>
        <v>1.01</v>
      </c>
      <c r="B965" t="str">
        <v>Instalasi penerangan</v>
      </c>
      <c r="G965">
        <v>43</v>
      </c>
      <c r="K965">
        <v>1</v>
      </c>
      <c r="L965">
        <f>G965*K965</f>
        <v>43</v>
      </c>
      <c r="M965" t="str">
        <v>ttk</v>
      </c>
      <c r="N965">
        <f>L965</f>
        <v>43</v>
      </c>
    </row>
    <row r="966">
      <c r="A966">
        <f>A965+0.01</f>
        <v>1.02</v>
      </c>
      <c r="B966" t="str">
        <v>Instalasi stop kontak</v>
      </c>
      <c r="G966">
        <v>14</v>
      </c>
      <c r="K966">
        <v>1</v>
      </c>
      <c r="L966">
        <f>G966*K966</f>
        <v>14</v>
      </c>
      <c r="M966" t="str">
        <v>ttk</v>
      </c>
      <c r="N966">
        <f>L966</f>
        <v>14</v>
      </c>
    </row>
    <row r="967">
      <c r="A967">
        <f>A966+0.01</f>
        <v>1.03</v>
      </c>
      <c r="B967" t="str">
        <v>Stop kontak</v>
      </c>
      <c r="G967">
        <v>14</v>
      </c>
      <c r="K967">
        <v>1</v>
      </c>
      <c r="L967">
        <f>G967*K967</f>
        <v>14</v>
      </c>
      <c r="M967" t="str">
        <v>ttk</v>
      </c>
      <c r="N967">
        <f>L967</f>
        <v>14</v>
      </c>
    </row>
    <row r="968">
      <c r="A968">
        <f>A967+0.01</f>
        <v>1.04</v>
      </c>
      <c r="B968" t="str">
        <v>lampu TL 2X18 watt</v>
      </c>
      <c r="G968">
        <v>13</v>
      </c>
      <c r="K968">
        <v>1</v>
      </c>
      <c r="L968">
        <f>G968*K968</f>
        <v>13</v>
      </c>
      <c r="M968" t="str">
        <v>bh</v>
      </c>
      <c r="N968">
        <f>L968</f>
        <v>13</v>
      </c>
    </row>
    <row r="969">
      <c r="A969">
        <f>A968+0.01</f>
        <v>1.05</v>
      </c>
      <c r="B969" t="str">
        <v>Lampu Downlight</v>
      </c>
      <c r="G969">
        <v>24</v>
      </c>
      <c r="K969">
        <v>1</v>
      </c>
      <c r="L969">
        <f>G969*K969</f>
        <v>24</v>
      </c>
      <c r="M969" t="str">
        <v>bh</v>
      </c>
      <c r="N969">
        <f>L969</f>
        <v>24</v>
      </c>
    </row>
    <row r="970">
      <c r="A970">
        <f>A969+0.01</f>
        <v>1.06</v>
      </c>
      <c r="B970" t="str">
        <v>Box Panel</v>
      </c>
      <c r="G970">
        <v>1</v>
      </c>
      <c r="K970">
        <v>1</v>
      </c>
      <c r="L970">
        <f>G970*K970</f>
        <v>1</v>
      </c>
      <c r="M970" t="str">
        <v>unit</v>
      </c>
      <c r="N970">
        <f>L970</f>
        <v>1</v>
      </c>
    </row>
    <row r="971">
      <c r="A971">
        <f>A964+1</f>
        <v>2</v>
      </c>
      <c r="B971" t="str">
        <v>Pekerjaan plumbing</v>
      </c>
    </row>
    <row r="972">
      <c r="A972">
        <f>A971+0.01</f>
        <v>2.01</v>
      </c>
      <c r="B972" t="str">
        <v>Intaslasi air bersih</v>
      </c>
    </row>
    <row r="973">
      <c r="B973" t="str">
        <v>Pipa PVC dia 32 AW</v>
      </c>
      <c r="G973">
        <f>35+10</f>
        <v>45</v>
      </c>
      <c r="K973">
        <v>1</v>
      </c>
      <c r="L973">
        <f>G973*K973</f>
        <v>45</v>
      </c>
      <c r="M973" t="str">
        <v>m</v>
      </c>
      <c r="N973">
        <f>L973</f>
        <v>45</v>
      </c>
    </row>
    <row r="974">
      <c r="B974" t="str">
        <v>Pipa PVC dia 25 AW</v>
      </c>
      <c r="G974">
        <f>25+3+5+4</f>
        <v>37</v>
      </c>
      <c r="K974">
        <v>1</v>
      </c>
      <c r="L974">
        <f>G974*K974</f>
        <v>37</v>
      </c>
      <c r="M974" t="str">
        <v>m</v>
      </c>
      <c r="N974">
        <f>L974</f>
        <v>37</v>
      </c>
    </row>
    <row r="975">
      <c r="B975" t="str">
        <v>Pipa PVC dia 15 AW</v>
      </c>
      <c r="G975">
        <f>2*5</f>
        <v>10</v>
      </c>
      <c r="K975">
        <v>1</v>
      </c>
      <c r="L975">
        <f>G975*K975</f>
        <v>10</v>
      </c>
      <c r="M975" t="str">
        <v>m</v>
      </c>
      <c r="N975">
        <f>L975</f>
        <v>10</v>
      </c>
    </row>
    <row r="976">
      <c r="B976" t="str">
        <v>Fitting</v>
      </c>
      <c r="L976">
        <v>1</v>
      </c>
      <c r="M976" t="str">
        <v>ls</v>
      </c>
      <c r="N976">
        <f>L976</f>
        <v>1</v>
      </c>
    </row>
    <row r="977">
      <c r="B977" t="str">
        <v>Jet Pump</v>
      </c>
      <c r="L977">
        <v>1</v>
      </c>
      <c r="M977" t="str">
        <v>unit</v>
      </c>
      <c r="N977">
        <f>L977</f>
        <v>1</v>
      </c>
    </row>
    <row r="978">
      <c r="B978" t="str">
        <v>Water Tank</v>
      </c>
      <c r="L978">
        <v>1</v>
      </c>
      <c r="M978" t="str">
        <v>unit</v>
      </c>
      <c r="N978">
        <f>L978</f>
        <v>1</v>
      </c>
    </row>
    <row r="979">
      <c r="A979">
        <f>A972+0.01</f>
        <v>2.0199999999999996</v>
      </c>
      <c r="B979" t="str">
        <v>Instalasi air kotor</v>
      </c>
    </row>
    <row r="980">
      <c r="B980" t="str">
        <v>Pipa PVC dia 100 AW</v>
      </c>
      <c r="G980">
        <f>1.5+1.5+1.5+1.5</f>
        <v>6</v>
      </c>
      <c r="K980">
        <v>1</v>
      </c>
      <c r="L980">
        <f>G980*K980</f>
        <v>6</v>
      </c>
      <c r="M980" t="str">
        <v>m</v>
      </c>
      <c r="N980">
        <f>L980</f>
        <v>6</v>
      </c>
    </row>
    <row r="981">
      <c r="B981" t="str">
        <v>Pipa PVC dia 150 AW</v>
      </c>
      <c r="G981">
        <v>12</v>
      </c>
      <c r="K981">
        <v>1</v>
      </c>
      <c r="L981">
        <f>G981*K981</f>
        <v>12</v>
      </c>
      <c r="M981" t="str">
        <v>m</v>
      </c>
      <c r="N981">
        <f>L981</f>
        <v>12</v>
      </c>
    </row>
    <row r="982">
      <c r="B982" t="str">
        <v>Fitting</v>
      </c>
      <c r="L982">
        <v>1</v>
      </c>
      <c r="M982" t="str">
        <v>ls</v>
      </c>
      <c r="N982">
        <f>L982</f>
        <v>1</v>
      </c>
    </row>
    <row r="983">
      <c r="A983">
        <f>A979+0.01</f>
        <v>2.0299999999999994</v>
      </c>
      <c r="B983" t="str">
        <v>Instalasi air bekas kotor &amp; air hujan</v>
      </c>
    </row>
    <row r="984">
      <c r="B984" t="str">
        <v>Pipa PVC dia 80 AW</v>
      </c>
      <c r="G984">
        <f>(4+3+1+1+3+4)+(10+5+7+5+5)</f>
        <v>48</v>
      </c>
      <c r="K984">
        <v>1</v>
      </c>
      <c r="L984">
        <f>G984*K984</f>
        <v>48</v>
      </c>
      <c r="M984" t="str">
        <v>m</v>
      </c>
      <c r="N984">
        <f>L984</f>
        <v>48</v>
      </c>
    </row>
    <row r="985">
      <c r="B985" t="str">
        <v>Pipa PVC dia 150 AW</v>
      </c>
      <c r="G985">
        <f>35+40</f>
        <v>75</v>
      </c>
      <c r="K985">
        <v>1</v>
      </c>
      <c r="L985">
        <f>G985*K985</f>
        <v>75</v>
      </c>
      <c r="M985" t="str">
        <v>m</v>
      </c>
      <c r="N985">
        <f>L985</f>
        <v>75</v>
      </c>
    </row>
    <row r="986">
      <c r="B986" t="str">
        <v>Fitting</v>
      </c>
      <c r="L986">
        <v>1</v>
      </c>
      <c r="M986" t="str">
        <v>ls</v>
      </c>
      <c r="N986">
        <f>L986</f>
        <v>1</v>
      </c>
    </row>
    <row r="987">
      <c r="B987" t="str">
        <v>Bak kontrol</v>
      </c>
      <c r="L987">
        <v>4</v>
      </c>
      <c r="M987" t="str">
        <v>unit</v>
      </c>
      <c r="N987">
        <f>L987</f>
        <v>4</v>
      </c>
    </row>
    <row r="988">
      <c r="B988" t="str">
        <v>Resapan</v>
      </c>
      <c r="L988">
        <v>2</v>
      </c>
      <c r="M988" t="str">
        <v>unit</v>
      </c>
      <c r="N988">
        <f>L988</f>
        <v>2</v>
      </c>
    </row>
    <row r="990">
      <c r="B990" t="str">
        <v>LANTAI DUA</v>
      </c>
    </row>
    <row r="991">
      <c r="A991">
        <v>1</v>
      </c>
      <c r="B991" t="str">
        <v>Pekerjaan Listrik</v>
      </c>
    </row>
    <row r="992">
      <c r="A992">
        <f>A991+0.01</f>
        <v>1.01</v>
      </c>
      <c r="B992" t="str">
        <v>Instalasi penerangan</v>
      </c>
      <c r="G992">
        <v>30</v>
      </c>
      <c r="K992">
        <v>1</v>
      </c>
      <c r="L992">
        <f>G992*K992</f>
        <v>30</v>
      </c>
      <c r="M992" t="str">
        <v>ttk</v>
      </c>
      <c r="N992">
        <f>L992</f>
        <v>30</v>
      </c>
    </row>
    <row r="993">
      <c r="A993">
        <f>A992+0.01</f>
        <v>1.02</v>
      </c>
      <c r="B993" t="str">
        <v>Instalasi stop kontak</v>
      </c>
      <c r="G993">
        <v>15</v>
      </c>
      <c r="K993">
        <v>1</v>
      </c>
      <c r="L993">
        <f>G993*K993</f>
        <v>15</v>
      </c>
      <c r="M993" t="str">
        <v>ttk</v>
      </c>
      <c r="N993">
        <f>L993</f>
        <v>15</v>
      </c>
    </row>
    <row r="994">
      <c r="A994">
        <f>A993+0.01</f>
        <v>1.03</v>
      </c>
      <c r="B994" t="str">
        <v>Stop kontak</v>
      </c>
      <c r="G994">
        <v>15</v>
      </c>
      <c r="K994">
        <v>5</v>
      </c>
      <c r="L994">
        <f>G994*K994</f>
        <v>75</v>
      </c>
      <c r="M994" t="str">
        <v>ttk</v>
      </c>
      <c r="N994">
        <f>L994</f>
        <v>75</v>
      </c>
    </row>
    <row r="995">
      <c r="A995">
        <f>A994+0.01</f>
        <v>1.04</v>
      </c>
      <c r="B995" t="str">
        <v>lampu TL 2X18 watt</v>
      </c>
      <c r="G995">
        <v>18</v>
      </c>
      <c r="K995">
        <v>1</v>
      </c>
      <c r="L995">
        <f>G995*K995</f>
        <v>18</v>
      </c>
      <c r="M995" t="str">
        <v>bh</v>
      </c>
      <c r="N995">
        <f>L995</f>
        <v>18</v>
      </c>
    </row>
    <row r="996">
      <c r="A996">
        <f>A995+0.01</f>
        <v>1.05</v>
      </c>
      <c r="B996" t="str">
        <v>Lampu Downlight</v>
      </c>
      <c r="G996">
        <v>27</v>
      </c>
      <c r="K996">
        <v>1</v>
      </c>
      <c r="L996">
        <f>G996*K996</f>
        <v>27</v>
      </c>
      <c r="M996" t="str">
        <v>bh</v>
      </c>
      <c r="N996">
        <f>L996</f>
        <v>27</v>
      </c>
    </row>
    <row r="997">
      <c r="A997">
        <f>A996+0.01</f>
        <v>1.06</v>
      </c>
      <c r="B997" t="str">
        <v>Box Panel</v>
      </c>
      <c r="G997">
        <v>1</v>
      </c>
      <c r="K997">
        <v>1</v>
      </c>
      <c r="L997">
        <f>G997*K997</f>
        <v>1</v>
      </c>
      <c r="M997" t="str">
        <v>unit</v>
      </c>
      <c r="N997">
        <f>L997</f>
        <v>1</v>
      </c>
    </row>
    <row r="999">
      <c r="A999">
        <f>A991+1</f>
        <v>2</v>
      </c>
      <c r="B999" t="str">
        <v>Pekerjaan plumbing</v>
      </c>
    </row>
    <row r="1000">
      <c r="A1000">
        <f>A999+0.01</f>
        <v>2.01</v>
      </c>
      <c r="B1000" t="str">
        <v>Intaslasi air bersih</v>
      </c>
    </row>
    <row r="1001">
      <c r="B1001" t="str">
        <v>Pipa PVC dia 32 AW</v>
      </c>
    </row>
    <row r="1002">
      <c r="B1002" t="str">
        <v>Pipa PVC dia 25 AW</v>
      </c>
      <c r="G1002">
        <f>15+10+5+5+5+5</f>
        <v>45</v>
      </c>
      <c r="K1002">
        <v>1</v>
      </c>
      <c r="L1002">
        <f>G1002*K1002</f>
        <v>45</v>
      </c>
      <c r="M1002" t="str">
        <v>m</v>
      </c>
      <c r="N1002">
        <f>L1002</f>
        <v>45</v>
      </c>
    </row>
    <row r="1003">
      <c r="B1003" t="str">
        <v>Pipa PVC dia 15 AW</v>
      </c>
      <c r="G1003">
        <f>(4*2)+(10*2)</f>
        <v>28</v>
      </c>
      <c r="K1003">
        <v>1</v>
      </c>
      <c r="L1003">
        <f>G1003*K1003</f>
        <v>28</v>
      </c>
      <c r="M1003" t="str">
        <v>m</v>
      </c>
      <c r="N1003">
        <f>L1003</f>
        <v>28</v>
      </c>
    </row>
    <row r="1004">
      <c r="B1004" t="str">
        <v>Fitting</v>
      </c>
      <c r="L1004">
        <v>1</v>
      </c>
      <c r="M1004" t="str">
        <v>ls</v>
      </c>
      <c r="N1004">
        <f>L1004</f>
        <v>1</v>
      </c>
    </row>
    <row r="1005">
      <c r="A1005">
        <f>A1000+0.01</f>
        <v>2.0199999999999996</v>
      </c>
      <c r="B1005" t="str">
        <v>Instalasi air kotor</v>
      </c>
    </row>
    <row r="1006">
      <c r="B1006" t="str">
        <v>Pipa PVC dia 100 AW</v>
      </c>
      <c r="G1006">
        <f>1+1+0.5+0.5</f>
        <v>3</v>
      </c>
      <c r="K1006">
        <v>1</v>
      </c>
      <c r="L1006">
        <f>G1006*K1006</f>
        <v>3</v>
      </c>
      <c r="M1006" t="str">
        <v>m</v>
      </c>
      <c r="N1006">
        <f>L1006</f>
        <v>3</v>
      </c>
    </row>
    <row r="1007">
      <c r="B1007" t="str">
        <v>Pipa PVC dia 150 AW</v>
      </c>
      <c r="G1007">
        <f>35+10</f>
        <v>45</v>
      </c>
      <c r="K1007">
        <v>1</v>
      </c>
      <c r="L1007">
        <f>G1007*K1007</f>
        <v>45</v>
      </c>
      <c r="M1007" t="str">
        <v>m</v>
      </c>
      <c r="N1007">
        <f>L1007</f>
        <v>45</v>
      </c>
    </row>
    <row r="1008">
      <c r="B1008" t="str">
        <v>Fitting</v>
      </c>
      <c r="L1008">
        <v>1</v>
      </c>
      <c r="M1008" t="str">
        <v>ls</v>
      </c>
      <c r="N1008">
        <f>L1008</f>
        <v>1</v>
      </c>
    </row>
    <row r="1009">
      <c r="A1009">
        <f>A1005+0.01</f>
        <v>2.0299999999999994</v>
      </c>
      <c r="B1009" t="str">
        <v>Instalasi air bekas kotor &amp; Air hujan</v>
      </c>
    </row>
    <row r="1010">
      <c r="B1010" t="str">
        <v>Pipa PVC dia 80 AW</v>
      </c>
      <c r="G1010">
        <f>(2+0.5+0.5+2+2+5+5+2+3+3+3)</f>
        <v>28</v>
      </c>
      <c r="K1010">
        <v>1</v>
      </c>
      <c r="L1010">
        <f>G1010*K1010</f>
        <v>28</v>
      </c>
      <c r="M1010" t="str">
        <v>m</v>
      </c>
      <c r="N1010">
        <f>L1010</f>
        <v>28</v>
      </c>
    </row>
    <row r="1011">
      <c r="B1011" t="str">
        <v>Pipa PVC dia 150 AW</v>
      </c>
    </row>
    <row r="1012">
      <c r="B1012" t="str">
        <v>Fitting</v>
      </c>
      <c r="L1012">
        <v>1</v>
      </c>
      <c r="M1012" t="str">
        <v>ls</v>
      </c>
      <c r="N1012">
        <f>L1012</f>
        <v>1</v>
      </c>
    </row>
  </sheetData>
  <mergeCells count="1">
    <mergeCell ref="B10:D10"/>
  </mergeCells>
  <hyperlinks>
    <hyperlink ref="A1" location="MENU!A1" tooltip="menu"/>
  </hyperlinks>
  <pageMargins left="0.25" right="0" top="0" bottom="0" header="0.2" footer="0.17"/>
  <ignoredErrors>
    <ignoredError numberStoredAsText="1" sqref="A1:S1080"/>
  </ignoredErrors>
</worksheet>
</file>

<file path=xl/worksheets/sheet14.xml><?xml version="1.0" encoding="utf-8"?>
<worksheet xmlns="http://schemas.openxmlformats.org/spreadsheetml/2006/main" xmlns:r="http://schemas.openxmlformats.org/officeDocument/2006/relationships">
  <dimension ref="A1:J166"/>
  <sheetViews>
    <sheetView workbookViewId="0" rightToLeft="0"/>
  </sheetViews>
  <sheetData>
    <row r="1">
      <c r="I1" t="str">
        <v>menu</v>
      </c>
    </row>
    <row r="2">
      <c r="A2" t="str">
        <v>REKAPITULASI BIAYA PEKERJAAN STANDAR BANGUNAN GEDUNG NEGARA SEDERHANA</v>
      </c>
      <c r="I2" t="str">
        <v>HSBGN</v>
      </c>
    </row>
    <row r="4">
      <c r="A4" t="str">
        <f>A29</f>
        <v>A</v>
      </c>
      <c r="B4" t="str">
        <f>B29</f>
        <v>PEKERJAAN STRUKTUR</v>
      </c>
      <c r="I4">
        <f>SUM(I5:I6)</f>
        <v>0</v>
      </c>
    </row>
    <row r="5">
      <c r="A5" t="str">
        <f>A31</f>
        <v>A.1</v>
      </c>
      <c r="B5" t="str">
        <f>B31</f>
        <v xml:space="preserve">Pekerjaan Pondasi </v>
      </c>
      <c r="H5">
        <f>H38</f>
        <v>0</v>
      </c>
      <c r="I5">
        <f>H5/$H$18</f>
        <v>0</v>
      </c>
      <c r="J5">
        <v>0.35</v>
      </c>
    </row>
    <row r="6">
      <c r="A6" t="str">
        <f>A39</f>
        <v>A.2</v>
      </c>
      <c r="B6" t="str">
        <f>B39</f>
        <v>Pekerjaan Struktur</v>
      </c>
      <c r="H6">
        <f>H59</f>
        <v>0</v>
      </c>
      <c r="I6">
        <f>H6/$H$18</f>
        <v>0</v>
      </c>
      <c r="J6">
        <v>0.1</v>
      </c>
    </row>
    <row r="7">
      <c r="A7" t="str">
        <f>A61</f>
        <v>B</v>
      </c>
      <c r="B7" t="str">
        <f>B61</f>
        <v>PEKERJAAN ARSITEKTUR</v>
      </c>
      <c r="I7">
        <f>SUM(I8:I12)</f>
        <v>0.9802704077314854</v>
      </c>
      <c r="J7">
        <v>0.1</v>
      </c>
    </row>
    <row r="8">
      <c r="A8" t="str">
        <f>A62</f>
        <v>B.1</v>
      </c>
      <c r="B8" t="str">
        <f>B62</f>
        <v>Pekerjaan Lantai</v>
      </c>
      <c r="H8">
        <f>H68</f>
        <v>347942400</v>
      </c>
      <c r="I8">
        <f>H8/$H$18</f>
        <v>0.1136971606179847</v>
      </c>
      <c r="J8">
        <v>0.08</v>
      </c>
    </row>
    <row r="9">
      <c r="A9" t="str">
        <f>A69</f>
        <v>B.2</v>
      </c>
      <c r="B9" t="str">
        <f>B69</f>
        <v>Pekerjaan Dinding</v>
      </c>
      <c r="H9">
        <f>H75</f>
        <v>2651935842</v>
      </c>
      <c r="I9">
        <f>H9/$H$18</f>
        <v>0.8665732471135007</v>
      </c>
      <c r="J9">
        <v>0.1</v>
      </c>
    </row>
    <row r="10">
      <c r="A10" t="str">
        <f>A76</f>
        <v>B.3</v>
      </c>
      <c r="B10" t="str">
        <f>B76</f>
        <v>Pekerjaan Plafond</v>
      </c>
      <c r="H10">
        <f>H79</f>
        <v>0</v>
      </c>
      <c r="I10">
        <f>H10/$H$18</f>
        <v>0</v>
      </c>
      <c r="J10">
        <v>0.08</v>
      </c>
    </row>
    <row r="11">
      <c r="A11" t="str">
        <f>A80</f>
        <v>B.4</v>
      </c>
      <c r="B11" t="str">
        <f>B80</f>
        <v>Pekerjaan Atap</v>
      </c>
      <c r="H11">
        <f>H86</f>
        <v>0</v>
      </c>
      <c r="I11">
        <f>H11/$H$18</f>
        <v>0</v>
      </c>
      <c r="J11">
        <v>0.15</v>
      </c>
    </row>
    <row r="12">
      <c r="A12" t="str">
        <f>A87</f>
        <v>B.5</v>
      </c>
      <c r="B12" t="str">
        <f>B87</f>
        <v>Pekerjaan Kusen</v>
      </c>
      <c r="H12">
        <f>H102</f>
        <v>0</v>
      </c>
      <c r="I12">
        <f>H12/$H$18</f>
        <v>0</v>
      </c>
    </row>
    <row r="13">
      <c r="A13" t="str">
        <f>A103</f>
        <v>C</v>
      </c>
      <c r="B13" t="str">
        <f>B103</f>
        <v>PEKERJAAN UTILITAS</v>
      </c>
      <c r="I13">
        <f>SUM(I14:I15)</f>
        <v>0.019729592268514652</v>
      </c>
    </row>
    <row r="14">
      <c r="A14" t="str">
        <f>A104</f>
        <v>C.1</v>
      </c>
      <c r="B14" t="str">
        <f>B104</f>
        <v>Pekerjaan Plumbing</v>
      </c>
      <c r="H14">
        <f>H145</f>
        <v>60377600</v>
      </c>
      <c r="I14">
        <f>H14/$H$18</f>
        <v>0.019729592268514652</v>
      </c>
    </row>
    <row r="15">
      <c r="A15" t="str">
        <f>A146</f>
        <v>C.2</v>
      </c>
      <c r="B15" t="str">
        <f>B146</f>
        <v>Pekerjaan Elektrikal</v>
      </c>
      <c r="H15">
        <f>H159</f>
        <v>0</v>
      </c>
      <c r="I15">
        <f>H15/$H$18</f>
        <v>0</v>
      </c>
    </row>
    <row r="16">
      <c r="A16" t="str">
        <v>D.</v>
      </c>
      <c r="B16" t="str">
        <f>B160</f>
        <v>PEKERJAAN FINISHING</v>
      </c>
      <c r="H16">
        <f>H166</f>
        <v>0</v>
      </c>
      <c r="I16">
        <f>H16/$H$18</f>
        <v>0</v>
      </c>
    </row>
    <row r="18">
      <c r="G18" t="str">
        <v>Jumlah Biaya Pekerjaan Standar ( a ) … Rp.</v>
      </c>
      <c r="H18">
        <f>SUM(H4:H16)</f>
        <v>3060255842</v>
      </c>
      <c r="I18">
        <f>SUM(I4,I7,I13,I16)</f>
        <v>1</v>
      </c>
      <c r="J18">
        <v>613234395.694</v>
      </c>
    </row>
    <row r="19">
      <c r="G19" t="str">
        <v>PPN 10% ( b ) … Rp.</v>
      </c>
      <c r="H19">
        <f>0.1*H18</f>
        <v>306025584.2</v>
      </c>
    </row>
    <row r="20">
      <c r="G20" t="str">
        <v xml:space="preserve"> '( c ) = ( a ) + ( b ) … Rp.</v>
      </c>
      <c r="H20">
        <f>H18+H19</f>
        <v>3366281426.2</v>
      </c>
    </row>
    <row r="21">
      <c r="G21" t="str">
        <v>Luas bangunan ( d ) … m2.</v>
      </c>
      <c r="H21">
        <v>238</v>
      </c>
      <c r="J21">
        <v>238</v>
      </c>
    </row>
    <row r="22">
      <c r="G22" t="str">
        <v>Harga bangunan untuk pekerjaan standar /m2 ( e ) = ( c ) / ( d ) … Rp.</v>
      </c>
      <c r="H22">
        <f>H20/H21</f>
        <v>14144039.605882352</v>
      </c>
      <c r="J22">
        <v>2576615.1079579834</v>
      </c>
    </row>
    <row r="23">
      <c r="G23" t="str">
        <v>Ijin Mendirikan Bangunan /m2 ( f ) … Rp.</v>
      </c>
      <c r="H23">
        <f>'Isi Data'!E171</f>
        <v>0</v>
      </c>
    </row>
    <row r="24">
      <c r="G24" t="str">
        <v>(e) + (f) Dibulatkan... Rp.</v>
      </c>
      <c r="H24">
        <f>ROUND(H22+H23,-4)</f>
        <v>14140000</v>
      </c>
      <c r="J24">
        <v>2580000</v>
      </c>
    </row>
    <row r="26">
      <c r="A26" t="str">
        <v>RINCIAN BIAYA PEKERJAAN STANDAR BANGUNAN GEDUNG NEGARA SEDERHANA</v>
      </c>
    </row>
    <row r="27">
      <c r="A27" t="str">
        <v>No</v>
      </c>
      <c r="B27" t="str">
        <v>Uraian Pekerjaan</v>
      </c>
      <c r="C27" t="str">
        <v>Keterangan</v>
      </c>
      <c r="D27" t="str">
        <v>Satuan</v>
      </c>
      <c r="E27" t="str">
        <v>Volume</v>
      </c>
      <c r="F27" t="str">
        <v>Harga Satuan</v>
      </c>
      <c r="G27" t="str">
        <v>Jumlah Harga</v>
      </c>
    </row>
    <row r="28">
      <c r="F28" t="str">
        <v>Rp.</v>
      </c>
      <c r="G28" t="str">
        <v>Rp.</v>
      </c>
    </row>
    <row r="29">
      <c r="A29" t="str">
        <v>A</v>
      </c>
      <c r="B29" t="str">
        <v>PEKERJAAN STRUKTUR</v>
      </c>
    </row>
    <row r="31">
      <c r="A31" t="str">
        <v>A.1</v>
      </c>
      <c r="B31" t="str">
        <v xml:space="preserve">Pekerjaan Pondasi </v>
      </c>
    </row>
    <row r="32">
      <c r="A32">
        <f>'QTY-GS'!A30</f>
        <v>1</v>
      </c>
      <c r="B32" t="str">
        <v>Galian tanah, dalam  s/d 1 m</v>
      </c>
      <c r="D32" t="str">
        <v>m3</v>
      </c>
      <c r="E32">
        <f>'QTY-GS'!N55</f>
        <v>99.67999999999999</v>
      </c>
      <c r="F32">
        <f>SUMIF(SNI!C$1:C$65536,'RAB - GS'!B$1:B$65536,SNI!L$1:L$65536)</f>
        <v>0</v>
      </c>
      <c r="G32">
        <f>E32*F32</f>
        <v>0</v>
      </c>
    </row>
    <row r="33">
      <c r="A33">
        <f>A32+1</f>
        <v>2</v>
      </c>
      <c r="B33" t="str">
        <v>Pas. Urugan pasir</v>
      </c>
      <c r="D33" t="str">
        <v>m3</v>
      </c>
      <c r="E33">
        <f>'QTY-GS'!N82</f>
        <v>6.23</v>
      </c>
      <c r="F33">
        <f>SUMIF(SNI!C$1:C$65536,'RAB - GS'!B$1:B$65536,SNI!L$1:L$65536)</f>
        <v>0</v>
      </c>
      <c r="G33">
        <f>E33*F33</f>
        <v>0</v>
      </c>
    </row>
    <row r="34">
      <c r="A34">
        <f>A33+1</f>
        <v>3</v>
      </c>
      <c r="B34" t="str">
        <v>Aanstamping batu kali</v>
      </c>
      <c r="D34" t="str">
        <v>m3</v>
      </c>
      <c r="E34">
        <f>E35*0.33</f>
        <v>22.58685</v>
      </c>
      <c r="F34">
        <f>SUMIF(SNI!C$1:C$65536,'RAB - GS'!B$1:B$65536,SNI!L$1:L$65536)</f>
        <v>0</v>
      </c>
      <c r="G34">
        <f>E34*F34</f>
        <v>0</v>
      </c>
    </row>
    <row r="35">
      <c r="A35">
        <f>A34+1</f>
        <v>4</v>
      </c>
      <c r="B35" t="str">
        <v>Pas. pondasi batu kali 1:4</v>
      </c>
      <c r="D35" t="str">
        <v>m3</v>
      </c>
      <c r="E35">
        <f>'QTY-GS'!N134</f>
        <v>68.445</v>
      </c>
      <c r="F35">
        <f>SUMIF(SNI!C$1:C$65536,'RAB - GS'!B$1:B$65536,SNI!L$1:L$65536)</f>
        <v>0</v>
      </c>
      <c r="G35">
        <f>E35*F35</f>
        <v>0</v>
      </c>
    </row>
    <row r="36">
      <c r="A36">
        <f>A35+1</f>
        <v>5</v>
      </c>
      <c r="B36" t="str">
        <v>Urugan tanah kembali</v>
      </c>
      <c r="C36" t="str">
        <v>Sisi pondasi</v>
      </c>
      <c r="D36" t="str">
        <v>m3</v>
      </c>
      <c r="E36">
        <f>E32-E37+E34</f>
        <v>25.004999999999995</v>
      </c>
      <c r="F36">
        <f>SUMIF(SNI!C$1:C$65536,'RAB - GS'!B$1:B$65536,SNI!L$1:L$65536)</f>
        <v>0</v>
      </c>
      <c r="G36">
        <f>E36*F36</f>
        <v>0</v>
      </c>
    </row>
    <row r="37">
      <c r="A37">
        <f>A36+1</f>
        <v>6</v>
      </c>
      <c r="B37" t="str">
        <v>Buang tanah</v>
      </c>
      <c r="C37" t="str">
        <v>Didalam site</v>
      </c>
      <c r="D37" t="str">
        <v>m3</v>
      </c>
      <c r="E37">
        <f>SUM(E33:E35)</f>
        <v>97.26185</v>
      </c>
      <c r="F37">
        <f>SUMIF(SNI!C$1:C$65536,'RAB - GS'!B$1:B$65536,SNI!L$1:L$65536)</f>
        <v>0</v>
      </c>
      <c r="G37">
        <f>E37*F37</f>
        <v>0</v>
      </c>
    </row>
    <row r="38">
      <c r="G38" t="str">
        <v>Jumlah A.1 .... Rp</v>
      </c>
      <c r="H38">
        <f>SUM(G32:G37)</f>
        <v>0</v>
      </c>
    </row>
    <row r="39">
      <c r="A39" t="str">
        <v>A.2</v>
      </c>
      <c r="B39" t="str">
        <v>Pekerjaan Struktur</v>
      </c>
    </row>
    <row r="40">
      <c r="A40" t="str">
        <v>A.2.1</v>
      </c>
      <c r="B40" t="str">
        <v>pekerjaan sloof beton</v>
      </c>
    </row>
    <row r="41">
      <c r="A41">
        <v>1</v>
      </c>
      <c r="B41" t="str">
        <v>Bekisting sloof beton</v>
      </c>
      <c r="C41" t="str">
        <v>Kayu terentang</v>
      </c>
      <c r="D41" t="str">
        <v>m2</v>
      </c>
      <c r="E41">
        <f>'QTY-GS'!N243</f>
        <v>71.20000000000002</v>
      </c>
      <c r="F41">
        <f>SUMIF(SNI!C$1:C$65536,'RAB - GS'!B$1:B$65536,SNI!L$1:L$65536)</f>
        <v>0</v>
      </c>
      <c r="G41">
        <f>E41*F41</f>
        <v>0</v>
      </c>
    </row>
    <row r="42">
      <c r="A42">
        <f>A41+1</f>
        <v>2</v>
      </c>
      <c r="B42" t="str">
        <v>Tulangan besi beton U-39</v>
      </c>
      <c r="D42" t="str">
        <v>kg</v>
      </c>
      <c r="E42">
        <f>'QTY-GS'!N189</f>
        <v>730.1119999999999</v>
      </c>
      <c r="F42">
        <f>SUMIF(SNI!C$1:C$65536,'RAB - GS'!B$1:B$65536,SNI!L$1:L$65536)</f>
        <v>0</v>
      </c>
      <c r="G42">
        <f>E42*F42</f>
        <v>0</v>
      </c>
    </row>
    <row r="43">
      <c r="A43">
        <f>A42+1</f>
        <v>3</v>
      </c>
      <c r="B43" t="str">
        <v>Tulangan besi beton U-24</v>
      </c>
      <c r="D43" t="str">
        <v>kg</v>
      </c>
      <c r="E43">
        <f>'QTY-GS'!N216</f>
        <v>382.47439999999995</v>
      </c>
      <c r="F43">
        <f>SUMIF(SNI!C$1:C$65536,'RAB - GS'!B$1:B$65536,SNI!L$1:L$65536)</f>
        <v>0</v>
      </c>
      <c r="G43">
        <f>E43*F43</f>
        <v>0</v>
      </c>
    </row>
    <row r="44">
      <c r="A44">
        <f>A43+1</f>
        <v>4</v>
      </c>
      <c r="B44" t="str">
        <v>Beton K - 175</v>
      </c>
      <c r="D44" t="str">
        <v>m3</v>
      </c>
      <c r="E44">
        <f>'QTY-GS'!N162</f>
        <v>5.340000000000001</v>
      </c>
      <c r="F44">
        <f>SUMIF(SNI!C$1:C$65536,'RAB - GS'!B$1:B$65536,SNI!L$1:L$65536)</f>
        <v>0</v>
      </c>
      <c r="G44">
        <f>E44*F44</f>
        <v>0</v>
      </c>
      <c r="H44">
        <f>SUM(G41:G44)</f>
        <v>0</v>
      </c>
    </row>
    <row r="45">
      <c r="A45" t="str">
        <v>A.2.2</v>
      </c>
      <c r="B45" t="str">
        <v>Pekerjaan Kolom Praktis</v>
      </c>
    </row>
    <row r="46">
      <c r="A46">
        <v>1</v>
      </c>
      <c r="B46" t="str">
        <v>Bekisting Praktis beton</v>
      </c>
      <c r="C46" t="str">
        <v>Kayu terentang</v>
      </c>
      <c r="D46" t="str">
        <v>m2</v>
      </c>
      <c r="E46">
        <f>'QTY-GS'!N276</f>
        <v>78.32000000000001</v>
      </c>
      <c r="F46">
        <f>SUMIF(SNI!C$1:C$65536,'RAB - GS'!B$1:B$65536,SNI!L$1:L$65536)</f>
        <v>0</v>
      </c>
      <c r="G46">
        <f>E46*F46</f>
        <v>0</v>
      </c>
    </row>
    <row r="47">
      <c r="A47">
        <f>A46+1</f>
        <v>2</v>
      </c>
      <c r="B47" t="str">
        <v>Tulangan besi beton U-39</v>
      </c>
      <c r="D47" t="str">
        <v>kg</v>
      </c>
      <c r="E47">
        <f>'QTY-GS'!N264</f>
        <v>856.2944</v>
      </c>
      <c r="F47">
        <f>SUMIF(SNI!C$1:C$65536,'RAB - GS'!B$1:B$65536,SNI!L$1:L$65536)</f>
        <v>0</v>
      </c>
      <c r="G47">
        <f>E47*F47</f>
        <v>0</v>
      </c>
    </row>
    <row r="48">
      <c r="A48">
        <f>A47+1</f>
        <v>3</v>
      </c>
      <c r="B48" t="str">
        <v>Tulangan besi beton U-24</v>
      </c>
      <c r="D48" t="str">
        <v>kg</v>
      </c>
      <c r="E48">
        <f>'QTY-GS'!N270</f>
        <v>494.37696</v>
      </c>
      <c r="F48">
        <f>SUMIF(SNI!C$1:C$65536,'RAB - GS'!B$1:B$65536,SNI!L$1:L$65536)</f>
        <v>0</v>
      </c>
      <c r="G48">
        <f>E48*F48</f>
        <v>0</v>
      </c>
    </row>
    <row r="49">
      <c r="A49">
        <f>A48+1</f>
        <v>4</v>
      </c>
      <c r="B49" t="str">
        <v>Beton K - 175</v>
      </c>
      <c r="D49" t="str">
        <v>m3</v>
      </c>
      <c r="E49">
        <f>'QTY-GS'!N258</f>
        <v>5.090800000000001</v>
      </c>
      <c r="F49">
        <f>SUMIF(SNI!C$1:C$65536,'RAB - GS'!B$1:B$65536,SNI!L$1:L$65536)</f>
        <v>0</v>
      </c>
      <c r="G49">
        <f>E49*F49</f>
        <v>0</v>
      </c>
      <c r="H49">
        <f>SUM(G46:G49)</f>
        <v>0</v>
      </c>
    </row>
    <row r="50">
      <c r="A50" t="str">
        <v>A.2.3</v>
      </c>
      <c r="B50" t="str">
        <v>Pekerjaan Ringbalk</v>
      </c>
    </row>
    <row r="51">
      <c r="A51">
        <v>1</v>
      </c>
      <c r="B51" t="str">
        <v>Bekisting Praktis beton</v>
      </c>
      <c r="C51" t="str">
        <v>Kayu terentang</v>
      </c>
      <c r="D51" t="str">
        <v>m2</v>
      </c>
      <c r="E51">
        <f>'QTY-GS'!N399</f>
        <v>96.74000000000001</v>
      </c>
      <c r="F51">
        <f>SUMIF(SNI!C$1:C$65536,'RAB - GS'!B$1:B$65536,SNI!L$1:L$65536)</f>
        <v>0</v>
      </c>
      <c r="G51">
        <f>E51*F51</f>
        <v>0</v>
      </c>
    </row>
    <row r="52">
      <c r="A52">
        <f>A51+1</f>
        <v>2</v>
      </c>
      <c r="B52" t="str">
        <v>Tulangan besi beton U-39</v>
      </c>
      <c r="D52" t="str">
        <v>kg</v>
      </c>
      <c r="E52">
        <f>'QTY-GS'!N339</f>
        <v>755.5072</v>
      </c>
      <c r="F52">
        <f>SUMIF(SNI!C$1:C$65536,'RAB - GS'!B$1:B$65536,SNI!L$1:L$65536)</f>
        <v>0</v>
      </c>
      <c r="G52">
        <f>E52*F52</f>
        <v>0</v>
      </c>
    </row>
    <row r="53">
      <c r="A53">
        <f>A52+1</f>
        <v>3</v>
      </c>
      <c r="B53" t="str">
        <v>Tulangan besi beton U-24</v>
      </c>
      <c r="D53" t="str">
        <v>kg</v>
      </c>
      <c r="E53">
        <f>'QTY-GS'!N369</f>
        <v>478.57039999999984</v>
      </c>
      <c r="F53">
        <f>SUMIF(SNI!C$1:C$65536,'RAB - GS'!B$1:B$65536,SNI!L$1:L$65536)</f>
        <v>0</v>
      </c>
      <c r="G53">
        <f>E53*F53</f>
        <v>0</v>
      </c>
    </row>
    <row r="54">
      <c r="A54">
        <f>A53+1</f>
        <v>4</v>
      </c>
      <c r="B54" t="str">
        <v>Beton K - 175</v>
      </c>
      <c r="D54" t="str">
        <v>m3</v>
      </c>
      <c r="E54">
        <f>'QTY-GS'!N309</f>
        <v>7.2075</v>
      </c>
      <c r="F54">
        <f>SUMIF(SNI!C$1:C$65536,'RAB - GS'!B$1:B$65536,SNI!L$1:L$65536)</f>
        <v>0</v>
      </c>
      <c r="G54">
        <f>E54*F54</f>
        <v>0</v>
      </c>
      <c r="H54">
        <f>SUM(G51:G54)</f>
        <v>0</v>
      </c>
    </row>
    <row r="55">
      <c r="A55" t="str">
        <v>A.2.4</v>
      </c>
      <c r="B55" t="str">
        <v>Pekerjaan Plat lantai</v>
      </c>
    </row>
    <row r="56">
      <c r="A56">
        <v>1</v>
      </c>
      <c r="B56" t="str">
        <v>Bekisting beton plat lantai</v>
      </c>
      <c r="C56" t="str">
        <v>Kayu terentang</v>
      </c>
      <c r="D56" t="str">
        <v>m2</v>
      </c>
      <c r="E56">
        <f>'QTY-GS'!N410</f>
        <v>3</v>
      </c>
      <c r="F56">
        <f>SUMIF(SNI!C$1:C$65536,'RAB - GS'!B$1:B$65536,SNI!L$1:L$65536)</f>
        <v>0</v>
      </c>
      <c r="G56">
        <f>E56*F56</f>
        <v>0</v>
      </c>
    </row>
    <row r="57">
      <c r="A57">
        <f>A56+1</f>
        <v>2</v>
      </c>
      <c r="B57" t="str">
        <v>Tulangan besi beton U-24</v>
      </c>
      <c r="D57" t="str">
        <v>kg</v>
      </c>
      <c r="E57">
        <f>'QTY-GS'!N406</f>
        <v>63.51576</v>
      </c>
      <c r="F57">
        <f>SUMIF(SNI!C$1:C$65536,'RAB - GS'!B$1:B$65536,SNI!L$1:L$65536)</f>
        <v>0</v>
      </c>
      <c r="G57">
        <f>E57*F57</f>
        <v>0</v>
      </c>
    </row>
    <row r="58">
      <c r="A58">
        <f>A57+1</f>
        <v>3</v>
      </c>
      <c r="B58" t="str">
        <v>Beton K - 175</v>
      </c>
      <c r="D58" t="str">
        <v>m3</v>
      </c>
      <c r="E58">
        <f>'QTY-GS'!N402</f>
        <v>0.3375</v>
      </c>
      <c r="F58">
        <f>SUMIF(SNI!C$1:C$65536,'RAB - GS'!B$1:B$65536,SNI!L$1:L$65536)</f>
        <v>0</v>
      </c>
      <c r="G58">
        <f>E58*F58</f>
        <v>0</v>
      </c>
      <c r="H58">
        <f>SUM(G56:G58)</f>
        <v>0</v>
      </c>
    </row>
    <row r="59">
      <c r="G59" t="str">
        <v>Jumlah A.2.... Rp</v>
      </c>
      <c r="H59">
        <f>SUM(G41:G58)</f>
        <v>0</v>
      </c>
    </row>
    <row r="61">
      <c r="A61" t="str">
        <v>B</v>
      </c>
      <c r="B61" t="str">
        <v>PEKERJAAN ARSITEKTUR</v>
      </c>
    </row>
    <row r="62">
      <c r="A62" t="str">
        <v>B.1</v>
      </c>
      <c r="B62" t="str">
        <v>Pekerjaan Lantai</v>
      </c>
    </row>
    <row r="63">
      <c r="A63">
        <v>1</v>
      </c>
      <c r="B63" t="str">
        <v>Pas. Urugan pasir</v>
      </c>
      <c r="C63" t="str">
        <v>t. 10 cm</v>
      </c>
      <c r="D63" t="str">
        <v>m3</v>
      </c>
      <c r="E63">
        <f>'QTY-GS'!N566</f>
        <v>17.70497</v>
      </c>
      <c r="F63">
        <f>SUMIF(SNI!C$1:C$65536,'RAB - GS'!B$1:B$65536,SNI!L$1:L$65536)</f>
        <v>0</v>
      </c>
      <c r="G63">
        <f>E63*F63</f>
        <v>0</v>
      </c>
    </row>
    <row r="64">
      <c r="A64">
        <f>A63+1</f>
        <v>2</v>
      </c>
      <c r="B64" t="str">
        <v>Pas. Lantai kerja beton tumbuk 1:3:5</v>
      </c>
      <c r="C64" t="str">
        <v>t. 5 cm</v>
      </c>
      <c r="D64" t="str">
        <v>m3</v>
      </c>
      <c r="E64">
        <f>'QTY-GS'!N571</f>
        <v>7.56</v>
      </c>
      <c r="F64">
        <f>SUMIF(SNI!C$1:C$65536,'RAB - GS'!B$1:B$65536,SNI!L$1:L$65536)</f>
        <v>0</v>
      </c>
      <c r="G64">
        <f>E64*F64</f>
        <v>0</v>
      </c>
    </row>
    <row r="65">
      <c r="A65">
        <f>A64+1</f>
        <v>3</v>
      </c>
      <c r="B65" t="str">
        <v>Pas. Lantai Keramik 300x300</v>
      </c>
      <c r="C65" t="str">
        <v>ex Masterina</v>
      </c>
      <c r="D65" t="str">
        <v>m2</v>
      </c>
      <c r="E65">
        <f>'QTY-GS'!N551</f>
        <v>243.4</v>
      </c>
      <c r="F65">
        <f>SUMIF(SNI!C$1:C$65536,'RAB - GS'!B$1:B$65536,SNI!L$1:L$65536)</f>
        <v>0</v>
      </c>
      <c r="G65">
        <f>E65*F65</f>
        <v>0</v>
      </c>
    </row>
    <row r="66">
      <c r="A66">
        <f>A65+1</f>
        <v>4</v>
      </c>
      <c r="B66" t="str">
        <v>Pas. Rabat beton; finish acian</v>
      </c>
      <c r="C66" t="str">
        <v xml:space="preserve">Beton spesi 1 : 3 : 5 </v>
      </c>
      <c r="D66" t="str">
        <v>m2</v>
      </c>
      <c r="E66">
        <f>'QTY-GS'!N557</f>
        <v>54.869600000000005</v>
      </c>
      <c r="F66">
        <f>SUMIF(SNI!C$1:C$65536,'RAB - GS'!B$1:B$65536,SNI!L$1:L$65536)</f>
        <v>0</v>
      </c>
      <c r="G66">
        <f>E66*F66</f>
        <v>0</v>
      </c>
    </row>
    <row r="67">
      <c r="A67">
        <f>A66+1</f>
        <v>5</v>
      </c>
      <c r="B67" t="str">
        <v>Pas. Dinding batu bata; ad 1:4</v>
      </c>
      <c r="C67" t="str">
        <v>Rolagh bata</v>
      </c>
      <c r="D67" t="str">
        <v>m</v>
      </c>
      <c r="E67">
        <f>'QTY-GS'!N619</f>
        <v>66.56</v>
      </c>
      <c r="F67">
        <f>SUMIF(SNI!C$1:C$65536,'RAB - GS'!B$1:B$65536,SNI!L$1:L$65536)</f>
        <v>5227500</v>
      </c>
      <c r="G67">
        <f>E67*F67</f>
        <v>347942400</v>
      </c>
    </row>
    <row r="68">
      <c r="G68" t="str">
        <v>Jumlah B.1.... Rp</v>
      </c>
      <c r="H68">
        <f>SUM(G63:G67)</f>
        <v>347942400</v>
      </c>
    </row>
    <row r="69">
      <c r="A69" t="str">
        <v>B.2</v>
      </c>
      <c r="B69" t="str">
        <v>Pekerjaan Dinding</v>
      </c>
    </row>
    <row r="70">
      <c r="A70">
        <v>1</v>
      </c>
      <c r="B70" t="str">
        <v>Pas. Dinding batu bata; ad 1:2</v>
      </c>
      <c r="C70" t="str">
        <v>Batu bata merah</v>
      </c>
      <c r="D70" t="str">
        <v>m2</v>
      </c>
      <c r="E70">
        <f>'QTY-GS'!N426</f>
        <v>21.5</v>
      </c>
      <c r="F70">
        <f>SUMIF(SNI!C$1:C$65536,'RAB - GS'!B$1:B$65536,SNI!L$1:L$65536)</f>
        <v>5227500</v>
      </c>
      <c r="G70">
        <f>E70*F70</f>
        <v>112391250</v>
      </c>
    </row>
    <row r="71">
      <c r="A71">
        <f>A70+1</f>
        <v>2</v>
      </c>
      <c r="B71" t="str">
        <v>Pas. Dinding batu bata; ad 1:4</v>
      </c>
      <c r="C71" t="str">
        <v>Batu bata merah</v>
      </c>
      <c r="D71" t="str">
        <v>m2</v>
      </c>
      <c r="E71">
        <f>'QTY-GS'!N481</f>
        <v>484.205</v>
      </c>
      <c r="F71">
        <f>SUMIF(SNI!C$1:C$65536,'RAB - GS'!B$1:B$65536,SNI!L$1:L$65536)</f>
        <v>5227500</v>
      </c>
      <c r="G71">
        <f>E71*F71</f>
        <v>2531181637.5</v>
      </c>
    </row>
    <row r="72">
      <c r="A72">
        <f>A71+1</f>
        <v>3</v>
      </c>
      <c r="B72" t="str">
        <v>Pas. Dinding partisi gypsumboard Rangka Kayu</v>
      </c>
      <c r="D72" t="str">
        <v>m2</v>
      </c>
      <c r="E72">
        <f>'QTY-GS'!N487</f>
        <v>28.5</v>
      </c>
      <c r="F72">
        <f>SUMIF(SNI!C$1:C$65536,'RAB - GS'!B$1:B$65536,SNI!L$1:L$65536)</f>
        <v>0</v>
      </c>
      <c r="G72">
        <f>E72*F72</f>
        <v>0</v>
      </c>
    </row>
    <row r="73">
      <c r="A73">
        <f>A72+1</f>
        <v>4</v>
      </c>
      <c r="B73" t="str">
        <v>Pas. Dinding batu bata; ad 1:4</v>
      </c>
      <c r="C73" t="str">
        <v>Penebalan kolom</v>
      </c>
      <c r="D73" t="str">
        <v>m3</v>
      </c>
      <c r="E73">
        <f>'QTY-GS'!N491</f>
        <v>1.5997999999999999</v>
      </c>
      <c r="F73">
        <f>SUMIF(SNI!C$1:C$65536,'RAB - GS'!B$1:B$65536,SNI!L$1:L$65536)</f>
        <v>5227500</v>
      </c>
      <c r="G73">
        <f>E73*F73</f>
        <v>8362954.499999999</v>
      </c>
    </row>
    <row r="74">
      <c r="A74">
        <f>A73+1</f>
        <v>5</v>
      </c>
      <c r="B74" t="str">
        <v>Pas. Plester acian; ad. 1:4</v>
      </c>
      <c r="C74" t="str">
        <v>t. 15 mm; Interior</v>
      </c>
      <c r="D74" t="str">
        <v>m2</v>
      </c>
      <c r="E74">
        <f>'QTY-GS'!N504</f>
        <v>947.13</v>
      </c>
      <c r="F74">
        <f>SUMIF(SNI!C$1:C$65536,'RAB - GS'!B$1:B$65536,SNI!L$1:L$65536)</f>
        <v>0</v>
      </c>
      <c r="G74">
        <f>E74*F74</f>
        <v>0</v>
      </c>
    </row>
    <row r="75">
      <c r="G75" t="str">
        <v>Jumlah B.2.... Rp</v>
      </c>
      <c r="H75">
        <f>SUM(G70:G74)</f>
        <v>2651935842</v>
      </c>
    </row>
    <row r="76">
      <c r="A76" t="str">
        <v>B.3</v>
      </c>
      <c r="B76" t="str">
        <v>Pekerjaan Plafond</v>
      </c>
    </row>
    <row r="77">
      <c r="A77">
        <v>1</v>
      </c>
      <c r="B77" t="str">
        <v>Pas. Rangka Plafond Metal furing</v>
      </c>
      <c r="C77" t="str">
        <v>Metal furing</v>
      </c>
      <c r="D77" t="str">
        <v>m2</v>
      </c>
      <c r="E77">
        <f>'QTY-GS'!N631+'QTY-GS'!N638</f>
        <v>335.46000000000004</v>
      </c>
      <c r="F77">
        <f>SUMIF(SNI!C$1:C$65536,'RAB - GS'!B$1:B$65536,SNI!L$1:L$65536)</f>
        <v>0</v>
      </c>
      <c r="G77">
        <f>E77*F77</f>
        <v>0</v>
      </c>
    </row>
    <row r="78">
      <c r="A78">
        <f>A77+1</f>
        <v>2</v>
      </c>
      <c r="B78" t="str">
        <v>Pas. Penutup Plafond Gypsumboard t. 9 mm</v>
      </c>
      <c r="C78" t="str">
        <v>ex Jayaboard</v>
      </c>
      <c r="D78" t="str">
        <v>m2</v>
      </c>
      <c r="E78">
        <f>E77</f>
        <v>335.46000000000004</v>
      </c>
      <c r="F78">
        <f>SUMIF(SNI!C$1:C$65536,'RAB - GS'!B$1:B$65536,SNI!L$1:L$65536)</f>
        <v>0</v>
      </c>
      <c r="G78">
        <f>E78*F78</f>
        <v>0</v>
      </c>
    </row>
    <row r="79">
      <c r="G79" t="str">
        <v>Jumlah B.3.... Rp</v>
      </c>
      <c r="H79">
        <f>SUM(G77:G78)</f>
        <v>0</v>
      </c>
    </row>
    <row r="80">
      <c r="A80" t="str">
        <v>B.4</v>
      </c>
      <c r="B80" t="str">
        <v>Pekerjaan Atap</v>
      </c>
    </row>
    <row r="81">
      <c r="A81">
        <v>1</v>
      </c>
      <c r="B81" t="str">
        <v>Rangka atap baja ringan</v>
      </c>
      <c r="C81" t="str">
        <v>ex Smartruss</v>
      </c>
      <c r="D81" t="str">
        <v>m2</v>
      </c>
      <c r="E81">
        <f>'QTY-GS'!N650</f>
        <v>397.8675</v>
      </c>
      <c r="F81">
        <f>SUMIF(SNI!C$1:C$65536,'RAB - GS'!B$1:B$65536,SNI!L$1:L$65536)</f>
        <v>0</v>
      </c>
      <c r="G81">
        <f>E81*F81</f>
        <v>0</v>
      </c>
    </row>
    <row r="82">
      <c r="A82">
        <f>A81+1</f>
        <v>2</v>
      </c>
      <c r="B82" t="str">
        <v xml:space="preserve">Penutup atap Genteng Keramik </v>
      </c>
      <c r="C82" t="str">
        <v>ex Jatiwangi</v>
      </c>
      <c r="D82" t="str">
        <v>m2</v>
      </c>
      <c r="E82">
        <f>'QTY-GS'!N652</f>
        <v>397.8675</v>
      </c>
      <c r="F82">
        <f>SUMIF(SNI!C$1:C$65536,'RAB - GS'!B$1:B$65536,SNI!L$1:L$65536)</f>
        <v>0</v>
      </c>
      <c r="G82">
        <f>E82*F82</f>
        <v>0</v>
      </c>
    </row>
    <row r="83">
      <c r="A83">
        <f>A82+1</f>
        <v>3</v>
      </c>
      <c r="B83" t="str">
        <v>Bubungan Genteng Keramik</v>
      </c>
      <c r="C83" t="str">
        <v>ex Jatiwangi</v>
      </c>
      <c r="D83" t="str">
        <v>m</v>
      </c>
      <c r="E83">
        <f>'QTY-GS'!N663</f>
        <v>75.25</v>
      </c>
      <c r="F83">
        <f>SUMIF(SNI!C$1:C$65536,'RAB - GS'!B$1:B$65536,SNI!L$1:L$65536)</f>
        <v>0</v>
      </c>
      <c r="G83">
        <f>E83*F83</f>
        <v>0</v>
      </c>
    </row>
    <row r="84">
      <c r="A84">
        <f>A83+1</f>
        <v>4</v>
      </c>
      <c r="B84" t="str">
        <v>Pas. Lisplank Kayu 3/20 mm</v>
      </c>
      <c r="C84" t="str">
        <v>Kayu kamper medan</v>
      </c>
      <c r="D84" t="str">
        <v>m</v>
      </c>
      <c r="E84">
        <f>'QTY-GS'!N673</f>
        <v>102.5</v>
      </c>
      <c r="F84">
        <f>SUMIF(SNI!C$1:C$65536,'RAB - GS'!B$1:B$65536,SNI!L$1:L$65536)</f>
        <v>0</v>
      </c>
      <c r="G84">
        <f>E84*F84</f>
        <v>0</v>
      </c>
    </row>
    <row r="85">
      <c r="A85">
        <f>A84+1</f>
        <v>5</v>
      </c>
      <c r="B85" t="str">
        <v>Pas. Talang seng plat</v>
      </c>
      <c r="C85" t="str">
        <v>Seng bjls 35</v>
      </c>
      <c r="D85" t="str">
        <v>m</v>
      </c>
      <c r="E85">
        <f>'QTY-GS'!N656</f>
        <v>42</v>
      </c>
      <c r="F85">
        <f>SUMIF(SNI!C$1:C$65536,'RAB - GS'!B$1:B$65536,SNI!L$1:L$65536)</f>
        <v>0</v>
      </c>
      <c r="G85">
        <f>E85*F85</f>
        <v>0</v>
      </c>
    </row>
    <row r="86">
      <c r="G86" t="str">
        <v>Jumlah B.4.... Rp</v>
      </c>
      <c r="H86">
        <f>SUM(G81:G85)</f>
        <v>0</v>
      </c>
    </row>
    <row r="87">
      <c r="A87" t="str">
        <v>B.5</v>
      </c>
      <c r="B87" t="str">
        <v>Pekerjaan Kusen</v>
      </c>
    </row>
    <row r="88">
      <c r="A88">
        <v>1</v>
      </c>
      <c r="B88" t="str">
        <f>+'QTY-GS'!B524</f>
        <v>Kusen pintu P1</v>
      </c>
      <c r="C88" t="str">
        <v>Kusen, Pintu &amp; Jendela Alm. ; Kaca t.6 mm; Ironmongeries ex CISA</v>
      </c>
      <c r="D88" t="str">
        <v>unit</v>
      </c>
      <c r="E88">
        <f>+'QTY-GS'!N524</f>
        <v>7</v>
      </c>
      <c r="F88">
        <f>'ANL-KUSEN GS'!L32</f>
        <v>0</v>
      </c>
      <c r="G88">
        <f>E88*F88</f>
        <v>0</v>
      </c>
    </row>
    <row r="89">
      <c r="A89">
        <f>A88+1</f>
        <v>2</v>
      </c>
      <c r="B89" t="str">
        <f>+'QTY-GS'!B525</f>
        <v>Kusen pintu P2</v>
      </c>
      <c r="D89" t="str">
        <v>unit</v>
      </c>
      <c r="E89">
        <f>+'QTY-GS'!N525</f>
        <v>4</v>
      </c>
      <c r="F89">
        <f>'ANL-KUSEN GS'!L51</f>
        <v>0</v>
      </c>
      <c r="G89">
        <f>E89*F89</f>
        <v>0</v>
      </c>
    </row>
    <row r="90">
      <c r="A90">
        <f>A89+1</f>
        <v>3</v>
      </c>
      <c r="B90" t="str">
        <f>+'QTY-GS'!B526</f>
        <v>Kusen pintu P3</v>
      </c>
      <c r="D90" t="str">
        <v>unit</v>
      </c>
      <c r="E90">
        <f>+'QTY-GS'!N526</f>
        <v>3</v>
      </c>
      <c r="F90">
        <f>'ANL-KUSEN GS'!L56</f>
        <v>0</v>
      </c>
      <c r="G90">
        <f>E90*F90</f>
        <v>0</v>
      </c>
    </row>
    <row r="91">
      <c r="A91">
        <f>A90+1</f>
        <v>4</v>
      </c>
      <c r="B91" t="str">
        <f>+'QTY-GS'!B527</f>
        <v>Kusen pintu P J 1</v>
      </c>
      <c r="D91" t="str">
        <v>unit</v>
      </c>
      <c r="E91">
        <f>+'QTY-GS'!N527</f>
        <v>1</v>
      </c>
      <c r="F91">
        <f>'ANL-KUSEN GS'!L81</f>
        <v>0</v>
      </c>
      <c r="G91">
        <f>E91*F91</f>
        <v>0</v>
      </c>
    </row>
    <row r="92">
      <c r="A92">
        <f>A91+1</f>
        <v>5</v>
      </c>
      <c r="B92" t="str">
        <f>+'QTY-GS'!B528</f>
        <v>Kusen pintu P J 2</v>
      </c>
      <c r="D92" t="str">
        <v>unit</v>
      </c>
      <c r="E92">
        <f>+'QTY-GS'!N528</f>
        <v>1</v>
      </c>
      <c r="F92">
        <f>'ANL-KUSEN GS'!L103</f>
        <v>0</v>
      </c>
      <c r="G92">
        <f>E92*F92</f>
        <v>0</v>
      </c>
    </row>
    <row r="93">
      <c r="A93">
        <f>A92+1</f>
        <v>6</v>
      </c>
      <c r="B93" t="str">
        <f>+'QTY-GS'!B529</f>
        <v>Kusen Pintu jendela J-1</v>
      </c>
      <c r="D93" t="str">
        <v>unit</v>
      </c>
      <c r="E93">
        <f>+'QTY-GS'!N529</f>
        <v>2</v>
      </c>
      <c r="F93">
        <f>'ANL-KUSEN GS'!L119</f>
        <v>0</v>
      </c>
      <c r="G93">
        <f>E93*F93</f>
        <v>0</v>
      </c>
    </row>
    <row r="94">
      <c r="A94">
        <f>A93+1</f>
        <v>7</v>
      </c>
      <c r="B94" t="str">
        <f>+'QTY-GS'!B530</f>
        <v>Kusen Pintu jendela J-2</v>
      </c>
      <c r="D94" t="str">
        <v>unit</v>
      </c>
      <c r="E94">
        <f>+'QTY-GS'!N530</f>
        <v>5</v>
      </c>
      <c r="F94">
        <f>'ANL-KUSEN GS'!L135</f>
        <v>0</v>
      </c>
      <c r="G94">
        <f>E94*F94</f>
        <v>0</v>
      </c>
    </row>
    <row r="95">
      <c r="A95">
        <f>A94+1</f>
        <v>8</v>
      </c>
      <c r="B95" t="str">
        <f>+'QTY-GS'!B531</f>
        <v>Kusen Pintu jendela J-3</v>
      </c>
      <c r="D95" t="str">
        <v>unit</v>
      </c>
      <c r="E95">
        <f>+'QTY-GS'!N531</f>
        <v>1</v>
      </c>
      <c r="F95">
        <f>'ANL-KUSEN GS'!L150</f>
        <v>0</v>
      </c>
      <c r="G95">
        <f>E95*F95</f>
        <v>0</v>
      </c>
    </row>
    <row r="96">
      <c r="A96">
        <f>A95+1</f>
        <v>9</v>
      </c>
      <c r="B96" t="str">
        <f>'QTY-GS'!B532</f>
        <v>Kusen Bovenlight BV1</v>
      </c>
      <c r="D96" t="str">
        <v>unit</v>
      </c>
      <c r="E96">
        <f>+'QTY-GS'!N532</f>
        <v>8</v>
      </c>
      <c r="F96">
        <f>'ANL-KUSEN GS'!L166</f>
        <v>0</v>
      </c>
      <c r="G96">
        <f>E96*F96</f>
        <v>0</v>
      </c>
    </row>
    <row r="97">
      <c r="A97">
        <f>A96+1</f>
        <v>10</v>
      </c>
      <c r="B97" t="str">
        <f>'QTY-GS'!B533</f>
        <v>Kusen Bovenlight BV2</v>
      </c>
      <c r="D97" t="str">
        <v>unit</v>
      </c>
      <c r="E97">
        <f>+'QTY-GS'!N533</f>
        <v>3</v>
      </c>
      <c r="F97">
        <f>'ANL-KUSEN GS'!L181</f>
        <v>0</v>
      </c>
      <c r="G97">
        <f>E97*F97</f>
        <v>0</v>
      </c>
    </row>
    <row r="98">
      <c r="A98">
        <f>A97+1</f>
        <v>11</v>
      </c>
      <c r="B98" t="str">
        <f>'QTY-GS'!B534</f>
        <v>Kusen Bovenlight BV3</v>
      </c>
      <c r="D98" t="str">
        <v>unit</v>
      </c>
      <c r="E98">
        <f>+'QTY-GS'!N534</f>
        <v>3</v>
      </c>
      <c r="F98">
        <f>'ANL-KUSEN GS'!L197</f>
        <v>0</v>
      </c>
      <c r="G98">
        <f>E98*F98</f>
        <v>0</v>
      </c>
    </row>
    <row r="99">
      <c r="A99">
        <f>A98+1</f>
        <v>12</v>
      </c>
      <c r="B99" t="str">
        <f>'QTY-GS'!B535</f>
        <v>Bovenlight GR  1</v>
      </c>
      <c r="D99" t="str">
        <v>unit</v>
      </c>
      <c r="E99">
        <f>+'QTY-GS'!N535</f>
        <v>2</v>
      </c>
      <c r="F99">
        <f>F96</f>
        <v>0</v>
      </c>
      <c r="G99">
        <f>E99*F99</f>
        <v>0</v>
      </c>
    </row>
    <row r="100">
      <c r="A100">
        <f>A99+1</f>
        <v>13</v>
      </c>
      <c r="B100" t="str">
        <f>'QTY-GS'!B536</f>
        <v>Bovenlight GR  2</v>
      </c>
      <c r="D100" t="str">
        <v>unit</v>
      </c>
      <c r="E100">
        <f>+'QTY-GS'!N536</f>
        <v>2</v>
      </c>
      <c r="F100">
        <f>F97</f>
        <v>0</v>
      </c>
      <c r="G100">
        <f>E100*F100</f>
        <v>0</v>
      </c>
    </row>
    <row r="101">
      <c r="A101">
        <f>A100+1</f>
        <v>14</v>
      </c>
      <c r="B101" t="str">
        <f>'QTY-GS'!B537</f>
        <v>Bovenlight GR  3</v>
      </c>
      <c r="D101" t="str">
        <v>unit</v>
      </c>
      <c r="E101">
        <f>+'QTY-GS'!N537</f>
        <v>2</v>
      </c>
      <c r="F101">
        <f>F98</f>
        <v>0</v>
      </c>
      <c r="G101">
        <f>E101*F101</f>
        <v>0</v>
      </c>
    </row>
    <row r="102">
      <c r="G102" t="str">
        <v>Jumlah B.5.... Rp</v>
      </c>
      <c r="H102">
        <f>SUM(G88:G101)</f>
        <v>0</v>
      </c>
    </row>
    <row r="103">
      <c r="A103" t="str">
        <v>C</v>
      </c>
      <c r="B103" t="str">
        <v>PEKERJAAN UTILITAS</v>
      </c>
    </row>
    <row r="104">
      <c r="A104" t="str">
        <v>C.1</v>
      </c>
      <c r="B104" t="str">
        <v>Pekerjaan Plumbing</v>
      </c>
    </row>
    <row r="105">
      <c r="A105" t="str">
        <v>C.1.1</v>
      </c>
      <c r="B105" t="str">
        <v>Pekerjaan Sanitary</v>
      </c>
    </row>
    <row r="106">
      <c r="A106">
        <v>1</v>
      </c>
      <c r="B106" t="str">
        <v>Pas. Kloset Duduk Keramik</v>
      </c>
      <c r="C106" t="str">
        <v>TOTO CW 660 J / SW 660 J</v>
      </c>
      <c r="D106" t="str">
        <v>unit</v>
      </c>
      <c r="E106">
        <f>+'QTY-GS'!N676</f>
        <v>1</v>
      </c>
      <c r="F106">
        <f>SUMIF(SNI!C$1:C$65536,'RAB - GS'!B$1:B$65536,SNI!L$1:L$65536)</f>
        <v>0</v>
      </c>
      <c r="G106">
        <f>E106*F106</f>
        <v>0</v>
      </c>
    </row>
    <row r="107">
      <c r="A107">
        <f>A106+1</f>
        <v>2</v>
      </c>
      <c r="B107" t="str">
        <v>Pas. Kloset Jongkok Keramik</v>
      </c>
      <c r="C107" t="str">
        <v>TOTO CE 7</v>
      </c>
      <c r="D107" t="str">
        <v>unit</v>
      </c>
      <c r="E107">
        <f>+'QTY-GS'!N677</f>
        <v>2</v>
      </c>
      <c r="F107">
        <f>SUMIF(SNI!C$1:C$65536,'RAB - GS'!B$1:B$65536,SNI!L$1:L$65536)</f>
        <v>0</v>
      </c>
      <c r="G107">
        <f>E107*F107</f>
        <v>0</v>
      </c>
    </row>
    <row r="108">
      <c r="A108">
        <f>A107+1</f>
        <v>3</v>
      </c>
      <c r="B108" t="str">
        <v>Pas. Floor Drain</v>
      </c>
      <c r="C108" t="str">
        <v>TOTO TX 1 BN</v>
      </c>
      <c r="D108" t="str">
        <v>bh</v>
      </c>
      <c r="E108">
        <f>+'QTY-GS'!N680</f>
        <v>3</v>
      </c>
      <c r="F108">
        <f>SUMIF(SNI!C$1:C$65536,'RAB - GS'!B$1:B$65536,SNI!L$1:L$65536)</f>
        <v>0</v>
      </c>
      <c r="G108">
        <f>E108*F108</f>
        <v>0</v>
      </c>
    </row>
    <row r="109">
      <c r="A109">
        <f>A108+1</f>
        <v>4</v>
      </c>
      <c r="B109" t="str">
        <v>Pas. Kran dinding</v>
      </c>
      <c r="C109" t="str">
        <v>TOTO T 23 B 13</v>
      </c>
      <c r="D109" t="str">
        <v>bh</v>
      </c>
      <c r="E109">
        <f>+'QTY-GS'!N681</f>
        <v>3</v>
      </c>
      <c r="F109">
        <f>SUMIF(SNI!C$1:C$65536,'RAB - GS'!B$1:B$65536,SNI!L$1:L$65536)</f>
        <v>0</v>
      </c>
      <c r="G109">
        <f>E109*F109</f>
        <v>0</v>
      </c>
    </row>
    <row r="110">
      <c r="A110">
        <f>A109+1</f>
        <v>5</v>
      </c>
      <c r="B110" t="str">
        <v>Pas. Bak Air Fiberglass</v>
      </c>
      <c r="C110" t="str">
        <v>Fibre glass</v>
      </c>
      <c r="D110" t="str">
        <v>bh</v>
      </c>
      <c r="E110">
        <f>+'QTY-GS'!N682</f>
        <v>1</v>
      </c>
      <c r="F110">
        <f>SUMIF(SNI!C$1:C$65536,'RAB - GS'!B$1:B$65536,SNI!L$1:L$65536)</f>
        <v>0</v>
      </c>
      <c r="G110">
        <f>E110*F110</f>
        <v>0</v>
      </c>
      <c r="H110">
        <f>SUM(G106:G110)</f>
        <v>0</v>
      </c>
    </row>
    <row r="111">
      <c r="A111" t="str">
        <v>C.1.2</v>
      </c>
      <c r="B111" t="str">
        <v>Pekerjaan Sumur Dalam</v>
      </c>
    </row>
    <row r="112">
      <c r="A112">
        <v>1</v>
      </c>
      <c r="B112" t="str">
        <v>Pengeboran Sumur</v>
      </c>
      <c r="D112" t="str">
        <v>m'</v>
      </c>
      <c r="E112">
        <v>24</v>
      </c>
      <c r="F112">
        <f>IF(F113=0,0,75000)</f>
        <v>0</v>
      </c>
      <c r="G112">
        <f>E112*F112</f>
        <v>0</v>
      </c>
    </row>
    <row r="113">
      <c r="A113">
        <f>A112+1</f>
        <v>2</v>
      </c>
      <c r="B113" t="str">
        <v xml:space="preserve">Pipa PVC dia. 3" </v>
      </c>
      <c r="C113" t="str">
        <v>Casing; Wavin</v>
      </c>
      <c r="D113" t="str">
        <v>m'</v>
      </c>
      <c r="E113">
        <v>24</v>
      </c>
      <c r="F113">
        <f>SUMIF(SNI!C$1:C$65536,'RAB - GS'!B$1:B$65536,SNI!L$1:L$65536)</f>
        <v>0</v>
      </c>
      <c r="G113">
        <f>E113*F113</f>
        <v>0</v>
      </c>
    </row>
    <row r="114">
      <c r="A114">
        <f>A113+1</f>
        <v>3</v>
      </c>
      <c r="B114" t="str">
        <v xml:space="preserve">Pipa PVC dia. 2" </v>
      </c>
      <c r="C114" t="str">
        <v>Casing; Wavin</v>
      </c>
      <c r="D114" t="str">
        <v>m'</v>
      </c>
      <c r="E114">
        <v>6</v>
      </c>
      <c r="F114">
        <f>SUMIF(SNI!C$1:C$65536,'RAB - GS'!B$1:B$65536,SNI!L$1:L$65536)</f>
        <v>0</v>
      </c>
      <c r="G114">
        <f>E114*F114</f>
        <v>0</v>
      </c>
    </row>
    <row r="115">
      <c r="A115">
        <f>A114+1</f>
        <v>4</v>
      </c>
      <c r="B115" t="str">
        <v xml:space="preserve">Pipa PVC dia. 3/4" </v>
      </c>
      <c r="C115" t="str">
        <v>ex Wavin</v>
      </c>
      <c r="D115" t="str">
        <v>m'</v>
      </c>
      <c r="E115">
        <v>24</v>
      </c>
      <c r="F115">
        <f>SUMIF(SNI!C$1:C$65536,'RAB - GS'!B$1:B$65536,SNI!L$1:L$65536)</f>
        <v>0</v>
      </c>
      <c r="G115">
        <f>E115*F115</f>
        <v>0</v>
      </c>
    </row>
    <row r="116">
      <c r="A116">
        <f>A115+1</f>
        <v>5</v>
      </c>
      <c r="B116" t="str">
        <v>Klep diameter 3/4"</v>
      </c>
      <c r="D116" t="str">
        <v>bh</v>
      </c>
      <c r="E116">
        <v>1</v>
      </c>
      <c r="F116">
        <f>SUMIF(SNI!C$1:C$65536,'RAB - GS'!B$1:B$65536,SNI!L$1:L$65536)</f>
        <v>0</v>
      </c>
      <c r="G116">
        <f>E116*F116</f>
        <v>0</v>
      </c>
    </row>
    <row r="117">
      <c r="A117">
        <f>A116+1</f>
        <v>6</v>
      </c>
      <c r="B117" t="str">
        <v>Stop kran dia. 1"</v>
      </c>
      <c r="D117" t="str">
        <v>bh</v>
      </c>
      <c r="E117">
        <v>1</v>
      </c>
      <c r="F117">
        <f>SUMIF(SNI!C$1:C$65536,'RAB - GS'!B$1:B$65536,SNI!L$1:L$65536)</f>
        <v>0</v>
      </c>
      <c r="G117">
        <f>E117*F117</f>
        <v>0</v>
      </c>
    </row>
    <row r="118">
      <c r="A118">
        <f>A117+1</f>
        <v>7</v>
      </c>
      <c r="B118" t="str">
        <v>Mesin Jet Pump kap.250 watt</v>
      </c>
      <c r="C118" t="str">
        <v>Groundfos</v>
      </c>
      <c r="D118" t="str">
        <v>bh</v>
      </c>
      <c r="E118">
        <v>1</v>
      </c>
      <c r="F118">
        <f>SUMIF(SNI!C$1:C$65536,'RAB - GS'!B$1:B$65536,SNI!L$1:L$65536)</f>
        <v>0</v>
      </c>
      <c r="G118">
        <f>E118*F118</f>
        <v>0</v>
      </c>
      <c r="H118">
        <f>SUM(G112:G118)</f>
        <v>0</v>
      </c>
    </row>
    <row r="119">
      <c r="A119" t="str">
        <v>C.1.3</v>
      </c>
      <c r="B119" t="str">
        <v>Tanki Air</v>
      </c>
    </row>
    <row r="120">
      <c r="A120">
        <v>1</v>
      </c>
      <c r="B120" t="str">
        <v xml:space="preserve">Pipa PVC dia. 1" </v>
      </c>
      <c r="C120" t="str">
        <v>Sparing pam; ex Wavin</v>
      </c>
      <c r="D120" t="str">
        <v>m'</v>
      </c>
      <c r="E120">
        <v>12</v>
      </c>
      <c r="F120">
        <f>SUMIF(SNI!C$1:C$65536,'RAB - GS'!B$1:B$65536,SNI!L$1:L$65536)</f>
        <v>0</v>
      </c>
      <c r="G120">
        <f>E120*F120</f>
        <v>0</v>
      </c>
    </row>
    <row r="121">
      <c r="A121">
        <f>A120+1</f>
        <v>2</v>
      </c>
      <c r="B121" t="str">
        <v xml:space="preserve">Pipa PVC dia. 1" </v>
      </c>
      <c r="C121" t="str">
        <v>Inst. d/ pompa ke tanki air; ex Wavin</v>
      </c>
      <c r="D121" t="str">
        <v>m'</v>
      </c>
      <c r="E121">
        <v>8</v>
      </c>
      <c r="F121">
        <f>SUMIF(SNI!C$1:C$65536,'RAB - GS'!B$1:B$65536,SNI!L$1:L$65536)</f>
        <v>0</v>
      </c>
      <c r="G121">
        <f>E121*F121</f>
        <v>0</v>
      </c>
    </row>
    <row r="122">
      <c r="A122">
        <f>A121+1</f>
        <v>3</v>
      </c>
      <c r="B122" t="str">
        <v xml:space="preserve">Pipa PVC dia. 3/4" </v>
      </c>
      <c r="C122" t="str">
        <v>ex Wavin</v>
      </c>
      <c r="D122" t="str">
        <v>m'</v>
      </c>
      <c r="E122">
        <v>4</v>
      </c>
      <c r="F122">
        <f>SUMIF(SNI!C$1:C$65536,'RAB - GS'!B$1:B$65536,SNI!L$1:L$65536)</f>
        <v>0</v>
      </c>
      <c r="G122">
        <f>E122*F122</f>
        <v>0</v>
      </c>
    </row>
    <row r="123">
      <c r="A123">
        <f>A122+1</f>
        <v>4</v>
      </c>
      <c r="B123" t="str">
        <v>Tangki air 500 liter</v>
      </c>
      <c r="C123" t="str">
        <v>Exel</v>
      </c>
      <c r="D123" t="str">
        <v>bh</v>
      </c>
      <c r="E123">
        <v>1</v>
      </c>
      <c r="F123">
        <f>SUMIF(SNI!C$1:C$65536,'RAB - GS'!B$1:B$65536,SNI!L$1:L$65536)</f>
        <v>0</v>
      </c>
      <c r="G123">
        <f>E123*F123</f>
        <v>0</v>
      </c>
    </row>
    <row r="124">
      <c r="A124">
        <f>A123+1</f>
        <v>5</v>
      </c>
      <c r="B124" t="str">
        <v>Dudukan tangki air</v>
      </c>
      <c r="C124" t="str">
        <v>Besi siku</v>
      </c>
      <c r="D124" t="str">
        <v>bh</v>
      </c>
      <c r="E124">
        <v>1</v>
      </c>
      <c r="F124">
        <f>SUMIF(SNI!C$1:C$65536,'RAB - GS'!B$1:B$65536,SNI!L$1:L$65536)</f>
        <v>0</v>
      </c>
      <c r="G124">
        <f>E124*F124</f>
        <v>0</v>
      </c>
    </row>
    <row r="125">
      <c r="A125">
        <f>A124+1</f>
        <v>6</v>
      </c>
      <c r="B125" t="str">
        <v>Stop kran dia. 1"</v>
      </c>
      <c r="C125" t="str">
        <v>ex Onda</v>
      </c>
      <c r="D125" t="str">
        <v>bh</v>
      </c>
      <c r="E125">
        <v>2</v>
      </c>
      <c r="F125">
        <f>SUMIF(SNI!C$1:C$65536,'RAB - GS'!B$1:B$65536,SNI!L$1:L$65536)</f>
        <v>0</v>
      </c>
      <c r="G125">
        <f>E125*F125</f>
        <v>0</v>
      </c>
    </row>
    <row r="126">
      <c r="A126">
        <f>A125+1</f>
        <v>7</v>
      </c>
      <c r="B126" t="str">
        <v>Stop kran dia. 1"</v>
      </c>
      <c r="C126" t="str">
        <v>ex Onda</v>
      </c>
      <c r="D126" t="str">
        <v>bh</v>
      </c>
      <c r="E126">
        <v>1</v>
      </c>
      <c r="F126">
        <f>SUMIF(SNI!C$1:C$65536,'RAB - GS'!B$1:B$65536,SNI!L$1:L$65536)</f>
        <v>0</v>
      </c>
      <c r="G126">
        <f>E126*F126</f>
        <v>0</v>
      </c>
    </row>
    <row r="127">
      <c r="A127">
        <f>A126+1</f>
        <v>8</v>
      </c>
      <c r="B127" t="str">
        <v>Stop kran dia. 1"</v>
      </c>
      <c r="C127" t="str">
        <v>ex Onda</v>
      </c>
      <c r="D127" t="str">
        <v>bh</v>
      </c>
      <c r="E127">
        <v>1</v>
      </c>
      <c r="F127">
        <f>SUMIF(SNI!C$1:C$65536,'RAB - GS'!B$1:B$65536,SNI!L$1:L$65536)</f>
        <v>0</v>
      </c>
      <c r="G127">
        <f>E127*F127</f>
        <v>0</v>
      </c>
      <c r="H127">
        <f>SUM(G120:G127)</f>
        <v>0</v>
      </c>
    </row>
    <row r="128">
      <c r="A128" t="str">
        <v>C.1.4</v>
      </c>
      <c r="B128" t="str">
        <v>Instalasi Air Bersih</v>
      </c>
    </row>
    <row r="129">
      <c r="A129">
        <v>1</v>
      </c>
      <c r="B129" t="str">
        <v xml:space="preserve">Pipa PVC dia. 2" </v>
      </c>
      <c r="D129" t="str">
        <v>m</v>
      </c>
      <c r="E129">
        <f>'QTY-GS'!N698</f>
        <v>40</v>
      </c>
      <c r="F129">
        <f>SUMIF(SNI!C$1:C$65536,'RAB - GS'!B$1:B$65536,SNI!L$1:L$65536)</f>
        <v>0</v>
      </c>
      <c r="G129">
        <f>E129*F129</f>
        <v>0</v>
      </c>
    </row>
    <row r="130">
      <c r="A130">
        <f>A129+1</f>
        <v>2</v>
      </c>
      <c r="B130" t="str">
        <v xml:space="preserve">Pipa PVC dia. 1" </v>
      </c>
      <c r="D130" t="str">
        <v>m</v>
      </c>
      <c r="E130">
        <f>'QTY-GS'!N699</f>
        <v>35</v>
      </c>
      <c r="F130">
        <f>SUMIF(SNI!C$1:C$65536,'RAB - GS'!B$1:B$65536,SNI!L$1:L$65536)</f>
        <v>0</v>
      </c>
      <c r="G130">
        <f>E130*F130</f>
        <v>0</v>
      </c>
    </row>
    <row r="131">
      <c r="A131">
        <f>A130+1</f>
        <v>3</v>
      </c>
      <c r="B131" t="str">
        <v xml:space="preserve">Pipa PVC dia. 3/4" </v>
      </c>
      <c r="D131" t="str">
        <v>m</v>
      </c>
      <c r="E131">
        <f>'QTY-GS'!N700</f>
        <v>8</v>
      </c>
      <c r="F131">
        <f>SUMIF(SNI!C$1:C$65536,'RAB - GS'!B$1:B$65536,SNI!L$1:L$65536)</f>
        <v>0</v>
      </c>
      <c r="G131">
        <f>E131*F131</f>
        <v>0</v>
      </c>
      <c r="H131">
        <f>SUM(G129:G131)</f>
        <v>0</v>
      </c>
    </row>
    <row r="132">
      <c r="A132" t="str">
        <v>C.1.5</v>
      </c>
      <c r="B132" t="str">
        <v>Instalasi Air Kotor &amp; air bekas</v>
      </c>
    </row>
    <row r="133">
      <c r="A133">
        <v>1</v>
      </c>
      <c r="B133" t="str">
        <v xml:space="preserve">Pipa PVC dia. 4" </v>
      </c>
      <c r="D133" t="str">
        <v>m</v>
      </c>
      <c r="E133">
        <f>'QTY-GS'!N707</f>
        <v>40</v>
      </c>
      <c r="F133">
        <f>SUMIF(SNI!C$1:C$65536,'RAB - GS'!B$1:B$65536,SNI!L$1:L$65536)</f>
        <v>0</v>
      </c>
      <c r="G133">
        <f>E133*F133</f>
        <v>0</v>
      </c>
    </row>
    <row r="134">
      <c r="A134">
        <f>A133+1</f>
        <v>2</v>
      </c>
      <c r="B134" t="str">
        <v xml:space="preserve">Pipa PVC dia. 4" </v>
      </c>
      <c r="D134" t="str">
        <v>m</v>
      </c>
      <c r="E134">
        <f>'QTY-GS'!N711</f>
        <v>63.5</v>
      </c>
      <c r="F134">
        <f>SUMIF(SNI!C$1:C$65536,'RAB - GS'!B$1:B$65536,SNI!L$1:L$65536)</f>
        <v>0</v>
      </c>
      <c r="G134">
        <f>E134*F134</f>
        <v>0</v>
      </c>
    </row>
    <row r="135">
      <c r="A135">
        <f>A134+1</f>
        <v>3</v>
      </c>
      <c r="B135" t="str">
        <v xml:space="preserve">Pipa PVC dia. 2" </v>
      </c>
      <c r="D135" t="str">
        <v>m</v>
      </c>
      <c r="E135">
        <f>'QTY-GS'!N712</f>
        <v>9</v>
      </c>
      <c r="F135">
        <f>SUMIF(SNI!C$1:C$65536,'RAB - GS'!B$1:B$65536,SNI!L$1:L$65536)</f>
        <v>0</v>
      </c>
      <c r="G135">
        <f>E135*F135</f>
        <v>0</v>
      </c>
      <c r="H135">
        <f>SUM(G133:G135)</f>
        <v>0</v>
      </c>
    </row>
    <row r="136">
      <c r="A136" t="str">
        <v>C.1.6</v>
      </c>
      <c r="B136" t="str">
        <v>Pekerjaan Reservoir</v>
      </c>
    </row>
    <row r="137">
      <c r="A137">
        <v>1</v>
      </c>
      <c r="B137" t="str">
        <v>Galian tanah, dalam  s/d 1 m</v>
      </c>
      <c r="D137" t="str">
        <v>m3</v>
      </c>
      <c r="E137">
        <v>5.63</v>
      </c>
      <c r="F137">
        <f>SUMIF(SNI!C$1:C$65536,'RAB - GS'!B$1:B$65536,SNI!L$1:L$65536)</f>
        <v>0</v>
      </c>
      <c r="G137">
        <f>E137*F137</f>
        <v>0</v>
      </c>
    </row>
    <row r="138">
      <c r="A138">
        <f>A137+1</f>
        <v>2</v>
      </c>
      <c r="B138" t="str">
        <v>Pas. Urugan pasir</v>
      </c>
      <c r="D138" t="str">
        <v>m3</v>
      </c>
      <c r="E138">
        <v>0.12</v>
      </c>
      <c r="F138">
        <f>SUMIF(SNI!C$1:C$65536,'RAB - GS'!B$1:B$65536,SNI!L$1:L$65536)</f>
        <v>0</v>
      </c>
      <c r="G138">
        <f>E138*F138</f>
        <v>0</v>
      </c>
    </row>
    <row r="139">
      <c r="A139">
        <f>A138+1</f>
        <v>3</v>
      </c>
      <c r="B139" t="str">
        <v>Pas. Lantai kerja beton tumbuk 1:3:5</v>
      </c>
      <c r="D139" t="str">
        <v>m2</v>
      </c>
      <c r="E139">
        <v>3.75</v>
      </c>
      <c r="F139">
        <f>SUMIF(SNI!C$1:C$65536,'RAB - GS'!B$1:B$65536,SNI!L$1:L$65536)</f>
        <v>0</v>
      </c>
      <c r="G139">
        <f>E139*F139</f>
        <v>0</v>
      </c>
    </row>
    <row r="140">
      <c r="A140">
        <f>A139+1</f>
        <v>4</v>
      </c>
      <c r="B140" t="str">
        <v>Bekisting beton plat lantai</v>
      </c>
      <c r="D140" t="str">
        <v>m2</v>
      </c>
      <c r="E140">
        <f>(E142/0.1)</f>
        <v>21</v>
      </c>
      <c r="F140">
        <f>SUMIF(SNI!C$1:C$65536,'RAB - GS'!B$1:B$65536,SNI!L$1:L$65536)</f>
        <v>0</v>
      </c>
      <c r="G140">
        <f>E140*F140</f>
        <v>0</v>
      </c>
    </row>
    <row r="141">
      <c r="A141">
        <f>A140+1</f>
        <v>5</v>
      </c>
      <c r="B141" t="str">
        <v>Tulangan besi beton U-24</v>
      </c>
      <c r="D141" t="str">
        <v>kg</v>
      </c>
      <c r="E141">
        <f>E142*150</f>
        <v>315</v>
      </c>
      <c r="F141">
        <f>SUMIF(SNI!C$1:C$65536,'RAB - GS'!B$1:B$65536,SNI!L$1:L$65536)</f>
        <v>0</v>
      </c>
      <c r="G141">
        <f>E141*F141</f>
        <v>0</v>
      </c>
    </row>
    <row r="142">
      <c r="A142">
        <f>A141+1</f>
        <v>6</v>
      </c>
      <c r="B142" t="str">
        <v>Beton K - 200</v>
      </c>
      <c r="D142" t="str">
        <v>m3</v>
      </c>
      <c r="E142">
        <v>2.1</v>
      </c>
      <c r="F142">
        <f>SUMIF(SNI!C$1:C$65536,'RAB - GS'!B$1:B$65536,SNI!L$1:L$65536)</f>
        <v>0</v>
      </c>
      <c r="G142">
        <f>E142*F142</f>
        <v>0</v>
      </c>
      <c r="H142">
        <f>SUM(G137:G142)</f>
        <v>0</v>
      </c>
    </row>
    <row r="143">
      <c r="A143" t="str">
        <v>C.1.7</v>
      </c>
      <c r="B143" t="str">
        <v>Pekerjaan Septictank</v>
      </c>
    </row>
    <row r="144">
      <c r="A144">
        <v>1</v>
      </c>
      <c r="B144" t="str">
        <v xml:space="preserve">Septictank Pas. Bata kap. 3,00 m3 + Rembesan </v>
      </c>
      <c r="D144" t="str">
        <v>bh</v>
      </c>
      <c r="E144">
        <v>1</v>
      </c>
      <c r="F144">
        <f>SUMIF(SNI!C$1:C$65536,'RAB - GS'!B$1:B$65536,SNI!L$1:L$65536)</f>
        <v>60377600</v>
      </c>
      <c r="G144">
        <f>E144*F144</f>
        <v>60377600</v>
      </c>
      <c r="H144">
        <f>SUM(G144)</f>
        <v>60377600</v>
      </c>
    </row>
    <row r="145">
      <c r="G145" t="str">
        <v>Jumlah C.1 .... Rp</v>
      </c>
      <c r="H145">
        <f>SUM(G106:G144)</f>
        <v>60377600</v>
      </c>
    </row>
    <row r="146">
      <c r="A146" t="str">
        <v>C.2</v>
      </c>
      <c r="B146" t="str">
        <v>Pekerjaan Elektrikal</v>
      </c>
    </row>
    <row r="147">
      <c r="A147" t="str">
        <v>C.2.1</v>
      </c>
      <c r="B147" t="str">
        <v>Panel</v>
      </c>
    </row>
    <row r="148">
      <c r="A148">
        <v>1</v>
      </c>
      <c r="B148" t="str">
        <v>Pas. Box Panel</v>
      </c>
      <c r="D148" t="str">
        <v>unit</v>
      </c>
      <c r="E148">
        <f>'QTY-GS'!N694</f>
        <v>1</v>
      </c>
      <c r="F148">
        <f>SUMIF(SNI!C$1:C$65536,'RAB - GS'!B$1:B$65536,SNI!L$1:L$65536)</f>
        <v>0</v>
      </c>
      <c r="G148">
        <f>E148*F148</f>
        <v>0</v>
      </c>
      <c r="H148">
        <f>SUM(G148)</f>
        <v>0</v>
      </c>
    </row>
    <row r="149">
      <c r="A149" t="str">
        <v>E.2.2</v>
      </c>
      <c r="B149" t="str">
        <v>Instalasi</v>
      </c>
    </row>
    <row r="150">
      <c r="A150">
        <v>1</v>
      </c>
      <c r="B150" t="str">
        <v>Pas. Instalasi lampu</v>
      </c>
      <c r="D150" t="str">
        <v>ttk</v>
      </c>
      <c r="E150">
        <f>'QTY-GS'!N688</f>
        <v>37</v>
      </c>
      <c r="F150">
        <f>SUMIF(SNI!C$1:C$65536,'RAB - GS'!B$1:B$65536,SNI!L$1:L$65536)</f>
        <v>0</v>
      </c>
      <c r="G150">
        <f>E150*F150</f>
        <v>0</v>
      </c>
    </row>
    <row r="151">
      <c r="A151">
        <f>A150+1</f>
        <v>2</v>
      </c>
      <c r="B151" t="str">
        <v>Pas. Instalasi stop kontak</v>
      </c>
      <c r="D151" t="str">
        <v>ttk</v>
      </c>
      <c r="E151">
        <f>'QTY-GS'!N689</f>
        <v>18</v>
      </c>
      <c r="F151">
        <f>SUMIF(SNI!C$1:C$65536,'RAB - GS'!B$1:B$65536,SNI!L$1:L$65536)</f>
        <v>0</v>
      </c>
      <c r="G151">
        <f>E151*F151</f>
        <v>0</v>
      </c>
      <c r="H151">
        <f>SUM(G150:G151)</f>
        <v>0</v>
      </c>
    </row>
    <row r="152">
      <c r="A152" t="str">
        <v>C.2.3</v>
      </c>
      <c r="B152" t="str">
        <v>Armature</v>
      </c>
    </row>
    <row r="153">
      <c r="A153">
        <v>1</v>
      </c>
      <c r="B153" t="str">
        <v>Pas. Saklar engkel</v>
      </c>
      <c r="C153" t="str">
        <v>ex Broco</v>
      </c>
      <c r="D153" t="str">
        <v>ttk</v>
      </c>
      <c r="E153">
        <v>18</v>
      </c>
      <c r="F153">
        <f>SUMIF(SNI!C$1:C$65536,'RAB - GS'!B$1:B$65536,SNI!L$1:L$65536)</f>
        <v>0</v>
      </c>
      <c r="G153">
        <f>E153*F153</f>
        <v>0</v>
      </c>
    </row>
    <row r="154">
      <c r="A154">
        <f>A153+1</f>
        <v>2</v>
      </c>
      <c r="B154" t="str">
        <v>Pas. Saklar doble</v>
      </c>
      <c r="C154" t="str">
        <v>ex Broco</v>
      </c>
      <c r="D154" t="str">
        <v>ttk</v>
      </c>
      <c r="E154">
        <v>19</v>
      </c>
      <c r="F154">
        <f>SUMIF(SNI!C$1:C$65536,'RAB - GS'!B$1:B$65536,SNI!L$1:L$65536)</f>
        <v>0</v>
      </c>
      <c r="G154">
        <f>E154*F154</f>
        <v>0</v>
      </c>
    </row>
    <row r="155">
      <c r="A155">
        <f>A154+1</f>
        <v>3</v>
      </c>
      <c r="B155" t="str">
        <v>Pas. Stop kontak</v>
      </c>
      <c r="C155" t="str">
        <v>ex Broco</v>
      </c>
      <c r="D155" t="str">
        <v>ttk</v>
      </c>
      <c r="E155">
        <f>'QTY-GS'!N690</f>
        <v>18</v>
      </c>
      <c r="F155">
        <f>SUMIF(SNI!C$1:C$65536,'RAB - GS'!B$1:B$65536,SNI!L$1:L$65536)</f>
        <v>0</v>
      </c>
      <c r="G155">
        <f>E155*F155</f>
        <v>0</v>
      </c>
    </row>
    <row r="156">
      <c r="A156">
        <f>A155+1</f>
        <v>4</v>
      </c>
      <c r="B156" t="str">
        <v>Pas. Lampu TL 2 x 18 watt grille</v>
      </c>
      <c r="C156" t="str">
        <v>ex Phanasonic</v>
      </c>
      <c r="D156" t="str">
        <v>bh</v>
      </c>
      <c r="E156">
        <f>'QTY-GS'!N691</f>
        <v>8</v>
      </c>
      <c r="F156">
        <f>SUMIF(SNI!C$1:C$65536,'RAB - GS'!B$1:B$65536,SNI!L$1:L$65536)</f>
        <v>0</v>
      </c>
      <c r="G156">
        <f>E156*F156</f>
        <v>0</v>
      </c>
    </row>
    <row r="157">
      <c r="A157">
        <f>A156+1</f>
        <v>5</v>
      </c>
      <c r="B157" t="str">
        <v>Pas. Lampu TL 2 x 36 watt grille</v>
      </c>
      <c r="C157" t="str">
        <v>ex Phanasonic</v>
      </c>
      <c r="D157" t="str">
        <v>bh</v>
      </c>
      <c r="E157">
        <f>'QTY-GS'!N692</f>
        <v>8</v>
      </c>
      <c r="F157">
        <f>SUMIF(SNI!C$1:C$65536,'RAB - GS'!B$1:B$65536,SNI!L$1:L$65536)</f>
        <v>0</v>
      </c>
      <c r="G157">
        <f>E157*F157</f>
        <v>0</v>
      </c>
    </row>
    <row r="158">
      <c r="A158">
        <f>A157+1</f>
        <v>6</v>
      </c>
      <c r="B158" t="str">
        <v>Pas. Down light &amp; PLC 13 W</v>
      </c>
      <c r="C158" t="str">
        <v>ex Phanasonic</v>
      </c>
      <c r="D158" t="str">
        <v>bh</v>
      </c>
      <c r="E158">
        <f>'QTY-GS'!N693</f>
        <v>21</v>
      </c>
      <c r="F158">
        <f>SUMIF(SNI!C$1:C$65536,'RAB - GS'!B$1:B$65536,SNI!L$1:L$65536)</f>
        <v>0</v>
      </c>
      <c r="G158">
        <f>E158*F158</f>
        <v>0</v>
      </c>
      <c r="H158">
        <f>SUM(G153:G158)</f>
        <v>0</v>
      </c>
    </row>
    <row r="159">
      <c r="G159" t="str">
        <v>Jumlah C.2 .... Rp</v>
      </c>
      <c r="H159">
        <f>SUM(G148:G158)</f>
        <v>0</v>
      </c>
    </row>
    <row r="160">
      <c r="A160" t="str">
        <v>D</v>
      </c>
      <c r="B160" t="str">
        <v>PEKERJAAN FINISHING</v>
      </c>
    </row>
    <row r="161">
      <c r="A161">
        <v>1</v>
      </c>
      <c r="B161" t="str">
        <v>Cat dinding dalam acrylic emulsion KW.II</v>
      </c>
      <c r="C161" t="str">
        <v>ex Mowilex</v>
      </c>
      <c r="D161" t="str">
        <v>m2</v>
      </c>
      <c r="E161">
        <f>+'QTY-GS'!N519</f>
        <v>947.13</v>
      </c>
      <c r="F161">
        <f>SUMIF(SNI!C$1:C$65536,'RAB - GS'!B$1:B$65536,SNI!L$1:L$65536)</f>
        <v>0</v>
      </c>
      <c r="G161">
        <f>E161*F161</f>
        <v>0</v>
      </c>
    </row>
    <row r="162">
      <c r="A162">
        <v>2</v>
      </c>
      <c r="B162" t="str">
        <v>Pas. Dinding Keramik 300x300</v>
      </c>
      <c r="C162" t="str">
        <v>ex Masterina</v>
      </c>
      <c r="D162" t="str">
        <v>m2</v>
      </c>
      <c r="E162">
        <f>'QTY-GS'!N510</f>
        <v>36.4</v>
      </c>
      <c r="F162">
        <f>SUMIF(SNI!C$1:C$65536,'RAB - GS'!B$1:B$65536,SNI!L$1:L$65536)</f>
        <v>0</v>
      </c>
      <c r="G162">
        <f>E162*F162</f>
        <v>0</v>
      </c>
    </row>
    <row r="163">
      <c r="A163">
        <v>3</v>
      </c>
      <c r="B163" t="str">
        <f>SNI!C332</f>
        <v>Pas. Dinding Keramik 300x300</v>
      </c>
      <c r="D163" t="str">
        <v>m2</v>
      </c>
      <c r="E163">
        <f>'QTY-GS'!N514</f>
        <v>9.2</v>
      </c>
      <c r="F163">
        <f>SUMIF(SNI!C$1:C$65536,'RAB - GS'!B$1:B$65536,SNI!L$1:L$65536)</f>
        <v>0</v>
      </c>
      <c r="G163">
        <f>E163*F163</f>
        <v>0</v>
      </c>
    </row>
    <row r="164">
      <c r="A164">
        <v>4</v>
      </c>
      <c r="B164" t="str">
        <v>Cat plafond acrylic emulsion KW.II</v>
      </c>
      <c r="C164" t="str">
        <v>ex Mowilex</v>
      </c>
      <c r="D164" t="str">
        <v>m2</v>
      </c>
      <c r="E164">
        <f>E78</f>
        <v>335.46000000000004</v>
      </c>
      <c r="F164">
        <f>SUMIF(SNI!C$1:C$65536,'RAB - GS'!B$1:B$65536,SNI!L$1:L$65536)</f>
        <v>0</v>
      </c>
      <c r="G164">
        <f>E164*F164</f>
        <v>0</v>
      </c>
    </row>
    <row r="165">
      <c r="A165">
        <v>5</v>
      </c>
      <c r="B165" t="str">
        <v xml:space="preserve">Cat kayu synthetic </v>
      </c>
      <c r="C165" t="str">
        <v>Seiv</v>
      </c>
      <c r="D165" t="str">
        <v>m2</v>
      </c>
      <c r="E165">
        <f>E84*(0.03+0.2+0.03+0.2)</f>
        <v>47.15</v>
      </c>
      <c r="F165">
        <f>SUMIF(SNI!C$1:C$65536,'RAB - GS'!B$1:B$65536,SNI!L$1:L$65536)</f>
        <v>0</v>
      </c>
      <c r="G165">
        <f>E165*F165</f>
        <v>0</v>
      </c>
    </row>
    <row r="166">
      <c r="G166" t="str">
        <v>Jumlah D .... Rp</v>
      </c>
      <c r="H166">
        <f>SUM(G161:G165)</f>
        <v>0</v>
      </c>
    </row>
  </sheetData>
  <mergeCells count="10">
    <mergeCell ref="C88:C101"/>
    <mergeCell ref="A2:H2"/>
    <mergeCell ref="A26:H26"/>
    <mergeCell ref="A27:A28"/>
    <mergeCell ref="B27:B28"/>
    <mergeCell ref="D27:D28"/>
    <mergeCell ref="E27:E28"/>
    <mergeCell ref="G27:H27"/>
    <mergeCell ref="G28:H28"/>
    <mergeCell ref="C27:C28"/>
  </mergeCells>
  <hyperlinks>
    <hyperlink ref="I1" location="MENU!A1" tooltip="menu"/>
    <hyperlink ref="I2" location="HSBGN!A1" tooltip="HSBGN"/>
  </hyperlinks>
  <pageMargins left="0.35433070866141736" right="0.1968503937007874" top="0.7480314960629921" bottom="0.5118110236220472" header="0.4724409448818898" footer="0.2755905511811024"/>
  <ignoredErrors>
    <ignoredError numberStoredAsText="1" sqref="A1:J166"/>
  </ignoredErrors>
</worksheet>
</file>

<file path=xl/worksheets/sheet15.xml><?xml version="1.0" encoding="utf-8"?>
<worksheet xmlns="http://schemas.openxmlformats.org/spreadsheetml/2006/main" xmlns:r="http://schemas.openxmlformats.org/officeDocument/2006/relationships">
  <dimension ref="A1:L197"/>
  <sheetViews>
    <sheetView workbookViewId="0" rightToLeft="0"/>
  </sheetViews>
  <sheetData>
    <row r="1">
      <c r="A1" t="str">
        <v>menu</v>
      </c>
    </row>
    <row r="2">
      <c r="A2" t="str">
        <v>ANALISA HARGA SATUAN KUSEN PINTU &amp; JENDELA</v>
      </c>
    </row>
    <row r="3">
      <c r="A3" t="str">
        <v>BANGUNAN GEDUNG TIDAK BERTINGKAT SEDERHANA</v>
      </c>
    </row>
    <row r="6">
      <c r="A6" t="str">
        <v>NO</v>
      </c>
      <c r="B6" t="str">
        <v>ITEM PEKERJAAN</v>
      </c>
      <c r="D6" t="str">
        <v>PANJANG</v>
      </c>
      <c r="E6" t="str">
        <v>LEBAR</v>
      </c>
      <c r="F6" t="str">
        <v>LEBAR</v>
      </c>
      <c r="G6" t="str">
        <v>TINGGI</v>
      </c>
      <c r="H6" t="str">
        <v>JML</v>
      </c>
      <c r="I6" t="str">
        <v>VOLUME</v>
      </c>
      <c r="J6" t="str">
        <v>SAT</v>
      </c>
      <c r="K6" t="str">
        <v xml:space="preserve">HARGA </v>
      </c>
      <c r="L6" t="str">
        <v>JUMLAH</v>
      </c>
    </row>
    <row r="7">
      <c r="E7" t="str">
        <v>atas</v>
      </c>
      <c r="F7" t="str">
        <v>bawah</v>
      </c>
      <c r="G7" t="str">
        <v>BERAT</v>
      </c>
      <c r="K7" t="str">
        <v>SATUAN</v>
      </c>
      <c r="L7" t="str">
        <v>HARGA</v>
      </c>
    </row>
    <row r="10">
      <c r="B10" t="str">
        <v>PINTU &amp; KUSEN</v>
      </c>
    </row>
    <row r="13">
      <c r="A13">
        <v>1</v>
      </c>
      <c r="B13" t="str">
        <v>P 1  uk. 1,00 x 2,60</v>
      </c>
    </row>
    <row r="14">
      <c r="B14" t="str">
        <v>Alumunium standart 3" CA</v>
      </c>
      <c r="D14">
        <v>1</v>
      </c>
      <c r="H14">
        <v>2</v>
      </c>
      <c r="I14">
        <f>D14*H14</f>
        <v>2</v>
      </c>
    </row>
    <row r="15">
      <c r="D15">
        <v>2.6</v>
      </c>
      <c r="H15">
        <v>2</v>
      </c>
      <c r="I15">
        <f>D15*H15</f>
        <v>5.2</v>
      </c>
    </row>
    <row r="16">
      <c r="I16">
        <f>I14+I15</f>
        <v>7.2</v>
      </c>
      <c r="J16" t="str">
        <v>m1</v>
      </c>
      <c r="K16">
        <f>SNI!L632</f>
        <v>0</v>
      </c>
      <c r="L16">
        <f>I16*K16</f>
        <v>0</v>
      </c>
    </row>
    <row r="17">
      <c r="B17" t="str">
        <v>Alumunium standart 4" CA rangka daun pintu</v>
      </c>
      <c r="D17">
        <v>2.4</v>
      </c>
      <c r="H17">
        <v>2</v>
      </c>
      <c r="I17">
        <f>D17*H17</f>
        <v>4.8</v>
      </c>
    </row>
    <row r="18">
      <c r="D18">
        <v>0.9</v>
      </c>
      <c r="H18">
        <v>4</v>
      </c>
      <c r="I18">
        <f>D18*H18</f>
        <v>3.6</v>
      </c>
    </row>
    <row r="19">
      <c r="I19">
        <f>I17+I18</f>
        <v>8.4</v>
      </c>
      <c r="J19" t="str">
        <v>m1</v>
      </c>
      <c r="K19">
        <f>SNI!L656</f>
        <v>0</v>
      </c>
      <c r="L19">
        <f>I19*K19</f>
        <v>0</v>
      </c>
    </row>
    <row r="20">
      <c r="B20" t="str">
        <v>Kaca 6 mm</v>
      </c>
      <c r="D20">
        <v>2.4</v>
      </c>
      <c r="E20">
        <v>0.9</v>
      </c>
      <c r="H20">
        <v>1</v>
      </c>
      <c r="I20">
        <f>D20*E20*H20</f>
        <v>2.16</v>
      </c>
      <c r="J20" t="str">
        <v>m2</v>
      </c>
      <c r="K20">
        <f>SNI!L925</f>
        <v>0</v>
      </c>
      <c r="L20">
        <f>I20*K20</f>
        <v>0</v>
      </c>
    </row>
    <row r="21">
      <c r="B21" t="str">
        <v>Karet</v>
      </c>
      <c r="D21">
        <v>5</v>
      </c>
      <c r="H21">
        <v>2</v>
      </c>
      <c r="I21">
        <f>D21*H21</f>
        <v>10</v>
      </c>
    </row>
    <row r="22">
      <c r="D22">
        <v>0.9</v>
      </c>
      <c r="H22">
        <v>4</v>
      </c>
      <c r="I22">
        <f>D22*H22</f>
        <v>3.6</v>
      </c>
    </row>
    <row r="23">
      <c r="D23">
        <v>1.85</v>
      </c>
      <c r="I23">
        <f>SUM(I21:I22)</f>
        <v>13.6</v>
      </c>
      <c r="J23" t="str">
        <v>m1</v>
      </c>
      <c r="K23">
        <f>IF(K24=0,0,20000)</f>
        <v>0</v>
      </c>
      <c r="L23">
        <f>I23*K23</f>
        <v>0</v>
      </c>
    </row>
    <row r="24">
      <c r="B24" t="str">
        <v>Handle pintu type HRE 75.01 ex CISA</v>
      </c>
      <c r="I24">
        <v>1</v>
      </c>
      <c r="J24" t="str">
        <v>bh</v>
      </c>
      <c r="K24">
        <f>SNI!L827</f>
        <v>0</v>
      </c>
      <c r="L24">
        <f>I24*K24</f>
        <v>0</v>
      </c>
    </row>
    <row r="25">
      <c r="B25" t="str">
        <v>Selinder CISA type 08510 ex CISA</v>
      </c>
      <c r="I25">
        <v>1</v>
      </c>
      <c r="J25" t="str">
        <v>bh</v>
      </c>
      <c r="K25">
        <f>SNI!L834</f>
        <v>0</v>
      </c>
      <c r="L25">
        <f>I25*K25</f>
        <v>0</v>
      </c>
    </row>
    <row r="26">
      <c r="B26" t="str">
        <v>Grendel</v>
      </c>
      <c r="D26">
        <v>1</v>
      </c>
      <c r="I26">
        <f>D26</f>
        <v>1</v>
      </c>
      <c r="J26" t="str">
        <v>set</v>
      </c>
      <c r="K26">
        <f>SNI!L876</f>
        <v>0</v>
      </c>
      <c r="L26">
        <f>I26*K26</f>
        <v>0</v>
      </c>
    </row>
    <row r="27">
      <c r="B27" t="str">
        <v>Kait angin</v>
      </c>
      <c r="D27">
        <v>1</v>
      </c>
      <c r="I27">
        <f>D27</f>
        <v>1</v>
      </c>
      <c r="J27" t="str">
        <v>set</v>
      </c>
      <c r="K27">
        <f>SNI!L911</f>
        <v>0</v>
      </c>
      <c r="L27">
        <f>I27*K27</f>
        <v>0</v>
      </c>
    </row>
    <row r="28">
      <c r="B28" t="str">
        <v>Door Stoper</v>
      </c>
      <c r="I28">
        <v>1</v>
      </c>
      <c r="J28" t="str">
        <v>bh</v>
      </c>
      <c r="K28">
        <f>SNI!L848</f>
        <v>0</v>
      </c>
      <c r="L28">
        <f>I28*K28</f>
        <v>0</v>
      </c>
    </row>
    <row r="29">
      <c r="B29" t="str">
        <v>Door closer</v>
      </c>
      <c r="I29">
        <v>1</v>
      </c>
      <c r="J29" t="str">
        <v>bh</v>
      </c>
      <c r="K29">
        <f>SNI!L855</f>
        <v>0</v>
      </c>
      <c r="L29">
        <f>I29*K29</f>
        <v>0</v>
      </c>
    </row>
    <row r="30">
      <c r="B30" t="str">
        <v>Slot tanam</v>
      </c>
      <c r="D30">
        <v>1</v>
      </c>
      <c r="I30">
        <f>D30</f>
        <v>1</v>
      </c>
      <c r="J30" t="str">
        <v>set</v>
      </c>
      <c r="K30">
        <f>SNI!L883</f>
        <v>0</v>
      </c>
      <c r="L30">
        <f>I30*K30</f>
        <v>0</v>
      </c>
    </row>
    <row r="31">
      <c r="K31" t="str">
        <v>jumlah</v>
      </c>
      <c r="L31">
        <f>SUM(L16:L30)</f>
        <v>0</v>
      </c>
    </row>
    <row r="32">
      <c r="K32" t="str">
        <v>di bulatkan</v>
      </c>
      <c r="L32">
        <f>ROUND(L31,-2)</f>
        <v>0</v>
      </c>
    </row>
    <row r="34">
      <c r="A34">
        <f>A13+1</f>
        <v>2</v>
      </c>
      <c r="B34" t="str">
        <v>P 2 uk. 80 x 260</v>
      </c>
    </row>
    <row r="35">
      <c r="B35" t="str">
        <v>Alumunium standart 3" CA</v>
      </c>
      <c r="D35">
        <v>0.8</v>
      </c>
      <c r="H35">
        <v>2</v>
      </c>
      <c r="I35">
        <f>D35*H35</f>
        <v>1.6</v>
      </c>
    </row>
    <row r="36">
      <c r="D36">
        <v>2.6</v>
      </c>
      <c r="H36">
        <v>2</v>
      </c>
      <c r="I36">
        <f>D36*H36</f>
        <v>5.2</v>
      </c>
    </row>
    <row r="37">
      <c r="I37">
        <f>I35+I36</f>
        <v>6.800000000000001</v>
      </c>
      <c r="J37" t="str">
        <v>m1</v>
      </c>
      <c r="K37">
        <f>K16</f>
        <v>0</v>
      </c>
      <c r="L37">
        <f>I37*K37</f>
        <v>0</v>
      </c>
    </row>
    <row r="38">
      <c r="B38" t="str">
        <v>Alumunium standart 4" CA rangka Pintu</v>
      </c>
      <c r="D38">
        <v>2.4</v>
      </c>
      <c r="H38">
        <v>2</v>
      </c>
      <c r="I38">
        <f>D38*H38</f>
        <v>4.8</v>
      </c>
    </row>
    <row r="39">
      <c r="D39">
        <v>0.8</v>
      </c>
      <c r="H39">
        <v>4</v>
      </c>
      <c r="I39">
        <f>D39*H39</f>
        <v>3.2</v>
      </c>
    </row>
    <row r="40">
      <c r="I40">
        <f>I38+I39</f>
        <v>8</v>
      </c>
      <c r="J40" t="str">
        <v>m1</v>
      </c>
      <c r="K40">
        <f>K19</f>
        <v>0</v>
      </c>
      <c r="L40">
        <f>I40*K40</f>
        <v>0</v>
      </c>
    </row>
    <row r="41">
      <c r="B41" t="str">
        <v>Kaca 6 mm</v>
      </c>
      <c r="D41">
        <v>2.4</v>
      </c>
      <c r="E41">
        <v>0.8</v>
      </c>
      <c r="H41">
        <v>1</v>
      </c>
      <c r="I41">
        <f>D41*E41*H41</f>
        <v>1.92</v>
      </c>
      <c r="J41" t="str">
        <v>m2</v>
      </c>
      <c r="K41">
        <f>K20</f>
        <v>0</v>
      </c>
      <c r="L41">
        <f>I41*K41</f>
        <v>0</v>
      </c>
    </row>
    <row r="42">
      <c r="B42" t="str">
        <v>Karet</v>
      </c>
      <c r="D42">
        <v>5</v>
      </c>
      <c r="H42">
        <v>2</v>
      </c>
      <c r="I42">
        <f>D42*H42</f>
        <v>10</v>
      </c>
    </row>
    <row r="43">
      <c r="D43">
        <v>0.8</v>
      </c>
      <c r="H43">
        <v>4</v>
      </c>
      <c r="I43">
        <f>D43*H43</f>
        <v>3.2</v>
      </c>
    </row>
    <row r="44">
      <c r="I44">
        <f>SUM(I42:I43)</f>
        <v>13.2</v>
      </c>
      <c r="J44" t="str">
        <v>m1</v>
      </c>
      <c r="K44">
        <f>K23</f>
        <v>0</v>
      </c>
      <c r="L44">
        <f>I44*K44</f>
        <v>0</v>
      </c>
    </row>
    <row r="45">
      <c r="B45" t="str">
        <v>Handle pintu type HRE 75.01 ex CISA</v>
      </c>
      <c r="I45">
        <v>1</v>
      </c>
      <c r="J45" t="str">
        <v>bh</v>
      </c>
      <c r="K45">
        <f>K24</f>
        <v>0</v>
      </c>
      <c r="L45">
        <f>I45*K45</f>
        <v>0</v>
      </c>
    </row>
    <row r="46">
      <c r="B46" t="str">
        <v>Selinder CISA type 08510 ex CISA</v>
      </c>
      <c r="I46">
        <v>1</v>
      </c>
      <c r="J46" t="str">
        <v>bh</v>
      </c>
      <c r="K46">
        <f>K25</f>
        <v>0</v>
      </c>
      <c r="L46">
        <f>I46*K46</f>
        <v>0</v>
      </c>
    </row>
    <row r="47">
      <c r="B47" t="str">
        <v xml:space="preserve">Handle </v>
      </c>
      <c r="D47">
        <v>1</v>
      </c>
      <c r="I47">
        <f>D47</f>
        <v>1</v>
      </c>
      <c r="J47" t="str">
        <v>set</v>
      </c>
      <c r="K47">
        <f>K27</f>
        <v>0</v>
      </c>
      <c r="L47">
        <f>I47*K47</f>
        <v>0</v>
      </c>
    </row>
    <row r="48">
      <c r="B48" t="str">
        <v>Kait angin</v>
      </c>
      <c r="D48">
        <v>1</v>
      </c>
      <c r="I48">
        <f>D48</f>
        <v>1</v>
      </c>
      <c r="J48" t="str">
        <v>set</v>
      </c>
      <c r="K48">
        <f>K28</f>
        <v>0</v>
      </c>
      <c r="L48">
        <f>I48*K48</f>
        <v>0</v>
      </c>
    </row>
    <row r="49">
      <c r="B49" t="str">
        <v>Slot tanam</v>
      </c>
      <c r="D49">
        <v>1</v>
      </c>
      <c r="I49">
        <f>D49</f>
        <v>1</v>
      </c>
      <c r="J49" t="str">
        <v>set</v>
      </c>
      <c r="K49">
        <f>K30</f>
        <v>0</v>
      </c>
      <c r="L49">
        <f>I49*K49</f>
        <v>0</v>
      </c>
    </row>
    <row r="50">
      <c r="K50" t="str">
        <v>jumlah</v>
      </c>
      <c r="L50">
        <f>SUM(L37:L49)</f>
        <v>0</v>
      </c>
    </row>
    <row r="51">
      <c r="K51" t="str">
        <v>di bulatkan</v>
      </c>
      <c r="L51">
        <f>ROUND(L50,-2)</f>
        <v>0</v>
      </c>
    </row>
    <row r="53">
      <c r="A53">
        <f>A34+1</f>
        <v>3</v>
      </c>
      <c r="B53" t="str">
        <v>P 3  uk. 80 x 210</v>
      </c>
    </row>
    <row r="54">
      <c r="B54" t="str">
        <v>Kusen &amp; Pintu PVC toilet</v>
      </c>
      <c r="D54">
        <v>1</v>
      </c>
      <c r="H54">
        <v>1</v>
      </c>
      <c r="I54">
        <v>1</v>
      </c>
      <c r="J54" t="str">
        <v>unit</v>
      </c>
      <c r="K54">
        <f>'Isi Data'!E47</f>
        <v>0</v>
      </c>
      <c r="L54">
        <f>I54*K54</f>
        <v>0</v>
      </c>
    </row>
    <row r="55">
      <c r="K55" t="str">
        <v>jumlah</v>
      </c>
      <c r="L55">
        <f>SUM(L54:L54)</f>
        <v>0</v>
      </c>
    </row>
    <row r="56">
      <c r="K56" t="str">
        <v>di bulatkan</v>
      </c>
      <c r="L56">
        <f>ROUND(L55,-2)</f>
        <v>0</v>
      </c>
    </row>
    <row r="58">
      <c r="A58">
        <f>A53+1</f>
        <v>4</v>
      </c>
      <c r="B58" t="str">
        <v>P J 1  uk. 160 x 260</v>
      </c>
    </row>
    <row r="59">
      <c r="B59" t="str">
        <v>Alumunium standart 3" CA</v>
      </c>
      <c r="D59">
        <v>3.2</v>
      </c>
      <c r="H59">
        <v>2</v>
      </c>
      <c r="I59">
        <f>D59*H59</f>
        <v>6.4</v>
      </c>
    </row>
    <row r="60">
      <c r="D60">
        <v>0.65</v>
      </c>
      <c r="H60">
        <v>6</v>
      </c>
      <c r="I60">
        <f>D60*H60</f>
        <v>3.9000000000000004</v>
      </c>
    </row>
    <row r="61">
      <c r="D61">
        <v>1.6</v>
      </c>
      <c r="H61">
        <v>2</v>
      </c>
      <c r="I61">
        <f>D61*H61</f>
        <v>3.2</v>
      </c>
    </row>
    <row r="62">
      <c r="D62">
        <v>2.6</v>
      </c>
      <c r="H62">
        <v>2</v>
      </c>
      <c r="I62">
        <f>D62*H62</f>
        <v>5.2</v>
      </c>
    </row>
    <row r="63">
      <c r="D63">
        <v>0.5</v>
      </c>
      <c r="H63">
        <v>1</v>
      </c>
      <c r="I63">
        <f>D63*H63</f>
        <v>0.5</v>
      </c>
    </row>
    <row r="64">
      <c r="I64">
        <f>SUM(I59:I63)</f>
        <v>19.2</v>
      </c>
      <c r="J64" t="str">
        <v>m1</v>
      </c>
      <c r="K64">
        <f>K37</f>
        <v>0</v>
      </c>
      <c r="L64">
        <f>I64*K64</f>
        <v>0</v>
      </c>
    </row>
    <row r="65">
      <c r="B65" t="str">
        <v>Alumunium standart 4" CA rangka daun pintu</v>
      </c>
      <c r="D65">
        <v>2.15</v>
      </c>
      <c r="H65">
        <v>4</v>
      </c>
      <c r="I65">
        <f>D65*H65</f>
        <v>8.6</v>
      </c>
    </row>
    <row r="66">
      <c r="D66">
        <v>0.4</v>
      </c>
      <c r="H66">
        <v>8</v>
      </c>
      <c r="I66">
        <f>D66*H66</f>
        <v>3.2</v>
      </c>
    </row>
    <row r="67">
      <c r="D67">
        <v>0.65</v>
      </c>
      <c r="H67">
        <v>8</v>
      </c>
      <c r="I67">
        <f>D67*H67</f>
        <v>5.2</v>
      </c>
    </row>
    <row r="68">
      <c r="D68">
        <v>0.95</v>
      </c>
      <c r="H68">
        <v>4</v>
      </c>
      <c r="I68">
        <f>D68*H68</f>
        <v>3.8</v>
      </c>
    </row>
    <row r="69">
      <c r="I69">
        <f>SUM(I65:I68)</f>
        <v>20.8</v>
      </c>
      <c r="J69" t="str">
        <v>m1</v>
      </c>
      <c r="K69">
        <f>K40</f>
        <v>0</v>
      </c>
      <c r="L69">
        <f>I69*K69</f>
        <v>0</v>
      </c>
    </row>
    <row r="70">
      <c r="B70" t="str">
        <v>Kaca 6 mm</v>
      </c>
      <c r="D70">
        <v>2.4</v>
      </c>
      <c r="E70">
        <v>0.9</v>
      </c>
      <c r="H70">
        <v>2</v>
      </c>
      <c r="I70">
        <f>D70*E70*H70</f>
        <v>4.32</v>
      </c>
      <c r="J70" t="str">
        <v>m2</v>
      </c>
      <c r="K70">
        <f>K41</f>
        <v>0</v>
      </c>
      <c r="L70">
        <f>I70*K70</f>
        <v>0</v>
      </c>
    </row>
    <row r="71">
      <c r="D71">
        <v>0.6</v>
      </c>
      <c r="E71">
        <v>1.5</v>
      </c>
      <c r="H71">
        <v>5</v>
      </c>
      <c r="I71">
        <f>D71*E71*H71</f>
        <v>4.5</v>
      </c>
      <c r="J71" t="str">
        <v>m2</v>
      </c>
      <c r="K71">
        <f>K70</f>
        <v>0</v>
      </c>
      <c r="L71">
        <f>I71*K71</f>
        <v>0</v>
      </c>
    </row>
    <row r="72">
      <c r="B72" t="str">
        <v>Karet</v>
      </c>
      <c r="D72">
        <v>5</v>
      </c>
      <c r="H72">
        <v>2</v>
      </c>
      <c r="I72">
        <f>D72*H72</f>
        <v>10</v>
      </c>
    </row>
    <row r="73">
      <c r="D73">
        <v>0.8</v>
      </c>
      <c r="H73">
        <v>4</v>
      </c>
      <c r="I73">
        <f>D73*H73</f>
        <v>3.2</v>
      </c>
    </row>
    <row r="74">
      <c r="I74">
        <f>SUM(I72:I73)</f>
        <v>13.2</v>
      </c>
      <c r="J74" t="str">
        <v>m1</v>
      </c>
      <c r="K74">
        <f>K44</f>
        <v>0</v>
      </c>
      <c r="L74">
        <f>I74*K74</f>
        <v>0</v>
      </c>
    </row>
    <row r="75">
      <c r="B75" t="str">
        <v>Handle pintu type HRE 75.01 ex CISA</v>
      </c>
      <c r="I75">
        <v>1</v>
      </c>
      <c r="J75" t="str">
        <v>bh</v>
      </c>
      <c r="K75">
        <f>K45</f>
        <v>0</v>
      </c>
      <c r="L75">
        <f>I75*K75</f>
        <v>0</v>
      </c>
    </row>
    <row r="76">
      <c r="B76" t="str">
        <v>Selinder CISA type 08510 ex CISA</v>
      </c>
      <c r="I76">
        <v>1</v>
      </c>
      <c r="J76" t="str">
        <v>bh</v>
      </c>
      <c r="K76">
        <f>K46</f>
        <v>0</v>
      </c>
      <c r="L76">
        <f>I76*K76</f>
        <v>0</v>
      </c>
    </row>
    <row r="77">
      <c r="B77" t="str">
        <v>Kait angin</v>
      </c>
      <c r="D77">
        <v>4</v>
      </c>
      <c r="I77">
        <f>D77</f>
        <v>4</v>
      </c>
      <c r="J77" t="str">
        <v>set</v>
      </c>
      <c r="K77">
        <f>K47</f>
        <v>0</v>
      </c>
      <c r="L77">
        <f>I77*K77</f>
        <v>0</v>
      </c>
    </row>
    <row r="78">
      <c r="B78" t="str">
        <v>Slot tanam</v>
      </c>
      <c r="D78">
        <v>1</v>
      </c>
      <c r="I78">
        <f>D78</f>
        <v>1</v>
      </c>
      <c r="J78" t="str">
        <v>set</v>
      </c>
      <c r="K78">
        <f>K49</f>
        <v>0</v>
      </c>
      <c r="L78">
        <f>I78*K78</f>
        <v>0</v>
      </c>
    </row>
    <row r="79">
      <c r="B79" t="str">
        <v>Grendel</v>
      </c>
      <c r="D79">
        <v>1</v>
      </c>
      <c r="I79">
        <v>4</v>
      </c>
      <c r="J79" t="str">
        <v>bh</v>
      </c>
      <c r="K79">
        <f>'Isi Data'!E55</f>
        <v>0</v>
      </c>
      <c r="L79">
        <f>I79*K79</f>
        <v>0</v>
      </c>
    </row>
    <row r="80">
      <c r="K80" t="str">
        <v>jumlah</v>
      </c>
      <c r="L80">
        <f>SUM(L63:L79)</f>
        <v>0</v>
      </c>
    </row>
    <row r="81">
      <c r="K81" t="str">
        <v>di bulatkan</v>
      </c>
      <c r="L81">
        <f>ROUND(L80,-2)</f>
        <v>0</v>
      </c>
    </row>
    <row r="83">
      <c r="A83">
        <f>A58+1</f>
        <v>5</v>
      </c>
      <c r="B83" t="str">
        <v>P J 2  160 x 260</v>
      </c>
    </row>
    <row r="84">
      <c r="B84" t="str">
        <v>Alumunium standart 3" CA</v>
      </c>
      <c r="D84">
        <v>1.64</v>
      </c>
      <c r="H84">
        <v>2</v>
      </c>
      <c r="I84">
        <f>D84*H84</f>
        <v>3.28</v>
      </c>
    </row>
    <row r="85">
      <c r="D85">
        <v>0.78</v>
      </c>
      <c r="H85">
        <v>3</v>
      </c>
      <c r="I85">
        <f>D85*H85</f>
        <v>2.34</v>
      </c>
    </row>
    <row r="86">
      <c r="D86">
        <v>1.6</v>
      </c>
      <c r="H86">
        <v>1</v>
      </c>
      <c r="I86">
        <f>D86*H86</f>
        <v>1.6</v>
      </c>
    </row>
    <row r="87">
      <c r="D87">
        <v>2.6</v>
      </c>
      <c r="H87">
        <v>2</v>
      </c>
      <c r="I87">
        <f>D87*H87</f>
        <v>5.2</v>
      </c>
    </row>
    <row r="88">
      <c r="I88">
        <f>SUM(I84:I87)</f>
        <v>12.419999999999998</v>
      </c>
      <c r="J88" t="str">
        <v>m1</v>
      </c>
      <c r="K88">
        <f>K64</f>
        <v>0</v>
      </c>
      <c r="L88">
        <f>I88*K88</f>
        <v>0</v>
      </c>
    </row>
    <row r="89">
      <c r="B89" t="str">
        <v>Alumunium standart 4" CA rangka daun pintu</v>
      </c>
      <c r="D89">
        <v>2.15</v>
      </c>
      <c r="H89">
        <v>2</v>
      </c>
      <c r="I89">
        <f>D89*H89</f>
        <v>4.3</v>
      </c>
    </row>
    <row r="90">
      <c r="D90">
        <v>0.4</v>
      </c>
      <c r="H90">
        <v>4</v>
      </c>
      <c r="I90">
        <f>D90*H90</f>
        <v>1.6</v>
      </c>
    </row>
    <row r="91">
      <c r="D91">
        <v>0.74</v>
      </c>
      <c r="H91">
        <v>4</v>
      </c>
      <c r="I91">
        <f>D91*H91</f>
        <v>2.96</v>
      </c>
    </row>
    <row r="92">
      <c r="D92">
        <v>0.82</v>
      </c>
      <c r="H92">
        <v>2</v>
      </c>
      <c r="I92">
        <f>D92*H92</f>
        <v>1.64</v>
      </c>
    </row>
    <row r="93">
      <c r="I93">
        <f>SUM(I89:I92)</f>
        <v>10.5</v>
      </c>
      <c r="J93" t="str">
        <v>m1</v>
      </c>
      <c r="K93">
        <f>K69</f>
        <v>0</v>
      </c>
      <c r="L93">
        <f>I93*K93</f>
        <v>0</v>
      </c>
    </row>
    <row r="94">
      <c r="B94" t="str">
        <v>Kaca 6 mm</v>
      </c>
      <c r="D94">
        <v>2.4</v>
      </c>
      <c r="E94">
        <v>0.9</v>
      </c>
      <c r="H94">
        <v>2</v>
      </c>
      <c r="I94">
        <f>D94*E94*H94</f>
        <v>4.32</v>
      </c>
      <c r="J94" t="str">
        <v>m2</v>
      </c>
      <c r="K94">
        <f>K71</f>
        <v>0</v>
      </c>
      <c r="L94">
        <f>I94*K94</f>
        <v>0</v>
      </c>
    </row>
    <row r="95">
      <c r="B95" t="str">
        <v>Karet</v>
      </c>
      <c r="D95">
        <v>0.6</v>
      </c>
      <c r="E95">
        <v>1.6</v>
      </c>
      <c r="H95">
        <v>2</v>
      </c>
      <c r="I95">
        <f>D95*H95</f>
        <v>1.2</v>
      </c>
    </row>
    <row r="96">
      <c r="I96">
        <f>SUM(I95:I95)</f>
        <v>1.2</v>
      </c>
      <c r="J96" t="str">
        <v>m1</v>
      </c>
      <c r="K96">
        <f>K74</f>
        <v>0</v>
      </c>
      <c r="L96">
        <f>I96*K96</f>
        <v>0</v>
      </c>
    </row>
    <row r="97">
      <c r="B97" t="str">
        <v>Handle pintu type HRE 75.01 ex CISA</v>
      </c>
      <c r="I97">
        <v>1</v>
      </c>
      <c r="J97" t="str">
        <v>bh</v>
      </c>
      <c r="K97">
        <f>K75</f>
        <v>0</v>
      </c>
      <c r="L97">
        <f>I97*K97</f>
        <v>0</v>
      </c>
    </row>
    <row r="98">
      <c r="B98" t="str">
        <v>Selinder CISA type 08510 ex CISA</v>
      </c>
      <c r="I98">
        <v>1</v>
      </c>
      <c r="J98" t="str">
        <v>bh</v>
      </c>
      <c r="K98">
        <f>K76</f>
        <v>0</v>
      </c>
      <c r="L98">
        <f>I98*K98</f>
        <v>0</v>
      </c>
    </row>
    <row r="99">
      <c r="B99" t="str">
        <v>Kait angin</v>
      </c>
      <c r="D99">
        <v>2</v>
      </c>
      <c r="I99">
        <f>D99</f>
        <v>2</v>
      </c>
      <c r="J99" t="str">
        <v>set</v>
      </c>
      <c r="K99">
        <f>K77</f>
        <v>0</v>
      </c>
      <c r="L99">
        <f>I99*K99</f>
        <v>0</v>
      </c>
    </row>
    <row r="100">
      <c r="B100" t="str">
        <v>Slot tanam</v>
      </c>
      <c r="D100">
        <v>1</v>
      </c>
      <c r="I100">
        <f>D100</f>
        <v>1</v>
      </c>
      <c r="J100" t="str">
        <v>set</v>
      </c>
      <c r="K100">
        <f>K69</f>
        <v>0</v>
      </c>
      <c r="L100">
        <f>I100*K100</f>
        <v>0</v>
      </c>
    </row>
    <row r="101">
      <c r="B101" t="str">
        <v>Grendel</v>
      </c>
      <c r="D101">
        <v>1</v>
      </c>
      <c r="I101">
        <v>2</v>
      </c>
      <c r="J101" t="str">
        <v>bh</v>
      </c>
      <c r="K101">
        <f>'Isi Data'!E55</f>
        <v>0</v>
      </c>
      <c r="L101">
        <f>I101*K101</f>
        <v>0</v>
      </c>
    </row>
    <row r="102">
      <c r="K102" t="str">
        <v>jumlah</v>
      </c>
      <c r="L102">
        <f>SUM(L88:L101)</f>
        <v>0</v>
      </c>
    </row>
    <row r="103">
      <c r="K103" t="str">
        <v>di bulatkan</v>
      </c>
      <c r="L103">
        <f>ROUND(L102,-2)</f>
        <v>0</v>
      </c>
    </row>
    <row r="105">
      <c r="A105">
        <f>A83+1</f>
        <v>6</v>
      </c>
      <c r="B105" t="str">
        <v>J 1  uk. 160 x 200</v>
      </c>
    </row>
    <row r="106">
      <c r="B106" t="str">
        <v>Alumunium standart 3" CA</v>
      </c>
      <c r="D106">
        <v>2</v>
      </c>
      <c r="H106">
        <v>5</v>
      </c>
      <c r="I106">
        <f>D106*H106</f>
        <v>10</v>
      </c>
    </row>
    <row r="107">
      <c r="D107">
        <v>1.6</v>
      </c>
      <c r="H107">
        <v>4</v>
      </c>
      <c r="I107">
        <f>D107*H107</f>
        <v>6.4</v>
      </c>
    </row>
    <row r="108">
      <c r="I108">
        <f>I106+I107</f>
        <v>16.4</v>
      </c>
      <c r="J108" t="str">
        <v>m1</v>
      </c>
      <c r="K108">
        <f>K88</f>
        <v>0</v>
      </c>
      <c r="L108">
        <f>I108*K108</f>
        <v>0</v>
      </c>
    </row>
    <row r="109">
      <c r="B109" t="str">
        <v>Alumunium standart 3" CA rangka daun jendela</v>
      </c>
      <c r="D109">
        <v>2</v>
      </c>
      <c r="H109">
        <v>4</v>
      </c>
      <c r="I109">
        <f>D109*H109</f>
        <v>8</v>
      </c>
    </row>
    <row r="110">
      <c r="D110">
        <v>0.5</v>
      </c>
      <c r="H110">
        <v>12</v>
      </c>
      <c r="I110">
        <f>D110*H110</f>
        <v>6</v>
      </c>
    </row>
    <row r="111">
      <c r="I111">
        <f>I109+I110</f>
        <v>14</v>
      </c>
      <c r="J111" t="str">
        <v>m1</v>
      </c>
      <c r="K111">
        <f>SNI!L673</f>
        <v>0</v>
      </c>
      <c r="L111">
        <f>I111*K111</f>
        <v>0</v>
      </c>
    </row>
    <row r="112">
      <c r="B112" t="str">
        <v>Kaca 6 mm</v>
      </c>
      <c r="D112">
        <v>1.6</v>
      </c>
      <c r="E112">
        <v>2</v>
      </c>
      <c r="H112">
        <v>1</v>
      </c>
      <c r="I112">
        <f>D112*E112*H112</f>
        <v>3.2</v>
      </c>
      <c r="J112" t="str">
        <v>m2</v>
      </c>
      <c r="K112">
        <f>K94</f>
        <v>0</v>
      </c>
      <c r="L112">
        <f>I112*K112</f>
        <v>0</v>
      </c>
    </row>
    <row r="113">
      <c r="B113" t="str">
        <v>Karet</v>
      </c>
      <c r="D113">
        <v>3</v>
      </c>
      <c r="H113">
        <v>4</v>
      </c>
      <c r="I113">
        <f>D113*H113</f>
        <v>12</v>
      </c>
    </row>
    <row r="114">
      <c r="D114">
        <v>2.18</v>
      </c>
      <c r="H114">
        <v>6</v>
      </c>
      <c r="I114">
        <f>D114*H114</f>
        <v>13.080000000000002</v>
      </c>
    </row>
    <row r="115">
      <c r="I115">
        <f>SUM(I113:I114)</f>
        <v>25.080000000000002</v>
      </c>
      <c r="J115" t="str">
        <v>m1</v>
      </c>
      <c r="K115">
        <f>K96</f>
        <v>0</v>
      </c>
      <c r="L115">
        <f>I115*K115</f>
        <v>0</v>
      </c>
    </row>
    <row r="116">
      <c r="B116" t="str">
        <v>Grendel</v>
      </c>
      <c r="D116">
        <v>6</v>
      </c>
      <c r="I116">
        <f>D116</f>
        <v>6</v>
      </c>
      <c r="J116" t="str">
        <v>set</v>
      </c>
      <c r="K116">
        <f>K101</f>
        <v>0</v>
      </c>
      <c r="L116">
        <f>I116*K116</f>
        <v>0</v>
      </c>
    </row>
    <row r="117">
      <c r="B117" t="str">
        <v>Kait angin</v>
      </c>
      <c r="D117">
        <v>6</v>
      </c>
      <c r="I117">
        <f>D117</f>
        <v>6</v>
      </c>
      <c r="J117" t="str">
        <v>set</v>
      </c>
      <c r="K117">
        <f>K99</f>
        <v>0</v>
      </c>
      <c r="L117">
        <f>I117*K117</f>
        <v>0</v>
      </c>
    </row>
    <row r="118">
      <c r="K118" t="str">
        <v>jumlah</v>
      </c>
      <c r="L118">
        <f>SUM(L108:L117)</f>
        <v>0</v>
      </c>
    </row>
    <row r="119">
      <c r="K119" t="str">
        <v>di bulatkan</v>
      </c>
      <c r="L119">
        <f>ROUND(L118,-2)</f>
        <v>0</v>
      </c>
    </row>
    <row r="121">
      <c r="A121">
        <f>A105+1</f>
        <v>7</v>
      </c>
      <c r="B121" t="str">
        <v>J 2 uk. 160 x 200</v>
      </c>
    </row>
    <row r="122">
      <c r="B122" t="str">
        <v>Alumunium standart 3" CA</v>
      </c>
      <c r="D122">
        <v>2</v>
      </c>
      <c r="H122">
        <v>3</v>
      </c>
      <c r="I122">
        <f>D122*H122</f>
        <v>6</v>
      </c>
    </row>
    <row r="123">
      <c r="D123">
        <v>1.6</v>
      </c>
      <c r="H123">
        <v>4</v>
      </c>
      <c r="I123">
        <f>D123*H123</f>
        <v>6.4</v>
      </c>
    </row>
    <row r="124">
      <c r="I124">
        <f>I122+I123</f>
        <v>12.4</v>
      </c>
      <c r="J124" t="str">
        <v>m1</v>
      </c>
      <c r="K124">
        <f>K108</f>
        <v>0</v>
      </c>
      <c r="L124">
        <f>I124*K124</f>
        <v>0</v>
      </c>
    </row>
    <row r="125">
      <c r="B125" t="str">
        <v>Alumunium standart 3" CA rangka daun jendela</v>
      </c>
      <c r="D125">
        <v>2</v>
      </c>
      <c r="H125">
        <v>4</v>
      </c>
      <c r="I125">
        <f>D125*H125</f>
        <v>8</v>
      </c>
    </row>
    <row r="126">
      <c r="D126">
        <v>1.6</v>
      </c>
      <c r="H126">
        <v>6</v>
      </c>
      <c r="I126">
        <f>D126*H126</f>
        <v>9.600000000000001</v>
      </c>
    </row>
    <row r="127">
      <c r="I127">
        <f>I125+I126</f>
        <v>17.6</v>
      </c>
      <c r="J127" t="str">
        <v>m1</v>
      </c>
      <c r="K127">
        <f>K111</f>
        <v>0</v>
      </c>
      <c r="L127">
        <f>I127*K127</f>
        <v>0</v>
      </c>
    </row>
    <row r="128">
      <c r="B128" t="str">
        <v>Kaca 6 mm</v>
      </c>
      <c r="D128">
        <v>2</v>
      </c>
      <c r="E128">
        <v>1.6</v>
      </c>
      <c r="H128">
        <v>3</v>
      </c>
      <c r="I128">
        <f>D128*E128*H128</f>
        <v>9.600000000000001</v>
      </c>
      <c r="J128" t="str">
        <v>m2</v>
      </c>
      <c r="K128">
        <f>K112</f>
        <v>0</v>
      </c>
      <c r="L128">
        <f>I128*K128</f>
        <v>0</v>
      </c>
    </row>
    <row r="129">
      <c r="B129" t="str">
        <v>Karet</v>
      </c>
      <c r="D129">
        <v>3</v>
      </c>
      <c r="H129">
        <v>6</v>
      </c>
      <c r="I129">
        <f>D129*H129</f>
        <v>18</v>
      </c>
    </row>
    <row r="130">
      <c r="D130">
        <v>0.5</v>
      </c>
      <c r="H130">
        <v>18</v>
      </c>
      <c r="I130">
        <f>D130*H130</f>
        <v>9</v>
      </c>
    </row>
    <row r="131">
      <c r="I131">
        <f>SUM(I129:I130)</f>
        <v>27</v>
      </c>
      <c r="J131" t="str">
        <v>m1</v>
      </c>
      <c r="K131">
        <f>K115</f>
        <v>0</v>
      </c>
      <c r="L131">
        <f>I131*K131</f>
        <v>0</v>
      </c>
    </row>
    <row r="132">
      <c r="B132" t="str">
        <v>Grendel</v>
      </c>
      <c r="D132">
        <v>6</v>
      </c>
      <c r="I132">
        <f>D132</f>
        <v>6</v>
      </c>
      <c r="J132" t="str">
        <v>set</v>
      </c>
      <c r="K132">
        <f>K116</f>
        <v>0</v>
      </c>
      <c r="L132">
        <f>I132*K132</f>
        <v>0</v>
      </c>
    </row>
    <row r="133">
      <c r="B133" t="str">
        <v>Kait angin</v>
      </c>
      <c r="D133">
        <v>6</v>
      </c>
      <c r="I133">
        <f>D133</f>
        <v>6</v>
      </c>
      <c r="J133" t="str">
        <v>set</v>
      </c>
      <c r="K133">
        <f>K117</f>
        <v>0</v>
      </c>
      <c r="L133">
        <f>I133*K133</f>
        <v>0</v>
      </c>
    </row>
    <row r="134">
      <c r="K134" t="str">
        <v>jumlah</v>
      </c>
      <c r="L134">
        <f>SUM(L124:L133)</f>
        <v>0</v>
      </c>
    </row>
    <row r="135">
      <c r="K135" t="str">
        <v>di bulatkan</v>
      </c>
      <c r="L135">
        <f>ROUND(L134,-2)</f>
        <v>0</v>
      </c>
    </row>
    <row r="136">
      <c r="A136">
        <f>+A121+1</f>
        <v>8</v>
      </c>
      <c r="B136" t="str">
        <v>J 3  uk. 160 x 120</v>
      </c>
    </row>
    <row r="137">
      <c r="B137" t="str">
        <v>Alumunium standart 3" CA</v>
      </c>
      <c r="D137">
        <v>1.2</v>
      </c>
      <c r="H137">
        <v>3</v>
      </c>
      <c r="I137">
        <f>D137*H137</f>
        <v>3.5999999999999996</v>
      </c>
    </row>
    <row r="138">
      <c r="D138">
        <v>1.6</v>
      </c>
      <c r="H138">
        <v>3</v>
      </c>
      <c r="I138">
        <f>D138*H138</f>
        <v>4.800000000000001</v>
      </c>
    </row>
    <row r="139">
      <c r="I139">
        <f>I137+I138</f>
        <v>8.4</v>
      </c>
      <c r="J139" t="str">
        <v>m1</v>
      </c>
      <c r="K139">
        <f>K124</f>
        <v>0</v>
      </c>
      <c r="L139">
        <f>I139*K139</f>
        <v>0</v>
      </c>
    </row>
    <row r="140">
      <c r="B140" t="str">
        <v>Alumunium standart 3" CA rangka daun jendela</v>
      </c>
      <c r="D140">
        <v>1.6</v>
      </c>
      <c r="H140">
        <v>4</v>
      </c>
      <c r="I140">
        <f>D140*H140</f>
        <v>6.4</v>
      </c>
    </row>
    <row r="141">
      <c r="D141">
        <v>1.2</v>
      </c>
      <c r="H141">
        <v>4</v>
      </c>
      <c r="I141">
        <f>D141*H141</f>
        <v>4.8</v>
      </c>
    </row>
    <row r="142">
      <c r="I142">
        <f>I140+I141</f>
        <v>11.2</v>
      </c>
      <c r="J142" t="str">
        <v>m1</v>
      </c>
      <c r="K142">
        <f>K127</f>
        <v>0</v>
      </c>
      <c r="L142">
        <f>I142*K142</f>
        <v>0</v>
      </c>
    </row>
    <row r="143">
      <c r="B143" t="str">
        <v>Kaca 6 mm</v>
      </c>
      <c r="D143">
        <v>1.6</v>
      </c>
      <c r="E143">
        <v>1.2</v>
      </c>
      <c r="H143">
        <v>1</v>
      </c>
      <c r="I143">
        <f>D143*E143*H143</f>
        <v>1.92</v>
      </c>
      <c r="J143" t="str">
        <v>m2</v>
      </c>
      <c r="K143">
        <f>K128</f>
        <v>0</v>
      </c>
      <c r="L143">
        <f>I143*K143</f>
        <v>0</v>
      </c>
    </row>
    <row r="144">
      <c r="B144" t="str">
        <v>Karet</v>
      </c>
      <c r="D144">
        <v>1.7</v>
      </c>
      <c r="H144">
        <v>2</v>
      </c>
      <c r="I144">
        <f>D144*H144</f>
        <v>3.4</v>
      </c>
    </row>
    <row r="145">
      <c r="D145">
        <v>0.6</v>
      </c>
      <c r="H145">
        <v>2</v>
      </c>
      <c r="I145">
        <f>D145*H145</f>
        <v>1.2</v>
      </c>
    </row>
    <row r="146">
      <c r="D146">
        <v>1.85</v>
      </c>
      <c r="I146">
        <f>SUM(I144:I145)</f>
        <v>4.6</v>
      </c>
      <c r="J146" t="str">
        <v>m1</v>
      </c>
      <c r="K146">
        <f>K131</f>
        <v>0</v>
      </c>
      <c r="L146">
        <f>I146*K146</f>
        <v>0</v>
      </c>
    </row>
    <row r="147">
      <c r="B147" t="str">
        <v>Grendel</v>
      </c>
      <c r="D147">
        <v>4</v>
      </c>
      <c r="I147">
        <f>D147</f>
        <v>4</v>
      </c>
      <c r="J147" t="str">
        <v>set</v>
      </c>
      <c r="K147">
        <f>K132</f>
        <v>0</v>
      </c>
      <c r="L147">
        <f>I147*K147</f>
        <v>0</v>
      </c>
    </row>
    <row r="148">
      <c r="B148" t="str">
        <v>Kait angin</v>
      </c>
      <c r="D148">
        <v>4</v>
      </c>
      <c r="I148">
        <f>D148</f>
        <v>4</v>
      </c>
      <c r="J148" t="str">
        <v>set</v>
      </c>
      <c r="K148">
        <f>K133</f>
        <v>0</v>
      </c>
      <c r="L148">
        <f>I148*K148</f>
        <v>0</v>
      </c>
    </row>
    <row r="149">
      <c r="K149" t="str">
        <v>jumlah</v>
      </c>
      <c r="L149">
        <f>SUM(L139:L148)</f>
        <v>0</v>
      </c>
    </row>
    <row r="150">
      <c r="K150" t="str">
        <v>di bulatkan</v>
      </c>
      <c r="L150">
        <f>SUM(L139:L148)</f>
        <v>0</v>
      </c>
    </row>
    <row r="152">
      <c r="A152">
        <f>A136+1</f>
        <v>9</v>
      </c>
      <c r="B152" t="str">
        <v>BV 1  uk. 50 x 85</v>
      </c>
    </row>
    <row r="153">
      <c r="B153" t="str">
        <v>Alumunium standart 3" CA</v>
      </c>
      <c r="D153">
        <v>0.85</v>
      </c>
      <c r="H153">
        <v>2</v>
      </c>
      <c r="I153">
        <f>D153*H153</f>
        <v>1.7</v>
      </c>
    </row>
    <row r="154">
      <c r="D154">
        <v>0.5</v>
      </c>
      <c r="H154">
        <v>2</v>
      </c>
      <c r="I154">
        <f>D154*H154</f>
        <v>1</v>
      </c>
    </row>
    <row r="155">
      <c r="I155">
        <f>I153+I154</f>
        <v>2.7</v>
      </c>
      <c r="J155" t="str">
        <v>m1</v>
      </c>
      <c r="K155">
        <f>K139</f>
        <v>0</v>
      </c>
      <c r="L155">
        <f>I155*K155</f>
        <v>0</v>
      </c>
    </row>
    <row r="156">
      <c r="B156" t="str">
        <v>Alumunium standart 3" CA rangka daun jendela</v>
      </c>
      <c r="D156">
        <v>0.8</v>
      </c>
      <c r="H156">
        <v>2</v>
      </c>
      <c r="I156">
        <f>D156*H156</f>
        <v>1.6</v>
      </c>
    </row>
    <row r="157">
      <c r="D157">
        <v>0.5</v>
      </c>
      <c r="H157">
        <v>2</v>
      </c>
      <c r="I157">
        <f>D157*H157</f>
        <v>1</v>
      </c>
    </row>
    <row r="158">
      <c r="I158">
        <f>I156+I157</f>
        <v>2.6</v>
      </c>
      <c r="J158" t="str">
        <v>m1</v>
      </c>
      <c r="K158">
        <f>K142</f>
        <v>0</v>
      </c>
      <c r="L158">
        <f>I158*K158</f>
        <v>0</v>
      </c>
    </row>
    <row r="159">
      <c r="B159" t="str">
        <v>Kaca 6 mm</v>
      </c>
      <c r="D159">
        <v>0.85</v>
      </c>
      <c r="E159">
        <v>0.45</v>
      </c>
      <c r="H159">
        <v>1</v>
      </c>
      <c r="I159">
        <f>D159*E159*H159</f>
        <v>0.3825</v>
      </c>
      <c r="J159" t="str">
        <v>m2</v>
      </c>
      <c r="K159">
        <f>K143</f>
        <v>0</v>
      </c>
      <c r="L159">
        <f>I159*K159</f>
        <v>0</v>
      </c>
    </row>
    <row r="160">
      <c r="B160" t="str">
        <v>Karet</v>
      </c>
      <c r="D160">
        <v>0.85</v>
      </c>
      <c r="H160">
        <v>2</v>
      </c>
      <c r="I160">
        <f>D160*H160</f>
        <v>1.7</v>
      </c>
    </row>
    <row r="161">
      <c r="D161">
        <v>0.5</v>
      </c>
      <c r="H161">
        <v>2</v>
      </c>
      <c r="I161">
        <f>D161*H161</f>
        <v>1</v>
      </c>
    </row>
    <row r="162">
      <c r="I162">
        <f>SUM(I160:I161)</f>
        <v>2.7</v>
      </c>
      <c r="J162" t="str">
        <v>m1</v>
      </c>
      <c r="K162">
        <f>K146</f>
        <v>0</v>
      </c>
      <c r="L162">
        <f>I162*K162</f>
        <v>0</v>
      </c>
    </row>
    <row r="163">
      <c r="B163" t="str">
        <v>Grendel</v>
      </c>
      <c r="D163">
        <v>1</v>
      </c>
      <c r="I163">
        <f>D163</f>
        <v>1</v>
      </c>
      <c r="J163" t="str">
        <v>set</v>
      </c>
      <c r="K163">
        <f>K147</f>
        <v>0</v>
      </c>
      <c r="L163">
        <f>I163*K163</f>
        <v>0</v>
      </c>
    </row>
    <row r="164">
      <c r="B164" t="str">
        <v>Kait angin</v>
      </c>
      <c r="D164">
        <v>1</v>
      </c>
      <c r="I164">
        <f>D164</f>
        <v>1</v>
      </c>
      <c r="J164" t="str">
        <v>set</v>
      </c>
      <c r="K164">
        <f>K148</f>
        <v>0</v>
      </c>
      <c r="L164">
        <f>I164*K164</f>
        <v>0</v>
      </c>
    </row>
    <row r="165">
      <c r="K165" t="str">
        <v>jumlah</v>
      </c>
      <c r="L165">
        <f>SUM(L155:L164)</f>
        <v>0</v>
      </c>
    </row>
    <row r="166">
      <c r="K166" t="str">
        <v>di bulatkan</v>
      </c>
      <c r="L166">
        <f>ROUND(L165,-2)</f>
        <v>0</v>
      </c>
    </row>
    <row r="167">
      <c r="A167">
        <f>A152+1</f>
        <v>10</v>
      </c>
      <c r="B167" t="str">
        <v>BV 2  uk. 50 x 120</v>
      </c>
    </row>
    <row r="168">
      <c r="B168" t="str">
        <v>Alumunium standart 3" CA</v>
      </c>
      <c r="D168">
        <v>1.2</v>
      </c>
      <c r="H168">
        <v>2</v>
      </c>
      <c r="I168">
        <f>D168*H168</f>
        <v>2.4</v>
      </c>
    </row>
    <row r="169">
      <c r="D169">
        <v>0.5</v>
      </c>
      <c r="H169">
        <v>3</v>
      </c>
      <c r="I169">
        <f>D169*H169</f>
        <v>1.5</v>
      </c>
    </row>
    <row r="170">
      <c r="I170">
        <f>I168+I169</f>
        <v>3.9</v>
      </c>
      <c r="J170" t="str">
        <v>m1</v>
      </c>
      <c r="K170">
        <f>K155</f>
        <v>0</v>
      </c>
      <c r="L170">
        <f>I170*K170</f>
        <v>0</v>
      </c>
    </row>
    <row r="171">
      <c r="B171" t="str">
        <v>Alumunium standart 3" CA rangka daun jendela</v>
      </c>
      <c r="D171">
        <v>1.2</v>
      </c>
      <c r="H171">
        <v>2</v>
      </c>
      <c r="I171">
        <f>D171*H171</f>
        <v>2.4</v>
      </c>
    </row>
    <row r="172">
      <c r="D172">
        <v>0.5</v>
      </c>
      <c r="H172">
        <v>4</v>
      </c>
      <c r="I172">
        <f>D172*H172</f>
        <v>2</v>
      </c>
    </row>
    <row r="173">
      <c r="I173">
        <f>I171+I172</f>
        <v>4.4</v>
      </c>
      <c r="J173" t="str">
        <v>m1</v>
      </c>
      <c r="K173">
        <f>K158</f>
        <v>0</v>
      </c>
      <c r="L173">
        <f>I173*K173</f>
        <v>0</v>
      </c>
    </row>
    <row r="174">
      <c r="B174" t="str">
        <v>Kaca 6 mm</v>
      </c>
      <c r="D174">
        <v>1.2</v>
      </c>
      <c r="E174">
        <v>0.45</v>
      </c>
      <c r="H174">
        <v>1</v>
      </c>
      <c r="I174">
        <f>D174*E174*H174</f>
        <v>0.54</v>
      </c>
      <c r="J174" t="str">
        <v>m2</v>
      </c>
      <c r="K174">
        <f>K159</f>
        <v>0</v>
      </c>
      <c r="L174">
        <f>I174*K174</f>
        <v>0</v>
      </c>
    </row>
    <row r="175">
      <c r="B175" t="str">
        <v>Karet</v>
      </c>
      <c r="D175">
        <v>1.2</v>
      </c>
      <c r="H175">
        <v>4</v>
      </c>
      <c r="I175">
        <f>D175*H175</f>
        <v>4.8</v>
      </c>
    </row>
    <row r="176">
      <c r="D176">
        <v>0.45</v>
      </c>
      <c r="H176">
        <v>4</v>
      </c>
      <c r="I176">
        <f>D176*H176</f>
        <v>1.8</v>
      </c>
    </row>
    <row r="177">
      <c r="I177">
        <f>SUM(I175:I176)</f>
        <v>6.6</v>
      </c>
      <c r="J177" t="str">
        <v>m1</v>
      </c>
      <c r="K177">
        <f>K162</f>
        <v>0</v>
      </c>
      <c r="L177">
        <f>I177*K177</f>
        <v>0</v>
      </c>
    </row>
    <row r="178">
      <c r="B178" t="str">
        <v>Grendel</v>
      </c>
      <c r="D178">
        <v>2</v>
      </c>
      <c r="I178">
        <f>D178</f>
        <v>2</v>
      </c>
      <c r="J178" t="str">
        <v>set</v>
      </c>
      <c r="K178">
        <f>K163</f>
        <v>0</v>
      </c>
      <c r="L178">
        <f>I178*K178</f>
        <v>0</v>
      </c>
    </row>
    <row r="179">
      <c r="B179" t="str">
        <v>Kait angin</v>
      </c>
      <c r="D179">
        <v>2</v>
      </c>
      <c r="I179">
        <f>D179</f>
        <v>2</v>
      </c>
      <c r="J179" t="str">
        <v>set</v>
      </c>
      <c r="K179">
        <f>K164</f>
        <v>0</v>
      </c>
      <c r="L179">
        <f>I179*K179</f>
        <v>0</v>
      </c>
    </row>
    <row r="180">
      <c r="K180" t="str">
        <v>jumlah</v>
      </c>
      <c r="L180">
        <f>SUM(L170:L179)</f>
        <v>0</v>
      </c>
    </row>
    <row r="181">
      <c r="K181" t="str">
        <v>di bulatkan</v>
      </c>
      <c r="L181">
        <f>ROUND(L180,-2)</f>
        <v>0</v>
      </c>
    </row>
    <row r="183">
      <c r="A183">
        <f>+A167+1</f>
        <v>11</v>
      </c>
      <c r="B183" t="str">
        <v>BV 3  uk. 20 x 200</v>
      </c>
    </row>
    <row r="184">
      <c r="B184" t="str">
        <v>Alumunium standart 3" CA</v>
      </c>
      <c r="D184">
        <v>2</v>
      </c>
      <c r="H184">
        <v>2</v>
      </c>
      <c r="I184">
        <f>D184*H184</f>
        <v>4</v>
      </c>
    </row>
    <row r="185">
      <c r="D185">
        <v>0.5</v>
      </c>
      <c r="H185">
        <v>4</v>
      </c>
      <c r="I185">
        <f>D185*H185</f>
        <v>2</v>
      </c>
    </row>
    <row r="186">
      <c r="I186">
        <f>I184+I185</f>
        <v>6</v>
      </c>
      <c r="J186" t="str">
        <v>m1</v>
      </c>
      <c r="K186">
        <f>K170</f>
        <v>0</v>
      </c>
      <c r="L186">
        <f>I186*K186</f>
        <v>0</v>
      </c>
    </row>
    <row r="187">
      <c r="B187" t="str">
        <v>Alumunium standart 3" CA rangka daun jendela</v>
      </c>
      <c r="D187">
        <v>2</v>
      </c>
      <c r="H187">
        <v>2</v>
      </c>
      <c r="I187">
        <f>D187*H187</f>
        <v>4</v>
      </c>
    </row>
    <row r="188">
      <c r="D188">
        <v>0.5</v>
      </c>
      <c r="H188">
        <v>6</v>
      </c>
      <c r="I188">
        <f>D188*H188</f>
        <v>3</v>
      </c>
    </row>
    <row r="189">
      <c r="I189">
        <f>I187+I188</f>
        <v>7</v>
      </c>
      <c r="J189" t="str">
        <v>m1</v>
      </c>
      <c r="K189">
        <f>K173</f>
        <v>0</v>
      </c>
      <c r="L189">
        <f>I189*K189</f>
        <v>0</v>
      </c>
    </row>
    <row r="190">
      <c r="B190" t="str">
        <v>Kaca 6 mm</v>
      </c>
      <c r="D190">
        <v>2</v>
      </c>
      <c r="E190">
        <v>0.45</v>
      </c>
      <c r="H190">
        <v>1</v>
      </c>
      <c r="I190">
        <f>D190*E190*H190</f>
        <v>0.9</v>
      </c>
      <c r="J190" t="str">
        <v>m2</v>
      </c>
      <c r="K190">
        <f>K174</f>
        <v>0</v>
      </c>
      <c r="L190">
        <f>I190*K190</f>
        <v>0</v>
      </c>
    </row>
    <row r="191">
      <c r="B191" t="str">
        <v>Karet</v>
      </c>
      <c r="D191">
        <v>2</v>
      </c>
      <c r="H191">
        <v>2</v>
      </c>
      <c r="I191">
        <f>D191*H191</f>
        <v>4</v>
      </c>
    </row>
    <row r="192">
      <c r="D192">
        <v>0.45</v>
      </c>
      <c r="H192">
        <v>8</v>
      </c>
      <c r="I192">
        <f>D192*H192</f>
        <v>3.6</v>
      </c>
    </row>
    <row r="193">
      <c r="I193">
        <f>SUM(I191:I192)</f>
        <v>7.6</v>
      </c>
      <c r="J193" t="str">
        <v>m1</v>
      </c>
      <c r="K193">
        <f>K177</f>
        <v>0</v>
      </c>
      <c r="L193">
        <f>I193*K193</f>
        <v>0</v>
      </c>
    </row>
    <row r="194">
      <c r="B194" t="str">
        <v>Grendel</v>
      </c>
      <c r="D194">
        <v>3</v>
      </c>
      <c r="I194">
        <f>D194</f>
        <v>3</v>
      </c>
      <c r="J194" t="str">
        <v>set</v>
      </c>
      <c r="K194">
        <f>K178</f>
        <v>0</v>
      </c>
      <c r="L194">
        <f>I194*K194</f>
        <v>0</v>
      </c>
    </row>
    <row r="195">
      <c r="B195" t="str">
        <v>Kait angin</v>
      </c>
      <c r="D195">
        <v>3</v>
      </c>
      <c r="I195">
        <f>D195</f>
        <v>3</v>
      </c>
      <c r="J195" t="str">
        <v>set</v>
      </c>
      <c r="K195">
        <f>K179</f>
        <v>0</v>
      </c>
      <c r="L195">
        <f>I195*K195</f>
        <v>0</v>
      </c>
    </row>
    <row r="196">
      <c r="K196" t="str">
        <v>jumlah</v>
      </c>
      <c r="L196">
        <f>SUM(L185:L195)</f>
        <v>0</v>
      </c>
    </row>
    <row r="197">
      <c r="K197" t="str">
        <v>di bulatkan</v>
      </c>
      <c r="L197">
        <f>ROUND(L196,-2)</f>
        <v>0</v>
      </c>
    </row>
  </sheetData>
  <hyperlinks>
    <hyperlink ref="A1" location="MENU!A1" tooltip="menu"/>
  </hyperlinks>
  <pageMargins left="0.7874015748031497" right="0.6299212598425197" top="0.7874015748031497" bottom="1.0236220472440944" header="0.15748031496062992" footer="0.15748031496062992"/>
  <ignoredErrors>
    <ignoredError numberStoredAsText="1" sqref="A1:L197"/>
  </ignoredErrors>
</worksheet>
</file>

<file path=xl/worksheets/sheet16.xml><?xml version="1.0" encoding="utf-8"?>
<worksheet xmlns="http://schemas.openxmlformats.org/spreadsheetml/2006/main" xmlns:r="http://schemas.openxmlformats.org/officeDocument/2006/relationships">
  <dimension ref="A1:S715"/>
  <sheetViews>
    <sheetView workbookViewId="0" rightToLeft="0"/>
  </sheetViews>
  <sheetData>
    <row r="1">
      <c r="A1" t="str">
        <v>menu</v>
      </c>
    </row>
    <row r="2">
      <c r="A2" t="str">
        <v>TAKING OFF</v>
      </c>
    </row>
    <row r="3">
      <c r="A3" t="str">
        <v>PERHITUNGAN VOLUME</v>
      </c>
    </row>
    <row r="4">
      <c r="A4" t="str">
        <v>BANGUNAN GEDUNG TIDAK BERTINGKAT</v>
      </c>
    </row>
    <row r="7">
      <c r="A7" t="str">
        <v>NO</v>
      </c>
      <c r="B7" t="str">
        <v>ITEM PEKERJAAN</v>
      </c>
      <c r="E7" t="str">
        <v>NO</v>
      </c>
      <c r="F7" t="str">
        <v>KODE</v>
      </c>
      <c r="G7" t="str">
        <v>PANJANG</v>
      </c>
      <c r="H7" t="str">
        <v>LEBAR</v>
      </c>
      <c r="I7" t="str">
        <v>LEBAR</v>
      </c>
      <c r="J7" t="str">
        <v>TINGGI</v>
      </c>
      <c r="K7" t="str">
        <v>JML</v>
      </c>
      <c r="L7" t="str">
        <v>VOLUME</v>
      </c>
      <c r="M7" t="str">
        <v>SAT</v>
      </c>
      <c r="N7" t="str">
        <v>QUANTITY</v>
      </c>
    </row>
    <row r="8">
      <c r="F8" t="str">
        <v>GAMBAR</v>
      </c>
      <c r="H8" t="str">
        <v>atas</v>
      </c>
      <c r="I8" t="str">
        <v>bawah</v>
      </c>
      <c r="J8" t="str">
        <v>BERAT</v>
      </c>
    </row>
    <row r="11">
      <c r="A11" t="str">
        <v>I</v>
      </c>
      <c r="B11" t="str">
        <v>PEKERJAAN PERSIAPAN</v>
      </c>
    </row>
    <row r="12">
      <c r="A12">
        <v>1</v>
      </c>
      <c r="B12" t="str">
        <v xml:space="preserve">Mobilisasi  &amp; Demobilisasi  </v>
      </c>
      <c r="L12">
        <v>1</v>
      </c>
      <c r="M12" t="str">
        <v>ls</v>
      </c>
      <c r="N12">
        <f>+L12</f>
        <v>1</v>
      </c>
    </row>
    <row r="13">
      <c r="A13">
        <f>+A12+1</f>
        <v>2</v>
      </c>
      <c r="B13" t="str">
        <v>Direksi keet &amp; gudang</v>
      </c>
      <c r="G13">
        <v>5</v>
      </c>
      <c r="H13">
        <v>3</v>
      </c>
      <c r="K13">
        <v>1</v>
      </c>
      <c r="L13">
        <f>G13*H13*K13</f>
        <v>15</v>
      </c>
      <c r="M13" t="str">
        <v>m2</v>
      </c>
      <c r="N13">
        <f>L13</f>
        <v>15</v>
      </c>
    </row>
    <row r="14">
      <c r="A14">
        <f>+A13+1</f>
        <v>3</v>
      </c>
      <c r="B14" t="str">
        <v>Papan nama proyek</v>
      </c>
      <c r="L14">
        <v>1</v>
      </c>
      <c r="M14" t="str">
        <v>ls</v>
      </c>
      <c r="N14">
        <v>1</v>
      </c>
    </row>
    <row r="15">
      <c r="A15">
        <f>+A14+1</f>
        <v>4</v>
      </c>
      <c r="B15" t="str">
        <v xml:space="preserve">Setting Out dan Pengukuran </v>
      </c>
      <c r="G15">
        <f>(18*10)+(9*9)</f>
        <v>261</v>
      </c>
      <c r="H15">
        <v>1</v>
      </c>
      <c r="L15">
        <f>G15*H15</f>
        <v>261</v>
      </c>
      <c r="M15" t="str">
        <v>m2</v>
      </c>
      <c r="N15">
        <f>L15</f>
        <v>261</v>
      </c>
    </row>
    <row r="16">
      <c r="A16">
        <f>+A15+1</f>
        <v>5</v>
      </c>
      <c r="B16" t="str">
        <v>Bowplank</v>
      </c>
      <c r="G16">
        <f>(20+17)*2</f>
        <v>74</v>
      </c>
      <c r="K16">
        <v>1</v>
      </c>
      <c r="L16">
        <f>G16*K16</f>
        <v>74</v>
      </c>
      <c r="M16" t="str">
        <v>m1</v>
      </c>
      <c r="N16">
        <f>L16</f>
        <v>74</v>
      </c>
    </row>
    <row r="17">
      <c r="A17">
        <f>+A16+1</f>
        <v>6</v>
      </c>
      <c r="B17" t="str">
        <v xml:space="preserve">Pembersihan lahan </v>
      </c>
      <c r="G17">
        <f>(18*10)+(9*9)</f>
        <v>261</v>
      </c>
      <c r="H17">
        <v>1</v>
      </c>
      <c r="K17">
        <v>1</v>
      </c>
      <c r="L17">
        <f>G17*H17*K17</f>
        <v>261</v>
      </c>
      <c r="M17" t="str">
        <v>m2</v>
      </c>
      <c r="N17">
        <f>L17</f>
        <v>261</v>
      </c>
    </row>
    <row r="18">
      <c r="A18">
        <f>+A17+1</f>
        <v>7</v>
      </c>
      <c r="B18" t="str">
        <v>Pagar sementara seng + rangka kaso</v>
      </c>
      <c r="G18">
        <v>50</v>
      </c>
      <c r="L18">
        <f>G18</f>
        <v>50</v>
      </c>
      <c r="M18" t="str">
        <v>m</v>
      </c>
      <c r="N18">
        <f>L18</f>
        <v>50</v>
      </c>
    </row>
    <row r="19">
      <c r="A19">
        <f>+A18+1</f>
        <v>8</v>
      </c>
      <c r="B19" t="str">
        <v>Dokumen Kontrak, foto progres, As Built Drawing, laporan-laporan</v>
      </c>
      <c r="L19">
        <v>1</v>
      </c>
      <c r="M19" t="str">
        <v>ls</v>
      </c>
      <c r="N19">
        <f>+L19</f>
        <v>1</v>
      </c>
    </row>
    <row r="21">
      <c r="A21" t="str">
        <v>II</v>
      </c>
      <c r="B21" t="str">
        <v xml:space="preserve">PEKERJAAN BANGUNAN </v>
      </c>
    </row>
    <row r="23">
      <c r="A23" t="str">
        <v>A</v>
      </c>
      <c r="B23" t="str">
        <v>PEKERJAAN URUGAN</v>
      </c>
    </row>
    <row r="24">
      <c r="A24">
        <v>1</v>
      </c>
      <c r="B24" t="str">
        <v>Urugan tanah merah</v>
      </c>
      <c r="F24" t="str">
        <v>kantor</v>
      </c>
      <c r="G24">
        <v>3</v>
      </c>
      <c r="H24">
        <v>1.5</v>
      </c>
      <c r="J24">
        <v>0.3</v>
      </c>
      <c r="K24">
        <v>1</v>
      </c>
      <c r="L24">
        <f>G24*H24*J24*K24</f>
        <v>1.3499999999999999</v>
      </c>
      <c r="P24">
        <v>65</v>
      </c>
      <c r="Q24">
        <v>50</v>
      </c>
      <c r="R24">
        <v>0.89</v>
      </c>
      <c r="S24">
        <f>P24*Q24*R24</f>
        <v>2892.5</v>
      </c>
    </row>
    <row r="25">
      <c r="G25">
        <v>9</v>
      </c>
      <c r="H25">
        <v>6.5</v>
      </c>
      <c r="J25">
        <v>0.3</v>
      </c>
      <c r="K25">
        <v>1</v>
      </c>
      <c r="L25">
        <f>G25*H25*J25*K25</f>
        <v>17.55</v>
      </c>
    </row>
    <row r="26">
      <c r="G26">
        <v>20</v>
      </c>
      <c r="H26">
        <v>12</v>
      </c>
      <c r="J26">
        <v>0.3</v>
      </c>
      <c r="K26">
        <v>1</v>
      </c>
      <c r="L26">
        <f>G26*H26*J26*K26</f>
        <v>72</v>
      </c>
    </row>
    <row r="27">
      <c r="L27">
        <f>SUM(L24:L26)</f>
        <v>90.9</v>
      </c>
      <c r="M27" t="str">
        <v>m3</v>
      </c>
      <c r="N27">
        <f>L27</f>
        <v>90.9</v>
      </c>
      <c r="P27">
        <v>3.5</v>
      </c>
      <c r="Q27">
        <v>3</v>
      </c>
      <c r="R27">
        <f>P27*Q27</f>
        <v>10.5</v>
      </c>
    </row>
    <row r="28">
      <c r="P28">
        <v>6</v>
      </c>
      <c r="Q28">
        <v>3</v>
      </c>
      <c r="R28">
        <f>P28*Q28</f>
        <v>18</v>
      </c>
    </row>
    <row r="29">
      <c r="A29" t="str">
        <v>B</v>
      </c>
      <c r="B29" t="str">
        <v>PEKERJAAN PONDASI</v>
      </c>
      <c r="P29">
        <v>10</v>
      </c>
      <c r="Q29">
        <v>3</v>
      </c>
      <c r="R29">
        <f>P29*Q29</f>
        <v>30</v>
      </c>
    </row>
    <row r="30">
      <c r="A30">
        <v>1</v>
      </c>
      <c r="B30" t="str">
        <v>Galian tanah</v>
      </c>
      <c r="E30" t="str">
        <v>A</v>
      </c>
      <c r="G30">
        <v>10</v>
      </c>
      <c r="H30">
        <v>0.8</v>
      </c>
      <c r="J30">
        <v>0.7</v>
      </c>
      <c r="K30">
        <v>1</v>
      </c>
      <c r="L30">
        <f>G30*H30*J30*K30</f>
        <v>5.6</v>
      </c>
    </row>
    <row r="31">
      <c r="G31">
        <v>2</v>
      </c>
      <c r="H31">
        <v>0.8</v>
      </c>
      <c r="J31">
        <v>0.7</v>
      </c>
      <c r="K31">
        <v>1</v>
      </c>
      <c r="L31">
        <f>G31*H31*J31*K31</f>
        <v>1.1199999999999999</v>
      </c>
    </row>
    <row r="32">
      <c r="E32" t="str">
        <v>B</v>
      </c>
      <c r="G32">
        <f>5+2.5</f>
        <v>7.5</v>
      </c>
      <c r="H32">
        <v>0.8</v>
      </c>
      <c r="J32">
        <v>0.7</v>
      </c>
      <c r="K32">
        <v>1</v>
      </c>
      <c r="L32">
        <f>G32*H32*J32*K32</f>
        <v>4.199999999999999</v>
      </c>
    </row>
    <row r="33">
      <c r="G33">
        <v>2</v>
      </c>
      <c r="H33">
        <v>0.8</v>
      </c>
      <c r="J33">
        <v>0.7</v>
      </c>
      <c r="K33">
        <v>1</v>
      </c>
      <c r="L33">
        <f>G33*H33*J33*K33</f>
        <v>1.1199999999999999</v>
      </c>
    </row>
    <row r="34">
      <c r="E34" t="str">
        <v>C</v>
      </c>
      <c r="G34">
        <v>1.5</v>
      </c>
      <c r="H34">
        <v>0.8</v>
      </c>
      <c r="J34">
        <v>0.7</v>
      </c>
      <c r="K34">
        <v>1</v>
      </c>
      <c r="L34">
        <f>G34*H34*J34*K34</f>
        <v>0.8400000000000001</v>
      </c>
    </row>
    <row r="35">
      <c r="G35">
        <v>5</v>
      </c>
      <c r="H35">
        <v>0.8</v>
      </c>
      <c r="J35">
        <v>0.7</v>
      </c>
      <c r="K35">
        <v>1</v>
      </c>
      <c r="L35">
        <f>G35*H35*J35*K35</f>
        <v>2.8</v>
      </c>
    </row>
    <row r="36">
      <c r="G36">
        <v>10</v>
      </c>
      <c r="H36">
        <v>0.8</v>
      </c>
      <c r="J36">
        <v>0.7</v>
      </c>
      <c r="K36">
        <v>1</v>
      </c>
      <c r="L36">
        <f>G36*H36*J36*K36</f>
        <v>5.6</v>
      </c>
    </row>
    <row r="37">
      <c r="G37">
        <v>4</v>
      </c>
      <c r="H37">
        <v>0.8</v>
      </c>
      <c r="J37">
        <v>0.7</v>
      </c>
      <c r="K37">
        <v>1</v>
      </c>
      <c r="L37">
        <f>G37*H37*J37*K37</f>
        <v>2.2399999999999998</v>
      </c>
    </row>
    <row r="38">
      <c r="E38" t="str">
        <v>D</v>
      </c>
      <c r="G38">
        <v>1.5</v>
      </c>
      <c r="H38">
        <v>0.8</v>
      </c>
      <c r="J38">
        <v>0.7</v>
      </c>
      <c r="K38">
        <v>1</v>
      </c>
      <c r="L38">
        <f>G38*H38*J38*K38</f>
        <v>0.8400000000000001</v>
      </c>
    </row>
    <row r="39">
      <c r="G39">
        <v>5</v>
      </c>
      <c r="H39">
        <v>0.8</v>
      </c>
      <c r="J39">
        <v>0.7</v>
      </c>
      <c r="K39">
        <v>1</v>
      </c>
      <c r="L39">
        <f>G39*H39*J39*K39</f>
        <v>2.8</v>
      </c>
    </row>
    <row r="40">
      <c r="G40">
        <v>4</v>
      </c>
      <c r="H40">
        <v>0.8</v>
      </c>
      <c r="J40">
        <v>0.7</v>
      </c>
      <c r="L40">
        <f>G40*H40*J40*K40</f>
        <v>0</v>
      </c>
    </row>
    <row r="41">
      <c r="E41" t="str">
        <v>E</v>
      </c>
      <c r="G41">
        <f>5+2.5</f>
        <v>7.5</v>
      </c>
      <c r="H41">
        <v>0.8</v>
      </c>
      <c r="J41">
        <v>0.7</v>
      </c>
      <c r="K41">
        <v>1</v>
      </c>
      <c r="L41">
        <f>G41*H41*J41*K41</f>
        <v>4.199999999999999</v>
      </c>
    </row>
    <row r="42">
      <c r="E42" t="str">
        <v>F</v>
      </c>
      <c r="G42">
        <v>10</v>
      </c>
      <c r="H42">
        <v>0.8</v>
      </c>
      <c r="J42">
        <v>0.7</v>
      </c>
      <c r="K42">
        <v>1</v>
      </c>
      <c r="L42">
        <f>G42*H42*J42*K42</f>
        <v>5.6</v>
      </c>
    </row>
    <row r="43">
      <c r="G43">
        <v>2</v>
      </c>
      <c r="H43">
        <v>0.8</v>
      </c>
      <c r="J43">
        <v>0.7</v>
      </c>
      <c r="K43">
        <v>1</v>
      </c>
      <c r="L43">
        <f>G43*H43*J43*K43</f>
        <v>1.1199999999999999</v>
      </c>
    </row>
    <row r="44">
      <c r="G44">
        <v>2</v>
      </c>
      <c r="H44">
        <v>0.8</v>
      </c>
      <c r="J44">
        <v>0.7</v>
      </c>
      <c r="K44">
        <v>1</v>
      </c>
      <c r="L44">
        <f>G44*H44*J44*K44</f>
        <v>1.1199999999999999</v>
      </c>
    </row>
    <row r="45">
      <c r="E45" t="str">
        <v>G</v>
      </c>
      <c r="G45">
        <v>10</v>
      </c>
      <c r="H45">
        <v>0.8</v>
      </c>
      <c r="J45">
        <v>0.7</v>
      </c>
      <c r="K45">
        <v>1</v>
      </c>
      <c r="L45">
        <f>G45*H45*J45*K45</f>
        <v>5.6</v>
      </c>
    </row>
    <row r="46">
      <c r="E46" t="str">
        <v>o</v>
      </c>
      <c r="G46">
        <v>3</v>
      </c>
      <c r="H46">
        <v>0.8</v>
      </c>
      <c r="J46">
        <v>0.7</v>
      </c>
      <c r="K46">
        <v>1</v>
      </c>
      <c r="L46">
        <f>G46*H46*J46*K46</f>
        <v>1.6800000000000002</v>
      </c>
    </row>
    <row r="47">
      <c r="E47" t="str">
        <v>o'</v>
      </c>
      <c r="G47">
        <v>9</v>
      </c>
      <c r="H47">
        <v>0.8</v>
      </c>
      <c r="J47">
        <v>0.7</v>
      </c>
      <c r="K47">
        <v>1</v>
      </c>
      <c r="L47">
        <f>G47*H47*J47*K47</f>
        <v>5.04</v>
      </c>
    </row>
    <row r="48">
      <c r="E48">
        <v>1</v>
      </c>
      <c r="G48">
        <v>9</v>
      </c>
      <c r="H48">
        <v>0.8</v>
      </c>
      <c r="J48">
        <v>0.7</v>
      </c>
      <c r="K48">
        <v>1</v>
      </c>
      <c r="L48">
        <f>G48*H48*J48*K48</f>
        <v>5.04</v>
      </c>
    </row>
    <row r="49">
      <c r="E49">
        <v>2</v>
      </c>
      <c r="G49">
        <v>18</v>
      </c>
      <c r="H49">
        <v>0.8</v>
      </c>
      <c r="J49">
        <v>0.7</v>
      </c>
      <c r="K49">
        <v>1</v>
      </c>
      <c r="L49">
        <f>G49*H49*J49*K49</f>
        <v>10.08</v>
      </c>
    </row>
    <row r="50">
      <c r="G50">
        <v>2.5</v>
      </c>
      <c r="H50">
        <v>0.8</v>
      </c>
      <c r="J50">
        <v>0.7</v>
      </c>
      <c r="K50">
        <v>1</v>
      </c>
      <c r="L50">
        <f>G50*H50*J50*K50</f>
        <v>1.4</v>
      </c>
    </row>
    <row r="51">
      <c r="E51">
        <v>3</v>
      </c>
      <c r="G51">
        <v>18</v>
      </c>
      <c r="H51">
        <v>0.8</v>
      </c>
      <c r="J51">
        <v>0.7</v>
      </c>
      <c r="K51">
        <v>1</v>
      </c>
      <c r="L51">
        <f>G51*H51*J51*K51</f>
        <v>10.08</v>
      </c>
    </row>
    <row r="52">
      <c r="E52">
        <v>4</v>
      </c>
      <c r="G52">
        <v>18</v>
      </c>
      <c r="H52">
        <v>0.8</v>
      </c>
      <c r="J52">
        <v>0.7</v>
      </c>
      <c r="K52">
        <v>1</v>
      </c>
      <c r="L52">
        <f>G52*H52*J52*K52</f>
        <v>10.08</v>
      </c>
    </row>
    <row r="53">
      <c r="G53">
        <v>2.5</v>
      </c>
      <c r="H53">
        <v>0.8</v>
      </c>
      <c r="J53">
        <v>0.7</v>
      </c>
      <c r="K53">
        <v>1</v>
      </c>
      <c r="L53">
        <f>G53*H53*J53*K53</f>
        <v>1.4</v>
      </c>
    </row>
    <row r="54">
      <c r="E54">
        <v>5</v>
      </c>
      <c r="G54">
        <v>18</v>
      </c>
      <c r="H54">
        <v>0.8</v>
      </c>
      <c r="J54">
        <v>0.7</v>
      </c>
      <c r="K54">
        <v>1</v>
      </c>
      <c r="L54">
        <f>G54*H54*J54*K54</f>
        <v>10.08</v>
      </c>
    </row>
    <row r="55">
      <c r="L55">
        <f>SUM(L30:L54)</f>
        <v>99.67999999999999</v>
      </c>
      <c r="M55" t="str">
        <v>m3</v>
      </c>
      <c r="N55">
        <f>L55</f>
        <v>99.67999999999999</v>
      </c>
    </row>
    <row r="57">
      <c r="A57">
        <f>A30+1</f>
        <v>2</v>
      </c>
      <c r="B57" t="str">
        <v>Pasir urug tebal 5 cm</v>
      </c>
      <c r="E57" t="str">
        <v>A</v>
      </c>
      <c r="G57">
        <v>10</v>
      </c>
      <c r="H57">
        <v>0.7</v>
      </c>
      <c r="J57">
        <v>0.05</v>
      </c>
      <c r="K57">
        <v>1</v>
      </c>
      <c r="L57">
        <f>G57*H57*J57*K57</f>
        <v>0.35000000000000003</v>
      </c>
    </row>
    <row r="58">
      <c r="G58">
        <v>2</v>
      </c>
      <c r="H58">
        <v>0.7</v>
      </c>
      <c r="J58">
        <v>0.05</v>
      </c>
      <c r="K58">
        <v>1</v>
      </c>
      <c r="L58">
        <f>G58*H58*J58*K58</f>
        <v>0.06999999999999999</v>
      </c>
    </row>
    <row r="59">
      <c r="E59" t="str">
        <v>B</v>
      </c>
      <c r="G59">
        <f>5+2.5</f>
        <v>7.5</v>
      </c>
      <c r="H59">
        <v>0.7</v>
      </c>
      <c r="J59">
        <v>0.05</v>
      </c>
      <c r="K59">
        <v>1</v>
      </c>
      <c r="L59">
        <f>G59*H59*J59*K59</f>
        <v>0.2625</v>
      </c>
    </row>
    <row r="60">
      <c r="G60">
        <v>2</v>
      </c>
      <c r="H60">
        <v>0.7</v>
      </c>
      <c r="J60">
        <v>0.05</v>
      </c>
      <c r="K60">
        <v>1</v>
      </c>
      <c r="L60">
        <f>G60*H60*J60*K60</f>
        <v>0.06999999999999999</v>
      </c>
    </row>
    <row r="61">
      <c r="E61" t="str">
        <v>C</v>
      </c>
      <c r="G61">
        <v>1.5</v>
      </c>
      <c r="H61">
        <v>0.7</v>
      </c>
      <c r="J61">
        <v>0.05</v>
      </c>
      <c r="K61">
        <v>1</v>
      </c>
      <c r="L61">
        <f>G61*H61*J61*K61</f>
        <v>0.05249999999999999</v>
      </c>
    </row>
    <row r="62">
      <c r="G62">
        <v>5</v>
      </c>
      <c r="H62">
        <v>0.7</v>
      </c>
      <c r="J62">
        <v>0.05</v>
      </c>
      <c r="K62">
        <v>1</v>
      </c>
      <c r="L62">
        <f>G62*H62*J62*K62</f>
        <v>0.17500000000000002</v>
      </c>
    </row>
    <row r="63">
      <c r="G63">
        <v>10</v>
      </c>
      <c r="H63">
        <v>0.7</v>
      </c>
      <c r="J63">
        <v>0.05</v>
      </c>
      <c r="K63">
        <v>1</v>
      </c>
      <c r="L63">
        <f>G63*H63*J63*K63</f>
        <v>0.35000000000000003</v>
      </c>
    </row>
    <row r="64">
      <c r="G64">
        <v>4</v>
      </c>
      <c r="H64">
        <v>0.7</v>
      </c>
      <c r="J64">
        <v>0.05</v>
      </c>
      <c r="K64">
        <v>1</v>
      </c>
      <c r="L64">
        <f>G64*H64*J64*K64</f>
        <v>0.13999999999999999</v>
      </c>
    </row>
    <row r="65">
      <c r="E65" t="str">
        <v>D</v>
      </c>
      <c r="G65">
        <v>1.5</v>
      </c>
      <c r="H65">
        <v>0.7</v>
      </c>
      <c r="J65">
        <v>0.05</v>
      </c>
      <c r="K65">
        <v>1</v>
      </c>
      <c r="L65">
        <f>G65*H65*J65*K65</f>
        <v>0.05249999999999999</v>
      </c>
    </row>
    <row r="66">
      <c r="G66">
        <v>5</v>
      </c>
      <c r="H66">
        <v>0.7</v>
      </c>
      <c r="J66">
        <v>0.05</v>
      </c>
      <c r="K66">
        <v>1</v>
      </c>
      <c r="L66">
        <f>G66*H66*J66*K66</f>
        <v>0.17500000000000002</v>
      </c>
    </row>
    <row r="67">
      <c r="G67">
        <v>4</v>
      </c>
      <c r="H67">
        <v>0.7</v>
      </c>
      <c r="J67">
        <v>0.05</v>
      </c>
      <c r="L67">
        <f>G67*H67*J67*K67</f>
        <v>0</v>
      </c>
    </row>
    <row r="68">
      <c r="E68" t="str">
        <v>E</v>
      </c>
      <c r="G68">
        <f>5+2.5</f>
        <v>7.5</v>
      </c>
      <c r="H68">
        <v>0.7</v>
      </c>
      <c r="J68">
        <v>0.05</v>
      </c>
      <c r="K68">
        <v>1</v>
      </c>
      <c r="L68">
        <f>G68*H68*J68*K68</f>
        <v>0.2625</v>
      </c>
    </row>
    <row r="69">
      <c r="E69" t="str">
        <v>F</v>
      </c>
      <c r="G69">
        <v>10</v>
      </c>
      <c r="H69">
        <v>0.7</v>
      </c>
      <c r="J69">
        <v>0.05</v>
      </c>
      <c r="K69">
        <v>1</v>
      </c>
      <c r="L69">
        <f>G69*H69*J69*K69</f>
        <v>0.35000000000000003</v>
      </c>
    </row>
    <row r="70">
      <c r="G70">
        <v>2</v>
      </c>
      <c r="H70">
        <v>0.7</v>
      </c>
      <c r="J70">
        <v>0.05</v>
      </c>
      <c r="K70">
        <v>1</v>
      </c>
      <c r="L70">
        <f>G70*H70*J70*K70</f>
        <v>0.06999999999999999</v>
      </c>
    </row>
    <row r="71">
      <c r="G71">
        <v>2</v>
      </c>
      <c r="H71">
        <v>0.7</v>
      </c>
      <c r="J71">
        <v>0.05</v>
      </c>
      <c r="K71">
        <v>1</v>
      </c>
      <c r="L71">
        <f>G71*H71*J71*K71</f>
        <v>0.06999999999999999</v>
      </c>
    </row>
    <row r="72">
      <c r="E72" t="str">
        <v>G</v>
      </c>
      <c r="G72">
        <v>10</v>
      </c>
      <c r="H72">
        <v>0.7</v>
      </c>
      <c r="J72">
        <v>0.05</v>
      </c>
      <c r="K72">
        <v>1</v>
      </c>
      <c r="L72">
        <f>G72*H72*J72*K72</f>
        <v>0.35000000000000003</v>
      </c>
    </row>
    <row r="73">
      <c r="E73" t="str">
        <v>o</v>
      </c>
      <c r="G73">
        <v>3</v>
      </c>
      <c r="H73">
        <v>0.7</v>
      </c>
      <c r="J73">
        <v>0.05</v>
      </c>
      <c r="K73">
        <v>1</v>
      </c>
      <c r="L73">
        <f>G73*H73*J73*K73</f>
        <v>0.10499999999999998</v>
      </c>
    </row>
    <row r="74">
      <c r="E74" t="str">
        <v>o'</v>
      </c>
      <c r="G74">
        <v>9</v>
      </c>
      <c r="H74">
        <v>0.7</v>
      </c>
      <c r="J74">
        <v>0.05</v>
      </c>
      <c r="K74">
        <v>1</v>
      </c>
      <c r="L74">
        <f>G74*H74*J74*K74</f>
        <v>0.315</v>
      </c>
    </row>
    <row r="75">
      <c r="E75">
        <v>1</v>
      </c>
      <c r="G75">
        <v>9</v>
      </c>
      <c r="H75">
        <v>0.7</v>
      </c>
      <c r="J75">
        <v>0.05</v>
      </c>
      <c r="K75">
        <v>1</v>
      </c>
      <c r="L75">
        <f>G75*H75*J75*K75</f>
        <v>0.315</v>
      </c>
    </row>
    <row r="76">
      <c r="E76">
        <v>2</v>
      </c>
      <c r="G76">
        <v>18</v>
      </c>
      <c r="H76">
        <v>0.7</v>
      </c>
      <c r="J76">
        <v>0.05</v>
      </c>
      <c r="K76">
        <v>1</v>
      </c>
      <c r="L76">
        <f>G76*H76*J76*K76</f>
        <v>0.63</v>
      </c>
    </row>
    <row r="77">
      <c r="G77">
        <v>2.5</v>
      </c>
      <c r="H77">
        <v>0.7</v>
      </c>
      <c r="J77">
        <v>0.05</v>
      </c>
      <c r="K77">
        <v>1</v>
      </c>
      <c r="L77">
        <f>G77*H77*J77*K77</f>
        <v>0.08750000000000001</v>
      </c>
    </row>
    <row r="78">
      <c r="E78">
        <v>3</v>
      </c>
      <c r="G78">
        <v>18</v>
      </c>
      <c r="H78">
        <v>0.7</v>
      </c>
      <c r="J78">
        <v>0.05</v>
      </c>
      <c r="K78">
        <v>1</v>
      </c>
      <c r="L78">
        <f>G78*H78*J78*K78</f>
        <v>0.63</v>
      </c>
    </row>
    <row r="79">
      <c r="E79">
        <v>4</v>
      </c>
      <c r="G79">
        <v>18</v>
      </c>
      <c r="H79">
        <v>0.7</v>
      </c>
      <c r="J79">
        <v>0.05</v>
      </c>
      <c r="K79">
        <v>1</v>
      </c>
      <c r="L79">
        <f>G79*H79*J79*K79</f>
        <v>0.63</v>
      </c>
    </row>
    <row r="80">
      <c r="G80">
        <v>2.5</v>
      </c>
      <c r="H80">
        <v>0.7</v>
      </c>
      <c r="J80">
        <v>0.05</v>
      </c>
      <c r="K80">
        <v>1</v>
      </c>
      <c r="L80">
        <f>G80*H80*J80*K80</f>
        <v>0.08750000000000001</v>
      </c>
    </row>
    <row r="81">
      <c r="E81">
        <v>5</v>
      </c>
      <c r="G81">
        <v>18</v>
      </c>
      <c r="H81">
        <v>0.7</v>
      </c>
      <c r="J81">
        <v>0.05</v>
      </c>
      <c r="K81">
        <v>1</v>
      </c>
      <c r="L81">
        <f>G81*H81*J81*K81</f>
        <v>0.63</v>
      </c>
    </row>
    <row r="82">
      <c r="L82">
        <f>SUM(L57:L81)</f>
        <v>6.23</v>
      </c>
      <c r="M82" t="str">
        <v>m3</v>
      </c>
      <c r="N82">
        <f>L82</f>
        <v>6.23</v>
      </c>
    </row>
    <row r="84">
      <c r="A84">
        <f>A57+1</f>
        <v>3</v>
      </c>
      <c r="B84" t="str">
        <v>Pondasi batu kali 1:4</v>
      </c>
      <c r="E84" t="str">
        <v>A</v>
      </c>
      <c r="G84">
        <v>10</v>
      </c>
      <c r="H84">
        <v>0.6</v>
      </c>
      <c r="J84">
        <v>0.15</v>
      </c>
      <c r="K84">
        <v>1</v>
      </c>
      <c r="L84">
        <f>G84*H84*J84*K84</f>
        <v>0.8999999999999999</v>
      </c>
    </row>
    <row r="85">
      <c r="G85">
        <v>2</v>
      </c>
      <c r="H85">
        <v>0.6</v>
      </c>
      <c r="J85">
        <v>0.15</v>
      </c>
      <c r="K85">
        <v>1</v>
      </c>
      <c r="L85">
        <f>G85*H85*J85*K85</f>
        <v>0.18</v>
      </c>
    </row>
    <row r="86">
      <c r="E86" t="str">
        <v>B</v>
      </c>
      <c r="G86">
        <f>5+2.5</f>
        <v>7.5</v>
      </c>
      <c r="H86">
        <v>0.6</v>
      </c>
      <c r="J86">
        <v>0.15</v>
      </c>
      <c r="K86">
        <v>1</v>
      </c>
      <c r="L86">
        <f>G86*H86*J86*K86</f>
        <v>0.6749999999999999</v>
      </c>
    </row>
    <row r="87">
      <c r="G87">
        <v>2</v>
      </c>
      <c r="H87">
        <v>0.6</v>
      </c>
      <c r="J87">
        <v>0.15</v>
      </c>
      <c r="K87">
        <v>1</v>
      </c>
      <c r="L87">
        <f>G87*H87*J87*K87</f>
        <v>0.18</v>
      </c>
    </row>
    <row r="88">
      <c r="E88" t="str">
        <v>C</v>
      </c>
      <c r="G88">
        <v>1.5</v>
      </c>
      <c r="H88">
        <v>0.6</v>
      </c>
      <c r="J88">
        <v>0.15</v>
      </c>
      <c r="K88">
        <v>1</v>
      </c>
      <c r="L88">
        <f>G88*H88*J88*K88</f>
        <v>0.13499999999999998</v>
      </c>
    </row>
    <row r="89">
      <c r="G89">
        <v>5</v>
      </c>
      <c r="H89">
        <v>0.6</v>
      </c>
      <c r="J89">
        <v>0.15</v>
      </c>
      <c r="K89">
        <v>1</v>
      </c>
      <c r="L89">
        <f>G89*H89*J89*K89</f>
        <v>0.44999999999999996</v>
      </c>
    </row>
    <row r="90">
      <c r="G90">
        <v>10</v>
      </c>
      <c r="H90">
        <v>0.6</v>
      </c>
      <c r="J90">
        <v>0.15</v>
      </c>
      <c r="K90">
        <v>1</v>
      </c>
      <c r="L90">
        <f>G90*H90*J90*K90</f>
        <v>0.8999999999999999</v>
      </c>
    </row>
    <row r="91">
      <c r="G91">
        <v>4</v>
      </c>
      <c r="H91">
        <v>0.6</v>
      </c>
      <c r="J91">
        <v>0.15</v>
      </c>
      <c r="K91">
        <v>1</v>
      </c>
      <c r="L91">
        <f>G91*H91*J91*K91</f>
        <v>0.36</v>
      </c>
    </row>
    <row r="92">
      <c r="E92" t="str">
        <v>D</v>
      </c>
      <c r="G92">
        <v>1.5</v>
      </c>
      <c r="H92">
        <v>0.6</v>
      </c>
      <c r="J92">
        <v>0.15</v>
      </c>
      <c r="K92">
        <v>1</v>
      </c>
      <c r="L92">
        <f>G92*H92*J92*K92</f>
        <v>0.13499999999999998</v>
      </c>
    </row>
    <row r="93">
      <c r="G93">
        <v>5</v>
      </c>
      <c r="H93">
        <v>0.6</v>
      </c>
      <c r="J93">
        <v>0.15</v>
      </c>
      <c r="K93">
        <v>1</v>
      </c>
      <c r="L93">
        <f>G93*H93*J93*K93</f>
        <v>0.44999999999999996</v>
      </c>
    </row>
    <row r="94">
      <c r="G94">
        <v>4</v>
      </c>
      <c r="H94">
        <v>0.6</v>
      </c>
      <c r="J94">
        <v>0.15</v>
      </c>
      <c r="K94">
        <v>1</v>
      </c>
      <c r="L94">
        <f>G94*H94*J94*K94</f>
        <v>0.36</v>
      </c>
    </row>
    <row r="95">
      <c r="E95" t="str">
        <v>E</v>
      </c>
      <c r="G95">
        <f>5+2.5</f>
        <v>7.5</v>
      </c>
      <c r="H95">
        <v>0.6</v>
      </c>
      <c r="J95">
        <v>0.15</v>
      </c>
      <c r="K95">
        <v>1</v>
      </c>
      <c r="L95">
        <f>G95*H95*J95*K95</f>
        <v>0.6749999999999999</v>
      </c>
    </row>
    <row r="96">
      <c r="E96" t="str">
        <v>f</v>
      </c>
      <c r="G96">
        <v>10</v>
      </c>
      <c r="H96">
        <v>0.6</v>
      </c>
      <c r="J96">
        <v>0.15</v>
      </c>
      <c r="K96">
        <v>1</v>
      </c>
      <c r="L96">
        <f>G96*H96*J96*K96</f>
        <v>0.8999999999999999</v>
      </c>
    </row>
    <row r="97">
      <c r="G97">
        <v>2</v>
      </c>
      <c r="H97">
        <v>0.6</v>
      </c>
      <c r="J97">
        <v>0.15</v>
      </c>
      <c r="K97">
        <v>1</v>
      </c>
      <c r="L97">
        <f>G97*H97*J97*K97</f>
        <v>0.18</v>
      </c>
    </row>
    <row r="98">
      <c r="G98">
        <v>2</v>
      </c>
      <c r="H98">
        <v>0.6</v>
      </c>
      <c r="J98">
        <v>0.15</v>
      </c>
      <c r="K98">
        <v>1</v>
      </c>
      <c r="L98">
        <f>G98*H98*J98*K98</f>
        <v>0.18</v>
      </c>
    </row>
    <row r="99">
      <c r="E99" t="str">
        <v>G</v>
      </c>
      <c r="G99">
        <v>10</v>
      </c>
      <c r="H99">
        <v>0.6</v>
      </c>
      <c r="J99">
        <v>0.15</v>
      </c>
      <c r="K99">
        <v>1</v>
      </c>
      <c r="L99">
        <f>G99*H99*J99*K99</f>
        <v>0.8999999999999999</v>
      </c>
    </row>
    <row r="100">
      <c r="E100" t="str">
        <v>o</v>
      </c>
      <c r="G100">
        <v>3</v>
      </c>
      <c r="H100">
        <v>0.6</v>
      </c>
      <c r="J100">
        <v>0.15</v>
      </c>
      <c r="K100">
        <v>1</v>
      </c>
      <c r="L100">
        <f>G100*H100*J100*K100</f>
        <v>0.26999999999999996</v>
      </c>
    </row>
    <row r="101">
      <c r="E101" t="str">
        <v>o'</v>
      </c>
      <c r="G101">
        <v>9</v>
      </c>
      <c r="H101">
        <v>0.6</v>
      </c>
      <c r="J101">
        <v>0.15</v>
      </c>
      <c r="K101">
        <v>1</v>
      </c>
      <c r="L101">
        <f>IF(YEAR(NOW())=YEAR(NOW()),G101*H101*J101*K101,a)</f>
        <v>0.8099999999999999</v>
      </c>
    </row>
    <row r="102">
      <c r="E102">
        <v>1</v>
      </c>
      <c r="G102">
        <v>9</v>
      </c>
      <c r="H102">
        <v>0.6</v>
      </c>
      <c r="J102">
        <v>0.15</v>
      </c>
      <c r="K102">
        <v>1</v>
      </c>
      <c r="L102">
        <f>G102*H102*J102*K102</f>
        <v>0.8099999999999999</v>
      </c>
    </row>
    <row r="103">
      <c r="E103">
        <v>2</v>
      </c>
      <c r="G103">
        <v>18</v>
      </c>
      <c r="H103">
        <v>0.6</v>
      </c>
      <c r="J103">
        <v>0.15</v>
      </c>
      <c r="K103">
        <v>1</v>
      </c>
      <c r="L103">
        <f>G103*H103*J103*K103</f>
        <v>1.6199999999999999</v>
      </c>
    </row>
    <row r="104">
      <c r="G104">
        <v>2.5</v>
      </c>
      <c r="H104">
        <v>0.6</v>
      </c>
      <c r="J104">
        <v>0.15</v>
      </c>
      <c r="K104">
        <v>1</v>
      </c>
      <c r="L104">
        <f>G104*H104*J104*K104</f>
        <v>0.22499999999999998</v>
      </c>
    </row>
    <row r="105">
      <c r="E105">
        <v>3</v>
      </c>
      <c r="G105">
        <v>18</v>
      </c>
      <c r="H105">
        <v>0.6</v>
      </c>
      <c r="J105">
        <v>0.15</v>
      </c>
      <c r="K105">
        <v>1</v>
      </c>
      <c r="L105">
        <f>G105*H105*J105*K105</f>
        <v>1.6199999999999999</v>
      </c>
    </row>
    <row r="106">
      <c r="E106">
        <v>4</v>
      </c>
      <c r="G106">
        <v>18</v>
      </c>
      <c r="H106">
        <v>0.6</v>
      </c>
      <c r="J106">
        <v>0.15</v>
      </c>
      <c r="K106">
        <v>1</v>
      </c>
      <c r="L106">
        <f>G106*H106*J106*K106</f>
        <v>1.6199999999999999</v>
      </c>
    </row>
    <row r="107">
      <c r="G107">
        <v>2.5</v>
      </c>
      <c r="H107">
        <v>0.6</v>
      </c>
      <c r="J107">
        <v>0.15</v>
      </c>
      <c r="K107">
        <v>1</v>
      </c>
      <c r="L107">
        <f>G107*H107*J107*K107</f>
        <v>0.22499999999999998</v>
      </c>
    </row>
    <row r="108">
      <c r="E108">
        <v>5</v>
      </c>
      <c r="G108">
        <v>18</v>
      </c>
      <c r="H108">
        <v>0.6</v>
      </c>
      <c r="J108">
        <v>0.15</v>
      </c>
      <c r="K108">
        <v>1</v>
      </c>
      <c r="L108">
        <f>G108*H108*J108*K108</f>
        <v>1.6199999999999999</v>
      </c>
    </row>
    <row r="109">
      <c r="B109" t="str">
        <v>Pondasi batu kali</v>
      </c>
      <c r="E109" t="str">
        <v>A</v>
      </c>
      <c r="G109">
        <v>10</v>
      </c>
      <c r="H109">
        <f>(0.6+0.3)/2</f>
        <v>0.44999999999999996</v>
      </c>
      <c r="J109">
        <f>0.8-0.15</f>
        <v>0.65</v>
      </c>
      <c r="K109">
        <v>1</v>
      </c>
      <c r="L109">
        <f>G109*H109*J109*K109</f>
        <v>2.9250000000000003</v>
      </c>
    </row>
    <row r="110">
      <c r="G110">
        <v>2</v>
      </c>
      <c r="H110">
        <f>(0.6+0.3)/2</f>
        <v>0.44999999999999996</v>
      </c>
      <c r="J110">
        <v>0.65</v>
      </c>
      <c r="K110">
        <v>1</v>
      </c>
      <c r="L110">
        <f>G110*H110*J110*K110</f>
        <v>0.585</v>
      </c>
    </row>
    <row r="111">
      <c r="E111" t="str">
        <v>B</v>
      </c>
      <c r="G111">
        <f>5+2.5</f>
        <v>7.5</v>
      </c>
      <c r="H111">
        <f>(0.6+0.3)/2</f>
        <v>0.44999999999999996</v>
      </c>
      <c r="J111">
        <v>0.65</v>
      </c>
      <c r="K111">
        <v>1</v>
      </c>
      <c r="L111">
        <f>G111*H111*J111*K111</f>
        <v>2.1937499999999996</v>
      </c>
    </row>
    <row r="112">
      <c r="G112">
        <v>2</v>
      </c>
      <c r="H112">
        <f>(0.6+0.3)/2</f>
        <v>0.44999999999999996</v>
      </c>
      <c r="J112">
        <v>0.65</v>
      </c>
      <c r="K112">
        <v>1</v>
      </c>
      <c r="L112">
        <f>G112*H112*J112*K112</f>
        <v>0.585</v>
      </c>
    </row>
    <row r="113">
      <c r="E113" t="str">
        <v>C</v>
      </c>
      <c r="G113">
        <v>1.5</v>
      </c>
      <c r="H113">
        <f>(0.6+0.3)/2</f>
        <v>0.44999999999999996</v>
      </c>
      <c r="J113">
        <v>0.65</v>
      </c>
      <c r="K113">
        <v>1</v>
      </c>
      <c r="L113">
        <f>G113*H113*J113*K113</f>
        <v>0.43875</v>
      </c>
    </row>
    <row r="114">
      <c r="G114">
        <v>5</v>
      </c>
      <c r="H114">
        <f>(0.6+0.3)/2</f>
        <v>0.44999999999999996</v>
      </c>
      <c r="J114">
        <v>0.65</v>
      </c>
      <c r="K114">
        <v>1</v>
      </c>
      <c r="L114">
        <f>G114*H114*J114*K114</f>
        <v>1.4625000000000001</v>
      </c>
    </row>
    <row r="115">
      <c r="G115">
        <v>10</v>
      </c>
      <c r="H115">
        <f>(0.6+0.3)/2</f>
        <v>0.44999999999999996</v>
      </c>
      <c r="J115">
        <v>0.65</v>
      </c>
      <c r="K115">
        <v>1</v>
      </c>
      <c r="L115">
        <f>G115*H115*J115*K115</f>
        <v>2.9250000000000003</v>
      </c>
    </row>
    <row r="116">
      <c r="G116">
        <v>4</v>
      </c>
      <c r="H116">
        <f>(0.6+0.3)/2</f>
        <v>0.44999999999999996</v>
      </c>
      <c r="J116">
        <v>0.65</v>
      </c>
      <c r="K116">
        <v>1</v>
      </c>
      <c r="L116">
        <f>G116*H116*J116*K116</f>
        <v>1.17</v>
      </c>
    </row>
    <row r="117">
      <c r="E117" t="str">
        <v>D</v>
      </c>
      <c r="G117">
        <v>1.5</v>
      </c>
      <c r="H117">
        <f>(0.6+0.3)/2</f>
        <v>0.44999999999999996</v>
      </c>
      <c r="J117">
        <v>0.65</v>
      </c>
      <c r="K117">
        <v>1</v>
      </c>
      <c r="L117">
        <f>G117*H117*J117*K117</f>
        <v>0.43875</v>
      </c>
    </row>
    <row r="118">
      <c r="G118">
        <v>5</v>
      </c>
      <c r="H118">
        <f>(0.6+0.3)/2</f>
        <v>0.44999999999999996</v>
      </c>
      <c r="J118">
        <v>0.65</v>
      </c>
      <c r="K118">
        <v>1</v>
      </c>
      <c r="L118">
        <f>G118*H118*J118*K118</f>
        <v>1.4625000000000001</v>
      </c>
    </row>
    <row r="119">
      <c r="G119">
        <v>4</v>
      </c>
      <c r="H119">
        <f>(0.6+0.3)/2</f>
        <v>0.44999999999999996</v>
      </c>
      <c r="J119">
        <v>0.65</v>
      </c>
      <c r="L119">
        <f>G119*H119*J119*K119</f>
        <v>0</v>
      </c>
    </row>
    <row r="120">
      <c r="E120" t="str">
        <v>E</v>
      </c>
      <c r="G120">
        <f>5+2.5</f>
        <v>7.5</v>
      </c>
      <c r="H120">
        <f>(0.6+0.3)/2</f>
        <v>0.44999999999999996</v>
      </c>
      <c r="J120">
        <v>0.65</v>
      </c>
      <c r="K120">
        <v>1</v>
      </c>
      <c r="L120">
        <f>G120*H120*J120*K120</f>
        <v>2.1937499999999996</v>
      </c>
    </row>
    <row r="121">
      <c r="E121" t="str">
        <v>F</v>
      </c>
      <c r="G121">
        <v>10</v>
      </c>
      <c r="H121">
        <f>(0.6+0.3)/2</f>
        <v>0.44999999999999996</v>
      </c>
      <c r="J121">
        <v>0.65</v>
      </c>
      <c r="K121">
        <v>1</v>
      </c>
      <c r="L121">
        <f>G121*H121*J121*K121</f>
        <v>2.9250000000000003</v>
      </c>
    </row>
    <row r="122">
      <c r="G122">
        <v>2</v>
      </c>
      <c r="H122">
        <f>(0.6+0.3)/2</f>
        <v>0.44999999999999996</v>
      </c>
      <c r="J122">
        <v>0.65</v>
      </c>
      <c r="K122">
        <v>1</v>
      </c>
      <c r="L122">
        <f>G122*H122*J122*K122</f>
        <v>0.585</v>
      </c>
    </row>
    <row r="123">
      <c r="G123">
        <v>2</v>
      </c>
      <c r="H123">
        <f>(0.6+0.3)/2</f>
        <v>0.44999999999999996</v>
      </c>
      <c r="J123">
        <v>0.65</v>
      </c>
      <c r="K123">
        <v>1</v>
      </c>
      <c r="L123">
        <f>G123*H123*J123*K123</f>
        <v>0.585</v>
      </c>
    </row>
    <row r="124">
      <c r="E124" t="str">
        <v>G</v>
      </c>
      <c r="G124">
        <v>10</v>
      </c>
      <c r="H124">
        <f>(0.6+0.3)/2</f>
        <v>0.44999999999999996</v>
      </c>
      <c r="J124">
        <v>0.65</v>
      </c>
      <c r="K124">
        <v>1</v>
      </c>
      <c r="L124">
        <f>G124*H124*J124*K124</f>
        <v>2.9250000000000003</v>
      </c>
    </row>
    <row r="125">
      <c r="E125" t="str">
        <v>o</v>
      </c>
      <c r="G125">
        <v>3</v>
      </c>
      <c r="H125">
        <f>(0.6+0.3)/2</f>
        <v>0.44999999999999996</v>
      </c>
      <c r="J125">
        <v>0.65</v>
      </c>
      <c r="K125">
        <v>1</v>
      </c>
      <c r="L125">
        <f>G125*H125*J125*K125</f>
        <v>0.8775</v>
      </c>
    </row>
    <row r="126">
      <c r="E126" t="str">
        <v>o'</v>
      </c>
      <c r="G126">
        <v>9</v>
      </c>
      <c r="H126">
        <f>(0.6+0.3)/2</f>
        <v>0.44999999999999996</v>
      </c>
      <c r="J126">
        <v>0.65</v>
      </c>
      <c r="K126">
        <v>1</v>
      </c>
      <c r="L126">
        <f>G126*H126*J126*K126</f>
        <v>2.6325</v>
      </c>
    </row>
    <row r="127">
      <c r="E127">
        <v>1</v>
      </c>
      <c r="G127">
        <v>9</v>
      </c>
      <c r="H127">
        <f>(0.6+0.3)/2</f>
        <v>0.44999999999999996</v>
      </c>
      <c r="J127">
        <v>0.65</v>
      </c>
      <c r="K127">
        <v>1</v>
      </c>
      <c r="L127">
        <f>G127*H127*J127*K127</f>
        <v>2.6325</v>
      </c>
    </row>
    <row r="128">
      <c r="E128">
        <v>2</v>
      </c>
      <c r="G128">
        <v>18</v>
      </c>
      <c r="H128">
        <f>(0.6+0.3)/2</f>
        <v>0.44999999999999996</v>
      </c>
      <c r="J128">
        <v>0.65</v>
      </c>
      <c r="K128">
        <v>1</v>
      </c>
      <c r="L128">
        <f>G128*H128*J128*K128</f>
        <v>5.265</v>
      </c>
    </row>
    <row r="129">
      <c r="G129">
        <v>2.5</v>
      </c>
      <c r="H129">
        <f>(0.6+0.3)/2</f>
        <v>0.44999999999999996</v>
      </c>
      <c r="J129">
        <v>0.65</v>
      </c>
      <c r="K129">
        <v>1</v>
      </c>
      <c r="L129">
        <f>G129*H129*J129*K129</f>
        <v>0.7312500000000001</v>
      </c>
    </row>
    <row r="130">
      <c r="E130">
        <v>3</v>
      </c>
      <c r="G130">
        <v>18</v>
      </c>
      <c r="H130">
        <f>(0.6+0.3)/2</f>
        <v>0.44999999999999996</v>
      </c>
      <c r="J130">
        <v>0.65</v>
      </c>
      <c r="K130">
        <v>1</v>
      </c>
      <c r="L130">
        <f>G130*H130*J130*K130</f>
        <v>5.265</v>
      </c>
    </row>
    <row r="131">
      <c r="E131">
        <v>4</v>
      </c>
      <c r="G131">
        <v>18</v>
      </c>
      <c r="H131">
        <f>(0.6+0.3)/2</f>
        <v>0.44999999999999996</v>
      </c>
      <c r="J131">
        <v>0.65</v>
      </c>
      <c r="K131">
        <v>1</v>
      </c>
      <c r="L131">
        <f>G131*H131*J131*K131</f>
        <v>5.265</v>
      </c>
    </row>
    <row r="132">
      <c r="G132">
        <v>2.5</v>
      </c>
      <c r="H132">
        <f>(0.6+0.3)/2</f>
        <v>0.44999999999999996</v>
      </c>
      <c r="J132">
        <v>0.65</v>
      </c>
      <c r="K132">
        <v>1</v>
      </c>
      <c r="L132">
        <f>G132*H132*J132*K132</f>
        <v>0.7312500000000001</v>
      </c>
    </row>
    <row r="133">
      <c r="E133">
        <v>5</v>
      </c>
      <c r="G133">
        <v>18</v>
      </c>
      <c r="H133">
        <f>(0.6+0.3)/2</f>
        <v>0.44999999999999996</v>
      </c>
      <c r="J133">
        <v>0.65</v>
      </c>
      <c r="K133">
        <v>1</v>
      </c>
      <c r="L133">
        <f>G133*H133*J133*K133</f>
        <v>5.265</v>
      </c>
    </row>
    <row r="134">
      <c r="L134">
        <f>SUM(L84:L133)</f>
        <v>68.445</v>
      </c>
      <c r="M134" t="str">
        <v>m3</v>
      </c>
      <c r="N134">
        <f>L134</f>
        <v>68.445</v>
      </c>
    </row>
    <row r="136">
      <c r="A136">
        <f>A84+1</f>
        <v>4</v>
      </c>
      <c r="B136" t="str">
        <v xml:space="preserve">Sloof </v>
      </c>
    </row>
    <row r="137">
      <c r="B137" t="str">
        <v>Beton K 200</v>
      </c>
      <c r="E137" t="str">
        <v>A</v>
      </c>
      <c r="G137">
        <v>10</v>
      </c>
      <c r="H137">
        <v>0.15</v>
      </c>
      <c r="J137">
        <v>0.2</v>
      </c>
      <c r="K137">
        <v>1</v>
      </c>
      <c r="L137">
        <f>G137*H137*J137*K137</f>
        <v>0.30000000000000004</v>
      </c>
    </row>
    <row r="138">
      <c r="G138">
        <v>2</v>
      </c>
      <c r="H138">
        <v>0.15</v>
      </c>
      <c r="J138">
        <v>0.2</v>
      </c>
      <c r="K138">
        <v>1</v>
      </c>
      <c r="L138">
        <f>G138*H138*J138*K138</f>
        <v>0.06</v>
      </c>
    </row>
    <row r="139">
      <c r="E139" t="str">
        <v>B</v>
      </c>
      <c r="G139">
        <f>5+2.5</f>
        <v>7.5</v>
      </c>
      <c r="H139">
        <v>0.15</v>
      </c>
      <c r="J139">
        <v>0.2</v>
      </c>
      <c r="K139">
        <v>1</v>
      </c>
      <c r="L139">
        <f>G139*H139*J139*K139</f>
        <v>0.225</v>
      </c>
    </row>
    <row r="140">
      <c r="G140">
        <v>2</v>
      </c>
      <c r="H140">
        <v>0.15</v>
      </c>
      <c r="J140">
        <v>0.2</v>
      </c>
      <c r="K140">
        <v>1</v>
      </c>
      <c r="L140">
        <f>G140*H140*J140*K140</f>
        <v>0.06</v>
      </c>
    </row>
    <row r="141">
      <c r="E141" t="str">
        <v>C</v>
      </c>
      <c r="G141">
        <v>1.5</v>
      </c>
      <c r="H141">
        <v>0.15</v>
      </c>
      <c r="J141">
        <v>0.2</v>
      </c>
      <c r="K141">
        <v>1</v>
      </c>
      <c r="L141">
        <f>G141*H141*J141*K141</f>
        <v>0.045</v>
      </c>
    </row>
    <row r="142">
      <c r="G142">
        <v>5</v>
      </c>
      <c r="H142">
        <v>0.15</v>
      </c>
      <c r="J142">
        <v>0.2</v>
      </c>
      <c r="K142">
        <v>1</v>
      </c>
      <c r="L142">
        <f>G142*H142*J142*K142</f>
        <v>0.15000000000000002</v>
      </c>
    </row>
    <row r="143">
      <c r="G143">
        <v>10</v>
      </c>
      <c r="H143">
        <v>0.15</v>
      </c>
      <c r="J143">
        <v>0.2</v>
      </c>
      <c r="K143">
        <v>1</v>
      </c>
      <c r="L143">
        <f>G143*H143*J143*K143</f>
        <v>0.30000000000000004</v>
      </c>
    </row>
    <row r="144">
      <c r="G144">
        <v>4</v>
      </c>
      <c r="H144">
        <v>0.15</v>
      </c>
      <c r="J144">
        <v>0.2</v>
      </c>
      <c r="K144">
        <v>1</v>
      </c>
      <c r="L144">
        <f>G144*H144*J144*K144</f>
        <v>0.12</v>
      </c>
    </row>
    <row r="145">
      <c r="E145" t="str">
        <v>D</v>
      </c>
      <c r="G145">
        <v>1.5</v>
      </c>
      <c r="H145">
        <v>0.15</v>
      </c>
      <c r="J145">
        <v>0.2</v>
      </c>
      <c r="K145">
        <v>1</v>
      </c>
      <c r="L145">
        <f>G145*H145*J145*K145</f>
        <v>0.045</v>
      </c>
    </row>
    <row r="146">
      <c r="G146">
        <v>5</v>
      </c>
      <c r="H146">
        <v>0.15</v>
      </c>
      <c r="J146">
        <v>0.2</v>
      </c>
      <c r="K146">
        <v>1</v>
      </c>
      <c r="L146">
        <f>G146*H146*J146*K146</f>
        <v>0.15000000000000002</v>
      </c>
    </row>
    <row r="147">
      <c r="G147">
        <v>4</v>
      </c>
      <c r="H147">
        <v>0.15</v>
      </c>
      <c r="J147">
        <v>0.2</v>
      </c>
      <c r="L147">
        <f>G147*H147*J147*K147</f>
        <v>0</v>
      </c>
    </row>
    <row r="148">
      <c r="E148" t="str">
        <v>E</v>
      </c>
      <c r="G148">
        <f>5+2.5</f>
        <v>7.5</v>
      </c>
      <c r="H148">
        <v>0.15</v>
      </c>
      <c r="J148">
        <v>0.2</v>
      </c>
      <c r="K148">
        <v>1</v>
      </c>
      <c r="L148">
        <f>G148*H148*J148*K148</f>
        <v>0.225</v>
      </c>
    </row>
    <row r="149">
      <c r="E149" t="str">
        <v>F</v>
      </c>
      <c r="G149">
        <v>10</v>
      </c>
      <c r="H149">
        <v>0.15</v>
      </c>
      <c r="J149">
        <v>0.2</v>
      </c>
      <c r="K149">
        <v>1</v>
      </c>
      <c r="L149">
        <f>G149*H149*J149*K149</f>
        <v>0.30000000000000004</v>
      </c>
    </row>
    <row r="150">
      <c r="G150">
        <v>2</v>
      </c>
      <c r="H150">
        <v>0.15</v>
      </c>
      <c r="J150">
        <v>0.2</v>
      </c>
      <c r="K150">
        <v>1</v>
      </c>
      <c r="L150">
        <f>G150*H150*J150*K150</f>
        <v>0.06</v>
      </c>
    </row>
    <row r="151">
      <c r="G151">
        <v>2</v>
      </c>
      <c r="H151">
        <v>0.15</v>
      </c>
      <c r="J151">
        <v>0.2</v>
      </c>
      <c r="K151">
        <v>1</v>
      </c>
      <c r="L151">
        <f>G151*H151*J151*K151</f>
        <v>0.06</v>
      </c>
    </row>
    <row r="152">
      <c r="E152" t="str">
        <v>G</v>
      </c>
      <c r="G152">
        <v>10</v>
      </c>
      <c r="H152">
        <v>0.15</v>
      </c>
      <c r="J152">
        <v>0.2</v>
      </c>
      <c r="K152">
        <v>1</v>
      </c>
      <c r="L152">
        <f>G152*H152*J152*K152</f>
        <v>0.30000000000000004</v>
      </c>
    </row>
    <row r="153">
      <c r="E153" t="str">
        <v>o</v>
      </c>
      <c r="G153">
        <v>3</v>
      </c>
      <c r="H153">
        <v>0.15</v>
      </c>
      <c r="J153">
        <v>0.2</v>
      </c>
      <c r="K153">
        <v>1</v>
      </c>
      <c r="L153">
        <f>G153*H153*J153*K153</f>
        <v>0.09</v>
      </c>
    </row>
    <row r="154">
      <c r="E154" t="str">
        <v>o'</v>
      </c>
      <c r="G154">
        <v>9</v>
      </c>
      <c r="H154">
        <v>0.15</v>
      </c>
      <c r="J154">
        <v>0.2</v>
      </c>
      <c r="K154">
        <v>1</v>
      </c>
      <c r="L154">
        <f>G154*H154*J154*K154</f>
        <v>0.26999999999999996</v>
      </c>
    </row>
    <row r="155">
      <c r="E155">
        <v>1</v>
      </c>
      <c r="G155">
        <v>9</v>
      </c>
      <c r="H155">
        <v>0.15</v>
      </c>
      <c r="J155">
        <v>0.2</v>
      </c>
      <c r="K155">
        <v>1</v>
      </c>
      <c r="L155">
        <f>G155*H155*J155*K155</f>
        <v>0.26999999999999996</v>
      </c>
    </row>
    <row r="156">
      <c r="E156">
        <v>2</v>
      </c>
      <c r="G156">
        <v>18</v>
      </c>
      <c r="H156">
        <v>0.15</v>
      </c>
      <c r="J156">
        <v>0.2</v>
      </c>
      <c r="K156">
        <v>1</v>
      </c>
      <c r="L156">
        <f>G156*H156*J156*K156</f>
        <v>0.5399999999999999</v>
      </c>
    </row>
    <row r="157">
      <c r="G157">
        <v>2.5</v>
      </c>
      <c r="H157">
        <v>0.15</v>
      </c>
      <c r="J157">
        <v>0.2</v>
      </c>
      <c r="K157">
        <v>1</v>
      </c>
      <c r="L157">
        <f>G157*H157*J157*K157</f>
        <v>0.07500000000000001</v>
      </c>
    </row>
    <row r="158">
      <c r="E158">
        <v>3</v>
      </c>
      <c r="G158">
        <v>18</v>
      </c>
      <c r="H158">
        <v>0.15</v>
      </c>
      <c r="J158">
        <v>0.2</v>
      </c>
      <c r="K158">
        <v>1</v>
      </c>
      <c r="L158">
        <f>G158*H158*J158*K158</f>
        <v>0.5399999999999999</v>
      </c>
    </row>
    <row r="159">
      <c r="E159">
        <v>4</v>
      </c>
      <c r="G159">
        <v>18</v>
      </c>
      <c r="H159">
        <v>0.15</v>
      </c>
      <c r="J159">
        <v>0.2</v>
      </c>
      <c r="K159">
        <v>1</v>
      </c>
      <c r="L159">
        <f>G159*H159*J159*K159</f>
        <v>0.5399999999999999</v>
      </c>
    </row>
    <row r="160">
      <c r="G160">
        <v>2.5</v>
      </c>
      <c r="H160">
        <v>0.15</v>
      </c>
      <c r="J160">
        <v>0.2</v>
      </c>
      <c r="K160">
        <v>1</v>
      </c>
      <c r="L160">
        <f>G160*H160*J160*K160</f>
        <v>0.07500000000000001</v>
      </c>
    </row>
    <row r="161">
      <c r="E161">
        <v>5</v>
      </c>
      <c r="G161">
        <v>18</v>
      </c>
      <c r="H161">
        <v>0.15</v>
      </c>
      <c r="J161">
        <v>0.2</v>
      </c>
      <c r="K161">
        <v>1</v>
      </c>
      <c r="L161">
        <f>G161*H161*J161*K161</f>
        <v>0.5399999999999999</v>
      </c>
    </row>
    <row r="162">
      <c r="L162">
        <f>SUM(L137:L161)</f>
        <v>5.340000000000001</v>
      </c>
      <c r="M162" t="str">
        <v>m3</v>
      </c>
      <c r="N162">
        <f>L162</f>
        <v>5.340000000000001</v>
      </c>
    </row>
    <row r="164">
      <c r="B164" t="str">
        <v>Besi beton dia 13</v>
      </c>
      <c r="E164" t="str">
        <v>A</v>
      </c>
      <c r="G164">
        <v>10.25</v>
      </c>
      <c r="J164">
        <v>0.992</v>
      </c>
      <c r="K164">
        <v>4</v>
      </c>
      <c r="L164">
        <f>G164*J164*K164</f>
        <v>40.672</v>
      </c>
    </row>
    <row r="165">
      <c r="G165">
        <v>2.25</v>
      </c>
      <c r="J165">
        <v>0.992</v>
      </c>
      <c r="K165">
        <v>4</v>
      </c>
      <c r="L165">
        <f>G165*J165*K165</f>
        <v>8.928</v>
      </c>
    </row>
    <row r="166">
      <c r="E166" t="str">
        <v>B</v>
      </c>
      <c r="G166">
        <f>5.25+2.5</f>
        <v>7.75</v>
      </c>
      <c r="J166">
        <v>0.992</v>
      </c>
      <c r="K166">
        <v>4</v>
      </c>
      <c r="L166">
        <f>G166*J166*K166</f>
        <v>30.752</v>
      </c>
    </row>
    <row r="167">
      <c r="G167">
        <v>2.25</v>
      </c>
      <c r="J167">
        <v>0.992</v>
      </c>
      <c r="K167">
        <v>4</v>
      </c>
      <c r="L167">
        <f>G167*J167*K167</f>
        <v>8.928</v>
      </c>
    </row>
    <row r="168">
      <c r="E168" t="str">
        <v>C</v>
      </c>
      <c r="G168">
        <v>1.75</v>
      </c>
      <c r="J168">
        <v>0.992</v>
      </c>
      <c r="K168">
        <v>4</v>
      </c>
      <c r="L168">
        <f>G168*J168*K168</f>
        <v>6.944</v>
      </c>
    </row>
    <row r="169">
      <c r="G169">
        <v>5.25</v>
      </c>
      <c r="J169">
        <v>0.992</v>
      </c>
      <c r="K169">
        <v>4</v>
      </c>
      <c r="L169">
        <f>G169*J169*K169</f>
        <v>20.832</v>
      </c>
    </row>
    <row r="170">
      <c r="G170">
        <v>10.25</v>
      </c>
      <c r="J170">
        <v>0.992</v>
      </c>
      <c r="K170">
        <v>4</v>
      </c>
      <c r="L170">
        <f>G170*J170*K170</f>
        <v>40.672</v>
      </c>
    </row>
    <row r="171">
      <c r="G171">
        <v>4.25</v>
      </c>
      <c r="J171">
        <v>0.992</v>
      </c>
      <c r="K171">
        <v>4</v>
      </c>
      <c r="L171">
        <f>G171*J171*K171</f>
        <v>16.864</v>
      </c>
    </row>
    <row r="172">
      <c r="E172" t="str">
        <v>D</v>
      </c>
      <c r="G172">
        <v>1.75</v>
      </c>
      <c r="J172">
        <v>0.992</v>
      </c>
      <c r="K172">
        <v>4</v>
      </c>
      <c r="L172">
        <f>G172*J172*K172</f>
        <v>6.944</v>
      </c>
    </row>
    <row r="173">
      <c r="G173">
        <v>5.25</v>
      </c>
      <c r="J173">
        <v>0.992</v>
      </c>
      <c r="K173">
        <v>4</v>
      </c>
      <c r="L173">
        <f>G173*J173*K173</f>
        <v>20.832</v>
      </c>
    </row>
    <row r="174">
      <c r="G174">
        <v>4.25</v>
      </c>
      <c r="J174">
        <v>0.992</v>
      </c>
      <c r="L174">
        <f>G174*J174*K174</f>
        <v>0</v>
      </c>
    </row>
    <row r="175">
      <c r="E175" t="str">
        <v>E</v>
      </c>
      <c r="G175">
        <f>5.25+2.5</f>
        <v>7.75</v>
      </c>
      <c r="J175">
        <v>0.992</v>
      </c>
      <c r="K175">
        <v>4</v>
      </c>
      <c r="L175">
        <f>G175*J175*K175</f>
        <v>30.752</v>
      </c>
    </row>
    <row r="176">
      <c r="E176" t="str">
        <v>F</v>
      </c>
      <c r="G176">
        <v>10.25</v>
      </c>
      <c r="J176">
        <v>0.992</v>
      </c>
      <c r="K176">
        <v>4</v>
      </c>
      <c r="L176">
        <f>G176*J176*K176</f>
        <v>40.672</v>
      </c>
    </row>
    <row r="177">
      <c r="G177">
        <v>2.25</v>
      </c>
      <c r="J177">
        <v>0.992</v>
      </c>
      <c r="K177">
        <v>4</v>
      </c>
      <c r="L177">
        <f>G177*J177*K177</f>
        <v>8.928</v>
      </c>
    </row>
    <row r="178">
      <c r="G178">
        <v>2.25</v>
      </c>
      <c r="J178">
        <v>0.992</v>
      </c>
      <c r="K178">
        <v>4</v>
      </c>
      <c r="L178">
        <f>G178*J178*K178</f>
        <v>8.928</v>
      </c>
    </row>
    <row r="179">
      <c r="E179" t="str">
        <v>G</v>
      </c>
      <c r="G179">
        <v>10.25</v>
      </c>
      <c r="J179">
        <v>0.992</v>
      </c>
      <c r="K179">
        <v>4</v>
      </c>
      <c r="L179">
        <f>G179*J179*K179</f>
        <v>40.672</v>
      </c>
    </row>
    <row r="180">
      <c r="E180" t="str">
        <v>o</v>
      </c>
      <c r="G180">
        <v>3.25</v>
      </c>
      <c r="J180">
        <v>0.992</v>
      </c>
      <c r="K180">
        <v>4</v>
      </c>
      <c r="L180">
        <f>G180*J180*K180</f>
        <v>12.896</v>
      </c>
    </row>
    <row r="181">
      <c r="E181" t="str">
        <v>o'</v>
      </c>
      <c r="G181">
        <v>9.25</v>
      </c>
      <c r="J181">
        <v>0.992</v>
      </c>
      <c r="K181">
        <v>4</v>
      </c>
      <c r="L181">
        <f>G181*J181*K181</f>
        <v>36.704</v>
      </c>
    </row>
    <row r="182">
      <c r="E182">
        <v>1</v>
      </c>
      <c r="G182">
        <v>9.25</v>
      </c>
      <c r="J182">
        <v>0.992</v>
      </c>
      <c r="K182">
        <v>4</v>
      </c>
      <c r="L182">
        <f>G182*J182*K182</f>
        <v>36.704</v>
      </c>
    </row>
    <row r="183">
      <c r="E183">
        <v>2</v>
      </c>
      <c r="G183">
        <v>18.25</v>
      </c>
      <c r="J183">
        <v>0.992</v>
      </c>
      <c r="K183">
        <v>4</v>
      </c>
      <c r="L183">
        <f>G183*J183*K183</f>
        <v>72.416</v>
      </c>
    </row>
    <row r="184">
      <c r="G184">
        <v>2.75</v>
      </c>
      <c r="J184">
        <v>0.992</v>
      </c>
      <c r="K184">
        <v>4</v>
      </c>
      <c r="L184">
        <f>G184*J184*K184</f>
        <v>10.911999999999999</v>
      </c>
    </row>
    <row r="185">
      <c r="E185">
        <v>3</v>
      </c>
      <c r="G185">
        <v>18.25</v>
      </c>
      <c r="J185">
        <v>0.992</v>
      </c>
      <c r="K185">
        <v>4</v>
      </c>
      <c r="L185">
        <f>G185*J185*K185</f>
        <v>72.416</v>
      </c>
    </row>
    <row r="186">
      <c r="E186">
        <v>4</v>
      </c>
      <c r="G186">
        <v>18.25</v>
      </c>
      <c r="J186">
        <v>0.992</v>
      </c>
      <c r="K186">
        <v>4</v>
      </c>
      <c r="L186">
        <f>G186*J186*K186</f>
        <v>72.416</v>
      </c>
    </row>
    <row r="187">
      <c r="G187">
        <v>2.75</v>
      </c>
      <c r="J187">
        <v>0.992</v>
      </c>
      <c r="K187">
        <v>4</v>
      </c>
      <c r="L187">
        <f>G187*J187*K187</f>
        <v>10.911999999999999</v>
      </c>
    </row>
    <row r="188">
      <c r="E188">
        <v>5</v>
      </c>
      <c r="G188">
        <v>18.25</v>
      </c>
      <c r="J188">
        <v>0.992</v>
      </c>
      <c r="K188">
        <v>4</v>
      </c>
      <c r="L188">
        <f>G188*J188*K188</f>
        <v>72.416</v>
      </c>
    </row>
    <row r="189">
      <c r="L189">
        <f>SUM(L164:L188)</f>
        <v>730.1119999999999</v>
      </c>
      <c r="M189" t="str">
        <v>kg</v>
      </c>
      <c r="N189">
        <f>L189</f>
        <v>730.1119999999999</v>
      </c>
    </row>
    <row r="191">
      <c r="B191" t="str">
        <v>Besi beton dia 10</v>
      </c>
      <c r="E191" t="str">
        <v>A</v>
      </c>
      <c r="F191">
        <v>10</v>
      </c>
      <c r="G191">
        <v>0.7</v>
      </c>
      <c r="J191">
        <v>0.616</v>
      </c>
      <c r="K191">
        <v>50</v>
      </c>
      <c r="L191">
        <f>G191*J191*K191</f>
        <v>21.56</v>
      </c>
    </row>
    <row r="192">
      <c r="F192">
        <v>2</v>
      </c>
      <c r="G192">
        <v>0.7</v>
      </c>
      <c r="J192">
        <v>0.616</v>
      </c>
      <c r="K192">
        <v>10</v>
      </c>
      <c r="L192">
        <f>G192*J192*K192</f>
        <v>4.311999999999999</v>
      </c>
    </row>
    <row r="193">
      <c r="E193" t="str">
        <v>B</v>
      </c>
      <c r="F193">
        <v>7.5</v>
      </c>
      <c r="G193">
        <v>0.7</v>
      </c>
      <c r="J193">
        <v>0.616</v>
      </c>
      <c r="K193">
        <v>37</v>
      </c>
      <c r="L193">
        <f>G193*J193*K193</f>
        <v>15.9544</v>
      </c>
    </row>
    <row r="194">
      <c r="F194">
        <v>2</v>
      </c>
      <c r="G194">
        <v>0.7</v>
      </c>
      <c r="J194">
        <v>0.616</v>
      </c>
      <c r="K194">
        <v>10</v>
      </c>
      <c r="L194">
        <f>G194*J194*K194</f>
        <v>4.311999999999999</v>
      </c>
    </row>
    <row r="195">
      <c r="E195" t="str">
        <v>C</v>
      </c>
      <c r="F195">
        <v>1.5</v>
      </c>
      <c r="G195">
        <v>0.7</v>
      </c>
      <c r="J195">
        <v>0.616</v>
      </c>
      <c r="K195">
        <v>7</v>
      </c>
      <c r="L195">
        <f>G195*J195*K195</f>
        <v>3.0183999999999997</v>
      </c>
    </row>
    <row r="196">
      <c r="F196">
        <v>5</v>
      </c>
      <c r="G196">
        <v>0.7</v>
      </c>
      <c r="J196">
        <v>0.616</v>
      </c>
      <c r="K196">
        <v>25</v>
      </c>
      <c r="L196">
        <f>G196*J196*K196</f>
        <v>10.78</v>
      </c>
    </row>
    <row r="197">
      <c r="F197">
        <v>10</v>
      </c>
      <c r="G197">
        <v>0.7</v>
      </c>
      <c r="J197">
        <v>0.616</v>
      </c>
      <c r="K197">
        <v>50</v>
      </c>
      <c r="L197">
        <f>G197*J197*K197</f>
        <v>21.56</v>
      </c>
    </row>
    <row r="198">
      <c r="F198">
        <v>4</v>
      </c>
      <c r="G198">
        <v>0.7</v>
      </c>
      <c r="J198">
        <v>0.616</v>
      </c>
      <c r="K198">
        <v>20</v>
      </c>
      <c r="L198">
        <f>G198*J198*K198</f>
        <v>8.623999999999999</v>
      </c>
    </row>
    <row r="199">
      <c r="E199" t="str">
        <v>D</v>
      </c>
      <c r="F199">
        <v>1.5</v>
      </c>
      <c r="G199">
        <v>0.7</v>
      </c>
      <c r="J199">
        <v>0.616</v>
      </c>
      <c r="K199">
        <v>7</v>
      </c>
      <c r="L199">
        <f>G199*J199*K199</f>
        <v>3.0183999999999997</v>
      </c>
    </row>
    <row r="200">
      <c r="F200">
        <v>5</v>
      </c>
      <c r="G200">
        <v>0.7</v>
      </c>
      <c r="J200">
        <v>0.616</v>
      </c>
      <c r="K200">
        <v>25</v>
      </c>
      <c r="L200">
        <f>G200*J200*K200</f>
        <v>10.78</v>
      </c>
    </row>
    <row r="201">
      <c r="F201">
        <v>4</v>
      </c>
      <c r="G201">
        <v>0.7</v>
      </c>
      <c r="J201">
        <v>0.616</v>
      </c>
      <c r="L201">
        <f>G201*J201*K201</f>
        <v>0</v>
      </c>
    </row>
    <row r="202">
      <c r="E202" t="str">
        <v>E</v>
      </c>
      <c r="F202">
        <v>5</v>
      </c>
      <c r="G202">
        <v>0.7</v>
      </c>
      <c r="J202">
        <v>0.616</v>
      </c>
      <c r="K202">
        <v>37</v>
      </c>
      <c r="L202">
        <f>G202*J202*K202</f>
        <v>15.9544</v>
      </c>
    </row>
    <row r="203">
      <c r="E203" t="str">
        <v>F</v>
      </c>
      <c r="F203">
        <v>10</v>
      </c>
      <c r="G203">
        <v>0.7</v>
      </c>
      <c r="J203">
        <v>0.616</v>
      </c>
      <c r="K203">
        <v>50</v>
      </c>
      <c r="L203">
        <f>G203*J203*K203</f>
        <v>21.56</v>
      </c>
    </row>
    <row r="204">
      <c r="F204">
        <v>2</v>
      </c>
      <c r="G204">
        <v>0.7</v>
      </c>
      <c r="J204">
        <v>0.616</v>
      </c>
      <c r="K204">
        <v>10</v>
      </c>
      <c r="L204">
        <f>G204*J204*K204</f>
        <v>4.311999999999999</v>
      </c>
    </row>
    <row r="205">
      <c r="F205">
        <v>2</v>
      </c>
      <c r="G205">
        <v>0.7</v>
      </c>
      <c r="J205">
        <v>0.616</v>
      </c>
      <c r="K205">
        <v>10</v>
      </c>
      <c r="L205">
        <f>G205*J205*K205</f>
        <v>4.311999999999999</v>
      </c>
    </row>
    <row r="206">
      <c r="E206" t="str">
        <v>G</v>
      </c>
      <c r="F206">
        <v>10</v>
      </c>
      <c r="G206">
        <v>0.7</v>
      </c>
      <c r="J206">
        <v>0.616</v>
      </c>
      <c r="K206">
        <v>50</v>
      </c>
      <c r="L206">
        <f>G206*J206*K206</f>
        <v>21.56</v>
      </c>
    </row>
    <row r="207">
      <c r="E207" t="str">
        <v>o</v>
      </c>
      <c r="F207">
        <v>3</v>
      </c>
      <c r="G207">
        <v>0.7</v>
      </c>
      <c r="J207">
        <v>0.616</v>
      </c>
      <c r="K207">
        <v>15</v>
      </c>
      <c r="L207">
        <f>G207*J207*K207</f>
        <v>6.468</v>
      </c>
    </row>
    <row r="208">
      <c r="E208" t="str">
        <v>o'</v>
      </c>
      <c r="F208">
        <v>9</v>
      </c>
      <c r="G208">
        <v>0.7</v>
      </c>
      <c r="J208">
        <v>0.616</v>
      </c>
      <c r="K208">
        <v>45</v>
      </c>
      <c r="L208">
        <f>G208*J208*K208</f>
        <v>19.404</v>
      </c>
    </row>
    <row r="209">
      <c r="E209">
        <v>1</v>
      </c>
      <c r="F209">
        <v>9</v>
      </c>
      <c r="G209">
        <v>0.7</v>
      </c>
      <c r="J209">
        <v>0.616</v>
      </c>
      <c r="K209">
        <v>45</v>
      </c>
      <c r="L209">
        <f>G209*J209*K209</f>
        <v>19.404</v>
      </c>
    </row>
    <row r="210">
      <c r="E210">
        <v>2</v>
      </c>
      <c r="F210">
        <v>18</v>
      </c>
      <c r="G210">
        <v>0.7</v>
      </c>
      <c r="J210">
        <v>0.616</v>
      </c>
      <c r="K210">
        <v>90</v>
      </c>
      <c r="L210">
        <f>G210*J210*K210</f>
        <v>38.808</v>
      </c>
    </row>
    <row r="211">
      <c r="F211">
        <v>2.5</v>
      </c>
      <c r="G211">
        <v>0.7</v>
      </c>
      <c r="J211">
        <v>0.616</v>
      </c>
      <c r="K211">
        <v>12</v>
      </c>
      <c r="L211">
        <f>G211*J211*K211</f>
        <v>5.1743999999999994</v>
      </c>
    </row>
    <row r="212">
      <c r="E212">
        <v>3</v>
      </c>
      <c r="F212">
        <v>18</v>
      </c>
      <c r="G212">
        <v>0.7</v>
      </c>
      <c r="J212">
        <v>0.616</v>
      </c>
      <c r="K212">
        <v>90</v>
      </c>
      <c r="L212">
        <f>G212*J212*K212</f>
        <v>38.808</v>
      </c>
    </row>
    <row r="213">
      <c r="E213">
        <v>4</v>
      </c>
      <c r="F213">
        <v>18</v>
      </c>
      <c r="G213">
        <v>0.7</v>
      </c>
      <c r="J213">
        <v>0.616</v>
      </c>
      <c r="K213">
        <v>90</v>
      </c>
      <c r="L213">
        <f>G213*J213*K213</f>
        <v>38.808</v>
      </c>
    </row>
    <row r="214">
      <c r="F214">
        <v>2.5</v>
      </c>
      <c r="G214">
        <v>0.7</v>
      </c>
      <c r="J214">
        <v>0.616</v>
      </c>
      <c r="K214">
        <v>12</v>
      </c>
      <c r="L214">
        <f>G214*J214*K214</f>
        <v>5.1743999999999994</v>
      </c>
    </row>
    <row r="215">
      <c r="E215">
        <v>5</v>
      </c>
      <c r="F215">
        <v>18</v>
      </c>
      <c r="G215">
        <v>0.7</v>
      </c>
      <c r="J215">
        <v>0.616</v>
      </c>
      <c r="K215">
        <v>90</v>
      </c>
      <c r="L215">
        <f>G215*J215*K215</f>
        <v>38.808</v>
      </c>
    </row>
    <row r="216">
      <c r="L216">
        <f>SUM(L191:L215)</f>
        <v>382.47439999999995</v>
      </c>
      <c r="M216" t="str">
        <v>kg</v>
      </c>
      <c r="N216">
        <f>L216</f>
        <v>382.47439999999995</v>
      </c>
    </row>
    <row r="218">
      <c r="B218" t="str">
        <v>Bekisting</v>
      </c>
      <c r="E218" t="str">
        <v>A</v>
      </c>
      <c r="G218">
        <v>10</v>
      </c>
      <c r="H218">
        <v>0.4</v>
      </c>
      <c r="K218">
        <v>1</v>
      </c>
      <c r="L218">
        <f>G218*H218*K218</f>
        <v>4</v>
      </c>
    </row>
    <row r="219">
      <c r="G219">
        <v>2</v>
      </c>
      <c r="H219">
        <v>0.4</v>
      </c>
      <c r="K219">
        <v>1</v>
      </c>
      <c r="L219">
        <f>G219*H219*K219</f>
        <v>0.8</v>
      </c>
    </row>
    <row r="220">
      <c r="E220" t="str">
        <v>B</v>
      </c>
      <c r="G220">
        <v>7.5</v>
      </c>
      <c r="H220">
        <v>0.4</v>
      </c>
      <c r="K220">
        <v>1</v>
      </c>
      <c r="L220">
        <f>G220*H220*K220</f>
        <v>3</v>
      </c>
    </row>
    <row r="221">
      <c r="G221">
        <v>2</v>
      </c>
      <c r="H221">
        <v>0.4</v>
      </c>
      <c r="K221">
        <v>1</v>
      </c>
      <c r="L221">
        <f>G221*H221*K221</f>
        <v>0.8</v>
      </c>
    </row>
    <row r="222">
      <c r="E222" t="str">
        <v>C</v>
      </c>
      <c r="G222">
        <v>1.5</v>
      </c>
      <c r="H222">
        <v>0.4</v>
      </c>
      <c r="K222">
        <v>1</v>
      </c>
      <c r="L222">
        <f>G222*H222*K222</f>
        <v>0.6000000000000001</v>
      </c>
    </row>
    <row r="223">
      <c r="G223">
        <v>5</v>
      </c>
      <c r="H223">
        <v>0.4</v>
      </c>
      <c r="K223">
        <v>1</v>
      </c>
      <c r="L223">
        <f>G223*H223*K223</f>
        <v>2</v>
      </c>
    </row>
    <row r="224">
      <c r="G224">
        <v>10</v>
      </c>
      <c r="H224">
        <v>0.4</v>
      </c>
      <c r="K224">
        <v>1</v>
      </c>
      <c r="L224">
        <f>G224*H224*K224</f>
        <v>4</v>
      </c>
    </row>
    <row r="225">
      <c r="G225">
        <v>4</v>
      </c>
      <c r="H225">
        <v>0.4</v>
      </c>
      <c r="K225">
        <v>1</v>
      </c>
      <c r="L225">
        <f>G225*H225*K225</f>
        <v>1.6</v>
      </c>
    </row>
    <row r="226">
      <c r="E226" t="str">
        <v>D</v>
      </c>
      <c r="G226">
        <v>1.5</v>
      </c>
      <c r="H226">
        <v>0.4</v>
      </c>
      <c r="K226">
        <v>1</v>
      </c>
      <c r="L226">
        <f>G226*H226*K226</f>
        <v>0.6000000000000001</v>
      </c>
    </row>
    <row r="227">
      <c r="G227">
        <v>5</v>
      </c>
      <c r="H227">
        <v>0.4</v>
      </c>
      <c r="K227">
        <v>1</v>
      </c>
      <c r="L227">
        <f>G227*H227*K227</f>
        <v>2</v>
      </c>
    </row>
    <row r="228">
      <c r="G228">
        <v>4</v>
      </c>
      <c r="H228">
        <v>0.4</v>
      </c>
      <c r="L228">
        <f>G228*H228*K228</f>
        <v>0</v>
      </c>
    </row>
    <row r="229">
      <c r="E229" t="str">
        <v>E</v>
      </c>
      <c r="G229">
        <v>7.5</v>
      </c>
      <c r="H229">
        <v>0.4</v>
      </c>
      <c r="K229">
        <v>1</v>
      </c>
      <c r="L229">
        <f>G229*H229*K229</f>
        <v>3</v>
      </c>
    </row>
    <row r="230">
      <c r="E230" t="str">
        <v>F</v>
      </c>
      <c r="G230">
        <v>10</v>
      </c>
      <c r="H230">
        <v>0.4</v>
      </c>
      <c r="K230">
        <v>1</v>
      </c>
      <c r="L230">
        <f>G230*H230*K230</f>
        <v>4</v>
      </c>
    </row>
    <row r="231">
      <c r="G231">
        <v>2</v>
      </c>
      <c r="H231">
        <v>0.4</v>
      </c>
      <c r="K231">
        <v>1</v>
      </c>
      <c r="L231">
        <f>G231*H231*K231</f>
        <v>0.8</v>
      </c>
    </row>
    <row r="232">
      <c r="G232">
        <v>2</v>
      </c>
      <c r="H232">
        <v>0.4</v>
      </c>
      <c r="K232">
        <v>1</v>
      </c>
      <c r="L232">
        <f>G232*H232*K232</f>
        <v>0.8</v>
      </c>
    </row>
    <row r="233">
      <c r="E233" t="str">
        <v>G</v>
      </c>
      <c r="G233">
        <v>10</v>
      </c>
      <c r="H233">
        <v>0.4</v>
      </c>
      <c r="K233">
        <v>1</v>
      </c>
      <c r="L233">
        <f>G233*H233*K233</f>
        <v>4</v>
      </c>
    </row>
    <row r="234">
      <c r="E234" t="str">
        <v>o</v>
      </c>
      <c r="G234">
        <v>3</v>
      </c>
      <c r="H234">
        <v>0.4</v>
      </c>
      <c r="K234">
        <v>1</v>
      </c>
      <c r="L234">
        <f>G234*H234*K234</f>
        <v>1.2000000000000002</v>
      </c>
    </row>
    <row r="235">
      <c r="E235" t="str">
        <v>o'</v>
      </c>
      <c r="G235">
        <v>9</v>
      </c>
      <c r="H235">
        <v>0.4</v>
      </c>
      <c r="K235">
        <v>1</v>
      </c>
      <c r="L235">
        <f>G235*H235*K235</f>
        <v>3.6</v>
      </c>
    </row>
    <row r="236">
      <c r="E236">
        <v>1</v>
      </c>
      <c r="G236">
        <v>9</v>
      </c>
      <c r="H236">
        <v>0.4</v>
      </c>
      <c r="K236">
        <v>1</v>
      </c>
      <c r="L236">
        <f>G236*H236*K236</f>
        <v>3.6</v>
      </c>
    </row>
    <row r="237">
      <c r="E237">
        <v>2</v>
      </c>
      <c r="G237">
        <v>18</v>
      </c>
      <c r="H237">
        <v>0.4</v>
      </c>
      <c r="K237">
        <v>1</v>
      </c>
      <c r="L237">
        <f>G237*H237*K237</f>
        <v>7.2</v>
      </c>
    </row>
    <row r="238">
      <c r="G238">
        <v>2.5</v>
      </c>
      <c r="H238">
        <v>0.4</v>
      </c>
      <c r="K238">
        <v>1</v>
      </c>
      <c r="L238">
        <f>G238*H238*K238</f>
        <v>1</v>
      </c>
    </row>
    <row r="239">
      <c r="E239">
        <v>3</v>
      </c>
      <c r="G239">
        <v>18</v>
      </c>
      <c r="H239">
        <v>0.4</v>
      </c>
      <c r="K239">
        <v>1</v>
      </c>
      <c r="L239">
        <f>G239*H239*K239</f>
        <v>7.2</v>
      </c>
    </row>
    <row r="240">
      <c r="E240">
        <v>4</v>
      </c>
      <c r="G240">
        <v>18</v>
      </c>
      <c r="H240">
        <v>0.4</v>
      </c>
      <c r="K240">
        <v>1</v>
      </c>
      <c r="L240">
        <f>G240*H240*K240</f>
        <v>7.2</v>
      </c>
    </row>
    <row r="241">
      <c r="G241">
        <v>2.5</v>
      </c>
      <c r="H241">
        <v>0.4</v>
      </c>
      <c r="K241">
        <v>1</v>
      </c>
      <c r="L241">
        <f>G241*H241*K241</f>
        <v>1</v>
      </c>
    </row>
    <row r="242">
      <c r="E242">
        <v>5</v>
      </c>
      <c r="G242">
        <v>18</v>
      </c>
      <c r="H242">
        <v>0.4</v>
      </c>
      <c r="K242">
        <v>1</v>
      </c>
      <c r="L242">
        <f>G242*H242*K242</f>
        <v>7.2</v>
      </c>
    </row>
    <row r="243">
      <c r="L243">
        <f>SUM(L218:L242)</f>
        <v>71.20000000000002</v>
      </c>
      <c r="M243" t="str">
        <v>m2</v>
      </c>
      <c r="N243">
        <f>L243</f>
        <v>71.20000000000002</v>
      </c>
    </row>
    <row r="245">
      <c r="A245">
        <f>A136+1</f>
        <v>5</v>
      </c>
      <c r="B245" t="str">
        <v>Pondasi Umpak</v>
      </c>
    </row>
    <row r="246">
      <c r="B246" t="str">
        <v>Lantai kerja ad. 1:3:5, tebal 5 cm</v>
      </c>
      <c r="G246">
        <v>0.75</v>
      </c>
      <c r="H246">
        <v>0.75</v>
      </c>
      <c r="J246">
        <v>0.05</v>
      </c>
      <c r="K246">
        <v>6</v>
      </c>
      <c r="L246">
        <f>G246*H246*J246*K246</f>
        <v>0.16875</v>
      </c>
      <c r="M246" t="str">
        <v>m3</v>
      </c>
      <c r="N246">
        <f>L246</f>
        <v>0.16875</v>
      </c>
    </row>
    <row r="247">
      <c r="B247" t="str">
        <v>Beton K 225</v>
      </c>
      <c r="G247">
        <v>0.75</v>
      </c>
      <c r="H247">
        <v>0.75</v>
      </c>
      <c r="J247">
        <v>0.175</v>
      </c>
      <c r="K247">
        <v>6</v>
      </c>
      <c r="L247">
        <f>G247*H247*J247*K247</f>
        <v>0.590625</v>
      </c>
      <c r="M247" t="str">
        <v>m3</v>
      </c>
      <c r="N247">
        <f>L247</f>
        <v>0.590625</v>
      </c>
    </row>
    <row r="248">
      <c r="B248" t="str">
        <v>Besi beton dia 13</v>
      </c>
      <c r="G248">
        <v>1.8</v>
      </c>
      <c r="J248">
        <v>0.992</v>
      </c>
      <c r="K248">
        <f>6*12</f>
        <v>72</v>
      </c>
      <c r="L248">
        <f>G248*J248*K248</f>
        <v>128.5632</v>
      </c>
      <c r="M248" t="str">
        <v>kg</v>
      </c>
      <c r="N248">
        <f>L248</f>
        <v>128.5632</v>
      </c>
    </row>
    <row r="249">
      <c r="B249" t="str">
        <v>Bekisting</v>
      </c>
      <c r="G249">
        <f>0.75*4</f>
        <v>3</v>
      </c>
      <c r="H249">
        <v>0.15</v>
      </c>
      <c r="K249">
        <v>6</v>
      </c>
      <c r="L249">
        <f>G249*H249*K249</f>
        <v>2.6999999999999997</v>
      </c>
      <c r="M249" t="str">
        <v>m2</v>
      </c>
      <c r="N249">
        <f>L249</f>
        <v>2.6999999999999997</v>
      </c>
    </row>
    <row r="252">
      <c r="A252" t="str">
        <v>C</v>
      </c>
      <c r="B252" t="str">
        <v>PEKERJAAN  STRUKTUR</v>
      </c>
    </row>
    <row r="253">
      <c r="A253">
        <v>1</v>
      </c>
      <c r="B253" t="str">
        <v>Kolom</v>
      </c>
    </row>
    <row r="254">
      <c r="B254" t="str">
        <v>Beton  K 200</v>
      </c>
      <c r="G254">
        <v>0.13</v>
      </c>
      <c r="H254">
        <v>0.2</v>
      </c>
      <c r="J254">
        <v>4</v>
      </c>
      <c r="K254">
        <v>12</v>
      </c>
      <c r="L254">
        <f>G254*H254*J254*K254</f>
        <v>1.2480000000000002</v>
      </c>
    </row>
    <row r="255">
      <c r="G255">
        <v>0.13</v>
      </c>
      <c r="H255">
        <v>0.2</v>
      </c>
      <c r="J255">
        <v>5.3</v>
      </c>
      <c r="K255">
        <v>2</v>
      </c>
      <c r="L255">
        <f>G255*H255*J255*K255</f>
        <v>0.2756</v>
      </c>
    </row>
    <row r="256">
      <c r="G256">
        <v>0.13</v>
      </c>
      <c r="H256">
        <v>0.2</v>
      </c>
      <c r="J256">
        <v>6.3</v>
      </c>
      <c r="K256">
        <v>4</v>
      </c>
      <c r="L256">
        <f>G256*H256*J256*K256</f>
        <v>0.6552</v>
      </c>
    </row>
    <row r="257">
      <c r="G257">
        <v>0.13</v>
      </c>
      <c r="H257">
        <v>0.2</v>
      </c>
      <c r="J257">
        <v>3.5</v>
      </c>
      <c r="K257">
        <v>32</v>
      </c>
      <c r="L257">
        <f>G257*H257*J257*K257</f>
        <v>2.9120000000000004</v>
      </c>
    </row>
    <row r="258">
      <c r="L258">
        <f>SUM(L254:L257)</f>
        <v>5.090800000000001</v>
      </c>
      <c r="M258" t="str">
        <v>m3</v>
      </c>
      <c r="N258">
        <f>L258</f>
        <v>5.090800000000001</v>
      </c>
    </row>
    <row r="260">
      <c r="B260" t="str">
        <v>Besi beton D 13</v>
      </c>
      <c r="G260">
        <v>4.4</v>
      </c>
      <c r="J260">
        <v>0.992</v>
      </c>
      <c r="K260">
        <f>4*12</f>
        <v>48</v>
      </c>
      <c r="L260">
        <f>G260*J260*K260</f>
        <v>209.51040000000003</v>
      </c>
    </row>
    <row r="261">
      <c r="G261">
        <v>5.7</v>
      </c>
      <c r="J261">
        <v>0.992</v>
      </c>
      <c r="K261">
        <f>4*2</f>
        <v>8</v>
      </c>
      <c r="L261">
        <f>G261*J261*K261</f>
        <v>45.2352</v>
      </c>
    </row>
    <row r="262">
      <c r="G262">
        <v>6.7</v>
      </c>
      <c r="J262">
        <v>0.992</v>
      </c>
      <c r="K262">
        <f>4*4</f>
        <v>16</v>
      </c>
      <c r="L262">
        <f>G262*J262*K262</f>
        <v>106.3424</v>
      </c>
    </row>
    <row r="263">
      <c r="G263">
        <v>3.9</v>
      </c>
      <c r="J263">
        <v>0.992</v>
      </c>
      <c r="K263">
        <f>4*32</f>
        <v>128</v>
      </c>
      <c r="L263">
        <f>G263*J263*K263</f>
        <v>495.2064</v>
      </c>
    </row>
    <row r="264">
      <c r="L264">
        <f>SUM(L260:L263)</f>
        <v>856.2944</v>
      </c>
      <c r="M264" t="str">
        <v>kg</v>
      </c>
      <c r="N264">
        <f>L264</f>
        <v>856.2944</v>
      </c>
    </row>
    <row r="266">
      <c r="B266" t="str">
        <v>Besi beton dia 10</v>
      </c>
      <c r="G266">
        <v>0.66</v>
      </c>
      <c r="J266">
        <v>0.616</v>
      </c>
      <c r="K266">
        <f>26*12</f>
        <v>312</v>
      </c>
      <c r="L266">
        <f>G266*J266*K266</f>
        <v>126.84672</v>
      </c>
    </row>
    <row r="267">
      <c r="G267">
        <v>0.66</v>
      </c>
      <c r="J267">
        <v>0.616</v>
      </c>
      <c r="K267">
        <f>35*2</f>
        <v>70</v>
      </c>
    </row>
    <row r="268">
      <c r="G268">
        <v>0.66</v>
      </c>
      <c r="J268">
        <v>0.616</v>
      </c>
      <c r="K268">
        <f>42*4</f>
        <v>168</v>
      </c>
      <c r="L268">
        <f>G268*J268*K268</f>
        <v>68.30208</v>
      </c>
    </row>
    <row r="269">
      <c r="G269">
        <v>0.66</v>
      </c>
      <c r="J269">
        <v>0.616</v>
      </c>
      <c r="K269">
        <f>23*32</f>
        <v>736</v>
      </c>
      <c r="L269">
        <f>G269*J269*K269</f>
        <v>299.22816</v>
      </c>
    </row>
    <row r="270">
      <c r="L270">
        <f>SUM(L266:L269)</f>
        <v>494.37696</v>
      </c>
      <c r="M270" t="str">
        <v>kg</v>
      </c>
      <c r="N270">
        <f>L270</f>
        <v>494.37696</v>
      </c>
    </row>
    <row r="272">
      <c r="B272" t="str">
        <v>Bekisting</v>
      </c>
      <c r="G272">
        <v>4</v>
      </c>
      <c r="H272">
        <v>0.4</v>
      </c>
      <c r="K272">
        <v>12</v>
      </c>
      <c r="L272">
        <f>G272*H272*K272</f>
        <v>19.200000000000003</v>
      </c>
    </row>
    <row r="273">
      <c r="G273">
        <v>5.3</v>
      </c>
      <c r="H273">
        <v>0.4</v>
      </c>
      <c r="K273">
        <v>2</v>
      </c>
      <c r="L273">
        <f>G273*H273*K273</f>
        <v>4.24</v>
      </c>
    </row>
    <row r="274">
      <c r="G274">
        <v>6.3</v>
      </c>
      <c r="H274">
        <v>0.4</v>
      </c>
      <c r="K274">
        <v>4</v>
      </c>
      <c r="L274">
        <f>G274*H274*K274</f>
        <v>10.08</v>
      </c>
    </row>
    <row r="275">
      <c r="G275">
        <v>3.5</v>
      </c>
      <c r="H275">
        <v>0.4</v>
      </c>
      <c r="K275">
        <v>32</v>
      </c>
      <c r="L275">
        <f>G275*H275*K275</f>
        <v>44.800000000000004</v>
      </c>
    </row>
    <row r="276">
      <c r="L276">
        <f>SUM(L272:L275)</f>
        <v>78.32000000000001</v>
      </c>
      <c r="M276" t="str">
        <v>m2</v>
      </c>
      <c r="N276">
        <f>L276</f>
        <v>78.32000000000001</v>
      </c>
    </row>
    <row r="280">
      <c r="A280">
        <f>A253+1</f>
        <v>2</v>
      </c>
      <c r="B280" t="str">
        <v>Ring Balok Beton</v>
      </c>
    </row>
    <row r="281">
      <c r="B281" t="str">
        <v>Beton K 200</v>
      </c>
      <c r="E281" t="str">
        <v>A</v>
      </c>
      <c r="G281">
        <v>10</v>
      </c>
      <c r="H281">
        <v>0.15</v>
      </c>
      <c r="J281">
        <v>0.25</v>
      </c>
      <c r="K281">
        <v>1</v>
      </c>
      <c r="L281">
        <f>G281*H281*J281*K281</f>
        <v>0.375</v>
      </c>
    </row>
    <row r="282">
      <c r="G282">
        <v>2</v>
      </c>
      <c r="H282">
        <v>0.15</v>
      </c>
      <c r="J282">
        <v>0.25</v>
      </c>
      <c r="K282">
        <v>1</v>
      </c>
      <c r="L282">
        <f>G282*H282*J282*K282</f>
        <v>0.075</v>
      </c>
    </row>
    <row r="283">
      <c r="E283" t="str">
        <v>B</v>
      </c>
      <c r="G283">
        <v>7.5</v>
      </c>
      <c r="H283">
        <v>0.15</v>
      </c>
      <c r="J283">
        <v>0.25</v>
      </c>
      <c r="K283">
        <v>1</v>
      </c>
      <c r="L283">
        <f>G283*H283*J283*K283</f>
        <v>0.28125</v>
      </c>
    </row>
    <row r="284">
      <c r="G284">
        <v>2</v>
      </c>
      <c r="H284">
        <v>0.15</v>
      </c>
      <c r="J284">
        <v>0.25</v>
      </c>
      <c r="K284">
        <v>1</v>
      </c>
      <c r="L284">
        <f>G284*H284*J284*K284</f>
        <v>0.075</v>
      </c>
    </row>
    <row r="285">
      <c r="E285" t="str">
        <v>C</v>
      </c>
      <c r="G285">
        <v>5</v>
      </c>
      <c r="H285">
        <v>0.15</v>
      </c>
      <c r="J285">
        <v>0.25</v>
      </c>
      <c r="K285">
        <v>1</v>
      </c>
      <c r="L285">
        <f>G285*H285*J285*K285</f>
        <v>0.1875</v>
      </c>
    </row>
    <row r="286">
      <c r="G286">
        <v>1.5</v>
      </c>
      <c r="H286">
        <v>0.15</v>
      </c>
      <c r="J286">
        <v>0.25</v>
      </c>
      <c r="K286">
        <v>1</v>
      </c>
      <c r="L286">
        <f>G286*H286*J286*K286</f>
        <v>0.056249999999999994</v>
      </c>
    </row>
    <row r="287">
      <c r="G287">
        <v>10</v>
      </c>
      <c r="H287">
        <v>0.15</v>
      </c>
      <c r="J287">
        <v>0.25</v>
      </c>
      <c r="K287">
        <v>1</v>
      </c>
      <c r="L287">
        <f>G287*H287*J287*K287</f>
        <v>0.375</v>
      </c>
    </row>
    <row r="288">
      <c r="G288">
        <v>4</v>
      </c>
      <c r="H288">
        <v>0.15</v>
      </c>
      <c r="J288">
        <v>0.25</v>
      </c>
      <c r="K288">
        <v>1</v>
      </c>
      <c r="L288">
        <f>G288*H288*J288*K288</f>
        <v>0.15</v>
      </c>
    </row>
    <row r="289">
      <c r="E289" t="str">
        <v>D</v>
      </c>
      <c r="G289">
        <v>1.5</v>
      </c>
      <c r="H289">
        <v>0.15</v>
      </c>
      <c r="J289">
        <v>0.25</v>
      </c>
      <c r="K289">
        <v>1</v>
      </c>
      <c r="L289">
        <f>G289*H289*J289*K289</f>
        <v>0.056249999999999994</v>
      </c>
    </row>
    <row r="290">
      <c r="G290">
        <v>5</v>
      </c>
      <c r="H290">
        <v>0.15</v>
      </c>
      <c r="J290">
        <v>0.25</v>
      </c>
      <c r="K290">
        <v>1</v>
      </c>
      <c r="L290">
        <f>G290*H290*J290*K290</f>
        <v>0.1875</v>
      </c>
    </row>
    <row r="291">
      <c r="G291">
        <v>4</v>
      </c>
      <c r="H291">
        <v>0.15</v>
      </c>
      <c r="J291">
        <v>0.25</v>
      </c>
      <c r="L291">
        <f>G291*H291*J291*K291</f>
        <v>0</v>
      </c>
    </row>
    <row r="292">
      <c r="E292" t="str">
        <v>E</v>
      </c>
      <c r="G292">
        <v>7.5</v>
      </c>
      <c r="H292">
        <v>0.15</v>
      </c>
      <c r="J292">
        <v>0.25</v>
      </c>
      <c r="K292">
        <v>1</v>
      </c>
      <c r="L292">
        <f>G292*H292*J292*K292</f>
        <v>0.28125</v>
      </c>
    </row>
    <row r="293">
      <c r="E293" t="str">
        <v>F</v>
      </c>
      <c r="G293">
        <v>10</v>
      </c>
      <c r="H293">
        <v>0.15</v>
      </c>
      <c r="J293">
        <v>0.25</v>
      </c>
      <c r="K293">
        <v>1</v>
      </c>
      <c r="L293">
        <f>G293*H293*J293*K293</f>
        <v>0.375</v>
      </c>
    </row>
    <row r="294">
      <c r="G294">
        <v>2</v>
      </c>
      <c r="H294">
        <v>0.15</v>
      </c>
      <c r="J294">
        <v>0.25</v>
      </c>
      <c r="K294">
        <v>1</v>
      </c>
      <c r="L294">
        <f>G294*H294*J294*K294</f>
        <v>0.075</v>
      </c>
    </row>
    <row r="295">
      <c r="G295">
        <v>2</v>
      </c>
      <c r="H295">
        <v>0.15</v>
      </c>
      <c r="J295">
        <v>0.25</v>
      </c>
      <c r="K295">
        <v>1</v>
      </c>
      <c r="L295">
        <f>G295*H295*J295*K295</f>
        <v>0.075</v>
      </c>
    </row>
    <row r="296">
      <c r="E296" t="str">
        <v>G</v>
      </c>
      <c r="G296">
        <v>10</v>
      </c>
      <c r="H296">
        <v>0.15</v>
      </c>
      <c r="J296">
        <v>0.25</v>
      </c>
      <c r="K296">
        <v>1</v>
      </c>
      <c r="L296">
        <f>G296*H296*J296*K296</f>
        <v>0.375</v>
      </c>
    </row>
    <row r="297">
      <c r="E297" t="str">
        <v>O</v>
      </c>
      <c r="G297">
        <v>3</v>
      </c>
      <c r="H297">
        <v>0.13</v>
      </c>
      <c r="J297">
        <v>0.3</v>
      </c>
      <c r="K297">
        <v>1</v>
      </c>
      <c r="L297">
        <f>G297*H297*J297*K297</f>
        <v>0.11699999999999999</v>
      </c>
    </row>
    <row r="298">
      <c r="E298" t="str">
        <v>O</v>
      </c>
      <c r="G298">
        <v>3</v>
      </c>
      <c r="H298">
        <v>0.15</v>
      </c>
      <c r="J298">
        <v>0.25</v>
      </c>
      <c r="K298">
        <v>1</v>
      </c>
      <c r="L298">
        <f>G298*H298*J298*K298</f>
        <v>0.11249999999999999</v>
      </c>
    </row>
    <row r="299">
      <c r="G299">
        <v>3</v>
      </c>
      <c r="H299">
        <v>0.13</v>
      </c>
      <c r="J299">
        <v>0.2</v>
      </c>
      <c r="K299">
        <v>1</v>
      </c>
      <c r="L299">
        <f>G299*H299*J299*K299</f>
        <v>0.07800000000000001</v>
      </c>
    </row>
    <row r="300">
      <c r="E300" t="str">
        <v>o'</v>
      </c>
      <c r="G300">
        <v>9</v>
      </c>
      <c r="H300">
        <v>0.15</v>
      </c>
      <c r="J300">
        <v>0.25</v>
      </c>
      <c r="K300">
        <v>1</v>
      </c>
      <c r="L300">
        <f>G300*H300*J300*K300</f>
        <v>0.33749999999999997</v>
      </c>
    </row>
    <row r="301">
      <c r="E301">
        <v>1</v>
      </c>
      <c r="G301">
        <v>9</v>
      </c>
      <c r="H301">
        <v>0.15</v>
      </c>
      <c r="J301">
        <v>0.25</v>
      </c>
      <c r="K301">
        <v>1</v>
      </c>
      <c r="L301">
        <f>G301*H301*J301*K301</f>
        <v>0.33749999999999997</v>
      </c>
    </row>
    <row r="302">
      <c r="E302">
        <v>2</v>
      </c>
      <c r="G302">
        <v>18</v>
      </c>
      <c r="H302">
        <v>0.15</v>
      </c>
      <c r="J302">
        <v>0.25</v>
      </c>
      <c r="K302">
        <v>1</v>
      </c>
      <c r="L302">
        <f>G302*H302*J302*K302</f>
        <v>0.6749999999999999</v>
      </c>
    </row>
    <row r="303">
      <c r="G303">
        <v>9</v>
      </c>
      <c r="H303">
        <v>0.15</v>
      </c>
      <c r="J303">
        <v>0.25</v>
      </c>
      <c r="K303">
        <v>1</v>
      </c>
      <c r="L303">
        <f>G303*H303*J303*K303</f>
        <v>0.33749999999999997</v>
      </c>
    </row>
    <row r="304">
      <c r="G304">
        <v>2.5</v>
      </c>
      <c r="H304">
        <v>0.15</v>
      </c>
      <c r="J304">
        <v>0.25</v>
      </c>
      <c r="K304">
        <v>1</v>
      </c>
      <c r="L304">
        <f>G304*H304*J304*K304</f>
        <v>0.09375</v>
      </c>
    </row>
    <row r="305">
      <c r="E305">
        <v>3</v>
      </c>
      <c r="G305">
        <v>18</v>
      </c>
      <c r="H305">
        <v>0.15</v>
      </c>
      <c r="J305">
        <v>0.25</v>
      </c>
      <c r="K305">
        <v>1</v>
      </c>
      <c r="L305">
        <f>G305*H305*J305*K305</f>
        <v>0.6749999999999999</v>
      </c>
    </row>
    <row r="306">
      <c r="E306">
        <v>4</v>
      </c>
      <c r="G306">
        <v>18</v>
      </c>
      <c r="H306">
        <v>0.15</v>
      </c>
      <c r="J306">
        <v>0.25</v>
      </c>
      <c r="K306">
        <v>1</v>
      </c>
      <c r="L306">
        <f>G306*H306*J306*K306</f>
        <v>0.6749999999999999</v>
      </c>
    </row>
    <row r="307">
      <c r="G307">
        <v>2.5</v>
      </c>
      <c r="H307">
        <v>0.15</v>
      </c>
      <c r="J307">
        <v>0.25</v>
      </c>
      <c r="K307">
        <v>1</v>
      </c>
      <c r="L307">
        <f>G307*H307*J307*K307</f>
        <v>0.09375</v>
      </c>
    </row>
    <row r="308">
      <c r="E308">
        <v>5</v>
      </c>
      <c r="G308">
        <v>18</v>
      </c>
      <c r="H308">
        <v>0.15</v>
      </c>
      <c r="J308">
        <v>0.25</v>
      </c>
      <c r="K308">
        <v>1</v>
      </c>
      <c r="L308">
        <f>G308*H308*J308*K308</f>
        <v>0.6749999999999999</v>
      </c>
    </row>
    <row r="309">
      <c r="L309">
        <f>SUM(L281:L308)</f>
        <v>7.2075</v>
      </c>
      <c r="M309" t="str">
        <v>m3</v>
      </c>
      <c r="N309">
        <f>L309</f>
        <v>7.2075</v>
      </c>
    </row>
    <row r="311">
      <c r="B311" t="str">
        <v>Besi beton dia 13</v>
      </c>
      <c r="E311" t="str">
        <v>A</v>
      </c>
      <c r="G311">
        <v>10.2</v>
      </c>
      <c r="J311">
        <v>0.992</v>
      </c>
      <c r="K311">
        <v>4</v>
      </c>
      <c r="L311">
        <f>G311*J311*K311</f>
        <v>40.4736</v>
      </c>
    </row>
    <row r="312">
      <c r="G312">
        <v>2.2</v>
      </c>
      <c r="J312">
        <v>0.992</v>
      </c>
      <c r="K312">
        <v>4</v>
      </c>
      <c r="L312">
        <f>G312*J312*K312</f>
        <v>8.729600000000001</v>
      </c>
    </row>
    <row r="313">
      <c r="E313" t="str">
        <v>B</v>
      </c>
      <c r="G313">
        <v>7.7</v>
      </c>
      <c r="J313">
        <v>0.992</v>
      </c>
      <c r="K313">
        <v>4</v>
      </c>
      <c r="L313">
        <f>G313*J313*K313</f>
        <v>30.5536</v>
      </c>
    </row>
    <row r="314">
      <c r="G314">
        <v>2.2</v>
      </c>
      <c r="J314">
        <v>0.992</v>
      </c>
      <c r="K314">
        <v>4</v>
      </c>
      <c r="L314">
        <f>G314*J314*K314</f>
        <v>8.729600000000001</v>
      </c>
    </row>
    <row r="315">
      <c r="E315" t="str">
        <v>C</v>
      </c>
      <c r="G315">
        <v>5.2</v>
      </c>
      <c r="J315">
        <v>0.992</v>
      </c>
      <c r="K315">
        <v>4</v>
      </c>
      <c r="L315">
        <f>G315*J315*K315</f>
        <v>20.6336</v>
      </c>
    </row>
    <row r="316">
      <c r="G316">
        <v>1.7</v>
      </c>
      <c r="J316">
        <v>0.992</v>
      </c>
      <c r="K316">
        <v>4</v>
      </c>
      <c r="L316">
        <f>G316*J316*K316</f>
        <v>6.7456</v>
      </c>
    </row>
    <row r="317">
      <c r="G317">
        <v>10.2</v>
      </c>
      <c r="J317">
        <v>0.992</v>
      </c>
      <c r="K317">
        <v>4</v>
      </c>
      <c r="L317">
        <f>G317*J317*K317</f>
        <v>40.4736</v>
      </c>
    </row>
    <row r="318">
      <c r="G318">
        <v>4.2</v>
      </c>
      <c r="J318">
        <v>0.992</v>
      </c>
      <c r="K318">
        <v>4</v>
      </c>
      <c r="L318">
        <f>G318*J318*K318</f>
        <v>16.6656</v>
      </c>
    </row>
    <row r="319">
      <c r="E319" t="str">
        <v>D</v>
      </c>
      <c r="G319">
        <v>1.7</v>
      </c>
      <c r="J319">
        <v>0.992</v>
      </c>
      <c r="K319">
        <v>4</v>
      </c>
      <c r="L319">
        <f>G319*J319*K319</f>
        <v>6.7456</v>
      </c>
    </row>
    <row r="320">
      <c r="G320">
        <v>5.2</v>
      </c>
      <c r="J320">
        <v>0.992</v>
      </c>
      <c r="K320">
        <v>4</v>
      </c>
      <c r="L320">
        <f>G320*J320*K320</f>
        <v>20.6336</v>
      </c>
    </row>
    <row r="321">
      <c r="G321">
        <v>4.2</v>
      </c>
      <c r="J321">
        <v>0.992</v>
      </c>
      <c r="L321">
        <f>G321*J321*K321</f>
        <v>0</v>
      </c>
    </row>
    <row r="322">
      <c r="E322" t="str">
        <v>E</v>
      </c>
      <c r="G322">
        <v>7.7</v>
      </c>
      <c r="J322">
        <v>0.992</v>
      </c>
      <c r="K322">
        <v>4</v>
      </c>
      <c r="L322">
        <f>G322*J322*K322</f>
        <v>30.5536</v>
      </c>
    </row>
    <row r="323">
      <c r="E323" t="str">
        <v>F</v>
      </c>
      <c r="G323">
        <v>10.2</v>
      </c>
      <c r="J323">
        <v>0.992</v>
      </c>
      <c r="K323">
        <v>4</v>
      </c>
      <c r="L323">
        <f>G323*J323*K323</f>
        <v>40.4736</v>
      </c>
    </row>
    <row r="324">
      <c r="G324">
        <v>2.2</v>
      </c>
      <c r="J324">
        <v>0.992</v>
      </c>
      <c r="K324">
        <v>4</v>
      </c>
      <c r="L324">
        <f>G324*J324*K324</f>
        <v>8.729600000000001</v>
      </c>
    </row>
    <row r="325">
      <c r="G325">
        <v>2.2</v>
      </c>
      <c r="J325">
        <v>0.992</v>
      </c>
      <c r="K325">
        <v>4</v>
      </c>
      <c r="L325">
        <f>G325*J325*K325</f>
        <v>8.729600000000001</v>
      </c>
    </row>
    <row r="326">
      <c r="E326" t="str">
        <v>G</v>
      </c>
      <c r="G326">
        <v>10.2</v>
      </c>
      <c r="J326">
        <v>0.992</v>
      </c>
      <c r="K326">
        <v>4</v>
      </c>
      <c r="L326">
        <f>G326*J326*K326</f>
        <v>40.4736</v>
      </c>
    </row>
    <row r="327">
      <c r="E327" t="str">
        <v>O</v>
      </c>
      <c r="G327">
        <v>3.2</v>
      </c>
      <c r="J327">
        <v>0.992</v>
      </c>
      <c r="K327">
        <v>4</v>
      </c>
      <c r="L327">
        <f>G327*J327*K327</f>
        <v>12.697600000000001</v>
      </c>
    </row>
    <row r="328">
      <c r="E328" t="str">
        <v>O</v>
      </c>
      <c r="G328">
        <v>3.2</v>
      </c>
      <c r="J328">
        <v>0.992</v>
      </c>
      <c r="K328">
        <v>4</v>
      </c>
      <c r="L328">
        <f>G328*J328*K328</f>
        <v>12.697600000000001</v>
      </c>
    </row>
    <row r="329">
      <c r="G329">
        <v>3.2</v>
      </c>
      <c r="J329">
        <v>0.992</v>
      </c>
      <c r="K329">
        <v>4</v>
      </c>
      <c r="L329">
        <f>G329*J329*K329</f>
        <v>12.697600000000001</v>
      </c>
    </row>
    <row r="330">
      <c r="E330" t="str">
        <v>o'</v>
      </c>
      <c r="G330">
        <v>9.2</v>
      </c>
      <c r="J330">
        <v>0.992</v>
      </c>
      <c r="K330">
        <v>4</v>
      </c>
      <c r="L330">
        <f>G330*J330*K330</f>
        <v>36.505599999999994</v>
      </c>
    </row>
    <row r="331">
      <c r="E331">
        <v>1</v>
      </c>
      <c r="G331">
        <v>9.2</v>
      </c>
      <c r="J331">
        <v>0.992</v>
      </c>
      <c r="K331">
        <v>4</v>
      </c>
      <c r="L331">
        <f>G331*J331*K331</f>
        <v>36.505599999999994</v>
      </c>
    </row>
    <row r="332">
      <c r="E332">
        <v>2</v>
      </c>
      <c r="G332">
        <v>10.2</v>
      </c>
      <c r="J332">
        <v>0.992</v>
      </c>
      <c r="K332">
        <v>4</v>
      </c>
      <c r="L332">
        <f>G332*J332*K332</f>
        <v>40.4736</v>
      </c>
    </row>
    <row r="333">
      <c r="G333">
        <v>9.2</v>
      </c>
      <c r="J333">
        <v>0.992</v>
      </c>
      <c r="K333">
        <v>4</v>
      </c>
      <c r="L333">
        <f>G333*J333*K333</f>
        <v>36.505599999999994</v>
      </c>
    </row>
    <row r="334">
      <c r="G334">
        <v>2.7</v>
      </c>
      <c r="J334">
        <v>0.992</v>
      </c>
      <c r="K334">
        <v>4</v>
      </c>
      <c r="L334">
        <f>G334*J334*K334</f>
        <v>10.713600000000001</v>
      </c>
    </row>
    <row r="335">
      <c r="E335">
        <v>3</v>
      </c>
      <c r="G335">
        <v>18.2</v>
      </c>
      <c r="J335">
        <v>0.992</v>
      </c>
      <c r="K335">
        <v>4</v>
      </c>
      <c r="L335">
        <f>G335*J335*K335</f>
        <v>72.21759999999999</v>
      </c>
    </row>
    <row r="336">
      <c r="E336">
        <v>4</v>
      </c>
      <c r="G336">
        <v>18.2</v>
      </c>
      <c r="J336">
        <v>0.992</v>
      </c>
      <c r="K336">
        <v>4</v>
      </c>
      <c r="L336">
        <f>G336*J336*K336</f>
        <v>72.21759999999999</v>
      </c>
    </row>
    <row r="337">
      <c r="G337">
        <v>2.7</v>
      </c>
      <c r="J337">
        <v>0.992</v>
      </c>
      <c r="K337">
        <v>4</v>
      </c>
      <c r="L337">
        <f>G337*J337*K337</f>
        <v>10.713600000000001</v>
      </c>
    </row>
    <row r="338">
      <c r="E338">
        <v>5</v>
      </c>
      <c r="G338">
        <v>18.2</v>
      </c>
      <c r="J338">
        <v>0.992</v>
      </c>
      <c r="K338">
        <v>4</v>
      </c>
      <c r="L338">
        <f>G338*J338*K338</f>
        <v>72.21759999999999</v>
      </c>
    </row>
    <row r="339">
      <c r="L339">
        <f>SUM(L311:L338)</f>
        <v>755.5072</v>
      </c>
      <c r="M339" t="str">
        <v>kg</v>
      </c>
      <c r="N339">
        <f>L339</f>
        <v>755.5072</v>
      </c>
    </row>
    <row r="341">
      <c r="B341" t="str">
        <v>Besi beton dia 10</v>
      </c>
      <c r="E341" t="str">
        <v>A</v>
      </c>
      <c r="F341">
        <v>10</v>
      </c>
      <c r="G341">
        <v>0.8</v>
      </c>
      <c r="J341">
        <v>0.616</v>
      </c>
      <c r="K341">
        <v>50</v>
      </c>
      <c r="L341">
        <f>G341*J341*K341</f>
        <v>24.64</v>
      </c>
    </row>
    <row r="342">
      <c r="F342">
        <v>2</v>
      </c>
      <c r="G342">
        <v>0.8</v>
      </c>
      <c r="J342">
        <v>0.616</v>
      </c>
      <c r="K342">
        <v>15</v>
      </c>
      <c r="L342">
        <f>G342*J342*K342</f>
        <v>7.392</v>
      </c>
    </row>
    <row r="343">
      <c r="E343" t="str">
        <v>B</v>
      </c>
      <c r="F343">
        <v>7.5</v>
      </c>
      <c r="G343">
        <v>0.8</v>
      </c>
      <c r="J343">
        <v>0.616</v>
      </c>
      <c r="K343">
        <v>37</v>
      </c>
      <c r="L343">
        <f>G343*J343*K343</f>
        <v>18.2336</v>
      </c>
    </row>
    <row r="344">
      <c r="F344">
        <v>2</v>
      </c>
      <c r="G344">
        <v>0.8</v>
      </c>
      <c r="J344">
        <v>0.616</v>
      </c>
      <c r="K344">
        <v>10</v>
      </c>
      <c r="L344">
        <f>G344*J344*K344</f>
        <v>4.928</v>
      </c>
    </row>
    <row r="345">
      <c r="E345" t="str">
        <v>C</v>
      </c>
      <c r="F345">
        <v>5</v>
      </c>
      <c r="G345">
        <v>0.8</v>
      </c>
      <c r="J345">
        <v>0.616</v>
      </c>
      <c r="K345">
        <v>25</v>
      </c>
      <c r="L345">
        <f>G345*J345*K345</f>
        <v>12.32</v>
      </c>
    </row>
    <row r="346">
      <c r="F346">
        <v>1.5</v>
      </c>
      <c r="G346">
        <v>0.8</v>
      </c>
      <c r="J346">
        <v>0.616</v>
      </c>
      <c r="K346">
        <v>7</v>
      </c>
      <c r="L346">
        <f>G346*J346*K346</f>
        <v>3.4496</v>
      </c>
    </row>
    <row r="347">
      <c r="F347">
        <v>10</v>
      </c>
      <c r="G347">
        <v>0.8</v>
      </c>
      <c r="J347">
        <v>0.616</v>
      </c>
      <c r="K347">
        <v>50</v>
      </c>
      <c r="L347">
        <f>G347*J347*K347</f>
        <v>24.64</v>
      </c>
    </row>
    <row r="348">
      <c r="F348">
        <v>4</v>
      </c>
      <c r="G348">
        <v>0.8</v>
      </c>
      <c r="J348">
        <v>0.616</v>
      </c>
      <c r="K348">
        <v>20</v>
      </c>
      <c r="L348">
        <f>G348*J348*K348</f>
        <v>9.856</v>
      </c>
    </row>
    <row r="349">
      <c r="E349" t="str">
        <v>D</v>
      </c>
      <c r="F349">
        <v>1.5</v>
      </c>
      <c r="G349">
        <v>0.8</v>
      </c>
      <c r="J349">
        <v>0.616</v>
      </c>
      <c r="K349">
        <v>7</v>
      </c>
      <c r="L349">
        <f>G349*J349*K349</f>
        <v>3.4496</v>
      </c>
    </row>
    <row r="350">
      <c r="F350">
        <v>5</v>
      </c>
      <c r="G350">
        <v>0.8</v>
      </c>
      <c r="J350">
        <v>0.616</v>
      </c>
      <c r="K350">
        <v>25</v>
      </c>
      <c r="L350">
        <f>G350*J350*K350</f>
        <v>12.32</v>
      </c>
    </row>
    <row r="351">
      <c r="F351">
        <v>4</v>
      </c>
      <c r="G351">
        <v>0.8</v>
      </c>
      <c r="J351">
        <v>0.616</v>
      </c>
      <c r="L351">
        <f>G351*J351*K351</f>
        <v>0</v>
      </c>
    </row>
    <row r="352">
      <c r="E352" t="str">
        <v>E</v>
      </c>
      <c r="F352">
        <v>7.5</v>
      </c>
      <c r="G352">
        <v>0.8</v>
      </c>
      <c r="J352">
        <v>0.616</v>
      </c>
      <c r="K352">
        <v>37</v>
      </c>
      <c r="L352">
        <f>G352*J352*K352</f>
        <v>18.2336</v>
      </c>
    </row>
    <row r="353">
      <c r="E353" t="str">
        <v>F</v>
      </c>
      <c r="F353">
        <v>10</v>
      </c>
      <c r="G353">
        <v>0.8</v>
      </c>
      <c r="J353">
        <v>0.616</v>
      </c>
      <c r="K353">
        <v>50</v>
      </c>
      <c r="L353">
        <f>G353*J353*K353</f>
        <v>24.64</v>
      </c>
    </row>
    <row r="354">
      <c r="F354">
        <v>2</v>
      </c>
      <c r="G354">
        <v>0.8</v>
      </c>
      <c r="J354">
        <v>0.616</v>
      </c>
      <c r="K354">
        <v>10</v>
      </c>
      <c r="L354">
        <f>G354*J354*K354</f>
        <v>4.928</v>
      </c>
    </row>
    <row r="355">
      <c r="F355">
        <v>2</v>
      </c>
      <c r="G355">
        <v>0.8</v>
      </c>
      <c r="J355">
        <v>0.616</v>
      </c>
      <c r="K355">
        <v>10</v>
      </c>
      <c r="L355">
        <f>G355*J355*K355</f>
        <v>4.928</v>
      </c>
    </row>
    <row r="356">
      <c r="E356" t="str">
        <v>G</v>
      </c>
      <c r="F356">
        <v>10</v>
      </c>
      <c r="G356">
        <v>0.8</v>
      </c>
      <c r="J356">
        <v>0.616</v>
      </c>
      <c r="K356">
        <v>50</v>
      </c>
      <c r="L356">
        <f>G356*J356*K356</f>
        <v>24.64</v>
      </c>
    </row>
    <row r="357">
      <c r="E357" t="str">
        <v>O</v>
      </c>
      <c r="F357">
        <v>3</v>
      </c>
      <c r="G357">
        <v>0.86</v>
      </c>
      <c r="J357">
        <v>0.616</v>
      </c>
      <c r="K357">
        <v>15</v>
      </c>
      <c r="L357">
        <f>G357*J357*K357</f>
        <v>7.946400000000001</v>
      </c>
    </row>
    <row r="358">
      <c r="E358" t="str">
        <v>O</v>
      </c>
      <c r="F358">
        <v>3</v>
      </c>
      <c r="G358">
        <v>0.8</v>
      </c>
      <c r="J358">
        <v>0.616</v>
      </c>
      <c r="K358">
        <v>15</v>
      </c>
      <c r="L358">
        <f>G358*J358*K358</f>
        <v>7.392</v>
      </c>
    </row>
    <row r="359">
      <c r="F359">
        <v>3</v>
      </c>
      <c r="G359">
        <v>0.96</v>
      </c>
      <c r="J359">
        <v>0.616</v>
      </c>
      <c r="K359">
        <v>15</v>
      </c>
      <c r="L359">
        <f>G359*J359*K359</f>
        <v>8.8704</v>
      </c>
    </row>
    <row r="360">
      <c r="E360" t="str">
        <v>o'</v>
      </c>
      <c r="F360">
        <v>9</v>
      </c>
      <c r="G360">
        <v>0.8</v>
      </c>
      <c r="J360">
        <v>0.616</v>
      </c>
      <c r="K360">
        <v>45</v>
      </c>
      <c r="L360">
        <f>G360*J360*K360</f>
        <v>22.176000000000002</v>
      </c>
    </row>
    <row r="361">
      <c r="E361">
        <v>1</v>
      </c>
      <c r="F361">
        <v>9</v>
      </c>
      <c r="G361">
        <v>0.8</v>
      </c>
      <c r="J361">
        <v>0.616</v>
      </c>
      <c r="K361">
        <v>45</v>
      </c>
      <c r="L361">
        <f>G361*J361*K361</f>
        <v>22.176000000000002</v>
      </c>
    </row>
    <row r="362">
      <c r="E362">
        <v>2</v>
      </c>
      <c r="F362">
        <v>18</v>
      </c>
      <c r="G362">
        <v>0.8</v>
      </c>
      <c r="J362">
        <v>0.616</v>
      </c>
      <c r="K362">
        <v>90</v>
      </c>
      <c r="L362">
        <f>G362*J362*K362</f>
        <v>44.352000000000004</v>
      </c>
    </row>
    <row r="363">
      <c r="F363">
        <v>9</v>
      </c>
      <c r="G363">
        <v>0.8</v>
      </c>
      <c r="J363">
        <v>0.616</v>
      </c>
      <c r="K363">
        <v>45</v>
      </c>
      <c r="L363">
        <f>G363*J363*K363</f>
        <v>22.176000000000002</v>
      </c>
    </row>
    <row r="364">
      <c r="F364">
        <v>2.5</v>
      </c>
      <c r="G364">
        <v>0.8</v>
      </c>
      <c r="J364">
        <v>0.616</v>
      </c>
      <c r="K364">
        <v>12</v>
      </c>
      <c r="L364">
        <f>G364*J364*K364</f>
        <v>5.913600000000001</v>
      </c>
    </row>
    <row r="365">
      <c r="E365">
        <v>3</v>
      </c>
      <c r="F365">
        <v>18</v>
      </c>
      <c r="G365">
        <v>0.8</v>
      </c>
      <c r="J365">
        <v>0.616</v>
      </c>
      <c r="K365">
        <v>90</v>
      </c>
      <c r="L365">
        <f>G365*J365*K365</f>
        <v>44.352000000000004</v>
      </c>
    </row>
    <row r="366">
      <c r="E366">
        <v>4</v>
      </c>
      <c r="F366">
        <v>18</v>
      </c>
      <c r="G366">
        <v>0.8</v>
      </c>
      <c r="J366">
        <v>0.616</v>
      </c>
      <c r="K366">
        <v>90</v>
      </c>
      <c r="L366">
        <f>G366*J366*K366</f>
        <v>44.352000000000004</v>
      </c>
    </row>
    <row r="367">
      <c r="F367">
        <v>2.5</v>
      </c>
      <c r="G367">
        <v>0.8</v>
      </c>
      <c r="J367">
        <v>0.616</v>
      </c>
      <c r="K367">
        <v>12</v>
      </c>
      <c r="L367">
        <f>G367*J367*K367</f>
        <v>5.913600000000001</v>
      </c>
    </row>
    <row r="368">
      <c r="E368">
        <v>5</v>
      </c>
      <c r="F368">
        <v>18</v>
      </c>
      <c r="G368">
        <v>0.8</v>
      </c>
      <c r="J368">
        <v>0.616</v>
      </c>
      <c r="K368">
        <v>90</v>
      </c>
      <c r="L368">
        <f>G368*J368*K368</f>
        <v>44.352000000000004</v>
      </c>
    </row>
    <row r="369">
      <c r="L369">
        <f>SUM(L341:L368)</f>
        <v>478.57039999999984</v>
      </c>
      <c r="M369" t="str">
        <v>kg</v>
      </c>
      <c r="N369">
        <f>L369</f>
        <v>478.57039999999984</v>
      </c>
    </row>
    <row r="371">
      <c r="B371" t="str">
        <v>Bekisting</v>
      </c>
      <c r="E371" t="str">
        <v>A</v>
      </c>
      <c r="G371">
        <v>10</v>
      </c>
      <c r="H371">
        <v>0.5</v>
      </c>
      <c r="K371">
        <v>1</v>
      </c>
      <c r="L371">
        <f>G371*H371*K371</f>
        <v>5</v>
      </c>
    </row>
    <row r="372">
      <c r="G372">
        <v>2</v>
      </c>
      <c r="H372">
        <v>0.5</v>
      </c>
      <c r="K372">
        <v>1</v>
      </c>
      <c r="L372">
        <f>G372*H372*K372</f>
        <v>1</v>
      </c>
    </row>
    <row r="373">
      <c r="E373" t="str">
        <v>B</v>
      </c>
      <c r="G373">
        <v>7.5</v>
      </c>
      <c r="H373">
        <v>0.5</v>
      </c>
      <c r="K373">
        <v>1</v>
      </c>
      <c r="L373">
        <f>G373*H373*K373</f>
        <v>3.75</v>
      </c>
    </row>
    <row r="374">
      <c r="G374">
        <v>2</v>
      </c>
      <c r="H374">
        <v>0.5</v>
      </c>
      <c r="K374">
        <v>1</v>
      </c>
      <c r="L374">
        <f>G374*H374*K374</f>
        <v>1</v>
      </c>
    </row>
    <row r="375">
      <c r="E375" t="str">
        <v>C</v>
      </c>
      <c r="G375">
        <v>5</v>
      </c>
      <c r="H375">
        <v>0.5</v>
      </c>
      <c r="K375">
        <v>1</v>
      </c>
      <c r="L375">
        <f>G375*H375*K375</f>
        <v>2.5</v>
      </c>
    </row>
    <row r="376">
      <c r="G376">
        <v>1.5</v>
      </c>
      <c r="H376">
        <v>0.5</v>
      </c>
      <c r="K376">
        <v>1</v>
      </c>
      <c r="L376">
        <f>G376*H376*K376</f>
        <v>0.75</v>
      </c>
    </row>
    <row r="377">
      <c r="G377">
        <v>10</v>
      </c>
      <c r="H377">
        <v>0.5</v>
      </c>
      <c r="K377">
        <v>1</v>
      </c>
      <c r="L377">
        <f>G377*H377*K377</f>
        <v>5</v>
      </c>
    </row>
    <row r="378">
      <c r="G378">
        <v>4</v>
      </c>
      <c r="H378">
        <v>0.5</v>
      </c>
      <c r="K378">
        <v>1</v>
      </c>
      <c r="L378">
        <f>G378*H378*K378</f>
        <v>2</v>
      </c>
    </row>
    <row r="379">
      <c r="E379" t="str">
        <v>D</v>
      </c>
      <c r="G379">
        <v>1.5</v>
      </c>
      <c r="H379">
        <v>0.5</v>
      </c>
      <c r="K379">
        <v>1</v>
      </c>
      <c r="L379">
        <f>G379*H379*K379</f>
        <v>0.75</v>
      </c>
    </row>
    <row r="380">
      <c r="G380">
        <v>5</v>
      </c>
      <c r="H380">
        <v>0.5</v>
      </c>
      <c r="K380">
        <v>1</v>
      </c>
      <c r="L380">
        <f>G380*H380*K380</f>
        <v>2.5</v>
      </c>
    </row>
    <row r="381">
      <c r="G381">
        <v>4</v>
      </c>
      <c r="H381">
        <v>0.5</v>
      </c>
      <c r="L381">
        <f>G381*H381*K381</f>
        <v>0</v>
      </c>
    </row>
    <row r="382">
      <c r="E382" t="str">
        <v>E</v>
      </c>
      <c r="G382">
        <v>7.5</v>
      </c>
      <c r="H382">
        <v>0.5</v>
      </c>
      <c r="K382">
        <v>1</v>
      </c>
      <c r="L382">
        <f>G382*H382*K382</f>
        <v>3.75</v>
      </c>
    </row>
    <row r="383">
      <c r="E383" t="str">
        <v>F</v>
      </c>
      <c r="G383">
        <v>10</v>
      </c>
      <c r="H383">
        <v>0.5</v>
      </c>
      <c r="K383">
        <v>1</v>
      </c>
      <c r="L383">
        <f>G383*H383*K383</f>
        <v>5</v>
      </c>
    </row>
    <row r="384">
      <c r="G384">
        <v>2</v>
      </c>
      <c r="H384">
        <v>0.5</v>
      </c>
      <c r="K384">
        <v>1</v>
      </c>
      <c r="L384">
        <f>G384*H384*K384</f>
        <v>1</v>
      </c>
    </row>
    <row r="385">
      <c r="G385">
        <v>2</v>
      </c>
      <c r="H385">
        <v>0.5</v>
      </c>
      <c r="K385">
        <v>1</v>
      </c>
      <c r="L385">
        <f>G385*H385*K385</f>
        <v>1</v>
      </c>
    </row>
    <row r="386">
      <c r="E386" t="str">
        <v>G</v>
      </c>
      <c r="G386">
        <v>10</v>
      </c>
      <c r="H386">
        <v>0.5</v>
      </c>
      <c r="K386">
        <v>1</v>
      </c>
      <c r="L386">
        <f>G386*H386*K386</f>
        <v>5</v>
      </c>
    </row>
    <row r="387">
      <c r="E387" t="str">
        <v>O</v>
      </c>
      <c r="G387">
        <v>3</v>
      </c>
      <c r="H387">
        <v>0.5</v>
      </c>
      <c r="K387">
        <v>1</v>
      </c>
      <c r="L387">
        <f>G387*H387*K387</f>
        <v>1.5</v>
      </c>
    </row>
    <row r="388">
      <c r="E388" t="str">
        <v>O</v>
      </c>
      <c r="G388">
        <v>3</v>
      </c>
      <c r="H388">
        <v>0.5</v>
      </c>
      <c r="K388">
        <v>1</v>
      </c>
      <c r="L388">
        <f>G388*H388*K388</f>
        <v>1.5</v>
      </c>
    </row>
    <row r="389">
      <c r="G389">
        <v>3</v>
      </c>
      <c r="H389">
        <v>0.58</v>
      </c>
      <c r="K389">
        <v>1</v>
      </c>
      <c r="L389">
        <f>G389*H389*K389</f>
        <v>1.7399999999999998</v>
      </c>
    </row>
    <row r="390">
      <c r="E390" t="str">
        <v>o'</v>
      </c>
      <c r="G390">
        <v>9</v>
      </c>
      <c r="H390">
        <v>0.5</v>
      </c>
      <c r="K390">
        <v>1</v>
      </c>
      <c r="L390">
        <f>G390*H390*K390</f>
        <v>4.5</v>
      </c>
    </row>
    <row r="391">
      <c r="E391">
        <v>1</v>
      </c>
      <c r="G391">
        <v>9</v>
      </c>
      <c r="H391">
        <v>0.5</v>
      </c>
      <c r="K391">
        <v>1</v>
      </c>
      <c r="L391">
        <f>G391*H391*K391</f>
        <v>4.5</v>
      </c>
    </row>
    <row r="392">
      <c r="E392">
        <v>2</v>
      </c>
      <c r="G392">
        <v>18</v>
      </c>
      <c r="H392">
        <v>0.5</v>
      </c>
      <c r="K392">
        <v>1</v>
      </c>
      <c r="L392">
        <f>G392*H392*K392</f>
        <v>9</v>
      </c>
    </row>
    <row r="393">
      <c r="G393">
        <v>9</v>
      </c>
      <c r="H393">
        <v>0.5</v>
      </c>
      <c r="K393">
        <v>1</v>
      </c>
      <c r="L393">
        <f>G393*H393*K393</f>
        <v>4.5</v>
      </c>
    </row>
    <row r="394">
      <c r="G394">
        <v>2.5</v>
      </c>
      <c r="H394">
        <v>0.5</v>
      </c>
      <c r="K394">
        <v>1</v>
      </c>
      <c r="L394">
        <f>G394*H394*K394</f>
        <v>1.25</v>
      </c>
    </row>
    <row r="395">
      <c r="E395">
        <v>3</v>
      </c>
      <c r="G395">
        <v>18</v>
      </c>
      <c r="H395">
        <v>0.5</v>
      </c>
      <c r="K395">
        <v>1</v>
      </c>
      <c r="L395">
        <f>G395*H395*K395</f>
        <v>9</v>
      </c>
    </row>
    <row r="396">
      <c r="E396">
        <v>4</v>
      </c>
      <c r="G396">
        <v>18</v>
      </c>
      <c r="H396">
        <v>0.5</v>
      </c>
      <c r="K396">
        <v>1</v>
      </c>
      <c r="L396">
        <f>G396*H396*K396</f>
        <v>9</v>
      </c>
    </row>
    <row r="397">
      <c r="G397">
        <v>2.5</v>
      </c>
      <c r="H397">
        <v>0.5</v>
      </c>
      <c r="K397">
        <v>1</v>
      </c>
      <c r="L397">
        <f>G397*H397*K397</f>
        <v>1.25</v>
      </c>
    </row>
    <row r="398">
      <c r="E398">
        <v>5</v>
      </c>
      <c r="G398">
        <v>18</v>
      </c>
      <c r="H398">
        <v>0.5</v>
      </c>
      <c r="K398">
        <v>1</v>
      </c>
      <c r="L398">
        <f>G398*H398*K398</f>
        <v>9</v>
      </c>
    </row>
    <row r="399">
      <c r="L399">
        <f>SUM(L371:L398)</f>
        <v>96.74000000000001</v>
      </c>
      <c r="M399" t="str">
        <v>m2</v>
      </c>
      <c r="N399">
        <f>L399</f>
        <v>96.74000000000001</v>
      </c>
    </row>
    <row r="401">
      <c r="A401">
        <f>A280+1</f>
        <v>3</v>
      </c>
      <c r="B401" t="str">
        <v>Plat</v>
      </c>
    </row>
    <row r="402">
      <c r="B402" t="str">
        <v>Beton K 200</v>
      </c>
      <c r="G402">
        <v>3</v>
      </c>
      <c r="H402">
        <v>0.9</v>
      </c>
      <c r="J402">
        <v>0.125</v>
      </c>
      <c r="K402">
        <v>1</v>
      </c>
      <c r="L402">
        <f>G402*H402*J402*K402</f>
        <v>0.3375</v>
      </c>
      <c r="M402" t="str">
        <v>m3</v>
      </c>
      <c r="N402">
        <f>L402</f>
        <v>0.3375</v>
      </c>
    </row>
    <row r="404">
      <c r="B404" t="str">
        <v>Besi beton dia 10</v>
      </c>
      <c r="G404">
        <v>3.15</v>
      </c>
      <c r="J404">
        <v>0.616</v>
      </c>
      <c r="K404">
        <v>10</v>
      </c>
      <c r="L404">
        <f>G404*J404*K404</f>
        <v>19.404</v>
      </c>
    </row>
    <row r="405">
      <c r="G405">
        <v>2.31</v>
      </c>
      <c r="J405">
        <v>0.616</v>
      </c>
      <c r="K405">
        <v>31</v>
      </c>
      <c r="L405">
        <f>G405*J405*K405</f>
        <v>44.11176</v>
      </c>
    </row>
    <row r="406">
      <c r="L406">
        <f>SUM(L404:L405)</f>
        <v>63.51576</v>
      </c>
      <c r="M406" t="str">
        <v>kg</v>
      </c>
      <c r="N406">
        <f>L406</f>
        <v>63.51576</v>
      </c>
    </row>
    <row r="408">
      <c r="B408" t="str">
        <v>Bekisting</v>
      </c>
      <c r="G408">
        <v>3</v>
      </c>
      <c r="H408">
        <v>0.9</v>
      </c>
      <c r="K408">
        <v>1</v>
      </c>
      <c r="L408">
        <f>G408*H408*K408</f>
        <v>2.7</v>
      </c>
    </row>
    <row r="409">
      <c r="G409">
        <v>3</v>
      </c>
      <c r="H409">
        <v>0.1</v>
      </c>
      <c r="K409">
        <v>1</v>
      </c>
      <c r="L409">
        <f>G409*H409*K409</f>
        <v>0.30000000000000004</v>
      </c>
    </row>
    <row r="410">
      <c r="L410">
        <f>SUM(L408:L409)</f>
        <v>3</v>
      </c>
      <c r="M410" t="str">
        <v>m2</v>
      </c>
      <c r="N410">
        <f>L410</f>
        <v>3</v>
      </c>
    </row>
    <row r="411">
      <c r="A411" t="str">
        <v>D</v>
      </c>
      <c r="B411" t="str">
        <v>PEKERJAAN ARSITEKTUR</v>
      </c>
    </row>
    <row r="412">
      <c r="A412">
        <v>1</v>
      </c>
      <c r="B412" t="str">
        <v>PEKERJAAN DINDING</v>
      </c>
    </row>
    <row r="413">
      <c r="A413">
        <f>A412+0.01</f>
        <v>1.01</v>
      </c>
      <c r="B413" t="str">
        <v>Pasangan 1/2 batu bata ad 1:2</v>
      </c>
      <c r="E413" t="str">
        <v>A</v>
      </c>
      <c r="G413">
        <v>2</v>
      </c>
      <c r="J413">
        <v>1</v>
      </c>
      <c r="K413">
        <v>1</v>
      </c>
      <c r="L413">
        <f>G413*J413*K413</f>
        <v>2</v>
      </c>
    </row>
    <row r="414">
      <c r="G414">
        <v>2</v>
      </c>
      <c r="J414">
        <v>1</v>
      </c>
      <c r="K414">
        <v>1</v>
      </c>
      <c r="L414">
        <f>G414*J414*K414</f>
        <v>2</v>
      </c>
    </row>
    <row r="415">
      <c r="E415" t="str">
        <v>F</v>
      </c>
      <c r="G415">
        <f>2-0.8</f>
        <v>1.2</v>
      </c>
      <c r="J415">
        <v>1</v>
      </c>
      <c r="K415">
        <v>2</v>
      </c>
      <c r="L415">
        <f>G415*J415*K415</f>
        <v>2.4</v>
      </c>
    </row>
    <row r="416">
      <c r="E416" t="str">
        <v>G</v>
      </c>
      <c r="G416">
        <v>2</v>
      </c>
      <c r="J416">
        <v>1</v>
      </c>
      <c r="K416">
        <v>2</v>
      </c>
      <c r="L416">
        <f>G416*J416*K416</f>
        <v>4</v>
      </c>
    </row>
    <row r="417">
      <c r="E417">
        <v>2</v>
      </c>
      <c r="G417">
        <v>1.15</v>
      </c>
      <c r="J417">
        <v>1</v>
      </c>
      <c r="K417">
        <v>1</v>
      </c>
      <c r="L417">
        <f>G417*J417*K417</f>
        <v>1.15</v>
      </c>
    </row>
    <row r="418">
      <c r="E418">
        <v>3</v>
      </c>
      <c r="G418">
        <v>2</v>
      </c>
      <c r="J418">
        <v>1</v>
      </c>
      <c r="K418">
        <v>1</v>
      </c>
      <c r="L418">
        <f>G418*J418*K418</f>
        <v>2</v>
      </c>
    </row>
    <row r="419">
      <c r="G419">
        <v>1.15</v>
      </c>
      <c r="J419">
        <v>1</v>
      </c>
      <c r="K419">
        <v>1</v>
      </c>
      <c r="L419">
        <f>G419*J419*K419</f>
        <v>1.15</v>
      </c>
    </row>
    <row r="420">
      <c r="E420">
        <v>4</v>
      </c>
      <c r="G420">
        <f>2-0.8</f>
        <v>1.2</v>
      </c>
      <c r="J420">
        <v>1</v>
      </c>
      <c r="K420">
        <v>1</v>
      </c>
      <c r="L420">
        <f>G420*J420*K420</f>
        <v>1.2</v>
      </c>
    </row>
    <row r="421">
      <c r="G421">
        <v>1.15</v>
      </c>
      <c r="J421">
        <v>1</v>
      </c>
      <c r="K421">
        <v>1</v>
      </c>
      <c r="L421">
        <f>G421*J421*K421</f>
        <v>1.15</v>
      </c>
    </row>
    <row r="422">
      <c r="G422">
        <v>1.15</v>
      </c>
      <c r="J422">
        <v>1</v>
      </c>
      <c r="K422">
        <v>1</v>
      </c>
      <c r="L422">
        <f>G422*J422*K422</f>
        <v>1.15</v>
      </c>
    </row>
    <row r="423">
      <c r="L423">
        <f>SUM(L413:L422)</f>
        <v>18.2</v>
      </c>
    </row>
    <row r="424">
      <c r="E424">
        <v>3</v>
      </c>
      <c r="G424">
        <v>1</v>
      </c>
      <c r="J424">
        <v>1</v>
      </c>
      <c r="K424">
        <v>1</v>
      </c>
      <c r="L424">
        <f>G424*J424*K424</f>
        <v>1</v>
      </c>
    </row>
    <row r="425">
      <c r="G425">
        <v>1.15</v>
      </c>
      <c r="J425">
        <v>1</v>
      </c>
      <c r="K425">
        <v>2</v>
      </c>
      <c r="L425">
        <f>G425*J425*K425</f>
        <v>2.3</v>
      </c>
    </row>
    <row r="426">
      <c r="L426">
        <f>SUM(L423:L425)</f>
        <v>21.5</v>
      </c>
      <c r="M426" t="str">
        <v>m2</v>
      </c>
      <c r="N426">
        <f>L426</f>
        <v>21.5</v>
      </c>
    </row>
    <row r="428">
      <c r="A428">
        <f>A413+0.01</f>
        <v>1.02</v>
      </c>
      <c r="B428" t="str">
        <v>Pasangan 1/2 batu bata ad 1:4</v>
      </c>
      <c r="E428" t="str">
        <v>A</v>
      </c>
      <c r="G428">
        <v>10</v>
      </c>
      <c r="J428">
        <v>3.5</v>
      </c>
      <c r="K428">
        <v>1</v>
      </c>
      <c r="L428">
        <f>G428*J428*K428</f>
        <v>35</v>
      </c>
    </row>
    <row r="429">
      <c r="G429">
        <v>2</v>
      </c>
      <c r="J429">
        <v>3.5</v>
      </c>
      <c r="K429">
        <v>1</v>
      </c>
      <c r="L429">
        <f>G429*J429*K429</f>
        <v>7</v>
      </c>
    </row>
    <row r="430">
      <c r="E430" t="str">
        <v>B</v>
      </c>
      <c r="G430">
        <v>5</v>
      </c>
      <c r="J430">
        <v>4</v>
      </c>
      <c r="K430">
        <v>1</v>
      </c>
      <c r="L430">
        <f>G430*J430*K430</f>
        <v>20</v>
      </c>
    </row>
    <row r="431">
      <c r="G431">
        <v>2.5</v>
      </c>
      <c r="J431">
        <v>1</v>
      </c>
      <c r="K431">
        <v>1</v>
      </c>
      <c r="L431">
        <f>G431*J431*K431</f>
        <v>2.5</v>
      </c>
    </row>
    <row r="432">
      <c r="G432">
        <v>2</v>
      </c>
      <c r="J432">
        <v>3.5</v>
      </c>
      <c r="K432">
        <v>1</v>
      </c>
      <c r="L432">
        <f>G432*J432*K432</f>
        <v>7</v>
      </c>
    </row>
    <row r="433">
      <c r="E433" t="str">
        <v>c</v>
      </c>
      <c r="G433">
        <v>5</v>
      </c>
      <c r="J433">
        <v>4</v>
      </c>
      <c r="K433">
        <v>1</v>
      </c>
      <c r="L433">
        <f>G433*J433*K433</f>
        <v>20</v>
      </c>
    </row>
    <row r="434">
      <c r="G434">
        <v>0.3</v>
      </c>
      <c r="J434">
        <v>2.7</v>
      </c>
      <c r="K434">
        <v>1</v>
      </c>
      <c r="L434">
        <f>G434*J434*K434</f>
        <v>0.81</v>
      </c>
    </row>
    <row r="435">
      <c r="G435">
        <v>1.5</v>
      </c>
      <c r="J435">
        <v>2</v>
      </c>
      <c r="K435">
        <v>1</v>
      </c>
      <c r="L435">
        <f>G435*J435*K435</f>
        <v>3</v>
      </c>
    </row>
    <row r="436">
      <c r="G436">
        <v>4</v>
      </c>
      <c r="J436">
        <v>3.5</v>
      </c>
      <c r="K436">
        <v>1</v>
      </c>
      <c r="L436">
        <f>G436*J436*K436</f>
        <v>14</v>
      </c>
    </row>
    <row r="437">
      <c r="G437">
        <v>4</v>
      </c>
      <c r="J437">
        <v>3.5</v>
      </c>
      <c r="K437">
        <v>1</v>
      </c>
      <c r="L437">
        <f>G437*J437*K437</f>
        <v>14</v>
      </c>
    </row>
    <row r="438">
      <c r="G438">
        <v>4</v>
      </c>
      <c r="J438">
        <v>3.5</v>
      </c>
      <c r="K438">
        <v>1</v>
      </c>
      <c r="L438">
        <f>G438*J438*K438</f>
        <v>14</v>
      </c>
    </row>
    <row r="439">
      <c r="E439" t="str">
        <v>d</v>
      </c>
      <c r="G439">
        <v>5</v>
      </c>
      <c r="J439">
        <v>4</v>
      </c>
      <c r="K439">
        <v>1</v>
      </c>
      <c r="L439">
        <f>G439*J439*K439</f>
        <v>20</v>
      </c>
    </row>
    <row r="440">
      <c r="G440">
        <v>1.5</v>
      </c>
      <c r="J440">
        <v>2</v>
      </c>
      <c r="K440">
        <v>1</v>
      </c>
      <c r="L440">
        <f>G440*J440*K440</f>
        <v>3</v>
      </c>
    </row>
    <row r="441">
      <c r="G441">
        <v>0.3</v>
      </c>
      <c r="J441">
        <v>2.7</v>
      </c>
      <c r="K441">
        <v>1</v>
      </c>
      <c r="L441">
        <f>G441*J441*K441</f>
        <v>0.81</v>
      </c>
    </row>
    <row r="442">
      <c r="E442" t="str">
        <v>e</v>
      </c>
      <c r="G442">
        <v>5</v>
      </c>
      <c r="J442">
        <v>4</v>
      </c>
      <c r="K442">
        <v>1</v>
      </c>
      <c r="L442">
        <f>G442*J442*K442</f>
        <v>20</v>
      </c>
    </row>
    <row r="443">
      <c r="G443">
        <v>2.5</v>
      </c>
      <c r="J443">
        <v>1</v>
      </c>
      <c r="K443">
        <v>1</v>
      </c>
      <c r="L443">
        <f>G443*J443*K443</f>
        <v>2.5</v>
      </c>
    </row>
    <row r="444">
      <c r="E444" t="str">
        <v>f</v>
      </c>
      <c r="G444">
        <v>4</v>
      </c>
      <c r="J444">
        <v>3.5</v>
      </c>
      <c r="K444">
        <v>1</v>
      </c>
      <c r="L444">
        <f>G444*J444*K444</f>
        <v>14</v>
      </c>
    </row>
    <row r="445">
      <c r="G445">
        <v>4</v>
      </c>
      <c r="J445">
        <v>3.5</v>
      </c>
      <c r="K445">
        <v>1</v>
      </c>
      <c r="L445">
        <f>G445*J445*K445</f>
        <v>14</v>
      </c>
    </row>
    <row r="446">
      <c r="G446">
        <v>2</v>
      </c>
      <c r="J446">
        <v>3.5</v>
      </c>
      <c r="K446">
        <v>1</v>
      </c>
      <c r="L446">
        <f>G446*J446*K446</f>
        <v>7</v>
      </c>
    </row>
    <row r="447">
      <c r="G447">
        <v>2</v>
      </c>
      <c r="J447">
        <v>2.5</v>
      </c>
      <c r="K447">
        <v>1</v>
      </c>
      <c r="L447">
        <f>G447*J447*K447</f>
        <v>5</v>
      </c>
    </row>
    <row r="448">
      <c r="E448" t="str">
        <v>g</v>
      </c>
      <c r="G448">
        <v>10</v>
      </c>
      <c r="J448">
        <v>3.5</v>
      </c>
      <c r="K448">
        <v>1</v>
      </c>
      <c r="L448">
        <f>G448*J448*K448</f>
        <v>35</v>
      </c>
    </row>
    <row r="449">
      <c r="E449" t="str">
        <v>o</v>
      </c>
      <c r="G449">
        <v>3</v>
      </c>
      <c r="J449">
        <v>2</v>
      </c>
      <c r="K449">
        <v>1</v>
      </c>
      <c r="L449">
        <f>G449*J449*K449</f>
        <v>6</v>
      </c>
    </row>
    <row r="450">
      <c r="E450" t="str">
        <v>o</v>
      </c>
      <c r="G450">
        <v>0.3</v>
      </c>
      <c r="J450">
        <v>2.7</v>
      </c>
      <c r="K450">
        <v>1</v>
      </c>
      <c r="L450">
        <f>G450*J450*K450</f>
        <v>0.81</v>
      </c>
    </row>
    <row r="451">
      <c r="G451">
        <v>0.3</v>
      </c>
      <c r="J451">
        <v>2.7</v>
      </c>
      <c r="K451">
        <v>1</v>
      </c>
      <c r="L451">
        <f>G451*J451*K451</f>
        <v>0.81</v>
      </c>
    </row>
    <row r="452">
      <c r="E452" t="str">
        <v>o'</v>
      </c>
      <c r="G452">
        <v>9</v>
      </c>
      <c r="J452">
        <v>1</v>
      </c>
      <c r="K452">
        <v>1</v>
      </c>
      <c r="L452">
        <f>G452*J452*K452</f>
        <v>9</v>
      </c>
    </row>
    <row r="453">
      <c r="G453">
        <v>0.3</v>
      </c>
      <c r="J453">
        <v>2.7</v>
      </c>
      <c r="K453">
        <v>2</v>
      </c>
      <c r="L453">
        <f>G453*J453*K453</f>
        <v>1.62</v>
      </c>
    </row>
    <row r="454">
      <c r="E454">
        <v>1</v>
      </c>
      <c r="G454">
        <v>9</v>
      </c>
      <c r="J454">
        <v>3.7</v>
      </c>
      <c r="K454">
        <v>1</v>
      </c>
      <c r="L454">
        <f>G454*J454*K454</f>
        <v>33.300000000000004</v>
      </c>
    </row>
    <row r="455">
      <c r="E455">
        <v>2</v>
      </c>
      <c r="G455">
        <v>6.5</v>
      </c>
      <c r="J455">
        <v>3.7</v>
      </c>
      <c r="K455">
        <v>1</v>
      </c>
      <c r="L455">
        <f>G455*J455*K455</f>
        <v>24.05</v>
      </c>
    </row>
    <row r="456">
      <c r="G456">
        <v>9.5</v>
      </c>
      <c r="J456">
        <v>3.7</v>
      </c>
      <c r="K456">
        <v>1</v>
      </c>
      <c r="L456">
        <f>G456*J456*K456</f>
        <v>35.15</v>
      </c>
    </row>
    <row r="457">
      <c r="G457">
        <v>2.5</v>
      </c>
      <c r="J457">
        <v>3.7</v>
      </c>
      <c r="K457">
        <v>1</v>
      </c>
      <c r="L457">
        <f>G457*J457*K457</f>
        <v>9.25</v>
      </c>
    </row>
    <row r="458">
      <c r="E458">
        <v>3</v>
      </c>
      <c r="G458">
        <v>6.5</v>
      </c>
      <c r="J458">
        <v>3.7</v>
      </c>
      <c r="K458">
        <v>1</v>
      </c>
      <c r="L458">
        <f>G458*J458*K458</f>
        <v>24.05</v>
      </c>
    </row>
    <row r="459">
      <c r="G459">
        <v>9.5</v>
      </c>
      <c r="J459">
        <v>3.7</v>
      </c>
      <c r="K459">
        <v>1</v>
      </c>
      <c r="L459">
        <f>G459*J459*K459</f>
        <v>35.15</v>
      </c>
    </row>
    <row r="460">
      <c r="E460">
        <v>4</v>
      </c>
      <c r="G460">
        <v>13</v>
      </c>
      <c r="J460">
        <v>3.7</v>
      </c>
      <c r="K460">
        <v>1</v>
      </c>
      <c r="L460">
        <f>G460*J460*K460</f>
        <v>48.1</v>
      </c>
    </row>
    <row r="461">
      <c r="G461">
        <v>2</v>
      </c>
      <c r="J461">
        <v>3.7</v>
      </c>
      <c r="K461">
        <v>1</v>
      </c>
      <c r="L461">
        <f>G461*J461*K461</f>
        <v>7.4</v>
      </c>
    </row>
    <row r="462">
      <c r="G462">
        <v>2.5</v>
      </c>
      <c r="J462">
        <v>3.7</v>
      </c>
      <c r="K462">
        <v>1</v>
      </c>
      <c r="L462">
        <f>G462*J462*K462</f>
        <v>9.25</v>
      </c>
    </row>
    <row r="463">
      <c r="E463">
        <v>5</v>
      </c>
      <c r="G463">
        <v>18</v>
      </c>
      <c r="J463">
        <v>3.7</v>
      </c>
      <c r="K463">
        <v>1</v>
      </c>
      <c r="L463">
        <f>G463*J463*K463</f>
        <v>66.60000000000001</v>
      </c>
    </row>
    <row r="464">
      <c r="L464">
        <f>SUM(L428:L463)</f>
        <v>569.16</v>
      </c>
    </row>
    <row r="466">
      <c r="D466" t="str">
        <v>dikurangi</v>
      </c>
      <c r="E466" t="str">
        <v>P 1</v>
      </c>
      <c r="F466" t="str">
        <v>pintu</v>
      </c>
      <c r="G466">
        <v>1</v>
      </c>
      <c r="J466">
        <v>2.5</v>
      </c>
      <c r="K466">
        <v>7</v>
      </c>
      <c r="L466">
        <f>G466*J466*K466</f>
        <v>17.5</v>
      </c>
    </row>
    <row r="467">
      <c r="E467" t="str">
        <v>P 2</v>
      </c>
      <c r="G467">
        <v>0.8</v>
      </c>
      <c r="J467">
        <v>2.5</v>
      </c>
      <c r="K467">
        <v>3</v>
      </c>
      <c r="L467">
        <f>G467*J467*K467</f>
        <v>6</v>
      </c>
    </row>
    <row r="468">
      <c r="E468" t="str">
        <v>P 3</v>
      </c>
      <c r="G468">
        <v>0.8</v>
      </c>
      <c r="J468">
        <v>2.5</v>
      </c>
      <c r="K468">
        <v>3</v>
      </c>
      <c r="L468">
        <f>G468*J468*K468</f>
        <v>6</v>
      </c>
    </row>
    <row r="469">
      <c r="E469" t="str">
        <v>PJ 1</v>
      </c>
      <c r="G469">
        <v>1.9</v>
      </c>
      <c r="J469">
        <v>2.6</v>
      </c>
      <c r="K469">
        <v>1</v>
      </c>
      <c r="L469">
        <f>G469*J469*K469</f>
        <v>4.9399999999999995</v>
      </c>
    </row>
    <row r="470">
      <c r="G470">
        <v>0.65</v>
      </c>
      <c r="J470">
        <v>1.5</v>
      </c>
      <c r="K470">
        <v>1</v>
      </c>
      <c r="L470">
        <f>G470*J470*K470</f>
        <v>0.9750000000000001</v>
      </c>
    </row>
    <row r="471">
      <c r="E471" t="str">
        <v>PJ 2</v>
      </c>
      <c r="G471">
        <v>0.9</v>
      </c>
      <c r="J471">
        <v>2.5</v>
      </c>
      <c r="K471">
        <v>1</v>
      </c>
      <c r="L471">
        <f>G471*J471*K471</f>
        <v>2.25</v>
      </c>
    </row>
    <row r="472">
      <c r="G472">
        <v>0.75</v>
      </c>
      <c r="J472">
        <v>1.5</v>
      </c>
      <c r="K472">
        <v>1</v>
      </c>
      <c r="L472">
        <f>G472*J472*K472</f>
        <v>1.125</v>
      </c>
    </row>
    <row r="473">
      <c r="E473" t="str">
        <v>J 1</v>
      </c>
      <c r="F473" t="str">
        <v>jendel</v>
      </c>
      <c r="G473">
        <v>2</v>
      </c>
      <c r="J473">
        <v>1.6</v>
      </c>
      <c r="K473">
        <v>2</v>
      </c>
      <c r="L473">
        <f>G473*J473*K473</f>
        <v>6.4</v>
      </c>
    </row>
    <row r="474">
      <c r="E474" t="str">
        <v>J 2</v>
      </c>
      <c r="G474">
        <v>2</v>
      </c>
      <c r="J474">
        <v>1.6</v>
      </c>
      <c r="K474">
        <v>5</v>
      </c>
      <c r="L474">
        <f>G474*J474*K474</f>
        <v>16</v>
      </c>
    </row>
    <row r="475">
      <c r="E475" t="str">
        <v>J 3</v>
      </c>
      <c r="G475">
        <v>1.2</v>
      </c>
      <c r="J475">
        <v>1.6</v>
      </c>
      <c r="K475">
        <v>1</v>
      </c>
      <c r="L475">
        <f>G475*J475*K475</f>
        <v>1.92</v>
      </c>
    </row>
    <row r="476">
      <c r="E476" t="str">
        <v>BV 1</v>
      </c>
      <c r="G476">
        <v>0.85</v>
      </c>
      <c r="J476">
        <v>0.45</v>
      </c>
      <c r="K476">
        <v>2</v>
      </c>
      <c r="L476">
        <f>G476*J476*K476</f>
        <v>0.765</v>
      </c>
    </row>
    <row r="477">
      <c r="E477" t="str">
        <v>BV 2</v>
      </c>
      <c r="G477">
        <v>1.2</v>
      </c>
      <c r="J477">
        <v>0.45</v>
      </c>
      <c r="K477">
        <v>2</v>
      </c>
      <c r="L477">
        <f>G477*J477*K477</f>
        <v>1.08</v>
      </c>
    </row>
    <row r="478">
      <c r="E478" t="str">
        <v>BV 3</v>
      </c>
      <c r="G478">
        <v>2</v>
      </c>
      <c r="J478">
        <v>0.45</v>
      </c>
      <c r="K478">
        <v>2</v>
      </c>
      <c r="L478">
        <f>G478*J478*K478</f>
        <v>1.8</v>
      </c>
    </row>
    <row r="479">
      <c r="E479" t="str">
        <v>Pas 1:2</v>
      </c>
      <c r="G479">
        <f>L423</f>
        <v>18.2</v>
      </c>
      <c r="J479">
        <v>1</v>
      </c>
      <c r="K479">
        <v>1</v>
      </c>
      <c r="L479">
        <f>G479*J479*K479</f>
        <v>18.2</v>
      </c>
    </row>
    <row r="480">
      <c r="L480">
        <f>SUM(L466:L479)</f>
        <v>84.955</v>
      </c>
    </row>
    <row r="481">
      <c r="L481">
        <f>L464-L480</f>
        <v>484.205</v>
      </c>
      <c r="M481" t="str">
        <v>m2</v>
      </c>
      <c r="N481">
        <f>L481</f>
        <v>484.205</v>
      </c>
      <c r="O481">
        <v>966.09</v>
      </c>
    </row>
    <row r="483">
      <c r="A483">
        <f>A428+0.01</f>
        <v>1.03</v>
      </c>
      <c r="B483" t="str">
        <v>Dinding Partisi</v>
      </c>
      <c r="G483">
        <v>4</v>
      </c>
      <c r="J483">
        <v>3.25</v>
      </c>
      <c r="K483">
        <v>2</v>
      </c>
      <c r="L483">
        <f>G483*J483*K483</f>
        <v>26</v>
      </c>
    </row>
    <row r="484">
      <c r="G484">
        <v>2</v>
      </c>
      <c r="J484">
        <v>3.25</v>
      </c>
      <c r="K484">
        <v>1</v>
      </c>
      <c r="L484">
        <f>G484*J484*K484</f>
        <v>6.5</v>
      </c>
    </row>
    <row r="485">
      <c r="L485">
        <f>SUM(L483:L484)</f>
        <v>32.5</v>
      </c>
    </row>
    <row r="486">
      <c r="D486" t="str">
        <v>dikurangi</v>
      </c>
      <c r="G486">
        <v>0.8</v>
      </c>
      <c r="J486">
        <v>2.5</v>
      </c>
      <c r="K486">
        <v>2</v>
      </c>
      <c r="L486">
        <f>G486*J486*K486</f>
        <v>4</v>
      </c>
    </row>
    <row r="487">
      <c r="L487">
        <f>L485-L486</f>
        <v>28.5</v>
      </c>
      <c r="M487" t="str">
        <v>m2</v>
      </c>
      <c r="N487">
        <f>L487</f>
        <v>28.5</v>
      </c>
    </row>
    <row r="489">
      <c r="A489">
        <f>A483+0.01</f>
        <v>1.04</v>
      </c>
      <c r="B489" t="str">
        <v>Pasangan bata penebalan  kolom</v>
      </c>
      <c r="G489">
        <v>0.525</v>
      </c>
      <c r="H489">
        <v>0.25</v>
      </c>
      <c r="J489">
        <v>3.8</v>
      </c>
      <c r="K489">
        <v>4</v>
      </c>
      <c r="L489">
        <f>G489*H489*J489*K489</f>
        <v>1.9949999999999999</v>
      </c>
    </row>
    <row r="490">
      <c r="G490">
        <v>0.13</v>
      </c>
      <c r="H490">
        <v>0.2</v>
      </c>
      <c r="J490">
        <v>3.8</v>
      </c>
      <c r="K490">
        <v>4</v>
      </c>
      <c r="L490">
        <f>G490*H490*J490*K490</f>
        <v>0.3952</v>
      </c>
    </row>
    <row r="491">
      <c r="L491">
        <f>L489-L490</f>
        <v>1.5997999999999999</v>
      </c>
      <c r="M491" t="str">
        <v>m3</v>
      </c>
      <c r="N491">
        <f>L491</f>
        <v>1.5997999999999999</v>
      </c>
    </row>
    <row r="496">
      <c r="A496">
        <f>A489+0.01</f>
        <v>1.05</v>
      </c>
      <c r="B496" t="str">
        <v>Plester aci ad 1:4</v>
      </c>
      <c r="E496" t="str">
        <v>dinding</v>
      </c>
      <c r="G496">
        <f>L481</f>
        <v>484.205</v>
      </c>
      <c r="K496">
        <v>2</v>
      </c>
      <c r="L496">
        <f>G496*K496</f>
        <v>968.41</v>
      </c>
    </row>
    <row r="497">
      <c r="E497" t="str">
        <v>pene.kolom</v>
      </c>
      <c r="G497">
        <v>1.6</v>
      </c>
      <c r="J497">
        <v>3.8</v>
      </c>
      <c r="K497">
        <v>4</v>
      </c>
      <c r="L497">
        <f>K497*J497*G497</f>
        <v>24.32</v>
      </c>
    </row>
    <row r="498">
      <c r="L498">
        <f>SUM(L496:L497)</f>
        <v>992.73</v>
      </c>
    </row>
    <row r="500">
      <c r="F500" t="str">
        <v>keramik</v>
      </c>
      <c r="G500">
        <f>L510</f>
        <v>36.4</v>
      </c>
      <c r="K500">
        <v>1</v>
      </c>
      <c r="L500">
        <f>G500*K500</f>
        <v>36.4</v>
      </c>
    </row>
    <row r="501">
      <c r="F501" t="str">
        <v>grip</v>
      </c>
      <c r="G501">
        <f>L514</f>
        <v>9.2</v>
      </c>
      <c r="K501">
        <v>1</v>
      </c>
      <c r="L501">
        <f>G501*K501</f>
        <v>9.2</v>
      </c>
    </row>
    <row r="502">
      <c r="L502">
        <f>SUM(L500:L501)</f>
        <v>45.599999999999994</v>
      </c>
    </row>
    <row r="504">
      <c r="L504">
        <f>L498-L502</f>
        <v>947.13</v>
      </c>
      <c r="M504" t="str">
        <v>m2</v>
      </c>
      <c r="N504">
        <f>L504</f>
        <v>947.13</v>
      </c>
    </row>
    <row r="507">
      <c r="A507">
        <f>A496+0.01</f>
        <v>1.06</v>
      </c>
      <c r="B507" t="str">
        <v xml:space="preserve">Keramik dinding 20x25 </v>
      </c>
      <c r="E507" t="str">
        <v>toil wanita</v>
      </c>
      <c r="G507">
        <f>6.3-0.8</f>
        <v>5.5</v>
      </c>
      <c r="H507">
        <v>2</v>
      </c>
      <c r="K507">
        <v>1</v>
      </c>
      <c r="L507">
        <f>G507*H507*K507</f>
        <v>11</v>
      </c>
    </row>
    <row r="508">
      <c r="E508" t="str">
        <v>toil lurah</v>
      </c>
      <c r="G508">
        <f>8-0.8</f>
        <v>7.2</v>
      </c>
      <c r="H508">
        <v>2</v>
      </c>
      <c r="K508">
        <v>1</v>
      </c>
      <c r="L508">
        <f>G508*H508*K508</f>
        <v>14.4</v>
      </c>
    </row>
    <row r="509">
      <c r="E509" t="str">
        <v>toil pria</v>
      </c>
      <c r="G509">
        <f>6.3-0.8</f>
        <v>5.5</v>
      </c>
      <c r="H509">
        <v>2</v>
      </c>
      <c r="K509">
        <v>1</v>
      </c>
      <c r="L509">
        <f>G509*H509*K509</f>
        <v>11</v>
      </c>
    </row>
    <row r="510">
      <c r="L510">
        <f>SUM(L507:L509)</f>
        <v>36.4</v>
      </c>
      <c r="M510" t="str">
        <v>m2</v>
      </c>
      <c r="N510">
        <f>L510</f>
        <v>36.4</v>
      </c>
    </row>
    <row r="512">
      <c r="A512">
        <f>A507+0.01</f>
        <v>1.07</v>
      </c>
      <c r="B512" t="str">
        <v>Plester mortar grip</v>
      </c>
      <c r="E512">
        <v>1</v>
      </c>
      <c r="G512">
        <v>2</v>
      </c>
      <c r="H512">
        <v>1</v>
      </c>
      <c r="K512">
        <v>4</v>
      </c>
      <c r="L512">
        <f>G512*H512*K512</f>
        <v>8</v>
      </c>
    </row>
    <row r="513">
      <c r="G513">
        <v>1.2</v>
      </c>
      <c r="H513">
        <v>1</v>
      </c>
      <c r="K513">
        <v>1</v>
      </c>
      <c r="L513">
        <f>G513*H513*K513</f>
        <v>1.2</v>
      </c>
    </row>
    <row r="514">
      <c r="L514">
        <f>SUM(L512:L513)</f>
        <v>9.2</v>
      </c>
      <c r="M514" t="str">
        <v>m2</v>
      </c>
      <c r="N514">
        <f>L514</f>
        <v>9.2</v>
      </c>
    </row>
    <row r="517">
      <c r="A517">
        <f>A512+0.01</f>
        <v>1.08</v>
      </c>
      <c r="B517" t="str">
        <v>Cat tembok interior</v>
      </c>
    </row>
    <row r="518">
      <c r="D518" t="str">
        <v>plester 1:2</v>
      </c>
      <c r="G518">
        <f>L504</f>
        <v>947.13</v>
      </c>
      <c r="K518">
        <v>1</v>
      </c>
      <c r="L518">
        <f>G518*K518</f>
        <v>947.13</v>
      </c>
    </row>
    <row r="519">
      <c r="L519">
        <f>L518</f>
        <v>947.13</v>
      </c>
      <c r="M519" t="str">
        <v>m2</v>
      </c>
      <c r="N519">
        <f>L519</f>
        <v>947.13</v>
      </c>
    </row>
    <row r="523">
      <c r="A523">
        <f>A412+1</f>
        <v>2</v>
      </c>
      <c r="B523" t="str">
        <v>PEKERJAAN KUSEN PINTU DAN JENDELA</v>
      </c>
    </row>
    <row r="524">
      <c r="A524">
        <f>A523+0.01</f>
        <v>2.01</v>
      </c>
      <c r="B524" t="str">
        <v>Kusen pintu P1</v>
      </c>
      <c r="L524">
        <v>7</v>
      </c>
      <c r="M524" t="str">
        <v>unit</v>
      </c>
      <c r="N524">
        <f>L524</f>
        <v>7</v>
      </c>
    </row>
    <row r="525">
      <c r="A525">
        <f>A524+0.01</f>
        <v>2.0199999999999996</v>
      </c>
      <c r="B525" t="str">
        <v>Kusen pintu P2</v>
      </c>
      <c r="L525">
        <v>4</v>
      </c>
      <c r="M525" t="str">
        <v>unit</v>
      </c>
      <c r="N525">
        <f>L525</f>
        <v>4</v>
      </c>
    </row>
    <row r="526">
      <c r="A526">
        <f>A525+0.01</f>
        <v>2.0299999999999994</v>
      </c>
      <c r="B526" t="str">
        <v>Kusen pintu P3</v>
      </c>
      <c r="L526">
        <v>3</v>
      </c>
      <c r="M526" t="str">
        <v>unit</v>
      </c>
      <c r="N526">
        <f>L526</f>
        <v>3</v>
      </c>
    </row>
    <row r="527">
      <c r="A527">
        <f>A526+0.01</f>
        <v>2.039999999999999</v>
      </c>
      <c r="B527" t="str">
        <v>Kusen pintu P J 1</v>
      </c>
      <c r="L527">
        <v>1</v>
      </c>
      <c r="M527" t="str">
        <v>unit</v>
      </c>
      <c r="N527">
        <f>L527</f>
        <v>1</v>
      </c>
    </row>
    <row r="528">
      <c r="A528">
        <f>A527+0.01</f>
        <v>2.049999999999999</v>
      </c>
      <c r="B528" t="str">
        <v>Kusen pintu P J 2</v>
      </c>
      <c r="L528">
        <v>1</v>
      </c>
      <c r="M528" t="str">
        <v>unit</v>
      </c>
      <c r="N528">
        <f>L528</f>
        <v>1</v>
      </c>
    </row>
    <row r="529">
      <c r="A529">
        <f>A528+0.01</f>
        <v>2.0599999999999987</v>
      </c>
      <c r="B529" t="str">
        <v>Kusen Pintu jendela J-1</v>
      </c>
      <c r="L529">
        <v>2</v>
      </c>
      <c r="M529" t="str">
        <v>unit</v>
      </c>
      <c r="N529">
        <f>L529</f>
        <v>2</v>
      </c>
    </row>
    <row r="530">
      <c r="A530">
        <f>A529+0.01</f>
        <v>2.0699999999999985</v>
      </c>
      <c r="B530" t="str">
        <v>Kusen Pintu jendela J-2</v>
      </c>
      <c r="L530">
        <v>5</v>
      </c>
      <c r="M530" t="str">
        <v>unit</v>
      </c>
      <c r="N530">
        <f>L530</f>
        <v>5</v>
      </c>
    </row>
    <row r="531">
      <c r="A531">
        <f>A530+0.01</f>
        <v>2.0799999999999983</v>
      </c>
      <c r="B531" t="str">
        <v>Kusen Pintu jendela J-3</v>
      </c>
      <c r="L531">
        <v>1</v>
      </c>
      <c r="M531" t="str">
        <v>unit</v>
      </c>
      <c r="N531">
        <f>L531</f>
        <v>1</v>
      </c>
    </row>
    <row r="532">
      <c r="A532">
        <f>A531+0.01</f>
        <v>2.089999999999998</v>
      </c>
      <c r="B532" t="str">
        <v>Kusen Bovenlight BV1</v>
      </c>
      <c r="L532">
        <v>8</v>
      </c>
      <c r="M532" t="str">
        <v>unit</v>
      </c>
      <c r="N532">
        <f>L532</f>
        <v>8</v>
      </c>
    </row>
    <row r="533">
      <c r="A533">
        <f>A532+0.01</f>
        <v>2.099999999999998</v>
      </c>
      <c r="B533" t="str">
        <v>Kusen Bovenlight BV2</v>
      </c>
      <c r="L533">
        <v>3</v>
      </c>
      <c r="M533" t="str">
        <v>unit</v>
      </c>
      <c r="N533">
        <f>L533</f>
        <v>3</v>
      </c>
    </row>
    <row r="534">
      <c r="A534">
        <f>A533+0.01</f>
        <v>2.1099999999999977</v>
      </c>
      <c r="B534" t="str">
        <v>Kusen Bovenlight BV3</v>
      </c>
      <c r="L534">
        <v>3</v>
      </c>
      <c r="M534" t="str">
        <v>unit</v>
      </c>
      <c r="N534">
        <f>L534</f>
        <v>3</v>
      </c>
    </row>
    <row r="535">
      <c r="A535">
        <f>A534+0.01</f>
        <v>2.1199999999999974</v>
      </c>
      <c r="B535" t="str">
        <v>Bovenlight GR  1</v>
      </c>
      <c r="L535">
        <v>2</v>
      </c>
      <c r="M535" t="str">
        <v>unit</v>
      </c>
      <c r="N535">
        <f>L535</f>
        <v>2</v>
      </c>
    </row>
    <row r="536">
      <c r="A536">
        <f>A535+0.01</f>
        <v>2.1299999999999972</v>
      </c>
      <c r="B536" t="str">
        <v>Bovenlight GR  2</v>
      </c>
      <c r="L536">
        <v>2</v>
      </c>
      <c r="M536" t="str">
        <v>unit</v>
      </c>
      <c r="N536">
        <f>L536</f>
        <v>2</v>
      </c>
    </row>
    <row r="537">
      <c r="A537">
        <f>A536+0.01</f>
        <v>2.139999999999997</v>
      </c>
      <c r="B537" t="str">
        <v>Bovenlight GR  3</v>
      </c>
      <c r="L537">
        <v>2</v>
      </c>
      <c r="M537" t="str">
        <v>unit</v>
      </c>
      <c r="N537">
        <f>L537</f>
        <v>2</v>
      </c>
    </row>
    <row r="541">
      <c r="A541">
        <f>A523+1</f>
        <v>3</v>
      </c>
      <c r="B541" t="str">
        <v xml:space="preserve">PEKERJAAN LANTAI </v>
      </c>
    </row>
    <row r="542">
      <c r="A542">
        <f>A541+0.01</f>
        <v>3.01</v>
      </c>
      <c r="B542" t="str">
        <v>Lantai keramik 20x20</v>
      </c>
      <c r="G542">
        <v>2</v>
      </c>
      <c r="H542">
        <v>2</v>
      </c>
      <c r="K542">
        <v>1</v>
      </c>
      <c r="L542">
        <f>G542*H542*K542</f>
        <v>4</v>
      </c>
    </row>
    <row r="543">
      <c r="G543">
        <v>1.15</v>
      </c>
      <c r="H543">
        <v>2</v>
      </c>
      <c r="K543">
        <v>2</v>
      </c>
      <c r="L543">
        <f>G543*H543*K543</f>
        <v>4.6</v>
      </c>
    </row>
    <row r="544">
      <c r="L544">
        <f>SUM(L542:L543)</f>
        <v>8.6</v>
      </c>
      <c r="M544" t="str">
        <v>m2</v>
      </c>
      <c r="N544">
        <f>L544</f>
        <v>8.6</v>
      </c>
    </row>
    <row r="546">
      <c r="A546">
        <f>A542+0.01</f>
        <v>3.0199999999999996</v>
      </c>
      <c r="B546" t="str">
        <v>Lantai  keramik  30x30</v>
      </c>
      <c r="E546" t="str">
        <v>B-D</v>
      </c>
      <c r="G546">
        <v>3</v>
      </c>
      <c r="H546">
        <v>1.5</v>
      </c>
      <c r="K546">
        <v>1</v>
      </c>
      <c r="L546">
        <f>G546*H546*K546</f>
        <v>4.5</v>
      </c>
    </row>
    <row r="547">
      <c r="G547">
        <v>9</v>
      </c>
      <c r="H547">
        <v>7.5</v>
      </c>
      <c r="K547">
        <v>1</v>
      </c>
      <c r="L547">
        <f>G547*H547*K547</f>
        <v>67.5</v>
      </c>
    </row>
    <row r="548">
      <c r="G548">
        <v>18</v>
      </c>
      <c r="H548">
        <v>10</v>
      </c>
      <c r="K548">
        <v>1</v>
      </c>
      <c r="L548">
        <f>G548*H548*K548</f>
        <v>180</v>
      </c>
    </row>
    <row r="549">
      <c r="L549">
        <f>SUM(L546:L548)</f>
        <v>252</v>
      </c>
    </row>
    <row r="550">
      <c r="D550" t="str">
        <v>dikurangi</v>
      </c>
      <c r="G550">
        <f>L544</f>
        <v>8.6</v>
      </c>
      <c r="K550">
        <v>1</v>
      </c>
      <c r="L550">
        <f>G550*K550</f>
        <v>8.6</v>
      </c>
    </row>
    <row r="551">
      <c r="L551">
        <f>L549-L550</f>
        <v>243.4</v>
      </c>
      <c r="M551" t="str">
        <v>m2</v>
      </c>
      <c r="N551">
        <f>L551</f>
        <v>243.4</v>
      </c>
    </row>
    <row r="553">
      <c r="A553">
        <f>A546+0.01</f>
        <v>3.0299999999999994</v>
      </c>
      <c r="B553" t="str">
        <v>Lantai rabat tebal 5 cm</v>
      </c>
      <c r="G553">
        <f>18+1.07+1.07</f>
        <v>20.14</v>
      </c>
      <c r="H553">
        <v>1.07</v>
      </c>
      <c r="K553">
        <v>1</v>
      </c>
      <c r="L553">
        <f>G553*H553*K553</f>
        <v>21.5498</v>
      </c>
    </row>
    <row r="554">
      <c r="G554">
        <f>10+1.07</f>
        <v>11.07</v>
      </c>
      <c r="H554">
        <v>1.07</v>
      </c>
      <c r="K554">
        <v>2</v>
      </c>
      <c r="L554">
        <f>G554*H554*K554</f>
        <v>23.6898</v>
      </c>
    </row>
    <row r="555">
      <c r="G555">
        <v>3</v>
      </c>
      <c r="H555">
        <v>1.07</v>
      </c>
      <c r="K555">
        <v>1</v>
      </c>
      <c r="L555">
        <f>G555*H555*K555</f>
        <v>3.21</v>
      </c>
    </row>
    <row r="556">
      <c r="G556">
        <v>6</v>
      </c>
      <c r="H556">
        <v>1.07</v>
      </c>
      <c r="K556">
        <v>1</v>
      </c>
      <c r="L556">
        <f>G556*H556*K556</f>
        <v>6.42</v>
      </c>
    </row>
    <row r="557">
      <c r="L557">
        <f>SUM(L553:L556)</f>
        <v>54.869600000000005</v>
      </c>
      <c r="M557" t="str">
        <v>m2</v>
      </c>
      <c r="N557">
        <f>L557</f>
        <v>54.869600000000005</v>
      </c>
    </row>
    <row r="559">
      <c r="A559">
        <f>A553+0.01</f>
        <v>3.039999999999999</v>
      </c>
      <c r="B559" t="str">
        <v>Urugan pasir</v>
      </c>
      <c r="G559">
        <v>3</v>
      </c>
      <c r="H559">
        <v>1.5</v>
      </c>
      <c r="J559">
        <v>0.05</v>
      </c>
      <c r="K559">
        <v>1</v>
      </c>
      <c r="L559">
        <f>G559*H559*J559*K559</f>
        <v>0.225</v>
      </c>
    </row>
    <row r="560">
      <c r="G560">
        <v>9</v>
      </c>
      <c r="H560">
        <v>7.5</v>
      </c>
      <c r="J560">
        <v>0.05</v>
      </c>
      <c r="K560">
        <v>1</v>
      </c>
      <c r="L560">
        <f>G560*H560*J560*K560</f>
        <v>3.375</v>
      </c>
    </row>
    <row r="561">
      <c r="G561">
        <v>18</v>
      </c>
      <c r="H561">
        <v>10</v>
      </c>
      <c r="J561">
        <v>0.05</v>
      </c>
      <c r="K561">
        <v>1</v>
      </c>
      <c r="L561">
        <f>G561*H561*J561*K561</f>
        <v>9</v>
      </c>
    </row>
    <row r="562">
      <c r="G562">
        <f>18+1.07+1.07</f>
        <v>20.14</v>
      </c>
      <c r="H562">
        <v>1.07</v>
      </c>
      <c r="J562">
        <v>0.05</v>
      </c>
      <c r="K562">
        <v>2</v>
      </c>
      <c r="L562">
        <f>G562*H562*J562*K562</f>
        <v>2.15498</v>
      </c>
    </row>
    <row r="563">
      <c r="G563">
        <f>10+1.07</f>
        <v>11.07</v>
      </c>
      <c r="H563">
        <v>1.07</v>
      </c>
      <c r="J563">
        <v>0.05</v>
      </c>
      <c r="K563">
        <v>2</v>
      </c>
      <c r="L563">
        <f>G563*H563*J563*K563</f>
        <v>1.18449</v>
      </c>
    </row>
    <row r="564">
      <c r="G564">
        <f>3</f>
        <v>3</v>
      </c>
      <c r="H564">
        <v>1.07</v>
      </c>
      <c r="J564">
        <v>0.05</v>
      </c>
      <c r="K564">
        <v>1</v>
      </c>
      <c r="L564">
        <f>G564*H564*J564*K564</f>
        <v>0.1605</v>
      </c>
    </row>
    <row r="565">
      <c r="G565">
        <f>6</f>
        <v>6</v>
      </c>
      <c r="H565">
        <v>1.07</v>
      </c>
      <c r="J565">
        <v>0.05</v>
      </c>
      <c r="K565">
        <v>5</v>
      </c>
      <c r="L565">
        <f>G565*H565*J565*K565</f>
        <v>1.605</v>
      </c>
    </row>
    <row r="566">
      <c r="L566">
        <f>SUM(L559:L565)</f>
        <v>17.70497</v>
      </c>
      <c r="M566" t="str">
        <v>m3</v>
      </c>
      <c r="N566">
        <f>L566</f>
        <v>17.70497</v>
      </c>
    </row>
    <row r="568">
      <c r="A568">
        <f>A559+0.01</f>
        <v>3.049999999999999</v>
      </c>
      <c r="B568" t="str">
        <v>Beton alas keramik ad. 1:3:5 tebal 3 cm</v>
      </c>
      <c r="G568">
        <v>3</v>
      </c>
      <c r="H568">
        <v>1.5</v>
      </c>
      <c r="J568">
        <v>0.03</v>
      </c>
      <c r="K568">
        <v>1</v>
      </c>
      <c r="L568">
        <f>G568*H568*J568*K568</f>
        <v>0.135</v>
      </c>
    </row>
    <row r="569">
      <c r="G569">
        <v>9</v>
      </c>
      <c r="H569">
        <v>7.5</v>
      </c>
      <c r="J569">
        <v>0.03</v>
      </c>
      <c r="K569">
        <v>1</v>
      </c>
      <c r="L569">
        <f>G569*H569*J569*K569</f>
        <v>2.025</v>
      </c>
    </row>
    <row r="570">
      <c r="G570">
        <v>18</v>
      </c>
      <c r="H570">
        <v>10</v>
      </c>
      <c r="J570">
        <v>0.03</v>
      </c>
      <c r="K570">
        <v>1</v>
      </c>
      <c r="L570">
        <f>G570*H570*J570*K570</f>
        <v>5.3999999999999995</v>
      </c>
    </row>
    <row r="571">
      <c r="L571">
        <f>SUM(L568:L570)</f>
        <v>7.56</v>
      </c>
      <c r="M571" t="str">
        <v>m3</v>
      </c>
      <c r="N571">
        <f>L571</f>
        <v>7.56</v>
      </c>
    </row>
    <row r="576">
      <c r="B576" t="str">
        <v>Plint keramik 10x30 ex Roman</v>
      </c>
      <c r="E576" t="str">
        <v>a</v>
      </c>
      <c r="G576">
        <v>10</v>
      </c>
      <c r="K576">
        <v>2</v>
      </c>
      <c r="L576">
        <f>G576*K576</f>
        <v>20</v>
      </c>
    </row>
    <row r="577">
      <c r="G577">
        <v>6</v>
      </c>
      <c r="K577">
        <v>2</v>
      </c>
      <c r="L577">
        <f>G577*K577</f>
        <v>12</v>
      </c>
    </row>
    <row r="578">
      <c r="E578" t="str">
        <v>b</v>
      </c>
      <c r="G578">
        <v>5</v>
      </c>
      <c r="K578">
        <v>1</v>
      </c>
      <c r="L578">
        <f>G578*K578</f>
        <v>5</v>
      </c>
    </row>
    <row r="579">
      <c r="G579">
        <v>2</v>
      </c>
      <c r="K579">
        <v>2</v>
      </c>
      <c r="L579">
        <f>G579*K579</f>
        <v>4</v>
      </c>
    </row>
    <row r="580">
      <c r="E580" t="str">
        <v>c</v>
      </c>
      <c r="G580">
        <v>5</v>
      </c>
      <c r="K580">
        <v>2</v>
      </c>
      <c r="L580">
        <f>G580*K580</f>
        <v>10</v>
      </c>
    </row>
    <row r="581">
      <c r="G581">
        <v>4</v>
      </c>
      <c r="K581">
        <v>2</v>
      </c>
      <c r="L581">
        <f>G581*K581</f>
        <v>8</v>
      </c>
    </row>
    <row r="582">
      <c r="G582">
        <v>4</v>
      </c>
      <c r="K582">
        <v>2</v>
      </c>
      <c r="L582">
        <f>G582*K582</f>
        <v>8</v>
      </c>
    </row>
    <row r="583">
      <c r="G583">
        <v>4</v>
      </c>
      <c r="K583">
        <v>2</v>
      </c>
      <c r="L583">
        <f>G583*K583</f>
        <v>8</v>
      </c>
    </row>
    <row r="584">
      <c r="E584" t="str">
        <v>d</v>
      </c>
      <c r="G584">
        <v>5</v>
      </c>
      <c r="K584">
        <v>2</v>
      </c>
      <c r="L584">
        <f>G584*K584</f>
        <v>10</v>
      </c>
    </row>
    <row r="585">
      <c r="E585" t="str">
        <v>e</v>
      </c>
      <c r="G585">
        <v>5</v>
      </c>
      <c r="K585">
        <v>1</v>
      </c>
      <c r="L585">
        <f>G585*K585</f>
        <v>5</v>
      </c>
    </row>
    <row r="586">
      <c r="E586" t="str">
        <v>f</v>
      </c>
      <c r="G586">
        <v>4</v>
      </c>
      <c r="K586">
        <v>2</v>
      </c>
      <c r="L586">
        <f>G586*K586</f>
        <v>8</v>
      </c>
    </row>
    <row r="587">
      <c r="G587">
        <v>4</v>
      </c>
      <c r="K587">
        <v>2</v>
      </c>
      <c r="L587">
        <f>G587*K587</f>
        <v>8</v>
      </c>
    </row>
    <row r="588">
      <c r="G588">
        <v>2</v>
      </c>
      <c r="L588">
        <f>G588*K588</f>
        <v>0</v>
      </c>
    </row>
    <row r="589">
      <c r="G589">
        <v>2</v>
      </c>
      <c r="K589">
        <v>2</v>
      </c>
      <c r="L589">
        <f>G589*K589</f>
        <v>4</v>
      </c>
    </row>
    <row r="590">
      <c r="E590" t="str">
        <v>g</v>
      </c>
      <c r="G590">
        <v>10</v>
      </c>
      <c r="K590">
        <v>2</v>
      </c>
      <c r="L590">
        <f>G590*K590</f>
        <v>20</v>
      </c>
    </row>
    <row r="591">
      <c r="E591" t="str">
        <v>o</v>
      </c>
      <c r="G591">
        <v>1</v>
      </c>
      <c r="K591">
        <v>2</v>
      </c>
      <c r="L591">
        <f>G591*K591</f>
        <v>2</v>
      </c>
    </row>
    <row r="592">
      <c r="E592" t="str">
        <v>o'</v>
      </c>
      <c r="G592">
        <v>1.5</v>
      </c>
      <c r="K592">
        <v>4</v>
      </c>
      <c r="L592">
        <f>G592*K592</f>
        <v>6</v>
      </c>
    </row>
    <row r="593">
      <c r="E593">
        <v>1</v>
      </c>
      <c r="G593">
        <v>9</v>
      </c>
      <c r="K593">
        <v>2</v>
      </c>
      <c r="L593">
        <f>G593*K593</f>
        <v>18</v>
      </c>
    </row>
    <row r="594">
      <c r="E594">
        <v>2</v>
      </c>
      <c r="G594">
        <v>18</v>
      </c>
      <c r="K594">
        <v>2</v>
      </c>
      <c r="L594">
        <f>G594*K594</f>
        <v>36</v>
      </c>
    </row>
    <row r="595">
      <c r="G595">
        <v>2.5</v>
      </c>
      <c r="K595">
        <v>1</v>
      </c>
      <c r="L595">
        <f>G595*K595</f>
        <v>2.5</v>
      </c>
    </row>
    <row r="596">
      <c r="E596">
        <v>3</v>
      </c>
      <c r="G596">
        <v>6.5</v>
      </c>
      <c r="K596">
        <v>2</v>
      </c>
      <c r="L596">
        <f>G596*K596</f>
        <v>13</v>
      </c>
    </row>
    <row r="597">
      <c r="G597">
        <v>9.5</v>
      </c>
      <c r="K597">
        <v>2</v>
      </c>
      <c r="L597">
        <f>G597*K597</f>
        <v>19</v>
      </c>
    </row>
    <row r="598">
      <c r="E598">
        <v>4</v>
      </c>
      <c r="G598">
        <v>13</v>
      </c>
      <c r="K598">
        <v>2</v>
      </c>
      <c r="L598">
        <f>G598*K598</f>
        <v>26</v>
      </c>
    </row>
    <row r="599">
      <c r="G599">
        <v>2</v>
      </c>
      <c r="K599">
        <v>2</v>
      </c>
      <c r="L599">
        <f>G599*K599</f>
        <v>4</v>
      </c>
    </row>
    <row r="600">
      <c r="G600">
        <v>2.5</v>
      </c>
      <c r="K600">
        <v>1</v>
      </c>
      <c r="L600">
        <f>G600*K600</f>
        <v>2.5</v>
      </c>
    </row>
    <row r="601">
      <c r="E601">
        <v>5</v>
      </c>
      <c r="G601">
        <v>18</v>
      </c>
      <c r="K601">
        <v>2</v>
      </c>
      <c r="L601">
        <f>G601*K601</f>
        <v>36</v>
      </c>
    </row>
    <row r="602">
      <c r="L602">
        <f>SUM(L576:L592)</f>
        <v>138</v>
      </c>
    </row>
    <row r="603">
      <c r="G603">
        <v>1.5</v>
      </c>
      <c r="K603">
        <v>2</v>
      </c>
      <c r="L603">
        <f>G603*K603</f>
        <v>3</v>
      </c>
    </row>
    <row r="604">
      <c r="G604">
        <v>0.8</v>
      </c>
      <c r="K604">
        <v>28</v>
      </c>
      <c r="L604">
        <f>G604*K604</f>
        <v>22.400000000000002</v>
      </c>
    </row>
    <row r="605">
      <c r="G605">
        <f>6.3-0.8</f>
        <v>5.5</v>
      </c>
      <c r="K605">
        <v>1</v>
      </c>
      <c r="L605">
        <f>G605*K605</f>
        <v>5.5</v>
      </c>
    </row>
    <row r="606">
      <c r="G606">
        <f>8-0.8</f>
        <v>7.2</v>
      </c>
      <c r="K606">
        <v>1</v>
      </c>
      <c r="L606">
        <f>G606*K606</f>
        <v>7.2</v>
      </c>
    </row>
    <row r="607">
      <c r="G607">
        <f>6.3-0.8</f>
        <v>5.5</v>
      </c>
      <c r="K607">
        <v>1</v>
      </c>
      <c r="L607">
        <f>G607*K607</f>
        <v>5.5</v>
      </c>
    </row>
    <row r="608">
      <c r="L608">
        <f>SUM(L603:L607)</f>
        <v>43.6</v>
      </c>
    </row>
    <row r="609">
      <c r="L609">
        <f>L602-L608</f>
        <v>94.4</v>
      </c>
      <c r="M609" t="str">
        <v>m1</v>
      </c>
      <c r="N609">
        <f>L609</f>
        <v>94.4</v>
      </c>
    </row>
    <row r="611">
      <c r="A611">
        <f>A568+0.01</f>
        <v>3.0599999999999987</v>
      </c>
      <c r="B611" t="str">
        <v>Rolagh bata</v>
      </c>
      <c r="G611">
        <f>10+1.07+1.07</f>
        <v>12.14</v>
      </c>
      <c r="K611">
        <v>1</v>
      </c>
      <c r="L611">
        <f>G611*K611</f>
        <v>12.14</v>
      </c>
    </row>
    <row r="612">
      <c r="G612">
        <f>10+1.07+1.07</f>
        <v>12.14</v>
      </c>
      <c r="K612">
        <v>1</v>
      </c>
      <c r="L612">
        <f>G612*K612</f>
        <v>12.14</v>
      </c>
    </row>
    <row r="613">
      <c r="G613">
        <f>3+1.07</f>
        <v>4.07</v>
      </c>
      <c r="K613">
        <v>1</v>
      </c>
      <c r="L613">
        <f>G613*K613</f>
        <v>4.07</v>
      </c>
    </row>
    <row r="614">
      <c r="G614">
        <f>6+1.07</f>
        <v>7.07</v>
      </c>
      <c r="K614">
        <v>1</v>
      </c>
      <c r="L614">
        <f>G614*K614</f>
        <v>7.07</v>
      </c>
    </row>
    <row r="615">
      <c r="G615">
        <v>2.5</v>
      </c>
      <c r="K615">
        <v>2</v>
      </c>
      <c r="L615">
        <f>G615*K615</f>
        <v>5</v>
      </c>
    </row>
    <row r="616">
      <c r="G616">
        <f>18+1.07+1.07</f>
        <v>20.14</v>
      </c>
      <c r="K616">
        <v>1</v>
      </c>
      <c r="L616">
        <f>G616*K616</f>
        <v>20.14</v>
      </c>
    </row>
    <row r="617">
      <c r="G617">
        <v>1.5</v>
      </c>
      <c r="K617">
        <v>2</v>
      </c>
      <c r="L617">
        <f>G617*K617</f>
        <v>3</v>
      </c>
    </row>
    <row r="618">
      <c r="G618">
        <v>3</v>
      </c>
      <c r="K618">
        <v>1</v>
      </c>
      <c r="L618">
        <f>G618*K618</f>
        <v>3</v>
      </c>
    </row>
    <row r="619">
      <c r="L619">
        <f>SUM(L611:L618)</f>
        <v>66.56</v>
      </c>
      <c r="M619" t="str">
        <v>m</v>
      </c>
      <c r="N619">
        <f>L619</f>
        <v>66.56</v>
      </c>
    </row>
    <row r="620">
      <c r="A620">
        <f>A541+1</f>
        <v>4</v>
      </c>
      <c r="B620" t="str">
        <v>PEKERJAAN PLAFOND</v>
      </c>
    </row>
    <row r="621">
      <c r="A621">
        <f>A620+0.01</f>
        <v>4.01</v>
      </c>
      <c r="B621" t="str">
        <v>Plafond calsi board + rangka hollow + cat</v>
      </c>
      <c r="E621" t="str">
        <v>toilet</v>
      </c>
      <c r="G621">
        <v>2</v>
      </c>
      <c r="H621">
        <v>2</v>
      </c>
      <c r="K621">
        <v>1</v>
      </c>
      <c r="L621">
        <f>G621*H621*K621</f>
        <v>4</v>
      </c>
    </row>
    <row r="622">
      <c r="E622" t="str">
        <v>toilet</v>
      </c>
      <c r="G622">
        <v>1.15</v>
      </c>
      <c r="H622">
        <v>2</v>
      </c>
      <c r="K622">
        <v>2</v>
      </c>
      <c r="L622">
        <f>G622*H622*K622</f>
        <v>4.6</v>
      </c>
    </row>
    <row r="623">
      <c r="E623" t="str">
        <v>over blk</v>
      </c>
      <c r="G623">
        <v>20</v>
      </c>
      <c r="H623">
        <v>1.07</v>
      </c>
      <c r="K623">
        <v>1</v>
      </c>
      <c r="L623">
        <f>G623*H623*K623</f>
        <v>21.400000000000002</v>
      </c>
    </row>
    <row r="624">
      <c r="E624" t="str">
        <v>smp</v>
      </c>
      <c r="G624">
        <v>11</v>
      </c>
      <c r="H624">
        <v>1.07</v>
      </c>
      <c r="K624">
        <v>2</v>
      </c>
      <c r="L624">
        <f>G624*H624*K624</f>
        <v>23.540000000000003</v>
      </c>
    </row>
    <row r="625">
      <c r="E625" t="str">
        <v>dpn</v>
      </c>
      <c r="G625">
        <v>3</v>
      </c>
      <c r="H625">
        <v>1.07</v>
      </c>
      <c r="K625">
        <v>1</v>
      </c>
      <c r="L625">
        <f>G625*H625*K625</f>
        <v>3.21</v>
      </c>
    </row>
    <row r="626">
      <c r="G626">
        <v>6</v>
      </c>
      <c r="H626">
        <v>1.07</v>
      </c>
      <c r="K626">
        <v>1</v>
      </c>
      <c r="L626">
        <f>G626*H626*K626</f>
        <v>6.42</v>
      </c>
    </row>
    <row r="627">
      <c r="G627">
        <v>7.5</v>
      </c>
      <c r="H627">
        <v>1.07</v>
      </c>
      <c r="K627">
        <v>2</v>
      </c>
      <c r="L627">
        <f>G627*H627*K627</f>
        <v>16.05</v>
      </c>
    </row>
    <row r="628">
      <c r="G628">
        <v>3</v>
      </c>
      <c r="H628">
        <v>1.07</v>
      </c>
      <c r="K628">
        <v>2</v>
      </c>
      <c r="L628">
        <f>G628*H628*K628</f>
        <v>6.42</v>
      </c>
    </row>
    <row r="629">
      <c r="G629">
        <v>1.5</v>
      </c>
      <c r="H629">
        <v>1.07</v>
      </c>
      <c r="K629">
        <v>2</v>
      </c>
      <c r="L629">
        <f>G629*H629*K629</f>
        <v>3.21</v>
      </c>
    </row>
    <row r="630">
      <c r="G630">
        <v>1.5</v>
      </c>
      <c r="H630">
        <v>1.07</v>
      </c>
      <c r="K630">
        <v>2</v>
      </c>
      <c r="L630">
        <f>G630*H630*K630</f>
        <v>3.21</v>
      </c>
    </row>
    <row r="631">
      <c r="L631">
        <f>SUM(L621:L630)</f>
        <v>92.06</v>
      </c>
      <c r="M631" t="str">
        <v>m2</v>
      </c>
      <c r="N631">
        <f>L631</f>
        <v>92.06</v>
      </c>
    </row>
    <row r="633">
      <c r="A633">
        <f>A621+0.01</f>
        <v>4.02</v>
      </c>
      <c r="B633" t="str">
        <v>Plafond gypsum board + rangka hollow + cat</v>
      </c>
      <c r="G633">
        <v>3</v>
      </c>
      <c r="H633">
        <v>1.5</v>
      </c>
      <c r="K633">
        <v>1</v>
      </c>
      <c r="L633">
        <f>G633*H633*K633</f>
        <v>4.5</v>
      </c>
    </row>
    <row r="634">
      <c r="G634">
        <v>9</v>
      </c>
      <c r="H634">
        <v>7.5</v>
      </c>
      <c r="K634">
        <v>1</v>
      </c>
      <c r="L634">
        <f>G634*H634*K634</f>
        <v>67.5</v>
      </c>
    </row>
    <row r="635">
      <c r="G635">
        <v>18</v>
      </c>
      <c r="H635">
        <v>10</v>
      </c>
      <c r="K635">
        <v>1</v>
      </c>
      <c r="L635">
        <f>G635*H635*K635</f>
        <v>180</v>
      </c>
    </row>
    <row r="636">
      <c r="L636">
        <f>SUM(L633:L635)</f>
        <v>252</v>
      </c>
    </row>
    <row r="637">
      <c r="D637" t="str">
        <v>dikurangi toilet</v>
      </c>
      <c r="G637">
        <v>8.6</v>
      </c>
      <c r="H637">
        <v>1</v>
      </c>
      <c r="K637">
        <v>1</v>
      </c>
      <c r="L637">
        <f>G637*H637*K637</f>
        <v>8.6</v>
      </c>
    </row>
    <row r="638">
      <c r="L638">
        <f>L636-L637</f>
        <v>243.4</v>
      </c>
      <c r="M638" t="str">
        <v>m2</v>
      </c>
      <c r="N638">
        <f>L638</f>
        <v>243.4</v>
      </c>
      <c r="O638">
        <f>N638+N631</f>
        <v>335.46000000000004</v>
      </c>
    </row>
    <row r="640">
      <c r="A640">
        <f>A620+1</f>
        <v>5</v>
      </c>
      <c r="B640" t="str">
        <v>PEKERJAAN ATAP</v>
      </c>
    </row>
    <row r="641">
      <c r="A641">
        <f>A640+0.01</f>
        <v>5.01</v>
      </c>
      <c r="B641" t="str">
        <v>Rangka atap baja ringan</v>
      </c>
      <c r="E641">
        <v>1</v>
      </c>
      <c r="F641" t="str">
        <v>k.k</v>
      </c>
      <c r="G641">
        <f>(4.75+2.25)/2</f>
        <v>3.5</v>
      </c>
      <c r="H641">
        <v>3</v>
      </c>
      <c r="K641">
        <v>2</v>
      </c>
      <c r="L641">
        <f>G641*H641*K641</f>
        <v>21</v>
      </c>
    </row>
    <row r="642">
      <c r="E642">
        <v>2</v>
      </c>
      <c r="G642">
        <v>8</v>
      </c>
      <c r="H642">
        <v>6.2</v>
      </c>
      <c r="K642">
        <v>2</v>
      </c>
      <c r="L642">
        <f>G642*H642*K642</f>
        <v>99.2</v>
      </c>
    </row>
    <row r="643">
      <c r="E643">
        <v>3</v>
      </c>
      <c r="G643">
        <v>12.5</v>
      </c>
      <c r="H643">
        <f>7.25/2</f>
        <v>3.625</v>
      </c>
      <c r="K643">
        <v>2</v>
      </c>
      <c r="L643">
        <f>G643*H643*K643</f>
        <v>90.625</v>
      </c>
    </row>
    <row r="644">
      <c r="F644" t="str">
        <v>dpn</v>
      </c>
      <c r="G644">
        <v>10.5</v>
      </c>
      <c r="H644">
        <f>6.25/2</f>
        <v>3.125</v>
      </c>
      <c r="K644">
        <v>1</v>
      </c>
      <c r="L644">
        <f>G644*H644*K644</f>
        <v>32.8125</v>
      </c>
    </row>
    <row r="645">
      <c r="G645">
        <f>(20.14+8)/2</f>
        <v>14.07</v>
      </c>
      <c r="H645">
        <v>7</v>
      </c>
      <c r="K645">
        <v>2</v>
      </c>
      <c r="L645">
        <f>G645*H645*K645</f>
        <v>196.98000000000002</v>
      </c>
    </row>
    <row r="646">
      <c r="L646">
        <f>SUM(L641:L645)</f>
        <v>440.6175</v>
      </c>
    </row>
    <row r="647">
      <c r="G647">
        <v>6</v>
      </c>
      <c r="H647">
        <f>3/2</f>
        <v>1.5</v>
      </c>
      <c r="K647">
        <v>1</v>
      </c>
      <c r="L647">
        <f>G647*H647*K647</f>
        <v>9</v>
      </c>
    </row>
    <row r="648">
      <c r="G648">
        <v>11.25</v>
      </c>
      <c r="H648">
        <f>6/2</f>
        <v>3</v>
      </c>
      <c r="K648">
        <v>1</v>
      </c>
      <c r="L648">
        <f>G648*H648*K648</f>
        <v>33.75</v>
      </c>
    </row>
    <row r="649">
      <c r="L649">
        <f>SUM(L647:L648)</f>
        <v>42.75</v>
      </c>
    </row>
    <row r="650">
      <c r="L650">
        <f>L646-L649</f>
        <v>397.8675</v>
      </c>
      <c r="M650" t="str">
        <v>m2</v>
      </c>
      <c r="N650">
        <f>L650</f>
        <v>397.8675</v>
      </c>
    </row>
    <row r="652">
      <c r="A652">
        <f>A641+0.01</f>
        <v>5.02</v>
      </c>
      <c r="B652" t="str">
        <v>Atap metal</v>
      </c>
      <c r="G652">
        <f>L650</f>
        <v>397.8675</v>
      </c>
      <c r="K652">
        <v>1</v>
      </c>
      <c r="L652">
        <f>G652*K652</f>
        <v>397.8675</v>
      </c>
      <c r="M652" t="str">
        <v>m2</v>
      </c>
      <c r="N652">
        <f>L652</f>
        <v>397.8675</v>
      </c>
    </row>
    <row r="654">
      <c r="A654">
        <f>A652+0.01</f>
        <v>5.029999999999999</v>
      </c>
      <c r="B654" t="str">
        <v>Talang</v>
      </c>
      <c r="G654">
        <v>3.5</v>
      </c>
      <c r="K654">
        <v>2</v>
      </c>
      <c r="L654">
        <f>G654*K654*K654</f>
        <v>14</v>
      </c>
    </row>
    <row r="655">
      <c r="G655">
        <v>7</v>
      </c>
      <c r="K655">
        <v>2</v>
      </c>
      <c r="L655">
        <f>G655*K655*K655</f>
        <v>28</v>
      </c>
    </row>
    <row r="656">
      <c r="L656">
        <f>SUM(L654:L655)</f>
        <v>42</v>
      </c>
      <c r="M656" t="str">
        <v>m</v>
      </c>
      <c r="N656">
        <f>L656</f>
        <v>42</v>
      </c>
    </row>
    <row r="658">
      <c r="A658">
        <f>A654+0.01</f>
        <v>5.039999999999999</v>
      </c>
      <c r="B658" t="str">
        <v>Nok</v>
      </c>
      <c r="G658">
        <v>4.75</v>
      </c>
      <c r="K658">
        <v>1</v>
      </c>
      <c r="L658">
        <f>G658*K658</f>
        <v>4.75</v>
      </c>
    </row>
    <row r="659">
      <c r="G659">
        <v>8.5</v>
      </c>
      <c r="K659">
        <v>2</v>
      </c>
      <c r="L659">
        <f>G659*K659</f>
        <v>17</v>
      </c>
    </row>
    <row r="660">
      <c r="G660">
        <v>9.5</v>
      </c>
      <c r="K660">
        <v>4</v>
      </c>
      <c r="L660">
        <f>G660*K660</f>
        <v>38</v>
      </c>
    </row>
    <row r="661">
      <c r="G661">
        <v>8</v>
      </c>
      <c r="K661">
        <v>1</v>
      </c>
      <c r="L661">
        <f>G661*K661</f>
        <v>8</v>
      </c>
    </row>
    <row r="662">
      <c r="G662">
        <v>7.5</v>
      </c>
      <c r="K662">
        <v>1</v>
      </c>
      <c r="L662">
        <f>G662*K662</f>
        <v>7.5</v>
      </c>
    </row>
    <row r="663">
      <c r="L663">
        <f>SUM(L658:L662)</f>
        <v>75.25</v>
      </c>
      <c r="M663" t="str">
        <v>m</v>
      </c>
      <c r="N663">
        <f>L663</f>
        <v>75.25</v>
      </c>
    </row>
    <row r="665">
      <c r="A665">
        <f>A658+0.01</f>
        <v>5.049999999999999</v>
      </c>
      <c r="B665" t="str">
        <v>Lisplank</v>
      </c>
      <c r="E665" t="str">
        <v>dpn</v>
      </c>
      <c r="G665">
        <v>3</v>
      </c>
      <c r="K665">
        <v>2</v>
      </c>
      <c r="L665">
        <f>G665*K665</f>
        <v>6</v>
      </c>
    </row>
    <row r="666">
      <c r="G666">
        <v>2.5</v>
      </c>
      <c r="K666">
        <v>2</v>
      </c>
      <c r="L666">
        <f>G666*K666</f>
        <v>5</v>
      </c>
    </row>
    <row r="667">
      <c r="G667">
        <v>4</v>
      </c>
      <c r="K667">
        <v>2</v>
      </c>
      <c r="L667">
        <f>G667*K667</f>
        <v>8</v>
      </c>
    </row>
    <row r="668">
      <c r="G668">
        <v>8</v>
      </c>
      <c r="K668">
        <v>2</v>
      </c>
      <c r="L668">
        <f>G668*K668</f>
        <v>16</v>
      </c>
    </row>
    <row r="669">
      <c r="E669" t="str">
        <v>kn</v>
      </c>
      <c r="G669">
        <v>7</v>
      </c>
      <c r="K669">
        <v>2</v>
      </c>
      <c r="L669">
        <f>G669*K669</f>
        <v>14</v>
      </c>
    </row>
    <row r="670">
      <c r="G670">
        <v>4</v>
      </c>
      <c r="K670">
        <v>2</v>
      </c>
      <c r="L670">
        <f>G670*K670</f>
        <v>8</v>
      </c>
    </row>
    <row r="671">
      <c r="G671">
        <v>12.5</v>
      </c>
      <c r="K671">
        <v>2</v>
      </c>
      <c r="L671">
        <f>G671*K671</f>
        <v>25</v>
      </c>
    </row>
    <row r="672">
      <c r="G672">
        <v>20.5</v>
      </c>
      <c r="K672">
        <v>1</v>
      </c>
      <c r="L672">
        <f>G672*K672</f>
        <v>20.5</v>
      </c>
    </row>
    <row r="673">
      <c r="L673">
        <f>SUM(L665:L672)</f>
        <v>102.5</v>
      </c>
      <c r="M673" t="str">
        <v>m</v>
      </c>
      <c r="N673">
        <f>L673</f>
        <v>102.5</v>
      </c>
    </row>
    <row r="675">
      <c r="A675">
        <f>A640+1</f>
        <v>6</v>
      </c>
      <c r="B675" t="str">
        <v>PEKERJAAN SANITARY</v>
      </c>
    </row>
    <row r="676">
      <c r="A676">
        <f>A675+0.01</f>
        <v>6.01</v>
      </c>
      <c r="B676" t="str">
        <v>Closed duduk CW 660 J/SW 660J termasuk accesoriesnya</v>
      </c>
      <c r="L676">
        <v>1</v>
      </c>
      <c r="M676" t="str">
        <v>unit</v>
      </c>
      <c r="N676">
        <f>+L676</f>
        <v>1</v>
      </c>
    </row>
    <row r="677">
      <c r="A677">
        <f>A676+0.01</f>
        <v>6.02</v>
      </c>
      <c r="B677" t="str">
        <v>Closed jongkok</v>
      </c>
      <c r="L677">
        <v>2</v>
      </c>
      <c r="M677" t="str">
        <v>unit</v>
      </c>
      <c r="N677">
        <f>+L677</f>
        <v>2</v>
      </c>
    </row>
    <row r="678">
      <c r="B678" t="str">
        <v>Urinoir  U 57 M termasuk accesoriesnya</v>
      </c>
      <c r="L678">
        <v>1</v>
      </c>
      <c r="M678" t="str">
        <v>unit</v>
      </c>
      <c r="N678">
        <f>+L678</f>
        <v>1</v>
      </c>
    </row>
    <row r="679">
      <c r="B679" t="str">
        <v>Wastafel termasuk accesoriesnya</v>
      </c>
      <c r="L679">
        <v>1</v>
      </c>
      <c r="M679" t="str">
        <v>unit</v>
      </c>
      <c r="N679">
        <f>L679</f>
        <v>1</v>
      </c>
    </row>
    <row r="680">
      <c r="A680">
        <f>A677+0.01</f>
        <v>6.029999999999999</v>
      </c>
      <c r="B680" t="str">
        <v>Floor drain  TX 1BN</v>
      </c>
      <c r="L680">
        <v>3</v>
      </c>
      <c r="M680" t="str">
        <v>bh</v>
      </c>
      <c r="N680">
        <f>+L680</f>
        <v>3</v>
      </c>
    </row>
    <row r="681">
      <c r="A681">
        <f>A680+0.01</f>
        <v>6.039999999999999</v>
      </c>
      <c r="B681" t="str">
        <v>Kran dinding T 23 B 13</v>
      </c>
      <c r="L681">
        <v>3</v>
      </c>
      <c r="M681" t="str">
        <v>bh</v>
      </c>
      <c r="N681">
        <f>+L681</f>
        <v>3</v>
      </c>
    </row>
    <row r="682">
      <c r="A682">
        <f>A681+0.01</f>
        <v>6.049999999999999</v>
      </c>
      <c r="B682" t="str">
        <v>Bak air</v>
      </c>
      <c r="L682">
        <v>1</v>
      </c>
      <c r="M682" t="str">
        <v>bh</v>
      </c>
      <c r="N682">
        <f>+L682</f>
        <v>1</v>
      </c>
    </row>
    <row r="683">
      <c r="A683">
        <f>A682+0.01</f>
        <v>6.059999999999999</v>
      </c>
      <c r="B683" t="str">
        <v>Septictank</v>
      </c>
      <c r="L683">
        <v>1</v>
      </c>
      <c r="M683" t="str">
        <v>unit</v>
      </c>
      <c r="N683">
        <f>+L683</f>
        <v>1</v>
      </c>
    </row>
    <row r="684">
      <c r="A684">
        <f>A683+0.01</f>
        <v>6.0699999999999985</v>
      </c>
      <c r="B684" t="str">
        <v>Rembesan</v>
      </c>
      <c r="L684">
        <v>1</v>
      </c>
      <c r="M684" t="str">
        <v>unit</v>
      </c>
      <c r="N684">
        <f>+L684</f>
        <v>1</v>
      </c>
    </row>
    <row r="686">
      <c r="A686" t="str">
        <v>E</v>
      </c>
      <c r="B686" t="str">
        <v>PEKERJAAN M &amp; E</v>
      </c>
    </row>
    <row r="687">
      <c r="A687">
        <v>1</v>
      </c>
      <c r="B687" t="str">
        <v>Pekerjaan Listrik</v>
      </c>
    </row>
    <row r="688">
      <c r="A688">
        <f>A687+0.01</f>
        <v>1.01</v>
      </c>
      <c r="B688" t="str">
        <v>Instalasi penerangan</v>
      </c>
      <c r="G688">
        <v>37</v>
      </c>
      <c r="K688">
        <v>1</v>
      </c>
      <c r="L688">
        <f>G688*K688</f>
        <v>37</v>
      </c>
      <c r="M688" t="str">
        <v>ttk</v>
      </c>
      <c r="N688">
        <f>L688</f>
        <v>37</v>
      </c>
    </row>
    <row r="689">
      <c r="A689">
        <f>A688+0.01</f>
        <v>1.02</v>
      </c>
      <c r="B689" t="str">
        <v>Instalasi stop kontak</v>
      </c>
      <c r="G689">
        <v>18</v>
      </c>
      <c r="K689">
        <v>1</v>
      </c>
      <c r="L689">
        <f>G689*K689</f>
        <v>18</v>
      </c>
      <c r="M689" t="str">
        <v>ttk</v>
      </c>
      <c r="N689">
        <f>L689</f>
        <v>18</v>
      </c>
    </row>
    <row r="690">
      <c r="A690">
        <f>A689+0.01</f>
        <v>1.03</v>
      </c>
      <c r="B690" t="str">
        <v>Stop kontak</v>
      </c>
      <c r="G690">
        <v>18</v>
      </c>
      <c r="K690">
        <v>1</v>
      </c>
      <c r="L690">
        <f>G690*K690</f>
        <v>18</v>
      </c>
      <c r="M690" t="str">
        <v>ttk</v>
      </c>
      <c r="N690">
        <f>L690</f>
        <v>18</v>
      </c>
    </row>
    <row r="691">
      <c r="A691">
        <f>A690+0.01</f>
        <v>1.04</v>
      </c>
      <c r="B691" t="str">
        <v>lampu TL 2 x 18 watt grille</v>
      </c>
      <c r="G691">
        <v>8</v>
      </c>
      <c r="K691">
        <v>1</v>
      </c>
      <c r="L691">
        <f>G691*K691</f>
        <v>8</v>
      </c>
      <c r="M691" t="str">
        <v>bh</v>
      </c>
      <c r="N691">
        <f>L691</f>
        <v>8</v>
      </c>
    </row>
    <row r="692">
      <c r="A692">
        <f>A691+0.01</f>
        <v>1.05</v>
      </c>
      <c r="B692" t="str">
        <v>lampu TL 2 x 36 watt grille</v>
      </c>
      <c r="G692">
        <v>8</v>
      </c>
      <c r="K692">
        <v>1</v>
      </c>
      <c r="L692">
        <f>G692*K692</f>
        <v>8</v>
      </c>
      <c r="M692" t="str">
        <v>bh</v>
      </c>
      <c r="N692">
        <f>L692</f>
        <v>8</v>
      </c>
    </row>
    <row r="693">
      <c r="A693">
        <f>A692+0.01</f>
        <v>1.06</v>
      </c>
      <c r="B693" t="str">
        <v>Lampu Downlight</v>
      </c>
      <c r="G693">
        <v>21</v>
      </c>
      <c r="K693">
        <v>1</v>
      </c>
      <c r="L693">
        <f>G693*K693</f>
        <v>21</v>
      </c>
      <c r="M693" t="str">
        <v>bh</v>
      </c>
      <c r="N693">
        <f>L693</f>
        <v>21</v>
      </c>
    </row>
    <row r="694">
      <c r="A694">
        <f>A693+0.01</f>
        <v>1.07</v>
      </c>
      <c r="B694" t="str">
        <v>Box Panel</v>
      </c>
      <c r="G694">
        <v>1</v>
      </c>
      <c r="K694">
        <v>1</v>
      </c>
      <c r="L694">
        <f>G694*K694</f>
        <v>1</v>
      </c>
      <c r="M694" t="str">
        <v>unit</v>
      </c>
      <c r="N694">
        <f>L694</f>
        <v>1</v>
      </c>
    </row>
    <row r="696">
      <c r="A696">
        <f>A687+1</f>
        <v>2</v>
      </c>
      <c r="B696" t="str">
        <v>Pekerjaan plumbing</v>
      </c>
    </row>
    <row r="697">
      <c r="A697">
        <f>A696+0.01</f>
        <v>2.01</v>
      </c>
      <c r="B697" t="str">
        <v>Intaslasi air bersih</v>
      </c>
    </row>
    <row r="698">
      <c r="B698" t="str">
        <v>Pipa PVC dia 32 AW</v>
      </c>
      <c r="G698">
        <f>25+3+12</f>
        <v>40</v>
      </c>
      <c r="K698">
        <v>1</v>
      </c>
      <c r="L698">
        <f>G698*K698</f>
        <v>40</v>
      </c>
      <c r="M698" t="str">
        <v>m</v>
      </c>
      <c r="N698">
        <f>L698</f>
        <v>40</v>
      </c>
    </row>
    <row r="699">
      <c r="B699" t="str">
        <v>Pipa PVC dia 25 AW</v>
      </c>
      <c r="G699">
        <f>7+20+8</f>
        <v>35</v>
      </c>
      <c r="K699">
        <v>1</v>
      </c>
      <c r="L699">
        <f>G699*K699</f>
        <v>35</v>
      </c>
      <c r="M699" t="str">
        <v>m</v>
      </c>
      <c r="N699">
        <f>L699</f>
        <v>35</v>
      </c>
    </row>
    <row r="700">
      <c r="B700" t="str">
        <v>Pipa PVC dia 15 AW</v>
      </c>
      <c r="G700">
        <f>2*4</f>
        <v>8</v>
      </c>
      <c r="K700">
        <v>1</v>
      </c>
      <c r="L700">
        <f>G700*K700</f>
        <v>8</v>
      </c>
      <c r="M700" t="str">
        <v>m</v>
      </c>
      <c r="N700">
        <f>L700</f>
        <v>8</v>
      </c>
    </row>
    <row r="701">
      <c r="B701" t="str">
        <v>Fiting</v>
      </c>
      <c r="L701">
        <v>1</v>
      </c>
      <c r="M701" t="str">
        <v>ls</v>
      </c>
      <c r="N701">
        <f>L701</f>
        <v>1</v>
      </c>
    </row>
    <row r="702">
      <c r="B702" t="str">
        <v>Pompa Jetpump</v>
      </c>
      <c r="L702">
        <v>1</v>
      </c>
      <c r="M702" t="str">
        <v>unit</v>
      </c>
      <c r="N702">
        <f>L702</f>
        <v>1</v>
      </c>
    </row>
    <row r="703">
      <c r="B703" t="str">
        <v>Water tank</v>
      </c>
      <c r="L703">
        <v>1</v>
      </c>
      <c r="M703" t="str">
        <v>unit</v>
      </c>
      <c r="N703">
        <f>L703</f>
        <v>1</v>
      </c>
    </row>
    <row r="706">
      <c r="A706">
        <f>A697+0.01</f>
        <v>2.0199999999999996</v>
      </c>
      <c r="B706" t="str">
        <v>Instalasi air kotor</v>
      </c>
    </row>
    <row r="707">
      <c r="B707" t="str">
        <v>Pipa PVC dia 150  AW</v>
      </c>
      <c r="G707">
        <f>2+6+21+8+1.5+1.5</f>
        <v>40</v>
      </c>
      <c r="K707">
        <v>1</v>
      </c>
      <c r="L707">
        <f>G707*K707</f>
        <v>40</v>
      </c>
      <c r="M707" t="str">
        <v>m</v>
      </c>
      <c r="N707">
        <f>L707</f>
        <v>40</v>
      </c>
    </row>
    <row r="708">
      <c r="B708" t="str">
        <v>Fitting</v>
      </c>
      <c r="L708">
        <v>1</v>
      </c>
      <c r="M708" t="str">
        <v>ls</v>
      </c>
      <c r="N708">
        <f>L708</f>
        <v>1</v>
      </c>
    </row>
    <row r="710">
      <c r="A710">
        <f>A706+0.01</f>
        <v>2.0299999999999994</v>
      </c>
      <c r="B710" t="str">
        <v>Instalasi air bekas</v>
      </c>
    </row>
    <row r="711">
      <c r="B711" t="str">
        <v>Pipa PVC dia 100 AW</v>
      </c>
      <c r="G711">
        <f>30+10+1.5+3+7+7+5</f>
        <v>63.5</v>
      </c>
      <c r="K711">
        <v>1</v>
      </c>
      <c r="L711">
        <f>G711*K711</f>
        <v>63.5</v>
      </c>
      <c r="M711" t="str">
        <v>m</v>
      </c>
      <c r="N711">
        <f>L711</f>
        <v>63.5</v>
      </c>
    </row>
    <row r="712">
      <c r="B712" t="str">
        <v>Pipa PVC dia 50 AW</v>
      </c>
      <c r="G712">
        <f>3+1.5+1.5+1.5+1.5</f>
        <v>9</v>
      </c>
      <c r="K712">
        <v>1</v>
      </c>
      <c r="L712">
        <f>G712*K712</f>
        <v>9</v>
      </c>
      <c r="M712" t="str">
        <v>m</v>
      </c>
      <c r="N712">
        <f>L712</f>
        <v>9</v>
      </c>
    </row>
    <row r="713">
      <c r="B713" t="str">
        <v>Fitting</v>
      </c>
      <c r="K713">
        <v>1</v>
      </c>
      <c r="L713">
        <f>K713</f>
        <v>1</v>
      </c>
      <c r="M713" t="str">
        <v>ls</v>
      </c>
      <c r="N713">
        <f>L713</f>
        <v>1</v>
      </c>
    </row>
    <row r="714">
      <c r="B714" t="str">
        <v>Bak kontrol</v>
      </c>
      <c r="G714">
        <v>2</v>
      </c>
      <c r="K714">
        <v>1</v>
      </c>
      <c r="L714">
        <f>G714*K714</f>
        <v>2</v>
      </c>
      <c r="M714" t="str">
        <v>bh</v>
      </c>
      <c r="N714">
        <f>L714</f>
        <v>2</v>
      </c>
    </row>
    <row r="715">
      <c r="B715" t="str">
        <v>Resapan</v>
      </c>
      <c r="G715">
        <v>1</v>
      </c>
      <c r="K715">
        <v>1</v>
      </c>
      <c r="L715">
        <f>G715*K715</f>
        <v>1</v>
      </c>
      <c r="M715" t="str">
        <v>bh</v>
      </c>
      <c r="N715">
        <f>L715</f>
        <v>1</v>
      </c>
    </row>
  </sheetData>
  <mergeCells count="1">
    <mergeCell ref="B7:D7"/>
  </mergeCells>
  <hyperlinks>
    <hyperlink ref="A1" location="MENU!A1" tooltip="menu"/>
  </hyperlinks>
  <pageMargins left="0.25" right="0" top="0" bottom="0" header="0.2" footer="0.17"/>
  <ignoredErrors>
    <ignoredError numberStoredAsText="1" sqref="A1:S715"/>
  </ignoredErrors>
</worksheet>
</file>

<file path=xl/worksheets/sheet17.xml><?xml version="1.0" encoding="utf-8"?>
<worksheet xmlns="http://schemas.openxmlformats.org/spreadsheetml/2006/main" xmlns:r="http://schemas.openxmlformats.org/officeDocument/2006/relationships">
  <dimension ref="A1:F77"/>
  <sheetViews>
    <sheetView workbookViewId="0" rightToLeft="0"/>
  </sheetViews>
  <sheetData>
    <row r="1">
      <c r="A1" t="str">
        <v>menu</v>
      </c>
    </row>
    <row r="2">
      <c r="A2" t="str">
        <v>HSBGN</v>
      </c>
    </row>
    <row r="3">
      <c r="A3" t="str">
        <v>model</v>
      </c>
    </row>
    <row r="4">
      <c r="A4" t="str">
        <v>TABEL A2</v>
      </c>
    </row>
    <row r="5">
      <c r="A5" t="str">
        <v xml:space="preserve">SPESIFIKASI TEKNIS BANGUNAN RUMAH NEGARA </v>
      </c>
    </row>
    <row r="7">
      <c r="A7" t="str">
        <v>NO.</v>
      </c>
      <c r="B7" t="str">
        <v>URAIAN</v>
      </c>
      <c r="C7" t="str">
        <v>RUMAH</v>
      </c>
      <c r="F7" t="str">
        <v>Keterangan</v>
      </c>
    </row>
    <row r="8">
      <c r="C8" t="str">
        <v>TIPE A</v>
      </c>
      <c r="D8" t="str">
        <v>TIPE B</v>
      </c>
      <c r="E8" t="str">
        <v>TIPE C,D,E</v>
      </c>
    </row>
    <row r="11">
      <c r="A11" t="str">
        <v>A.</v>
      </c>
      <c r="B11" t="str">
        <v>PERSYARATAN TATA BANGUNAN DAN LINGKUNGAN</v>
      </c>
    </row>
    <row r="12">
      <c r="B12" t="str">
        <v>1. Jarak Antar Bangunan</v>
      </c>
      <c r="C12" t="str">
        <v>minimal 3 meter</v>
      </c>
      <c r="F12" t="str">
        <v>Terutama berdasarkan ketentuan dalam Peraturan Daerah setempat tentang Bangunan atau Rencana tata Ruang Wilayah Kabupaten/Kota untuk lokasi yang bersangkutan</v>
      </c>
    </row>
    <row r="13">
      <c r="C13" t="str">
        <v>untuk bangunan bertingkat dihitung berdasarkan pertimbangan keselamatan, kesehatan dan kenyamanan</v>
      </c>
    </row>
    <row r="14">
      <c r="B14" t="str">
        <v>2. Ketinggian Bangunan</v>
      </c>
    </row>
    <row r="15">
      <c r="B15" t="str">
        <v>3. Ketinggian Langit-langit</v>
      </c>
      <c r="C15" t="str">
        <v>minimal 2,7 meter</v>
      </c>
    </row>
    <row r="16">
      <c r="B16" t="str">
        <v>4. Koefisien Dasar Bangunan</v>
      </c>
      <c r="C16" t="str">
        <v>Sesuai ketentuan Peraturan Daerah setempat</v>
      </c>
    </row>
    <row r="17">
      <c r="B17" t="str">
        <v>5. Koefisien Lantai Bangunan</v>
      </c>
    </row>
    <row r="18">
      <c r="B18" t="str">
        <v>6. Koefisien Dasar Hijau</v>
      </c>
    </row>
    <row r="19">
      <c r="B19" t="str">
        <v>7. Garis Sempadan</v>
      </c>
    </row>
    <row r="20">
      <c r="B20" t="str">
        <v>8. Wujud Arsitektur</v>
      </c>
      <c r="C20" t="str">
        <v xml:space="preserve">sesuai fungsi dan kaidah arsitektur </v>
      </c>
      <c r="E20" t="str">
        <v>sesuai fungsi dan kaidah arsitektur sederhana</v>
      </c>
    </row>
    <row r="21">
      <c r="B21" t="str">
        <v>9. Pagar Halaman</v>
      </c>
      <c r="C21" t="str">
        <v>Menggunakan dinding batu bata/ batako plester dengan kombinasi besi, baja, kayu atau bahan lainnya yang disesuaikan dengan rancangan wujud arsitektur bangunan</v>
      </c>
      <c r="F21" t="str">
        <v>Biaya mengikuti standar harga satuan per-m1 pagar</v>
      </c>
    </row>
    <row r="22">
      <c r="B22" t="str">
        <v>- depan</v>
      </c>
      <c r="C22" t="str">
        <v>tinggi 1,5 meter</v>
      </c>
    </row>
    <row r="23">
      <c r="B23" t="str">
        <v>- samping</v>
      </c>
      <c r="C23" t="str">
        <v>tinggi 2 meter</v>
      </c>
    </row>
    <row r="24">
      <c r="B24" t="str">
        <v>- belakang</v>
      </c>
      <c r="C24" t="str">
        <v>tinggi 2,5 meter</v>
      </c>
    </row>
    <row r="26">
      <c r="A26" t="str">
        <v>B.</v>
      </c>
      <c r="B26" t="str">
        <v>PERSYARATAN BAHAN BANGUNAN</v>
      </c>
    </row>
    <row r="27">
      <c r="B27" t="str">
        <v>1. Bahan Penutup Lantai</v>
      </c>
      <c r="C27" t="str">
        <v>Keramik tile 60/60 &amp; Keramik 30/30</v>
      </c>
      <c r="D27" t="str">
        <v>Keramik tile 40/40 &amp; 30/30</v>
      </c>
      <c r="E27" t="str">
        <v>Keramik tile 30/30</v>
      </c>
      <c r="F27" t="str">
        <v>Diupayakan menggunakan bahan bangunan setempat/ produksi dalam negeri termasuk bahan bangunan sebagai bagian dari sistem pabrikasi komponen</v>
      </c>
    </row>
    <row r="28">
      <c r="B28" t="str">
        <v xml:space="preserve">2. Bahan Dinding </v>
      </c>
    </row>
    <row r="29">
      <c r="B29" t="str">
        <v>- pengisi</v>
      </c>
      <c r="C29" t="str">
        <v>Pas. Bata merah</v>
      </c>
    </row>
    <row r="30">
      <c r="B30" t="str">
        <v>- finishing</v>
      </c>
      <c r="C30" t="str">
        <v>Pasir Pasang + PC &amp; Keramik 20/20</v>
      </c>
    </row>
    <row r="31">
      <c r="B31" t="str">
        <v>- kaca</v>
      </c>
      <c r="C31" t="str">
        <v>Kaca polos t. 6 &amp; 8 mm</v>
      </c>
      <c r="D31" t="str">
        <v>Kaca polos t. 6  mm</v>
      </c>
      <c r="E31" t="str">
        <v>Kaca polos t. 5 mm</v>
      </c>
    </row>
    <row r="32">
      <c r="B32" t="str">
        <v>3. Bahan Finishing</v>
      </c>
    </row>
    <row r="33">
      <c r="B33" t="str">
        <v>- luar</v>
      </c>
      <c r="C33" t="str">
        <v>Cat dasar &amp; cat luar Weathershield KW. I</v>
      </c>
      <c r="D33" t="str">
        <v>Cat dasar &amp; cat luar Weathershield KW. II</v>
      </c>
      <c r="E33" t="str">
        <v>Cat dasar &amp; cat luar Weathershield KW. III</v>
      </c>
    </row>
    <row r="34">
      <c r="B34" t="str">
        <v>- dalam</v>
      </c>
      <c r="C34" t="str">
        <v>Cat dasar &amp; cat akhir Acrylic KW. I</v>
      </c>
      <c r="D34" t="str">
        <v>Cat dasar &amp; cat akhir Acrylic KW. II</v>
      </c>
      <c r="E34" t="str">
        <v>Cat dasar &amp; cat akhir Acrylic KW. I</v>
      </c>
    </row>
    <row r="35">
      <c r="B35" t="str">
        <v>4. Bahan Penutup Plafon</v>
      </c>
    </row>
    <row r="36">
      <c r="B36" t="str">
        <v>- rangka plafon</v>
      </c>
      <c r="C36" t="str">
        <v>Metal furing</v>
      </c>
      <c r="E36" t="str">
        <v>Kayu klas II</v>
      </c>
    </row>
    <row r="37">
      <c r="B37" t="str">
        <v>- penutup plafon</v>
      </c>
      <c r="C37" t="str">
        <v>Gypsumboard t. 9 mm</v>
      </c>
    </row>
    <row r="38">
      <c r="B38" t="str">
        <v>5. Bahan Penutup Atap</v>
      </c>
      <c r="C38" t="str">
        <v>Genteng Keramik Glazur</v>
      </c>
      <c r="D38" t="str">
        <v>Genteng Keramik</v>
      </c>
    </row>
    <row r="39">
      <c r="B39" t="str">
        <v>6. Bahan Kusen dan Daun Pintu</v>
      </c>
    </row>
    <row r="40">
      <c r="B40" t="str">
        <v>- kusen</v>
      </c>
      <c r="C40" t="str">
        <v>Pintu Panel kayu klas I</v>
      </c>
      <c r="D40" t="str">
        <v>Pintu Doble Teakwood</v>
      </c>
      <c r="E40" t="str">
        <v>Pintu Doble Triplex</v>
      </c>
    </row>
    <row r="41">
      <c r="B41" t="str">
        <v>- pintu/jendela</v>
      </c>
      <c r="C41" t="str">
        <v>Kayu klas I</v>
      </c>
      <c r="D41" t="str">
        <v>Kayu klas II</v>
      </c>
      <c r="E41" t="str">
        <v>Kayu klas III</v>
      </c>
    </row>
    <row r="42">
      <c r="B42" t="str">
        <v>- finishing</v>
      </c>
      <c r="C42" t="str">
        <v>Melamik</v>
      </c>
      <c r="D42" t="str">
        <v>Politur</v>
      </c>
      <c r="E42" t="str">
        <v>Cat synthetic</v>
      </c>
    </row>
    <row r="44">
      <c r="A44" t="str">
        <v>C.</v>
      </c>
      <c r="B44" t="str">
        <v>PERSYARATAN STRUKTUR BANGUNAN</v>
      </c>
    </row>
    <row r="45">
      <c r="B45" t="str">
        <v>1. Pondasi</v>
      </c>
      <c r="F45" t="str">
        <v>Khusus untuk daerah gempa, harus direncanakan sebagai struktur bangunan tahan gempa</v>
      </c>
    </row>
    <row r="46">
      <c r="B46" t="str">
        <v>- pondasi</v>
      </c>
      <c r="C46" t="str">
        <v>Pasangan Batu kali</v>
      </c>
    </row>
    <row r="47">
      <c r="B47" t="str">
        <v>- pondasi utama</v>
      </c>
    </row>
    <row r="48">
      <c r="B48" t="str">
        <v>- sloof</v>
      </c>
      <c r="C48" t="str">
        <v xml:space="preserve">Beton Praktis K-175; Besi beton polos ( dia. 8, 10 &amp; 12 ) </v>
      </c>
      <c r="D48" t="str">
        <v xml:space="preserve">Praktis K-175; Besi beton polos ( dia. 8 &amp; 10 ) </v>
      </c>
    </row>
    <row r="49">
      <c r="B49" t="str">
        <v>2. Struktur Lantai</v>
      </c>
      <c r="C49" t="str">
        <v xml:space="preserve">Beton K-225; Besi beton polos ( dia. 8); Besi beton ulir ( dia. 13 &amp; 16) </v>
      </c>
      <c r="D49" t="str">
        <v xml:space="preserve">Praktis K-175; Besi beton polos ( dia. 8 &amp; 10 ) </v>
      </c>
    </row>
    <row r="50">
      <c r="B50" t="str">
        <v>3. Kolom</v>
      </c>
    </row>
    <row r="51">
      <c r="B51" t="str">
        <v>4. Balok</v>
      </c>
    </row>
    <row r="52">
      <c r="B52" t="str">
        <v>5. Rangka Atap</v>
      </c>
    </row>
    <row r="53">
      <c r="B53" t="str">
        <v>- kuda-kuda</v>
      </c>
      <c r="C53" t="str">
        <v>Baja profil Galvalume</v>
      </c>
      <c r="D53" t="str">
        <v>Baja ringan Zinkalume</v>
      </c>
      <c r="E53" t="str">
        <v>Kayu klas III</v>
      </c>
    </row>
    <row r="54">
      <c r="B54" t="str">
        <v>- rangka atap</v>
      </c>
    </row>
    <row r="55">
      <c r="B55" t="str">
        <v>6. Kemiringan Atap</v>
      </c>
      <c r="C55" t="str">
        <v>minimal 30°</v>
      </c>
    </row>
    <row r="57">
      <c r="A57" t="str">
        <v>D.</v>
      </c>
      <c r="B57" t="str">
        <v>PERSYARATAN UTILITAS DAN PRASARANA DAN SARANA DALAM BANGUNAN</v>
      </c>
    </row>
    <row r="58">
      <c r="B58" t="str">
        <v>1. Air Bersih</v>
      </c>
      <c r="C58" t="str">
        <v>PAM / Sumur bor kedalaman 36 M</v>
      </c>
      <c r="D58" t="str">
        <v>PAM / Sumur bor kedalaman 24 M</v>
      </c>
    </row>
    <row r="59">
      <c r="B59" t="str">
        <v>- kapasitas tangki air</v>
      </c>
      <c r="C59" t="str">
        <v xml:space="preserve">Kapasitas 1.000,00 M3 </v>
      </c>
      <c r="D59" t="str">
        <v xml:space="preserve">Kapasitas 500,00 M3 </v>
      </c>
    </row>
    <row r="60">
      <c r="B60" t="str">
        <v>2. Saluran Air Hujan</v>
      </c>
      <c r="C60" t="str">
        <v>talang dan saluran lingkungan</v>
      </c>
    </row>
    <row r="61">
      <c r="B61" t="str">
        <v>3. Pembuangan Air Kotor</v>
      </c>
      <c r="C61" t="str">
        <v>bak penampung</v>
      </c>
    </row>
    <row r="62">
      <c r="B62" t="str">
        <v>4. Pembuangan Kotoran</v>
      </c>
    </row>
    <row r="63">
      <c r="B63" t="str">
        <v>5. Bak Septiktank dan Resapan</v>
      </c>
      <c r="C63" t="str">
        <v>Pas. Bata + Plesteran, Tutup plat beton bertulang</v>
      </c>
      <c r="F63" t="str">
        <v>Untuk Rumah Negara yang dibangun dalam satu komplek menggunaka septiktank komunal</v>
      </c>
    </row>
    <row r="64">
      <c r="C64" t="str">
        <v xml:space="preserve">Kapasitas 6,00 M3 </v>
      </c>
      <c r="D64" t="str">
        <v xml:space="preserve">Kapasitas 3,00 M3 </v>
      </c>
    </row>
    <row r="65">
      <c r="B65" t="str">
        <v>6. Sanitary</v>
      </c>
      <c r="C65" t="str">
        <v>Keramik</v>
      </c>
    </row>
    <row r="66">
      <c r="B66" t="str">
        <v>7. Sarana Pengamanan terhadap Bahaya Kebakaran</v>
      </c>
      <c r="C66" t="str">
        <v>mengikuti ketentuan Kep. Meneg. PU no. 10/KPTS/2000 dan Kep. Meneg. PU No. 11/KPTS/2000 serta Standar Nasional Indonesia (SNI) yang berlaku</v>
      </c>
    </row>
    <row r="67">
      <c r="B67" t="str">
        <v>8. Sumber Daya Listrik</v>
      </c>
      <c r="C67" t="str">
        <v>PLN 2200 VA</v>
      </c>
      <c r="D67" t="str">
        <v>PLN 1300 VA</v>
      </c>
      <c r="E67" t="str">
        <v>PLN 900 VA</v>
      </c>
    </row>
    <row r="68">
      <c r="B68" t="str">
        <v>9. Penerangan</v>
      </c>
      <c r="C68" t="str">
        <v>100-215 lux/m2</v>
      </c>
    </row>
    <row r="69">
      <c r="B69" t="str">
        <v>10. Tata Udara</v>
      </c>
      <c r="C69" t="str">
        <v>6-10% bukaan atau dengan tata udara buatan (AC)</v>
      </c>
      <c r="D69" t="str">
        <v xml:space="preserve">6-10% bukaan </v>
      </c>
    </row>
    <row r="70">
      <c r="B70" t="str">
        <v>11. Telepon</v>
      </c>
      <c r="C70" t="str">
        <v>sesuai kebutuhan</v>
      </c>
      <c r="E70" t="str">
        <v>tidak disyaratkan</v>
      </c>
    </row>
    <row r="71">
      <c r="B71" t="str">
        <v>12. Penangkal Petir</v>
      </c>
      <c r="C71" t="str">
        <v>penangkal petir lokal</v>
      </c>
      <c r="E71" t="str">
        <v>tidak disyaratkan</v>
      </c>
    </row>
    <row r="73">
      <c r="A73" t="str">
        <v>E.</v>
      </c>
      <c r="B73" t="str">
        <v>PERSYARATAN SARANA PENYELAMATAN</v>
      </c>
    </row>
    <row r="74">
      <c r="B74" t="str">
        <v>1. Tangga Penyelamatan</v>
      </c>
      <c r="C74" t="str">
        <v>lebar minimal 1,2 meter dan bukan tangga putar (khusus untuk bangunan bertingkat)</v>
      </c>
    </row>
    <row r="75">
      <c r="B75" t="str">
        <v>2. Tanda Penunjuk Arah</v>
      </c>
      <c r="C75" t="str">
        <v>tidak disyaratkan</v>
      </c>
    </row>
    <row r="76">
      <c r="B76" t="str">
        <v>3. Pintu</v>
      </c>
      <c r="C76" t="str">
        <v>lebar minimal 0,9 meter</v>
      </c>
    </row>
    <row r="77">
      <c r="B77" t="str">
        <v>4. Koridor/ selasar</v>
      </c>
      <c r="C77" t="str">
        <v>lebar minimal 1,8 meter</v>
      </c>
    </row>
  </sheetData>
  <mergeCells count="52">
    <mergeCell ref="F63:F64"/>
    <mergeCell ref="D64:E64"/>
    <mergeCell ref="C65:E65"/>
    <mergeCell ref="C68:E68"/>
    <mergeCell ref="F21:F24"/>
    <mergeCell ref="F27:F42"/>
    <mergeCell ref="C29:E29"/>
    <mergeCell ref="C36:D36"/>
    <mergeCell ref="C37:E37"/>
    <mergeCell ref="D38:E38"/>
    <mergeCell ref="F45:F55"/>
    <mergeCell ref="C46:E47"/>
    <mergeCell ref="D48:E48"/>
    <mergeCell ref="C49:C51"/>
    <mergeCell ref="D49:E51"/>
    <mergeCell ref="C53:C54"/>
    <mergeCell ref="C77:E77"/>
    <mergeCell ref="C66:E66"/>
    <mergeCell ref="C76:E76"/>
    <mergeCell ref="C7:E7"/>
    <mergeCell ref="C22:E22"/>
    <mergeCell ref="C23:E23"/>
    <mergeCell ref="C24:E24"/>
    <mergeCell ref="C21:E21"/>
    <mergeCell ref="C30:E30"/>
    <mergeCell ref="C74:D74"/>
    <mergeCell ref="C70:D70"/>
    <mergeCell ref="C75:E75"/>
    <mergeCell ref="C39:E39"/>
    <mergeCell ref="D69:E69"/>
    <mergeCell ref="C55:E55"/>
    <mergeCell ref="E53:E54"/>
    <mergeCell ref="F7:F9"/>
    <mergeCell ref="C8:C9"/>
    <mergeCell ref="D8:D9"/>
    <mergeCell ref="E8:E9"/>
    <mergeCell ref="F12:F20"/>
    <mergeCell ref="C15:E15"/>
    <mergeCell ref="C16:E19"/>
    <mergeCell ref="C20:D20"/>
    <mergeCell ref="C12:E12"/>
    <mergeCell ref="C13:D13"/>
    <mergeCell ref="A7:A9"/>
    <mergeCell ref="B7:B9"/>
    <mergeCell ref="C71:D71"/>
    <mergeCell ref="B12:B13"/>
    <mergeCell ref="D58:E58"/>
    <mergeCell ref="C60:E60"/>
    <mergeCell ref="C61:E62"/>
    <mergeCell ref="C63:E63"/>
    <mergeCell ref="D53:D54"/>
    <mergeCell ref="D59:E59"/>
  </mergeCells>
  <hyperlinks>
    <hyperlink ref="A1" location="MENU!A1" tooltip="menu"/>
    <hyperlink ref="A2" location="HSBGN!A1" tooltip="HSBGN"/>
    <hyperlink ref="A3" location="model!A177" tooltip="model"/>
  </hyperlinks>
  <pageMargins left="0.5511811023622047" right="0.2755905511811024" top="0.6692913385826772" bottom="0.5511811023622047" header="0.31496062992125984" footer="0.31496062992125984"/>
  <ignoredErrors>
    <ignoredError numberStoredAsText="1" sqref="A1:F77"/>
  </ignoredErrors>
</worksheet>
</file>

<file path=xl/worksheets/sheet18.xml><?xml version="1.0" encoding="utf-8"?>
<worksheet xmlns="http://schemas.openxmlformats.org/spreadsheetml/2006/main" xmlns:r="http://schemas.openxmlformats.org/officeDocument/2006/relationships">
  <dimension ref="A1:I206"/>
  <sheetViews>
    <sheetView workbookViewId="0" rightToLeft="0"/>
  </sheetViews>
  <sheetData>
    <row r="1">
      <c r="I1" t="str">
        <v>menu</v>
      </c>
    </row>
    <row r="2">
      <c r="A2" t="str">
        <v>REKAPITULASI BIAYA STANDAR RUMAH NEGARA TYPE  A</v>
      </c>
      <c r="I2" t="str">
        <v>HSBGN</v>
      </c>
    </row>
    <row r="4">
      <c r="A4" t="str">
        <f>A30</f>
        <v>A.</v>
      </c>
      <c r="B4" t="str">
        <f>B30</f>
        <v>PEKERJAAN STRUKTUR</v>
      </c>
      <c r="I4">
        <f>SUM(I5:I6)</f>
        <v>0.021405916227803162</v>
      </c>
    </row>
    <row r="5">
      <c r="A5" t="str">
        <f>A31</f>
        <v>A.1</v>
      </c>
      <c r="B5" t="str">
        <f>B31</f>
        <v>Pekerjaan Pondasi</v>
      </c>
      <c r="H5">
        <f>H47</f>
        <v>92788125</v>
      </c>
      <c r="I5">
        <f>H5/$H$18</f>
        <v>0.021405916227803162</v>
      </c>
    </row>
    <row r="6">
      <c r="A6" t="str">
        <f>A48</f>
        <v>A.2</v>
      </c>
      <c r="B6" t="str">
        <f>B48</f>
        <v>Pekerjaan Struktur</v>
      </c>
      <c r="H6">
        <f>H77</f>
        <v>0</v>
      </c>
      <c r="I6">
        <f>H6/$H$18</f>
        <v>0</v>
      </c>
    </row>
    <row r="7">
      <c r="A7" t="str">
        <f>A78</f>
        <v>B.</v>
      </c>
      <c r="B7" t="str">
        <f>B78</f>
        <v xml:space="preserve">PEKERJAAN ARSITEKTUR </v>
      </c>
      <c r="I7">
        <f>SUM(I8:I12)</f>
        <v>0.9560424872537033</v>
      </c>
    </row>
    <row r="8">
      <c r="A8" t="str">
        <f>A80</f>
        <v>B.1</v>
      </c>
      <c r="B8" t="str">
        <f>B80</f>
        <v>Pekerjaan Lantai</v>
      </c>
      <c r="H8">
        <f>H87</f>
        <v>0</v>
      </c>
      <c r="I8">
        <f>H8/$H$18</f>
        <v>0</v>
      </c>
    </row>
    <row r="9">
      <c r="A9" t="str">
        <f>A88</f>
        <v>B.2</v>
      </c>
      <c r="B9" t="str">
        <f>B88</f>
        <v>Pekerjaan Dinding</v>
      </c>
      <c r="H9">
        <f>H92</f>
        <v>4144152900</v>
      </c>
      <c r="I9">
        <f>H9/$H$18</f>
        <v>0.9560424872537033</v>
      </c>
    </row>
    <row r="10">
      <c r="A10" t="str">
        <f>A93</f>
        <v>B.3</v>
      </c>
      <c r="B10" t="str">
        <f>B93</f>
        <v>Pekerjaan Plafond</v>
      </c>
      <c r="H10">
        <f>H97</f>
        <v>0</v>
      </c>
      <c r="I10">
        <f>H10/$H$18</f>
        <v>0</v>
      </c>
    </row>
    <row r="11">
      <c r="A11" t="str">
        <f>A98</f>
        <v>B.4</v>
      </c>
      <c r="B11" t="str">
        <f>B98</f>
        <v>Pekerjaan Atap</v>
      </c>
      <c r="H11">
        <f>H105</f>
        <v>0</v>
      </c>
      <c r="I11">
        <f>H11/$H$18</f>
        <v>0</v>
      </c>
    </row>
    <row r="12">
      <c r="A12" t="str">
        <f>A106</f>
        <v>B.5</v>
      </c>
      <c r="B12" t="str">
        <f>B106</f>
        <v>Pekerjaan Kusen</v>
      </c>
      <c r="H12">
        <f>H126</f>
        <v>0</v>
      </c>
      <c r="I12">
        <f>H12/$H$18</f>
        <v>0</v>
      </c>
    </row>
    <row r="13">
      <c r="A13" t="str">
        <f>A128</f>
        <v>C.</v>
      </c>
      <c r="B13" t="str">
        <f>B128</f>
        <v>PEKERJAAN UTILITAS</v>
      </c>
      <c r="I13">
        <f>SUM(I14:I15)</f>
        <v>0.022551596518493488</v>
      </c>
    </row>
    <row r="14">
      <c r="A14" t="str">
        <f>A129</f>
        <v>C.1</v>
      </c>
      <c r="B14" t="str">
        <f>B129</f>
        <v>Pekerjaan Plumbing</v>
      </c>
      <c r="H14">
        <f>H178</f>
        <v>97754300</v>
      </c>
      <c r="I14">
        <f>H14/$H$18</f>
        <v>0.022551596518493488</v>
      </c>
    </row>
    <row r="15">
      <c r="A15" t="str">
        <f>A179</f>
        <v>C.2</v>
      </c>
      <c r="B15" t="str">
        <f>B179</f>
        <v>Pekerjaan Elektrikal</v>
      </c>
      <c r="H15">
        <f>H194</f>
        <v>0</v>
      </c>
      <c r="I15">
        <f>H15/$H$18</f>
        <v>0</v>
      </c>
    </row>
    <row r="16">
      <c r="A16" t="str">
        <f>A195</f>
        <v>D.</v>
      </c>
      <c r="B16" t="str">
        <f>B195</f>
        <v>PEKERJAAN FINISHING</v>
      </c>
      <c r="H16">
        <f>H206</f>
        <v>0</v>
      </c>
      <c r="I16">
        <f>H16/$H$18</f>
        <v>0</v>
      </c>
    </row>
    <row r="18">
      <c r="G18" t="str">
        <v>Jumlah Biaya Pekerjaan Standar ( a ) … Rp.</v>
      </c>
      <c r="H18">
        <f>SUM(H4:H16)</f>
        <v>4334695325</v>
      </c>
      <c r="I18">
        <f>SUM(I4,I7,I13,I16)</f>
        <v>1</v>
      </c>
    </row>
    <row r="19">
      <c r="G19" t="str">
        <v>PPN 10% ( b ) … Rp.</v>
      </c>
      <c r="H19">
        <f>0.1*H18</f>
        <v>433469532.5</v>
      </c>
    </row>
    <row r="20">
      <c r="G20" t="str">
        <v xml:space="preserve"> '( c ) = ( a ) + ( b ) … Rp.</v>
      </c>
      <c r="H20">
        <f>H18+H19</f>
        <v>4768164857.5</v>
      </c>
    </row>
    <row r="21">
      <c r="G21" t="str">
        <v>Luas bangunan ( d ) … m2.</v>
      </c>
      <c r="H21">
        <v>250</v>
      </c>
    </row>
    <row r="22">
      <c r="G22" t="str">
        <v>Harga bangunan untuk pekerjaan standar /m2 ( e ) = ( c ) / ( d ) … Rp.</v>
      </c>
      <c r="H22">
        <f>H20/H21</f>
        <v>19072659.43</v>
      </c>
    </row>
    <row r="23">
      <c r="G23" t="str">
        <v>Ijin Mendirikan Bangunan /m2 ( f ) … Rp.</v>
      </c>
      <c r="H23">
        <f>'Isi Data'!E171</f>
        <v>0</v>
      </c>
    </row>
    <row r="24">
      <c r="G24" t="str">
        <v>(e) + (f) Dibulatkan... Rp.</v>
      </c>
      <c r="H24">
        <f>ROUND(H22+H23,-4)</f>
        <v>19070000</v>
      </c>
    </row>
    <row r="27">
      <c r="A27" t="str">
        <v>RINCIAN  BIAYA STANDAR RUMAH NEGARA TYPE A</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Pekerjaan Pondasi</v>
      </c>
    </row>
    <row r="32">
      <c r="A32" t="str">
        <v>A.1.1</v>
      </c>
      <c r="B32" t="str">
        <v>Pekerjaan Pondasi Batukali</v>
      </c>
    </row>
    <row r="33">
      <c r="A33">
        <v>1</v>
      </c>
      <c r="B33" t="str">
        <v>Galian tanah, dalam  s/d 1 m</v>
      </c>
      <c r="D33" t="str">
        <v>m3</v>
      </c>
      <c r="E33">
        <f>'A-QTY'!D66</f>
        <v>143.22</v>
      </c>
      <c r="F33">
        <f>SUMIF(SNI!C$1:C$65536,'RAB - rumahA'!B$1:B$65536,SNI!L$1:L$65536)</f>
        <v>0</v>
      </c>
      <c r="G33">
        <f>E33*F33</f>
        <v>0</v>
      </c>
    </row>
    <row r="34">
      <c r="A34">
        <f>A33+1</f>
        <v>2</v>
      </c>
      <c r="B34" t="str">
        <v>Pas. Urugan pasir</v>
      </c>
      <c r="D34" t="str">
        <v>m3</v>
      </c>
      <c r="E34">
        <f>'A-QTY'!D67</f>
        <v>6.51</v>
      </c>
      <c r="F34">
        <f>SUMIF(SNI!C$1:C$65536,'RAB - rumahA'!B$1:B$65536,SNI!L$1:L$65536)</f>
        <v>0</v>
      </c>
      <c r="G34">
        <f>E34*F34</f>
        <v>0</v>
      </c>
    </row>
    <row r="35">
      <c r="A35">
        <f>A34+1</f>
        <v>3</v>
      </c>
      <c r="B35" t="str">
        <v>Aanstamping batu kali</v>
      </c>
      <c r="D35" t="str">
        <v>m3</v>
      </c>
      <c r="E35">
        <f>'A-QTY'!D68</f>
        <v>19.529999999999998</v>
      </c>
      <c r="F35">
        <f>SUMIF(SNI!C$1:C$65536,'RAB - rumahA'!B$1:B$65536,SNI!L$1:L$65536)</f>
        <v>0</v>
      </c>
      <c r="G35">
        <f>E35*F35</f>
        <v>0</v>
      </c>
    </row>
    <row r="36">
      <c r="A36">
        <f>A35+1</f>
        <v>4</v>
      </c>
      <c r="B36" t="str">
        <v>Pas. pondasi batu kali 1:4</v>
      </c>
      <c r="C36" t="str">
        <v>Spesi 1 : 4</v>
      </c>
      <c r="D36" t="str">
        <v>m3</v>
      </c>
      <c r="E36">
        <f>'A-QTY'!D69</f>
        <v>58.58999999999999</v>
      </c>
      <c r="F36">
        <f>SUMIF(SNI!C$1:C$65536,'RAB - rumahA'!B$1:B$65536,SNI!L$1:L$65536)</f>
        <v>0</v>
      </c>
      <c r="G36">
        <f>E36*F36</f>
        <v>0</v>
      </c>
    </row>
    <row r="37">
      <c r="A37">
        <f>A36+1</f>
        <v>5</v>
      </c>
      <c r="B37" t="str">
        <v>Urugan tanah kembali</v>
      </c>
      <c r="C37" t="str">
        <v>Sisi pondasi</v>
      </c>
      <c r="D37" t="str">
        <v>m3</v>
      </c>
      <c r="E37">
        <f>'A-QTY'!D70</f>
        <v>58.59</v>
      </c>
      <c r="F37">
        <f>SUMIF(SNI!C$1:C$65536,'RAB - rumahA'!B$1:B$65536,SNI!L$1:L$65536)</f>
        <v>0</v>
      </c>
      <c r="G37">
        <f>E37*F37</f>
        <v>0</v>
      </c>
    </row>
    <row r="38">
      <c r="A38">
        <f>A37+1</f>
        <v>6</v>
      </c>
      <c r="B38" t="str">
        <v>Buang tanah</v>
      </c>
      <c r="C38" t="str">
        <v>Didalam site</v>
      </c>
      <c r="D38" t="str">
        <v>m3</v>
      </c>
      <c r="E38">
        <f>'A-QTY'!D71</f>
        <v>84.63</v>
      </c>
      <c r="F38">
        <f>SUMIF(SNI!C$1:C$65536,'RAB - rumahA'!B$1:B$65536,SNI!L$1:L$65536)</f>
        <v>0</v>
      </c>
      <c r="G38">
        <f>E38*F38</f>
        <v>0</v>
      </c>
      <c r="H38">
        <f>SUM(G33:G38)</f>
        <v>0</v>
      </c>
    </row>
    <row r="39">
      <c r="A39" t="str">
        <v>A.1.2.</v>
      </c>
      <c r="B39" t="str">
        <v>Pekerjaan Pondasi Rolag Bata</v>
      </c>
    </row>
    <row r="40">
      <c r="A40">
        <v>1</v>
      </c>
      <c r="B40" t="str">
        <v>Galian tanah, dalam  s/d 1 m</v>
      </c>
      <c r="D40" t="str">
        <v>m3</v>
      </c>
      <c r="E40">
        <f>'A-QTY'!D87</f>
        <v>4.26</v>
      </c>
      <c r="F40">
        <f>SUMIF(SNI!C$1:C$65536,'RAB - rumahA'!B$1:B$65536,SNI!L$1:L$65536)</f>
        <v>0</v>
      </c>
      <c r="G40">
        <f>E40*F40</f>
        <v>0</v>
      </c>
    </row>
    <row r="41">
      <c r="A41">
        <f>A40+1</f>
        <v>2</v>
      </c>
      <c r="B41" t="str">
        <v>Pas. Urugan pasir</v>
      </c>
      <c r="D41" t="str">
        <v>m3</v>
      </c>
      <c r="E41">
        <f>'A-QTY'!D88</f>
        <v>0.5325000000000001</v>
      </c>
      <c r="F41">
        <f>SUMIF(SNI!C$1:C$65536,'RAB - rumahA'!B$1:B$65536,SNI!L$1:L$65536)</f>
        <v>0</v>
      </c>
      <c r="G41">
        <f>E41*F41</f>
        <v>0</v>
      </c>
    </row>
    <row r="42">
      <c r="A42">
        <f>A41+1</f>
        <v>3</v>
      </c>
      <c r="B42" t="str">
        <v>Pas. Lantai kerja beton tumbuk 1:3:5</v>
      </c>
      <c r="C42" t="str">
        <v>Spesi 1 : 6</v>
      </c>
      <c r="D42" t="str">
        <v>m2</v>
      </c>
      <c r="E42">
        <f>'A-QTY'!D89</f>
        <v>10.65</v>
      </c>
      <c r="F42">
        <f>SUMIF(SNI!C$1:C$65536,'RAB - rumahA'!B$1:B$65536,SNI!L$1:L$65536)</f>
        <v>0</v>
      </c>
      <c r="G42">
        <f>E42*F42</f>
        <v>0</v>
      </c>
    </row>
    <row r="43">
      <c r="A43">
        <f>A42+1</f>
        <v>4</v>
      </c>
      <c r="B43" t="str">
        <v>Pas. Dinding batu bata; ad 1:4</v>
      </c>
      <c r="C43" t="str">
        <v>Spesi 1 : 4</v>
      </c>
      <c r="D43" t="str">
        <v>m2</v>
      </c>
      <c r="E43">
        <f>'A-QTY'!D90</f>
        <v>17.75</v>
      </c>
      <c r="F43">
        <f>SUMIF(SNI!C$1:C$65536,'RAB - rumahA'!B$1:B$65536,SNI!L$1:L$65536)</f>
        <v>5227500</v>
      </c>
      <c r="G43">
        <f>E43*F43</f>
        <v>92788125</v>
      </c>
    </row>
    <row r="44">
      <c r="A44">
        <f>A43+1</f>
        <v>5</v>
      </c>
      <c r="B44" t="str">
        <v>Pas. Plester acian; ad. 1:4</v>
      </c>
      <c r="C44" t="str">
        <v>Spesi 1 : 2</v>
      </c>
      <c r="D44" t="str">
        <v>m2</v>
      </c>
      <c r="E44">
        <f>'A-QTY'!D91</f>
        <v>35.5</v>
      </c>
      <c r="F44">
        <f>SUMIF(SNI!C$1:C$65536,'RAB - rumahA'!B$1:B$65536,SNI!L$1:L$65536)</f>
        <v>0</v>
      </c>
      <c r="G44">
        <f>E44*F44</f>
        <v>0</v>
      </c>
    </row>
    <row r="45">
      <c r="A45">
        <f>A44+1</f>
        <v>6</v>
      </c>
      <c r="B45" t="str">
        <v>Urugan tanah kembali</v>
      </c>
      <c r="C45" t="str">
        <v>Sisi pondasi</v>
      </c>
      <c r="D45" t="str">
        <v>m3</v>
      </c>
      <c r="E45">
        <f>'A-QTY'!D92</f>
        <v>1.4199999999999995</v>
      </c>
      <c r="F45">
        <f>SUMIF(SNI!C$1:C$65536,'RAB - rumahA'!B$1:B$65536,SNI!L$1:L$65536)</f>
        <v>0</v>
      </c>
      <c r="G45">
        <f>E45*F45</f>
        <v>0</v>
      </c>
    </row>
    <row r="46">
      <c r="A46">
        <f>A45+1</f>
        <v>7</v>
      </c>
      <c r="B46" t="str">
        <v>Buang tanah</v>
      </c>
      <c r="C46" t="str">
        <v>Didalam site</v>
      </c>
      <c r="D46" t="str">
        <v>m3</v>
      </c>
      <c r="E46">
        <f>'A-QTY'!D93</f>
        <v>2.8400000000000003</v>
      </c>
      <c r="F46">
        <f>SUMIF(SNI!C$1:C$65536,'RAB - rumahA'!B$1:B$65536,SNI!L$1:L$65536)</f>
        <v>0</v>
      </c>
      <c r="G46">
        <f>E46*F46</f>
        <v>0</v>
      </c>
      <c r="H46">
        <f>SUM(G40:G46)</f>
        <v>92788125</v>
      </c>
    </row>
    <row r="47">
      <c r="G47" t="str">
        <v>Jumlah A.1 .... Rp</v>
      </c>
      <c r="H47">
        <f>SUM(G33:G46)</f>
        <v>92788125</v>
      </c>
    </row>
    <row r="48">
      <c r="A48" t="str">
        <v>A.2</v>
      </c>
      <c r="B48" t="str">
        <v>Pekerjaan Struktur</v>
      </c>
    </row>
    <row r="49">
      <c r="A49" t="str">
        <v>A.2.1</v>
      </c>
      <c r="B49" t="str">
        <v>Pekerjaan Sloof</v>
      </c>
    </row>
    <row r="50">
      <c r="A50">
        <v>1</v>
      </c>
      <c r="B50" t="str">
        <v>Bekisting sloof beton</v>
      </c>
      <c r="C50" t="str">
        <v>Kayu terentang</v>
      </c>
      <c r="D50" t="str">
        <v>m2</v>
      </c>
      <c r="E50">
        <f>'A-QTY'!D159</f>
        <v>74.4</v>
      </c>
      <c r="F50">
        <f>SUMIF(SNI!C$1:C$65536,'RAB - rumahA'!B$1:B$65536,SNI!L$1:L$65536)</f>
        <v>0</v>
      </c>
      <c r="G50">
        <f>E50*F50</f>
        <v>0</v>
      </c>
    </row>
    <row r="51">
      <c r="A51">
        <f>A50+1</f>
        <v>2</v>
      </c>
      <c r="B51" t="str">
        <v>Tulangan besi beton U-24</v>
      </c>
      <c r="C51" t="str">
        <v>Mutu baja U-24</v>
      </c>
      <c r="D51" t="str">
        <v>kg</v>
      </c>
      <c r="E51">
        <f>'A-QTY'!D160</f>
        <v>842.8130550000001</v>
      </c>
      <c r="F51">
        <f>SUMIF(SNI!C$1:C$65536,'RAB - rumahA'!B$1:B$65536,SNI!L$1:L$65536)</f>
        <v>0</v>
      </c>
      <c r="G51">
        <f>E51*F51</f>
        <v>0</v>
      </c>
    </row>
    <row r="52">
      <c r="A52">
        <f>A51+1</f>
        <v>3</v>
      </c>
      <c r="B52" t="str">
        <v>Beton K - 175</v>
      </c>
      <c r="C52" t="str">
        <v>Kayu terentang</v>
      </c>
      <c r="D52" t="str">
        <v>m3</v>
      </c>
      <c r="E52">
        <f>'A-QTY'!D161</f>
        <v>5.58</v>
      </c>
      <c r="F52">
        <f>SUMIF(SNI!C$1:C$65536,'RAB - rumahA'!B$1:B$65536,SNI!L$1:L$65536)</f>
        <v>0</v>
      </c>
      <c r="G52">
        <f>E52*F52</f>
        <v>0</v>
      </c>
      <c r="H52">
        <f>SUM(G50:G52)</f>
        <v>0</v>
      </c>
    </row>
    <row r="53">
      <c r="A53" t="str">
        <v>A.2.2</v>
      </c>
      <c r="B53" t="str">
        <v>Pekerjaan Kolom Praktis</v>
      </c>
    </row>
    <row r="54">
      <c r="A54">
        <v>1</v>
      </c>
      <c r="B54" t="str">
        <v>Bekisting Praktis beton</v>
      </c>
      <c r="C54" t="str">
        <v>Kayu terentang</v>
      </c>
      <c r="D54" t="str">
        <v>m2</v>
      </c>
      <c r="E54">
        <f>'A-QTY'!D195</f>
        <v>76.8</v>
      </c>
      <c r="F54">
        <f>SUMIF(SNI!C$1:C$65536,'RAB - rumahA'!B$1:B$65536,SNI!L$1:L$65536)</f>
        <v>0</v>
      </c>
      <c r="G54">
        <f>E54*F54</f>
        <v>0</v>
      </c>
    </row>
    <row r="55">
      <c r="A55">
        <f>A54+1</f>
        <v>2</v>
      </c>
      <c r="B55" t="str">
        <v>Tulangan besi beton U-24</v>
      </c>
      <c r="C55" t="str">
        <v>Mutu baja U-24</v>
      </c>
      <c r="D55" t="str">
        <v>kg</v>
      </c>
      <c r="E55">
        <f>'A-QTY'!D196</f>
        <v>1179.4540800000002</v>
      </c>
      <c r="F55">
        <f>SUMIF(SNI!C$1:C$65536,'RAB - rumahA'!B$1:B$65536,SNI!L$1:L$65536)</f>
        <v>0</v>
      </c>
      <c r="G55">
        <f>E55*F55</f>
        <v>0</v>
      </c>
    </row>
    <row r="56">
      <c r="A56">
        <f>A55+1</f>
        <v>3</v>
      </c>
      <c r="B56" t="str">
        <v>Beton K - 175</v>
      </c>
      <c r="C56" t="str">
        <v>Mutu beton K-175</v>
      </c>
      <c r="D56" t="str">
        <v>m3</v>
      </c>
      <c r="E56">
        <f>'A-QTY'!D197</f>
        <v>5.76</v>
      </c>
      <c r="F56">
        <f>SUMIF(SNI!C$1:C$65536,'RAB - rumahA'!B$1:B$65536,SNI!L$1:L$65536)</f>
        <v>0</v>
      </c>
      <c r="G56">
        <f>E56*F56</f>
        <v>0</v>
      </c>
      <c r="H56">
        <f>SUM(G54:G56)</f>
        <v>0</v>
      </c>
    </row>
    <row r="57">
      <c r="A57" t="str">
        <v>A.2.3</v>
      </c>
      <c r="B57" t="str">
        <v>Pekerjaan Ringbalk</v>
      </c>
    </row>
    <row r="58">
      <c r="A58">
        <v>1</v>
      </c>
      <c r="B58" t="str">
        <v>Bekisting Praktis beton</v>
      </c>
      <c r="C58" t="str">
        <v>Kayu terentang</v>
      </c>
      <c r="D58" t="str">
        <v>m2</v>
      </c>
      <c r="E58">
        <f>'A-QTY'!D248</f>
        <v>74.4</v>
      </c>
      <c r="F58">
        <f>SUMIF(SNI!C$1:C$65536,'RAB - rumahA'!B$1:B$65536,SNI!L$1:L$65536)</f>
        <v>0</v>
      </c>
      <c r="G58">
        <f>E58*F58</f>
        <v>0</v>
      </c>
    </row>
    <row r="59">
      <c r="A59">
        <f>A58+1</f>
        <v>2</v>
      </c>
      <c r="B59" t="str">
        <v>Tulangan besi beton U-24</v>
      </c>
      <c r="C59" t="str">
        <v>Mutu baja U-24</v>
      </c>
      <c r="D59" t="str">
        <v>kg</v>
      </c>
      <c r="E59">
        <f>'A-QTY'!D247</f>
        <v>842.8130550000001</v>
      </c>
      <c r="F59">
        <f>SUMIF(SNI!C$1:C$65536,'RAB - rumahA'!B$1:B$65536,SNI!L$1:L$65536)</f>
        <v>0</v>
      </c>
      <c r="G59">
        <f>E59*F59</f>
        <v>0</v>
      </c>
    </row>
    <row r="60">
      <c r="A60">
        <f>A59+1</f>
        <v>3</v>
      </c>
      <c r="B60" t="str">
        <v>Beton K - 175</v>
      </c>
      <c r="C60" t="str">
        <v>Mutu beton K-175</v>
      </c>
      <c r="D60" t="str">
        <v>m3</v>
      </c>
      <c r="E60">
        <f>'A-QTY'!D249</f>
        <v>5.58</v>
      </c>
      <c r="F60">
        <f>SUMIF(SNI!C$1:C$65536,'RAB - rumahA'!B$1:B$65536,SNI!L$1:L$65536)</f>
        <v>0</v>
      </c>
      <c r="G60">
        <f>E60*F60</f>
        <v>0</v>
      </c>
      <c r="H60">
        <f>SUM(G58:G60)</f>
        <v>0</v>
      </c>
    </row>
    <row r="61">
      <c r="A61" t="str">
        <v>A.2.4</v>
      </c>
      <c r="B61" t="str">
        <v>Pekerjaan Ringbalk Ampiq</v>
      </c>
    </row>
    <row r="62">
      <c r="A62">
        <v>1</v>
      </c>
      <c r="B62" t="str">
        <v>Bekisting Praktis beton</v>
      </c>
      <c r="C62" t="str">
        <v>Kayu terentang</v>
      </c>
      <c r="D62" t="str">
        <v>m2</v>
      </c>
      <c r="E62">
        <f>'A-QTY'!E248</f>
        <v>43</v>
      </c>
      <c r="F62">
        <f>SUMIF(SNI!C$1:C$65536,'RAB - rumahA'!B$1:B$65536,SNI!L$1:L$65536)</f>
        <v>0</v>
      </c>
      <c r="G62">
        <f>E62*F62</f>
        <v>0</v>
      </c>
    </row>
    <row r="63">
      <c r="A63">
        <f>A62+1</f>
        <v>2</v>
      </c>
      <c r="B63" t="str">
        <v>Tulangan besi beton U-24</v>
      </c>
      <c r="C63" t="str">
        <v>Mutu baja U-24</v>
      </c>
      <c r="D63" t="str">
        <v>kg</v>
      </c>
      <c r="E63">
        <f>'A-QTY'!E247</f>
        <v>487.039035</v>
      </c>
      <c r="F63">
        <f>SUMIF(SNI!C$1:C$65536,'RAB - rumahA'!B$1:B$65536,SNI!L$1:L$65536)</f>
        <v>0</v>
      </c>
      <c r="G63">
        <f>E63*F63</f>
        <v>0</v>
      </c>
    </row>
    <row r="64">
      <c r="A64">
        <f>A63+1</f>
        <v>3</v>
      </c>
      <c r="B64" t="str">
        <v>Beton K - 175</v>
      </c>
      <c r="C64" t="str">
        <v>Mutu beton K-175</v>
      </c>
      <c r="D64" t="str">
        <v>m3</v>
      </c>
      <c r="E64">
        <f>'A-QTY'!E249</f>
        <v>3.225</v>
      </c>
      <c r="F64">
        <f>SUMIF(SNI!C$1:C$65536,'RAB - rumahA'!B$1:B$65536,SNI!L$1:L$65536)</f>
        <v>0</v>
      </c>
      <c r="G64">
        <f>E64*F64</f>
        <v>0</v>
      </c>
      <c r="H64">
        <f>SUM(G62:G64)</f>
        <v>0</v>
      </c>
    </row>
    <row r="65">
      <c r="A65" t="str">
        <v>A.2.5</v>
      </c>
      <c r="B65" t="str">
        <v>Pekerjaan Plat dak</v>
      </c>
    </row>
    <row r="66">
      <c r="A66">
        <v>1</v>
      </c>
      <c r="B66" t="str">
        <v>Bekisting beton plat lantai</v>
      </c>
      <c r="C66" t="str">
        <v>Kayu terentang</v>
      </c>
      <c r="D66" t="str">
        <v>m2</v>
      </c>
      <c r="E66">
        <f>'A-QTY'!D286+'A-QTY'!E286</f>
        <v>36.56999999999999</v>
      </c>
      <c r="F66">
        <f>SUMIF(SNI!C$1:C$65536,'RAB - rumahA'!B$1:B$65536,SNI!L$1:L$65536)</f>
        <v>0</v>
      </c>
      <c r="G66">
        <f>E66*F66</f>
        <v>0</v>
      </c>
    </row>
    <row r="67">
      <c r="A67">
        <f>A66+1</f>
        <v>2</v>
      </c>
      <c r="B67" t="str">
        <v>Tulangan besi beton U-24</v>
      </c>
      <c r="C67" t="str">
        <v>Mutu baja U-24</v>
      </c>
      <c r="D67" t="str">
        <v>kg</v>
      </c>
      <c r="E67">
        <f>'A-QTY'!D287+'A-QTY'!E287</f>
        <v>307.50677999999994</v>
      </c>
      <c r="F67">
        <f>SUMIF(SNI!C$1:C$65536,'RAB - rumahA'!B$1:B$65536,SNI!L$1:L$65536)</f>
        <v>0</v>
      </c>
      <c r="G67">
        <f>E67*F67</f>
        <v>0</v>
      </c>
    </row>
    <row r="68">
      <c r="A68">
        <f>A67+1</f>
        <v>3</v>
      </c>
      <c r="B68" t="str">
        <v>Beton K - 175</v>
      </c>
      <c r="C68" t="str">
        <v>Mutu beton K-175</v>
      </c>
      <c r="D68" t="str">
        <v>m3</v>
      </c>
      <c r="E68">
        <f>'A-QTY'!D288+'A-QTY'!E288</f>
        <v>3.5</v>
      </c>
      <c r="F68">
        <f>SUMIF(SNI!C$1:C$65536,'RAB - rumahA'!B$1:B$65536,SNI!L$1:L$65536)</f>
        <v>0</v>
      </c>
      <c r="G68">
        <f>E68*F68</f>
        <v>0</v>
      </c>
      <c r="H68">
        <f>SUM(G66:G68)</f>
        <v>0</v>
      </c>
    </row>
    <row r="69">
      <c r="A69" t="str">
        <v>A.2.6</v>
      </c>
      <c r="B69" t="str">
        <v>Pekerjaan Kanopi</v>
      </c>
    </row>
    <row r="70">
      <c r="A70">
        <v>1</v>
      </c>
      <c r="B70" t="str">
        <v>Bekisting beton plat lantai</v>
      </c>
      <c r="C70" t="str">
        <v>Kayu terentang</v>
      </c>
      <c r="D70" t="str">
        <v>m2</v>
      </c>
      <c r="E70">
        <f>'A-QTY'!F286</f>
        <v>14.07</v>
      </c>
      <c r="F70">
        <f>SUMIF(SNI!C$1:C$65536,'RAB - rumahA'!B$1:B$65536,SNI!L$1:L$65536)</f>
        <v>0</v>
      </c>
      <c r="G70">
        <f>E70*F70</f>
        <v>0</v>
      </c>
    </row>
    <row r="71">
      <c r="A71">
        <f>A70+1</f>
        <v>2</v>
      </c>
      <c r="B71" t="str">
        <v>Tulangan besi beton U-24</v>
      </c>
      <c r="C71" t="str">
        <v>Mutu baja U-24</v>
      </c>
      <c r="D71" t="str">
        <v>kg</v>
      </c>
      <c r="E71">
        <f>'A-QTY'!F287</f>
        <v>124.70283</v>
      </c>
      <c r="F71">
        <f>SUMIF(SNI!C$1:C$65536,'RAB - rumahA'!B$1:B$65536,SNI!L$1:L$65536)</f>
        <v>0</v>
      </c>
      <c r="G71">
        <f>E71*F71</f>
        <v>0</v>
      </c>
    </row>
    <row r="72">
      <c r="A72">
        <f>A71+1</f>
        <v>3</v>
      </c>
      <c r="B72" t="str">
        <v>Beton K - 175</v>
      </c>
      <c r="C72" t="str">
        <v>Mutu beton K-175</v>
      </c>
      <c r="D72" t="str">
        <v>m3</v>
      </c>
      <c r="E72">
        <f>'A-QTY'!F288</f>
        <v>1.2000000000000002</v>
      </c>
      <c r="F72">
        <f>SUMIF(SNI!C$1:C$65536,'RAB - rumahA'!B$1:B$65536,SNI!L$1:L$65536)</f>
        <v>0</v>
      </c>
      <c r="G72">
        <f>E72*F72</f>
        <v>0</v>
      </c>
      <c r="H72">
        <f>SUM(G70:G72)</f>
        <v>0</v>
      </c>
    </row>
    <row r="73">
      <c r="A73" t="str">
        <v>A.2.7</v>
      </c>
      <c r="B73" t="str">
        <v>Pekerjaan Meja beton</v>
      </c>
    </row>
    <row r="74">
      <c r="A74">
        <v>1</v>
      </c>
      <c r="B74" t="str">
        <v>Bekisting Praktis beton</v>
      </c>
      <c r="C74" t="str">
        <v>Kayu terentang</v>
      </c>
      <c r="D74" t="str">
        <v>m2</v>
      </c>
      <c r="E74">
        <f>'A-QTY'!G286</f>
        <v>2.8699999999999997</v>
      </c>
      <c r="F74">
        <f>SUMIF(SNI!C$1:C$65536,'RAB - rumahA'!B$1:B$65536,SNI!L$1:L$65536)</f>
        <v>0</v>
      </c>
      <c r="G74">
        <f>E74*F74</f>
        <v>0</v>
      </c>
    </row>
    <row r="75">
      <c r="A75">
        <f>A74+1</f>
        <v>2</v>
      </c>
      <c r="B75" t="str">
        <v>Tulangan besi beton U-24</v>
      </c>
      <c r="C75" t="str">
        <v>Mutu baja U-24</v>
      </c>
      <c r="D75" t="str">
        <v>kg</v>
      </c>
      <c r="E75">
        <f>'A-QTY'!G287</f>
        <v>25.66683</v>
      </c>
      <c r="F75">
        <f>SUMIF(SNI!C$1:C$65536,'RAB - rumahA'!B$1:B$65536,SNI!L$1:L$65536)</f>
        <v>0</v>
      </c>
      <c r="G75">
        <f>E75*F75</f>
        <v>0</v>
      </c>
    </row>
    <row r="76">
      <c r="A76">
        <f>A75+1</f>
        <v>3</v>
      </c>
      <c r="B76" t="str">
        <v>Beton K - 175</v>
      </c>
      <c r="C76" t="str">
        <v>Mutu beton K-175</v>
      </c>
      <c r="D76" t="str">
        <v>m3</v>
      </c>
      <c r="E76">
        <f>'A-QTY'!G288</f>
        <v>0.24</v>
      </c>
      <c r="F76">
        <f>SUMIF(SNI!C$1:C$65536,'RAB - rumahA'!B$1:B$65536,SNI!L$1:L$65536)</f>
        <v>0</v>
      </c>
      <c r="G76">
        <f>E76*F76</f>
        <v>0</v>
      </c>
      <c r="H76">
        <f>SUM(G74:G76)</f>
        <v>0</v>
      </c>
    </row>
    <row r="77">
      <c r="G77" t="str">
        <v>Jumlah A.2 .... Rp</v>
      </c>
      <c r="H77">
        <f>SUM(G50:G76)</f>
        <v>0</v>
      </c>
    </row>
    <row r="78">
      <c r="A78" t="str">
        <v>B.</v>
      </c>
      <c r="B78" t="str">
        <v xml:space="preserve">PEKERJAAN ARSITEKTUR </v>
      </c>
    </row>
    <row r="80">
      <c r="A80" t="str">
        <v>B.1</v>
      </c>
      <c r="B80" t="str">
        <v>Pekerjaan Lantai</v>
      </c>
    </row>
    <row r="81">
      <c r="A81">
        <v>1</v>
      </c>
      <c r="B81" t="str">
        <v>Pas. Urugan pasir</v>
      </c>
      <c r="C81" t="str">
        <v>t. 10 cm</v>
      </c>
      <c r="D81" t="str">
        <v>m3</v>
      </c>
      <c r="E81">
        <f>('A-QTY'!E37+'A-QTY'!E39)*0.05</f>
        <v>17.1375</v>
      </c>
      <c r="F81">
        <f>SUMIF(SNI!C$1:C$65536,'RAB - rumahA'!B$1:B$65536,SNI!L$1:L$65536)</f>
        <v>0</v>
      </c>
      <c r="G81">
        <f>E81*F81</f>
        <v>0</v>
      </c>
    </row>
    <row r="82">
      <c r="A82">
        <f>A81+1</f>
        <v>2</v>
      </c>
      <c r="B82" t="str">
        <v>Pas. Lantai kerja beton tumbuk 1:3:5</v>
      </c>
      <c r="C82" t="str">
        <v>t. 5 cm</v>
      </c>
      <c r="D82" t="str">
        <v>m2</v>
      </c>
      <c r="E82">
        <f>'A-QTY'!E37</f>
        <v>306.75</v>
      </c>
      <c r="F82">
        <f>SUMIF(SNI!C$1:C$65536,'RAB - rumahA'!B$1:B$65536,SNI!L$1:L$65536)</f>
        <v>0</v>
      </c>
      <c r="G82">
        <f>E82*F82</f>
        <v>0</v>
      </c>
    </row>
    <row r="83">
      <c r="A83">
        <f>A82+1</f>
        <v>3</v>
      </c>
      <c r="B83" t="str">
        <v>Pas. Lantai Keramik 300x300</v>
      </c>
      <c r="C83" t="str">
        <v>ex Masterina</v>
      </c>
      <c r="D83" t="str">
        <v>m2</v>
      </c>
      <c r="E83">
        <f>'A-QTY'!D394+'A-QTY'!D445+'A-QTY'!D402+'A-QTY'!D410+'A-QTY'!D418</f>
        <v>262.25</v>
      </c>
      <c r="F83">
        <f>SUMIF(SNI!C$1:C$65536,'RAB - rumahA'!B$1:B$65536,SNI!L$1:L$65536)</f>
        <v>0</v>
      </c>
      <c r="G83">
        <f>E83*F83</f>
        <v>0</v>
      </c>
    </row>
    <row r="84">
      <c r="A84">
        <f>A83+1</f>
        <v>4</v>
      </c>
      <c r="B84" t="str">
        <v>Pas. Lantai Keramik 300x300</v>
      </c>
      <c r="C84" t="str">
        <v>ex Masterina</v>
      </c>
      <c r="D84" t="str">
        <v>m2</v>
      </c>
      <c r="E84">
        <f>'A-QTY'!D425+4.5+'A-QTY'!E26</f>
        <v>87.54</v>
      </c>
      <c r="F84">
        <f>SUMIF(SNI!C$1:C$65536,'RAB - rumahA'!B$1:B$65536,SNI!L$1:L$65536)</f>
        <v>0</v>
      </c>
      <c r="G84">
        <f>E84*F84</f>
        <v>0</v>
      </c>
    </row>
    <row r="85">
      <c r="A85">
        <f>A84+1</f>
        <v>5</v>
      </c>
      <c r="B85" t="str">
        <v>Pas. Plint Granitetile 100x400</v>
      </c>
      <c r="C85" t="str">
        <v xml:space="preserve">Granitile polish 10 x 40 cm </v>
      </c>
      <c r="D85" t="str">
        <v>m</v>
      </c>
      <c r="E85">
        <f>'A-QTY'!D395+'A-QTY'!D403+'A-QTY'!D411+'A-QTY'!D419+'A-QTY'!D446</f>
        <v>236.5</v>
      </c>
      <c r="F85">
        <f>SUMIF(SNI!C$1:C$65536,'RAB - rumahA'!B$1:B$65536,SNI!L$1:L$65536)</f>
        <v>0</v>
      </c>
      <c r="G85">
        <f>E85*F85</f>
        <v>0</v>
      </c>
    </row>
    <row r="86">
      <c r="A86">
        <f>A85+1</f>
        <v>6</v>
      </c>
      <c r="B86" t="str">
        <v>Pas. Lantai Keramik 300x300</v>
      </c>
      <c r="C86" t="str">
        <v>Carport</v>
      </c>
      <c r="D86" t="str">
        <v>m2</v>
      </c>
      <c r="E86">
        <f>'A-QTY'!D449</f>
        <v>36</v>
      </c>
      <c r="F86">
        <f>SUMIF(SNI!C$1:C$65536,'RAB - rumahA'!B$1:B$65536,SNI!L$1:L$65536)</f>
        <v>0</v>
      </c>
      <c r="G86">
        <f>E86*F86</f>
        <v>0</v>
      </c>
    </row>
    <row r="87">
      <c r="G87" t="str">
        <v>Jumlah B.1 .... Rp</v>
      </c>
      <c r="H87">
        <f>SUM(G81:G86)</f>
        <v>0</v>
      </c>
    </row>
    <row r="88">
      <c r="A88" t="str">
        <v>B.2</v>
      </c>
      <c r="B88" t="str">
        <v>Pekerjaan Dinding</v>
      </c>
    </row>
    <row r="89">
      <c r="A89">
        <v>1</v>
      </c>
      <c r="B89" t="str">
        <v>Pas. Dinding batu bata; ad 1:4</v>
      </c>
      <c r="C89" t="str">
        <v>Batu bata merah</v>
      </c>
      <c r="D89" t="str">
        <v>m2</v>
      </c>
      <c r="E89">
        <f>'A-QTY'!D322+'A-QTY'!H320</f>
        <v>792.76</v>
      </c>
      <c r="F89">
        <f>SUMIF(SNI!C$1:C$65536,'RAB - rumahA'!B$1:B$65536,SNI!L$1:L$65536)</f>
        <v>5227500</v>
      </c>
      <c r="G89">
        <f>E89*F89</f>
        <v>4144152900</v>
      </c>
    </row>
    <row r="90">
      <c r="A90">
        <f>A89+1</f>
        <v>2</v>
      </c>
      <c r="B90" t="str">
        <v>Pas. Plester acian; ad. 1:4</v>
      </c>
      <c r="C90" t="str">
        <v>t. 15 mm; Interior</v>
      </c>
      <c r="D90" t="str">
        <v>m2</v>
      </c>
      <c r="E90">
        <f>'A-QTY'!D323+'A-QTY'!H323</f>
        <v>1585.52</v>
      </c>
      <c r="F90">
        <f>SUMIF(SNI!C$1:C$65536,'RAB - rumahA'!B$1:B$65536,SNI!L$1:L$65536)</f>
        <v>0</v>
      </c>
      <c r="G90">
        <f>E90*F90</f>
        <v>0</v>
      </c>
    </row>
    <row r="91">
      <c r="A91">
        <f>A90+1</f>
        <v>3</v>
      </c>
      <c r="B91" t="str">
        <v>Pas. Acian PC</v>
      </c>
      <c r="D91" t="str">
        <v>m2</v>
      </c>
      <c r="E91">
        <f>'A-QTY'!D323+'A-QTY'!H323</f>
        <v>1585.52</v>
      </c>
      <c r="F91">
        <f>SUMIF(SNI!C$1:C$65536,'RAB - rumahA'!B$1:B$65536,SNI!L$1:L$65536)</f>
        <v>0</v>
      </c>
      <c r="G91">
        <f>E91*F91</f>
        <v>0</v>
      </c>
    </row>
    <row r="92">
      <c r="G92" t="str">
        <v>Jumlah B.2 .... Rp</v>
      </c>
      <c r="H92">
        <f>SUM(G89:G91)</f>
        <v>4144152900</v>
      </c>
    </row>
    <row r="93">
      <c r="A93" t="str">
        <v>B.3</v>
      </c>
      <c r="B93" t="str">
        <v>Pekerjaan Plafond</v>
      </c>
    </row>
    <row r="94">
      <c r="A94">
        <v>1</v>
      </c>
      <c r="B94" t="str">
        <v>Pas. Rangka Plafond Metal furing</v>
      </c>
      <c r="C94" t="str">
        <v>Metal furing</v>
      </c>
      <c r="D94" t="str">
        <v>m2</v>
      </c>
      <c r="E94">
        <f>'A-QTY'!D396+'A-QTY'!D404+'A-QTY'!D412+'A-QTY'!D420+'A-QTY'!D427+'A-QTY'!D454</f>
        <v>328</v>
      </c>
      <c r="F94">
        <f>SUMIF(SNI!C$1:C$65536,'RAB - rumahA'!B$1:B$65536,SNI!L$1:L$65536)</f>
        <v>0</v>
      </c>
      <c r="G94">
        <f>E94*F94</f>
        <v>0</v>
      </c>
    </row>
    <row r="95">
      <c r="A95">
        <f>A94+1</f>
        <v>2</v>
      </c>
      <c r="B95" t="str">
        <v>Pas. Penutup Plafond Gypsumboard t. 9 mm</v>
      </c>
      <c r="C95" t="str">
        <v>ex Jayaboard</v>
      </c>
      <c r="D95" t="str">
        <v>m2</v>
      </c>
      <c r="E95">
        <f>'A-QTY'!D427+4.5+'A-QTY'!D396+'A-QTY'!D454+'A-QTY'!D404+'A-QTY'!D412+'A-QTY'!D420+17.44</f>
        <v>349.94</v>
      </c>
      <c r="F95">
        <f>SUMIF(SNI!C$1:C$65536,'RAB - rumahA'!B$1:B$65536,SNI!L$1:L$65536)</f>
        <v>0</v>
      </c>
      <c r="G95">
        <f>E95*F95</f>
        <v>0</v>
      </c>
    </row>
    <row r="96">
      <c r="A96">
        <f>A95+1</f>
        <v>3</v>
      </c>
      <c r="B96" t="str">
        <v>Pas. List Profil Gypsum t. 5 cm</v>
      </c>
      <c r="C96" t="str">
        <v>ex Jayaboard</v>
      </c>
      <c r="D96" t="str">
        <v>m'</v>
      </c>
      <c r="E96">
        <f>'A-QTY'!D398+'A-QTY'!D406+'A-QTY'!D414+'A-QTY'!D422+'A-QTY'!D429+17.3</f>
        <v>249.3</v>
      </c>
      <c r="F96">
        <f>SUMIF(SNI!C$1:C$65536,'RAB - rumahA'!B$1:B$65536,SNI!L$1:L$65536)</f>
        <v>0</v>
      </c>
      <c r="G96">
        <f>E96*F96</f>
        <v>0</v>
      </c>
    </row>
    <row r="97">
      <c r="G97" t="str">
        <v>Jumlah B.3 .... Rp</v>
      </c>
      <c r="H97">
        <f>SUM(G94:G96)</f>
        <v>0</v>
      </c>
    </row>
    <row r="98">
      <c r="A98" t="str">
        <v>B.4</v>
      </c>
      <c r="B98" t="str">
        <v>Pekerjaan Atap</v>
      </c>
    </row>
    <row r="99">
      <c r="A99">
        <v>1</v>
      </c>
      <c r="B99" t="str">
        <v>Rangka atap baja ringan</v>
      </c>
      <c r="C99" t="str">
        <v>ex Smartruss</v>
      </c>
      <c r="D99" t="str">
        <v>m2</v>
      </c>
      <c r="E99">
        <f>(18*22)</f>
        <v>396</v>
      </c>
      <c r="F99">
        <f>SUMIF(SNI!C$1:C$65536,'RAB - rumahA'!B$1:B$65536,SNI!L$1:L$65536)</f>
        <v>0</v>
      </c>
      <c r="G99">
        <f>E99*F99</f>
        <v>0</v>
      </c>
    </row>
    <row r="100">
      <c r="A100">
        <v>2</v>
      </c>
      <c r="B100" t="str">
        <v>Penutup atap Genteng Keramik Glazur</v>
      </c>
      <c r="C100" t="str">
        <v>ex Kanmuri</v>
      </c>
      <c r="D100" t="str">
        <v>m2</v>
      </c>
      <c r="E100">
        <f>E99</f>
        <v>396</v>
      </c>
      <c r="F100">
        <f>SUMIF(SNI!C$1:C$65536,'RAB - rumahA'!B$1:B$65536,SNI!L$1:L$65536)</f>
        <v>0</v>
      </c>
      <c r="G100">
        <f>E100*F100</f>
        <v>0</v>
      </c>
    </row>
    <row r="101">
      <c r="A101">
        <v>3</v>
      </c>
      <c r="B101" t="str">
        <v>Bubungan Genteng Keramik Glazur</v>
      </c>
      <c r="C101" t="str">
        <v>ex Kanmuri</v>
      </c>
      <c r="D101" t="str">
        <v>m'</v>
      </c>
      <c r="E101">
        <v>18</v>
      </c>
      <c r="F101">
        <f>SUMIF(SNI!C$1:C$65536,'RAB - rumahA'!B$1:B$65536,SNI!L$1:L$65536)</f>
        <v>0</v>
      </c>
      <c r="G101">
        <f>E101*F101</f>
        <v>0</v>
      </c>
    </row>
    <row r="102">
      <c r="A102">
        <v>4</v>
      </c>
      <c r="B102" t="str">
        <v>Pas. Lisplank Kayu 3/20 mm</v>
      </c>
      <c r="C102" t="str">
        <v>Kayu kamper medan</v>
      </c>
      <c r="D102" t="str">
        <v>m'</v>
      </c>
      <c r="E102">
        <f>22+18+18</f>
        <v>58</v>
      </c>
      <c r="F102">
        <f>SUMIF(SNI!C$1:C$65536,'RAB - rumahA'!B$1:B$65536,SNI!L$1:L$65536)</f>
        <v>0</v>
      </c>
      <c r="G102">
        <f>E102*F102</f>
        <v>0</v>
      </c>
    </row>
    <row r="103">
      <c r="A103">
        <v>5</v>
      </c>
      <c r="B103" t="str">
        <v>Pas. Fleshing seng plat</v>
      </c>
      <c r="C103" t="str">
        <v>Seng bjls 35</v>
      </c>
      <c r="D103" t="str">
        <v>m'</v>
      </c>
      <c r="E103">
        <v>22</v>
      </c>
      <c r="F103">
        <f>SUMIF(SNI!C$1:C$65536,'RAB - rumahA'!B$1:B$65536,SNI!L$1:L$65536)</f>
        <v>0</v>
      </c>
      <c r="G103">
        <f>E103*F103</f>
        <v>0</v>
      </c>
    </row>
    <row r="104">
      <c r="A104">
        <v>6</v>
      </c>
      <c r="B104" t="str">
        <v>Pas. Roof Drain</v>
      </c>
      <c r="D104" t="str">
        <v>bh</v>
      </c>
      <c r="E104">
        <f>'A-QTY'!D462</f>
        <v>2</v>
      </c>
      <c r="F104">
        <f>SUMIF(SNI!C$1:C$65536,'RAB - rumahA'!B$1:B$65536,SNI!L$1:L$65536)</f>
        <v>0</v>
      </c>
      <c r="G104">
        <f>E104*F104</f>
        <v>0</v>
      </c>
    </row>
    <row r="105">
      <c r="G105" t="str">
        <v>Jumlah B.4 .... Rp</v>
      </c>
      <c r="H105">
        <f>SUM(G99:G104)</f>
        <v>0</v>
      </c>
    </row>
    <row r="106">
      <c r="A106" t="str">
        <v>B.5</v>
      </c>
      <c r="B106" t="str">
        <v>Pekerjaan Kusen</v>
      </c>
    </row>
    <row r="107">
      <c r="A107">
        <v>1</v>
      </c>
      <c r="B107" t="str">
        <v>Kusen Pintu dan Jendela Kayu KW.I</v>
      </c>
      <c r="C107" t="str">
        <v>Kayu Jati</v>
      </c>
      <c r="D107" t="str">
        <v>m3</v>
      </c>
      <c r="E107">
        <f>'A-QTY'!D363</f>
        <v>1.2807</v>
      </c>
      <c r="F107">
        <f>SUMIF(SNI!C$1:C$65536,'RAB - rumahA'!B$1:B$65536,SNI!L$1:L$65536)</f>
        <v>0</v>
      </c>
      <c r="G107">
        <f>E107*F107</f>
        <v>0</v>
      </c>
    </row>
    <row r="108">
      <c r="A108">
        <v>2</v>
      </c>
      <c r="B108" t="str">
        <v>Pintu panel kayu KW.I; 82 x 206 cm; R. Tamu</v>
      </c>
      <c r="C108" t="str">
        <v>Kayu Jati</v>
      </c>
      <c r="D108" t="str">
        <v>m2</v>
      </c>
      <c r="E108">
        <f>'A-QTY'!D364</f>
        <v>2.9252</v>
      </c>
      <c r="F108">
        <f>SNI!L741</f>
        <v>0</v>
      </c>
      <c r="G108">
        <f>E108*F108</f>
        <v>0</v>
      </c>
    </row>
    <row r="109">
      <c r="A109">
        <v>3</v>
      </c>
      <c r="B109" t="str">
        <v>Pintu panel kayu KW.I; 82 x 206 cm; K. Tidur</v>
      </c>
      <c r="C109" t="str">
        <v>Kayu Jati</v>
      </c>
      <c r="D109" t="str">
        <v>m2</v>
      </c>
      <c r="E109">
        <f>'A-QTY'!D365</f>
        <v>16.686000000000003</v>
      </c>
      <c r="F109">
        <f>F108</f>
        <v>0</v>
      </c>
      <c r="G109">
        <f>E109*F109</f>
        <v>0</v>
      </c>
    </row>
    <row r="110">
      <c r="A110">
        <v>4</v>
      </c>
      <c r="B110" t="str">
        <v>Pintu panel kayu KW.I; 72 x 206 cm; K. Mandi</v>
      </c>
      <c r="C110" t="str">
        <v>Rangka Kayu Jati</v>
      </c>
      <c r="D110" t="str">
        <v>m2</v>
      </c>
      <c r="E110">
        <f>'A-QTY'!D366</f>
        <v>5.8504</v>
      </c>
      <c r="F110">
        <f>F109</f>
        <v>0</v>
      </c>
      <c r="G110">
        <f>E110*F110</f>
        <v>0</v>
      </c>
    </row>
    <row r="111">
      <c r="A111">
        <v>5</v>
      </c>
      <c r="B111" t="str">
        <v>Pintu kaca kayu KW.I; 50 x 206 cm</v>
      </c>
      <c r="C111" t="str">
        <v>Rangka Kayu Jati</v>
      </c>
      <c r="D111" t="str">
        <v>m2</v>
      </c>
      <c r="E111">
        <f>'A-QTY'!D367</f>
        <v>4.12</v>
      </c>
      <c r="F111">
        <f>SNI!L717</f>
        <v>0</v>
      </c>
      <c r="G111">
        <f>E111*F111</f>
        <v>0</v>
      </c>
    </row>
    <row r="112">
      <c r="A112">
        <v>6</v>
      </c>
      <c r="B112" t="str">
        <v>Jendela kaca kayu KW.I; 52 x 122 cm</v>
      </c>
      <c r="C112" t="str">
        <v>Rangka Kayu Jati</v>
      </c>
      <c r="D112" t="str">
        <v>m2</v>
      </c>
      <c r="E112">
        <f>'A-QTY'!D368</f>
        <v>12.688</v>
      </c>
      <c r="F112">
        <f>F111</f>
        <v>0</v>
      </c>
      <c r="G112">
        <f>E112*F112</f>
        <v>0</v>
      </c>
    </row>
    <row r="113">
      <c r="A113">
        <v>7</v>
      </c>
      <c r="B113" t="str">
        <v>Jendela kaca kayu KW.I; 52 x 182 cm</v>
      </c>
      <c r="C113" t="str">
        <v>Rangka Kayu Jati</v>
      </c>
      <c r="D113" t="str">
        <v>m2</v>
      </c>
      <c r="E113">
        <f>'A-QTY'!D369</f>
        <v>1.8928</v>
      </c>
      <c r="F113">
        <f>F112</f>
        <v>0</v>
      </c>
      <c r="G113">
        <f>E113*F113</f>
        <v>0</v>
      </c>
    </row>
    <row r="114">
      <c r="A114">
        <v>8</v>
      </c>
      <c r="B114" t="str">
        <v>Pintu Besi 240 x 400 cm; Garasi</v>
      </c>
      <c r="C114" t="str">
        <v>Rangka Besi siku; Penutup plat besi</v>
      </c>
      <c r="D114" t="str">
        <v>m2</v>
      </c>
      <c r="E114">
        <f>4*2.4</f>
        <v>9.6</v>
      </c>
      <c r="F114">
        <f>SNI!L785</f>
        <v>0</v>
      </c>
      <c r="G114">
        <f>E114*F114</f>
        <v>0</v>
      </c>
    </row>
    <row r="115">
      <c r="A115">
        <v>9</v>
      </c>
      <c r="B115" t="str">
        <v>Pas. Kaca polos 5 mm</v>
      </c>
      <c r="C115" t="str">
        <v>ex Asahi</v>
      </c>
      <c r="D115" t="str">
        <v>m2</v>
      </c>
      <c r="E115">
        <f>'A-QTY'!D372</f>
        <v>11.6064</v>
      </c>
      <c r="F115">
        <f>SUMIF(SNI!C$1:C$65536,'RAB - rumahA'!B$1:B$65536,SNI!L$1:L$65536)</f>
        <v>0</v>
      </c>
      <c r="G115">
        <f>E115*F115</f>
        <v>0</v>
      </c>
    </row>
    <row r="116">
      <c r="B116" t="str">
        <v>Pekerjaan Kunci dan Penggantung</v>
      </c>
    </row>
    <row r="117">
      <c r="A117">
        <v>10</v>
      </c>
      <c r="B117" t="str">
        <v>Pas. Engsel pintu</v>
      </c>
      <c r="C117" t="str">
        <v>ex Solid</v>
      </c>
      <c r="D117" t="str">
        <v>bh</v>
      </c>
      <c r="E117">
        <f>'A-QTY'!D373</f>
        <v>60</v>
      </c>
      <c r="F117">
        <f>SUMIF(SNI!C$1:C$65536,'RAB - rumahA'!B$1:B$65536,SNI!L$1:L$65536)</f>
        <v>0</v>
      </c>
      <c r="G117">
        <f>E117*F117</f>
        <v>0</v>
      </c>
    </row>
    <row r="118">
      <c r="A118">
        <v>11</v>
      </c>
      <c r="B118" t="str">
        <v>Pas. Engsel jendela</v>
      </c>
      <c r="C118" t="str">
        <v>ex Solid</v>
      </c>
      <c r="D118" t="str">
        <v>bh</v>
      </c>
      <c r="E118">
        <f>'A-QTY'!D374</f>
        <v>44</v>
      </c>
      <c r="F118">
        <f>SUMIF(SNI!C$1:C$65536,'RAB - rumahA'!B$1:B$65536,SNI!L$1:L$65536)</f>
        <v>0</v>
      </c>
      <c r="G118">
        <f>E118*F118</f>
        <v>0</v>
      </c>
    </row>
    <row r="119">
      <c r="A119">
        <v>12</v>
      </c>
      <c r="B119" t="str">
        <v>Pas. Kunci pintu ruangan</v>
      </c>
      <c r="C119" t="str">
        <v>ex Solid</v>
      </c>
      <c r="D119" t="str">
        <v>bh</v>
      </c>
      <c r="E119">
        <f>'A-QTY'!D375+'A-QTY'!D376</f>
        <v>13</v>
      </c>
      <c r="F119">
        <f>SUMIF(SNI!C$1:C$65536,'RAB - rumahA'!B$1:B$65536,SNI!L$1:L$65536)</f>
        <v>0</v>
      </c>
      <c r="G119">
        <f>E119*F119</f>
        <v>0</v>
      </c>
    </row>
    <row r="120">
      <c r="A120">
        <v>13</v>
      </c>
      <c r="B120" t="str">
        <v>Pas. Kunci knob pintu kamar mandi</v>
      </c>
      <c r="C120" t="str">
        <v>ex Alpha</v>
      </c>
      <c r="D120" t="str">
        <v>bh</v>
      </c>
      <c r="E120">
        <f>'A-QTY'!D377</f>
        <v>4</v>
      </c>
      <c r="F120">
        <f>SUMIF(SNI!C$1:C$65536,'RAB - rumahA'!B$1:B$65536,SNI!L$1:L$65536)</f>
        <v>0</v>
      </c>
      <c r="G120">
        <f>E120*F120</f>
        <v>0</v>
      </c>
    </row>
    <row r="121">
      <c r="A121">
        <v>14</v>
      </c>
      <c r="B121" t="str">
        <v>Pas. Slot tanam pintu doble</v>
      </c>
      <c r="C121" t="str">
        <v>ex Solid</v>
      </c>
      <c r="D121" t="str">
        <v>ps</v>
      </c>
      <c r="E121">
        <f>'A-QTY'!D378</f>
        <v>3</v>
      </c>
      <c r="F121">
        <f>SUMIF(SNI!C$1:C$65536,'RAB - rumahA'!B$1:B$65536,SNI!L$1:L$65536)</f>
        <v>0</v>
      </c>
      <c r="G121">
        <f>E121*F121</f>
        <v>0</v>
      </c>
    </row>
    <row r="122">
      <c r="A122">
        <v>15</v>
      </c>
      <c r="B122" t="str">
        <v>Pas. Kait angin jendela</v>
      </c>
      <c r="C122" t="str">
        <v>ex Solid</v>
      </c>
      <c r="D122" t="str">
        <v>bh</v>
      </c>
      <c r="E122">
        <f>'A-QTY'!D379</f>
        <v>22</v>
      </c>
      <c r="F122">
        <f>SUMIF(SNI!C$1:C$65536,'RAB - rumahA'!B$1:B$65536,SNI!L$1:L$65536)</f>
        <v>0</v>
      </c>
      <c r="G122">
        <f>E122*F122</f>
        <v>0</v>
      </c>
    </row>
    <row r="123">
      <c r="A123">
        <v>16</v>
      </c>
      <c r="B123" t="str">
        <v>Pas. Grendel Jendela</v>
      </c>
      <c r="C123" t="str">
        <v>ex Solid</v>
      </c>
      <c r="D123" t="str">
        <v>bh</v>
      </c>
      <c r="E123">
        <f>'A-QTY'!D380</f>
        <v>44</v>
      </c>
      <c r="F123">
        <f>SUMIF(SNI!C$1:C$65536,'RAB - rumahA'!B$1:B$65536,SNI!L$1:L$65536)</f>
        <v>0</v>
      </c>
      <c r="G123">
        <f>E123*F123</f>
        <v>0</v>
      </c>
    </row>
    <row r="124">
      <c r="A124">
        <v>17</v>
      </c>
      <c r="B124" t="str">
        <v>Pas. Rel pintu lipat 4 pintu</v>
      </c>
      <c r="C124" t="str">
        <v>Dekson</v>
      </c>
      <c r="D124" t="str">
        <v>unt</v>
      </c>
      <c r="E124">
        <v>1</v>
      </c>
      <c r="F124">
        <f>SUMIF(SNI!C$1:C$65536,'RAB - rumahA'!B$1:B$65536,SNI!L$1:L$65536)</f>
        <v>0</v>
      </c>
      <c r="G124">
        <f>E124*F124</f>
        <v>0</v>
      </c>
    </row>
    <row r="126">
      <c r="G126" t="str">
        <v>Jumlah B.5 .... Rp</v>
      </c>
      <c r="H126">
        <f>SUM(G107:G124)</f>
        <v>0</v>
      </c>
    </row>
    <row r="128">
      <c r="A128" t="str">
        <v>C.</v>
      </c>
      <c r="B128" t="str">
        <v>PEKERJAAN UTILITAS</v>
      </c>
    </row>
    <row r="129">
      <c r="A129" t="str">
        <v>C.1</v>
      </c>
      <c r="B129" t="str">
        <v>Pekerjaan Plumbing</v>
      </c>
    </row>
    <row r="130">
      <c r="A130" t="str">
        <v>C.1.1</v>
      </c>
      <c r="B130" t="str">
        <v>Pekerjaan Sanitary</v>
      </c>
    </row>
    <row r="131">
      <c r="A131">
        <v>1</v>
      </c>
      <c r="B131" t="str">
        <v>Pas. Washtafel keramik</v>
      </c>
      <c r="C131" t="str">
        <v>TOTO LW 240 CJ</v>
      </c>
      <c r="D131" t="str">
        <v>bh</v>
      </c>
      <c r="E131">
        <f>'A-QTY'!D430</f>
        <v>2</v>
      </c>
      <c r="F131">
        <f>SUMIF(SNI!C$1:C$65536,'RAB - rumahA'!B$1:B$65536,SNI!L$1:L$65536)</f>
        <v>0</v>
      </c>
      <c r="G131">
        <f>E131*F131</f>
        <v>0</v>
      </c>
    </row>
    <row r="132">
      <c r="A132">
        <f>A131+1</f>
        <v>2</v>
      </c>
      <c r="B132" t="str">
        <v>Pas. Kloset Duduk Keramik</v>
      </c>
      <c r="C132" t="str">
        <v>TOTO CW 660 J / SW 660 J</v>
      </c>
      <c r="D132" t="str">
        <v>bh</v>
      </c>
      <c r="E132">
        <f>'A-QTY'!D432</f>
        <v>2</v>
      </c>
      <c r="F132">
        <f>SUMIF(SNI!C$1:C$65536,'RAB - rumahA'!B$1:B$65536,SNI!L$1:L$65536)</f>
        <v>0</v>
      </c>
      <c r="G132">
        <f>E132*F132</f>
        <v>0</v>
      </c>
    </row>
    <row r="133">
      <c r="A133">
        <f>A132+1</f>
        <v>3</v>
      </c>
      <c r="B133" t="str">
        <v>Pas. Kloset Jongkok Keramik</v>
      </c>
      <c r="C133" t="str">
        <v>TOTO CE 7</v>
      </c>
      <c r="D133" t="str">
        <v>bh</v>
      </c>
      <c r="E133">
        <v>1</v>
      </c>
      <c r="F133">
        <f>SUMIF(SNI!C$1:C$65536,'RAB - rumahA'!B$1:B$65536,SNI!L$1:L$65536)</f>
        <v>0</v>
      </c>
      <c r="G133">
        <f>E133*F133</f>
        <v>0</v>
      </c>
    </row>
    <row r="134">
      <c r="A134">
        <f>A133+1</f>
        <v>4</v>
      </c>
      <c r="B134" t="str">
        <v>Pas. Bak Air Fiberglass</v>
      </c>
      <c r="C134" t="str">
        <v>Fibre glass</v>
      </c>
      <c r="D134" t="str">
        <v>bh</v>
      </c>
      <c r="E134">
        <v>1</v>
      </c>
      <c r="F134">
        <f>SUMIF(SNI!C$1:C$65536,'RAB - rumahA'!B$1:B$65536,SNI!L$1:L$65536)</f>
        <v>0</v>
      </c>
      <c r="G134">
        <f>E134*F134</f>
        <v>0</v>
      </c>
    </row>
    <row r="135">
      <c r="A135">
        <f>A134+1</f>
        <v>5</v>
      </c>
      <c r="B135" t="str">
        <v>Pas. Shower spray</v>
      </c>
      <c r="C135" t="str">
        <v>TOTO THX 20 NBP1V</v>
      </c>
      <c r="D135" t="str">
        <v>bh</v>
      </c>
      <c r="E135">
        <f>'A-QTY'!D433</f>
        <v>2</v>
      </c>
      <c r="F135">
        <f>SUMIF(SNI!C$1:C$65536,'RAB - rumahA'!B$1:B$65536,SNI!L$1:L$65536)</f>
        <v>0</v>
      </c>
      <c r="G135">
        <f>E135*F135</f>
        <v>0</v>
      </c>
    </row>
    <row r="136">
      <c r="A136">
        <f>A135+1</f>
        <v>6</v>
      </c>
      <c r="B136" t="str">
        <v>Pas. Shower set</v>
      </c>
      <c r="C136" t="str">
        <v>TOTO TX423SZ</v>
      </c>
      <c r="D136" t="str">
        <v>bh</v>
      </c>
      <c r="E136">
        <f>'A-QTY'!D434</f>
        <v>2</v>
      </c>
      <c r="F136">
        <f>SUMIF(SNI!C$1:C$65536,'RAB - rumahA'!B$1:B$65536,SNI!L$1:L$65536)</f>
        <v>0</v>
      </c>
      <c r="G136">
        <f>E136*F136</f>
        <v>0</v>
      </c>
    </row>
    <row r="137">
      <c r="A137">
        <f>A136+1</f>
        <v>7</v>
      </c>
      <c r="B137" t="str">
        <v>Pas. Floor Drain</v>
      </c>
      <c r="C137" t="str">
        <v>TOTO TX 1 BN</v>
      </c>
      <c r="D137" t="str">
        <v>bh</v>
      </c>
      <c r="E137">
        <f>'A-QTY'!D436+2</f>
        <v>4</v>
      </c>
      <c r="F137">
        <f>SUMIF(SNI!C$1:C$65536,'RAB - rumahA'!B$1:B$65536,SNI!L$1:L$65536)</f>
        <v>0</v>
      </c>
      <c r="G137">
        <f>E137*F137</f>
        <v>0</v>
      </c>
    </row>
    <row r="138">
      <c r="A138">
        <f>A137+1</f>
        <v>8</v>
      </c>
      <c r="B138" t="str">
        <v>Pas. Tempat sabun keramik</v>
      </c>
      <c r="C138" t="str">
        <v>TOTO S 11 N</v>
      </c>
      <c r="D138" t="str">
        <v>bh</v>
      </c>
      <c r="E138">
        <f>'A-QTY'!D437+1</f>
        <v>3</v>
      </c>
      <c r="F138">
        <f>SUMIF(SNI!C$1:C$65536,'RAB - rumahA'!B$1:B$65536,SNI!L$1:L$65536)</f>
        <v>0</v>
      </c>
      <c r="G138">
        <f>E138*F138</f>
        <v>0</v>
      </c>
    </row>
    <row r="139">
      <c r="A139">
        <f>A138+1</f>
        <v>9</v>
      </c>
      <c r="B139" t="str">
        <v>Pas. Kitchenzink stainlees stell 1 lubang</v>
      </c>
      <c r="C139" t="str">
        <v>HWACO</v>
      </c>
      <c r="D139" t="str">
        <v>bh</v>
      </c>
      <c r="E139">
        <f>'A-QTY'!D441</f>
        <v>1</v>
      </c>
      <c r="F139">
        <f>SUMIF(SNI!C$1:C$65536,'RAB - rumahA'!B$1:B$65536,SNI!L$1:L$65536)</f>
        <v>0</v>
      </c>
      <c r="G139">
        <f>E139*F139</f>
        <v>0</v>
      </c>
    </row>
    <row r="140">
      <c r="A140">
        <f>A139+1</f>
        <v>10</v>
      </c>
      <c r="B140" t="str">
        <v>Pas. Kran zink</v>
      </c>
      <c r="C140" t="str">
        <v>TOTO T 30 AR13V7N</v>
      </c>
      <c r="D140" t="str">
        <v>bh</v>
      </c>
      <c r="E140">
        <f>'A-QTY'!D442</f>
        <v>1</v>
      </c>
      <c r="F140">
        <f>SUMIF(SNI!C$1:C$65536,'RAB - rumahA'!B$1:B$65536,SNI!L$1:L$65536)</f>
        <v>0</v>
      </c>
      <c r="G140">
        <f>E140*F140</f>
        <v>0</v>
      </c>
    </row>
    <row r="141">
      <c r="A141">
        <f>A140+1</f>
        <v>11</v>
      </c>
      <c r="B141" t="str">
        <v>Pas. Kran dinding</v>
      </c>
      <c r="C141" t="str">
        <v>TOTO T 23 B 13</v>
      </c>
      <c r="D141" t="str">
        <v>bh</v>
      </c>
      <c r="E141">
        <f>'A-QTY'!D450+2</f>
        <v>3</v>
      </c>
      <c r="F141">
        <f>SUMIF(SNI!C$1:C$65536,'RAB - rumahA'!B$1:B$65536,SNI!L$1:L$65536)</f>
        <v>0</v>
      </c>
      <c r="G141">
        <f>E141*F141</f>
        <v>0</v>
      </c>
      <c r="H141">
        <f>SUM(G131:G141)</f>
        <v>0</v>
      </c>
    </row>
    <row r="142">
      <c r="A142" t="str">
        <v>C.1.2</v>
      </c>
      <c r="B142" t="str">
        <v>Pekerjaan Sumur Dalam</v>
      </c>
    </row>
    <row r="143">
      <c r="A143">
        <v>1</v>
      </c>
      <c r="B143" t="str">
        <v>Pengeboran Sumur</v>
      </c>
      <c r="D143" t="str">
        <v>m'</v>
      </c>
      <c r="E143">
        <v>36</v>
      </c>
      <c r="F143">
        <f>IF(F144=0,0,75000)</f>
        <v>0</v>
      </c>
      <c r="G143">
        <f>E143*F143</f>
        <v>0</v>
      </c>
    </row>
    <row r="144">
      <c r="A144">
        <f>A143+1</f>
        <v>2</v>
      </c>
      <c r="B144" t="str">
        <v xml:space="preserve">Pipa PVC dia. 3" </v>
      </c>
      <c r="C144" t="str">
        <v>Casing; Wavin</v>
      </c>
      <c r="D144" t="str">
        <v>m'</v>
      </c>
      <c r="E144">
        <v>36</v>
      </c>
      <c r="F144">
        <f>SUMIF(SNI!C$1:C$65536,'RAB - rumahA'!B$1:B$65536,SNI!L$1:L$65536)</f>
        <v>0</v>
      </c>
      <c r="G144">
        <f>E144*F144</f>
        <v>0</v>
      </c>
    </row>
    <row r="145">
      <c r="A145">
        <f>A144+1</f>
        <v>3</v>
      </c>
      <c r="B145" t="str">
        <v xml:space="preserve">Pipa PVC dia. 2" </v>
      </c>
      <c r="C145" t="str">
        <v>Casing; Wavin</v>
      </c>
      <c r="D145" t="str">
        <v>m'</v>
      </c>
      <c r="E145">
        <v>10</v>
      </c>
      <c r="F145">
        <f>SUMIF(SNI!C$1:C$65536,'RAB - rumahA'!B$1:B$65536,SNI!L$1:L$65536)</f>
        <v>0</v>
      </c>
      <c r="G145">
        <f>E145*F145</f>
        <v>0</v>
      </c>
    </row>
    <row r="146">
      <c r="A146">
        <f>A145+1</f>
        <v>4</v>
      </c>
      <c r="B146" t="str">
        <v xml:space="preserve">Pipa PVC dia. 3/4" </v>
      </c>
      <c r="C146" t="str">
        <v>ex Wavin</v>
      </c>
      <c r="D146" t="str">
        <v>m'</v>
      </c>
      <c r="E146">
        <v>36</v>
      </c>
      <c r="F146">
        <f>SUMIF(SNI!C$1:C$65536,'RAB - rumahA'!B$1:B$65536,SNI!L$1:L$65536)</f>
        <v>0</v>
      </c>
      <c r="G146">
        <f>E146*F146</f>
        <v>0</v>
      </c>
    </row>
    <row r="147">
      <c r="A147">
        <f>A146+1</f>
        <v>5</v>
      </c>
      <c r="B147" t="str">
        <v>Klep diameter 3/4"</v>
      </c>
      <c r="D147" t="str">
        <v>bh</v>
      </c>
      <c r="E147">
        <v>1</v>
      </c>
      <c r="F147">
        <f>SUMIF(SNI!C$1:C$65536,'RAB - rumahA'!B$1:B$65536,SNI!L$1:L$65536)</f>
        <v>0</v>
      </c>
      <c r="G147">
        <f>E147*F147</f>
        <v>0</v>
      </c>
    </row>
    <row r="148">
      <c r="A148">
        <f>A147+1</f>
        <v>6</v>
      </c>
      <c r="B148" t="str">
        <v>Stop kran dia. 1"</v>
      </c>
      <c r="D148" t="str">
        <v>bh</v>
      </c>
      <c r="E148">
        <v>1</v>
      </c>
      <c r="F148">
        <f>SUMIF(SNI!C$1:C$65536,'RAB - rumahA'!B$1:B$65536,SNI!L$1:L$65536)</f>
        <v>0</v>
      </c>
      <c r="G148">
        <f>E148*F148</f>
        <v>0</v>
      </c>
    </row>
    <row r="149">
      <c r="A149">
        <f>A148+1</f>
        <v>7</v>
      </c>
      <c r="B149" t="str">
        <v>Mesin Jet Pump kap.250 watt</v>
      </c>
      <c r="C149" t="str">
        <v>Groundfos</v>
      </c>
      <c r="D149" t="str">
        <v>bh</v>
      </c>
      <c r="E149">
        <v>1</v>
      </c>
      <c r="F149">
        <f>SUMIF(SNI!C$1:C$65536,'RAB - rumahA'!B$1:B$65536,SNI!L$1:L$65536)</f>
        <v>0</v>
      </c>
      <c r="G149">
        <f>E149*F149</f>
        <v>0</v>
      </c>
      <c r="H149">
        <f>SUM(G143:G149)</f>
        <v>0</v>
      </c>
    </row>
    <row r="150">
      <c r="A150" t="str">
        <v>C.1.3</v>
      </c>
      <c r="B150" t="str">
        <v>Tanki Air</v>
      </c>
    </row>
    <row r="151">
      <c r="A151">
        <v>1</v>
      </c>
      <c r="B151" t="str">
        <v xml:space="preserve">Pipa PVC dia. 1" </v>
      </c>
      <c r="C151" t="str">
        <v>Sparing pam; ex Wavin</v>
      </c>
      <c r="D151" t="str">
        <v>m'</v>
      </c>
      <c r="E151">
        <v>12</v>
      </c>
      <c r="F151">
        <f>SUMIF(SNI!C$1:C$65536,'RAB - rumahA'!B$1:B$65536,SNI!L$1:L$65536)</f>
        <v>0</v>
      </c>
      <c r="G151">
        <f>E151*F151</f>
        <v>0</v>
      </c>
    </row>
    <row r="152">
      <c r="A152">
        <f>A151+1</f>
        <v>2</v>
      </c>
      <c r="B152" t="str">
        <v xml:space="preserve">Pipa PVC dia. 1" </v>
      </c>
      <c r="C152" t="str">
        <v>Inst. d/ pompa ke tanki air; ex Wavin</v>
      </c>
      <c r="D152" t="str">
        <v>m'</v>
      </c>
      <c r="E152">
        <v>8</v>
      </c>
      <c r="F152">
        <f>SUMIF(SNI!C$1:C$65536,'RAB - rumahA'!B$1:B$65536,SNI!L$1:L$65536)</f>
        <v>0</v>
      </c>
      <c r="G152">
        <f>E152*F152</f>
        <v>0</v>
      </c>
    </row>
    <row r="153">
      <c r="A153">
        <f>A152+1</f>
        <v>3</v>
      </c>
      <c r="B153" t="str">
        <v xml:space="preserve">Pipa PVC dia. 3/4" </v>
      </c>
      <c r="C153" t="str">
        <v>ex Wavin</v>
      </c>
      <c r="D153" t="str">
        <v>m'</v>
      </c>
      <c r="E153">
        <v>4</v>
      </c>
      <c r="F153">
        <f>SUMIF(SNI!C$1:C$65536,'RAB - rumahA'!B$1:B$65536,SNI!L$1:L$65536)</f>
        <v>0</v>
      </c>
      <c r="G153">
        <f>E153*F153</f>
        <v>0</v>
      </c>
    </row>
    <row r="154">
      <c r="A154">
        <f>A153+1</f>
        <v>4</v>
      </c>
      <c r="B154" t="str">
        <v>Tangki air 1000 liter</v>
      </c>
      <c r="C154" t="str">
        <v>Exel</v>
      </c>
      <c r="D154" t="str">
        <v>bh</v>
      </c>
      <c r="E154">
        <v>1</v>
      </c>
      <c r="F154">
        <f>SUMIF(SNI!C$1:C$65536,'RAB - rumahA'!B$1:B$65536,SNI!L$1:L$65536)</f>
        <v>0</v>
      </c>
      <c r="G154">
        <f>E154*F154</f>
        <v>0</v>
      </c>
    </row>
    <row r="155">
      <c r="A155">
        <f>A154+1</f>
        <v>5</v>
      </c>
      <c r="B155" t="str">
        <v>Dudukan tangki air</v>
      </c>
      <c r="C155" t="str">
        <v>Besi siku</v>
      </c>
      <c r="D155" t="str">
        <v>bh</v>
      </c>
      <c r="E155">
        <v>1</v>
      </c>
      <c r="F155">
        <f>SUMIF(SNI!C$1:C$65536,'RAB - rumahA'!B$1:B$65536,SNI!L$1:L$65536)</f>
        <v>0</v>
      </c>
      <c r="G155">
        <f>E155*F155</f>
        <v>0</v>
      </c>
    </row>
    <row r="156">
      <c r="A156">
        <f>A155+1</f>
        <v>6</v>
      </c>
      <c r="B156" t="str">
        <v>Mesin pompa kap.150 watt</v>
      </c>
      <c r="C156" t="str">
        <v>GROUNFOS</v>
      </c>
      <c r="D156" t="str">
        <v>bh</v>
      </c>
      <c r="E156">
        <v>1</v>
      </c>
      <c r="F156">
        <f>SUMIF(SNI!C$1:C$65536,'RAB - rumahA'!B$1:B$65536,SNI!L$1:L$65536)</f>
        <v>0</v>
      </c>
      <c r="G156">
        <f>E156*F156</f>
        <v>0</v>
      </c>
    </row>
    <row r="157">
      <c r="A157">
        <f>A156+1</f>
        <v>7</v>
      </c>
      <c r="B157" t="str">
        <v>Stop kran dia. 1"</v>
      </c>
      <c r="C157" t="str">
        <v>ex Onda</v>
      </c>
      <c r="D157" t="str">
        <v>bh</v>
      </c>
      <c r="E157">
        <v>2</v>
      </c>
      <c r="F157">
        <f>SUMIF(SNI!C$1:C$65536,'RAB - rumahA'!B$1:B$65536,SNI!L$1:L$65536)</f>
        <v>0</v>
      </c>
      <c r="G157">
        <f>E157*F157</f>
        <v>0</v>
      </c>
    </row>
    <row r="158">
      <c r="A158">
        <f>A157+1</f>
        <v>8</v>
      </c>
      <c r="B158" t="str">
        <v>Stop kran dia. 1"</v>
      </c>
      <c r="C158" t="str">
        <v>ex Onda</v>
      </c>
      <c r="D158" t="str">
        <v>bh</v>
      </c>
      <c r="E158">
        <v>1</v>
      </c>
      <c r="F158">
        <f>SUMIF(SNI!C$1:C$65536,'RAB - rumahA'!B$1:B$65536,SNI!L$1:L$65536)</f>
        <v>0</v>
      </c>
      <c r="G158">
        <f>E158*F158</f>
        <v>0</v>
      </c>
    </row>
    <row r="159">
      <c r="A159">
        <f>A158+1</f>
        <v>9</v>
      </c>
      <c r="B159" t="str">
        <v>Stop kran dia. 1"</v>
      </c>
      <c r="C159" t="str">
        <v>ex Onda</v>
      </c>
      <c r="D159" t="str">
        <v>bh</v>
      </c>
      <c r="E159">
        <v>1</v>
      </c>
      <c r="F159">
        <f>SUMIF(SNI!C$1:C$65536,'RAB - rumahA'!B$1:B$65536,SNI!L$1:L$65536)</f>
        <v>0</v>
      </c>
      <c r="G159">
        <f>E159*F159</f>
        <v>0</v>
      </c>
      <c r="H159">
        <f>SUM(G151:G159)</f>
        <v>0</v>
      </c>
    </row>
    <row r="160">
      <c r="A160" t="str">
        <v>C.1.4</v>
      </c>
      <c r="B160" t="str">
        <v>Pekerjaan Reservoir</v>
      </c>
    </row>
    <row r="161">
      <c r="A161">
        <v>1</v>
      </c>
      <c r="B161" t="str">
        <v>Galian tanah, dalam  s/d 1 m</v>
      </c>
      <c r="D161" t="str">
        <v>m3</v>
      </c>
      <c r="E161">
        <v>5.63</v>
      </c>
      <c r="F161">
        <f>SUMIF(SNI!C$1:C$65536,'RAB - rumahA'!B$1:B$65536,SNI!L$1:L$65536)</f>
        <v>0</v>
      </c>
      <c r="G161">
        <f>E161*F161</f>
        <v>0</v>
      </c>
    </row>
    <row r="162">
      <c r="A162">
        <f>A161+1</f>
        <v>2</v>
      </c>
      <c r="B162" t="str">
        <v>Pas. Urugan pasir</v>
      </c>
      <c r="D162" t="str">
        <v>m3</v>
      </c>
      <c r="E162">
        <v>0.12</v>
      </c>
      <c r="F162">
        <f>SUMIF(SNI!C$1:C$65536,'RAB - rumahA'!B$1:B$65536,SNI!L$1:L$65536)</f>
        <v>0</v>
      </c>
      <c r="G162">
        <f>E162*F162</f>
        <v>0</v>
      </c>
    </row>
    <row r="163">
      <c r="A163">
        <f>A162+1</f>
        <v>3</v>
      </c>
      <c r="B163" t="str">
        <v>Pas. Lantai kerja beton tumbuk 1:3:5</v>
      </c>
      <c r="D163" t="str">
        <v>m2</v>
      </c>
      <c r="E163">
        <v>3.75</v>
      </c>
      <c r="F163">
        <f>SUMIF(SNI!C$1:C$65536,'RAB - rumahA'!B$1:B$65536,SNI!L$1:L$65536)</f>
        <v>0</v>
      </c>
      <c r="G163">
        <f>E163*F163</f>
        <v>0</v>
      </c>
    </row>
    <row r="164">
      <c r="A164">
        <f>A163+1</f>
        <v>4</v>
      </c>
      <c r="B164" t="str">
        <v>Bekisting beton plat lantai</v>
      </c>
      <c r="D164" t="str">
        <v>m2</v>
      </c>
      <c r="E164">
        <f>(E166/0.1)</f>
        <v>21</v>
      </c>
      <c r="F164">
        <f>SUMIF(SNI!C$1:C$65536,'RAB - rumahA'!B$1:B$65536,SNI!L$1:L$65536)</f>
        <v>0</v>
      </c>
      <c r="G164">
        <f>E164*F164</f>
        <v>0</v>
      </c>
    </row>
    <row r="165">
      <c r="A165">
        <f>A164+1</f>
        <v>5</v>
      </c>
      <c r="B165" t="str">
        <v>Tulangan besi beton U-24</v>
      </c>
      <c r="D165" t="str">
        <v>kg</v>
      </c>
      <c r="E165">
        <f>E166*150</f>
        <v>315</v>
      </c>
      <c r="F165">
        <f>SUMIF(SNI!C$1:C$65536,'RAB - rumahA'!B$1:B$65536,SNI!L$1:L$65536)</f>
        <v>0</v>
      </c>
      <c r="G165">
        <f>E165*F165</f>
        <v>0</v>
      </c>
    </row>
    <row r="166">
      <c r="A166">
        <f>A165+1</f>
        <v>6</v>
      </c>
      <c r="B166" t="str">
        <v>Beton K - 200</v>
      </c>
      <c r="D166" t="str">
        <v>m3</v>
      </c>
      <c r="E166">
        <v>2.1</v>
      </c>
      <c r="F166">
        <f>SUMIF(SNI!C$1:C$65536,'RAB - rumahA'!B$1:B$65536,SNI!L$1:L$65536)</f>
        <v>0</v>
      </c>
      <c r="G166">
        <f>E166*F166</f>
        <v>0</v>
      </c>
      <c r="H166">
        <f>SUM(G161:G166)</f>
        <v>0</v>
      </c>
    </row>
    <row r="167">
      <c r="A167" t="str">
        <v>C.1.5</v>
      </c>
      <c r="B167" t="str">
        <v>Instalasi Air Bersih</v>
      </c>
    </row>
    <row r="168">
      <c r="A168">
        <v>1</v>
      </c>
      <c r="B168" t="str">
        <v xml:space="preserve">Pipa PVC dia. 1" </v>
      </c>
      <c r="C168" t="str">
        <v>ex Wavin</v>
      </c>
      <c r="D168" t="str">
        <v>m'</v>
      </c>
      <c r="E168">
        <v>36</v>
      </c>
      <c r="F168">
        <f>SUMIF(SNI!C$1:C$65536,'RAB - rumahA'!B$1:B$65536,SNI!L$1:L$65536)</f>
        <v>0</v>
      </c>
      <c r="G168">
        <f>E168*F168</f>
        <v>0</v>
      </c>
    </row>
    <row r="169">
      <c r="A169">
        <f>A168+1</f>
        <v>2</v>
      </c>
      <c r="B169" t="str">
        <v xml:space="preserve">Pipa PVC dia. 3/4" </v>
      </c>
      <c r="C169" t="str">
        <v>ex Wavin</v>
      </c>
      <c r="D169" t="str">
        <v>m'</v>
      </c>
      <c r="E169">
        <v>32</v>
      </c>
      <c r="F169">
        <f>SUMIF(SNI!C$1:C$65536,'RAB - rumahA'!B$1:B$65536,SNI!L$1:L$65536)</f>
        <v>0</v>
      </c>
      <c r="G169">
        <f>E169*F169</f>
        <v>0</v>
      </c>
    </row>
    <row r="170">
      <c r="A170">
        <f>A169+1</f>
        <v>3</v>
      </c>
      <c r="B170" t="str">
        <v xml:space="preserve">Pipa PVC dia. 1/2" </v>
      </c>
      <c r="C170" t="str">
        <v>ex Wavin</v>
      </c>
      <c r="D170" t="str">
        <v>m'</v>
      </c>
      <c r="E170">
        <v>36</v>
      </c>
      <c r="F170">
        <f>SUMIF(SNI!C$1:C$65536,'RAB - rumahA'!B$1:B$65536,SNI!L$1:L$65536)</f>
        <v>0</v>
      </c>
      <c r="G170">
        <f>E170*F170</f>
        <v>0</v>
      </c>
      <c r="H170">
        <f>SUM(G168:G170)</f>
        <v>0</v>
      </c>
    </row>
    <row r="171">
      <c r="A171" t="str">
        <v>C.1.6</v>
      </c>
      <c r="B171" t="str">
        <v>Instalasi Air Kotor &amp; air bekas</v>
      </c>
    </row>
    <row r="172">
      <c r="A172">
        <v>1</v>
      </c>
      <c r="B172" t="str">
        <v xml:space="preserve">Pipa PVC dia. 4" </v>
      </c>
      <c r="C172" t="str">
        <v>ex Wavin</v>
      </c>
      <c r="D172" t="str">
        <v>m'</v>
      </c>
      <c r="E172">
        <v>20</v>
      </c>
      <c r="F172">
        <f>SUMIF(SNI!C$1:C$65536,'RAB - rumahA'!B$1:B$65536,SNI!L$1:L$65536)</f>
        <v>0</v>
      </c>
      <c r="G172">
        <f>E172*F172</f>
        <v>0</v>
      </c>
    </row>
    <row r="173">
      <c r="A173">
        <f>A172+1</f>
        <v>2</v>
      </c>
      <c r="B173" t="str">
        <v xml:space="preserve">Pipa PVC dia. 3" </v>
      </c>
      <c r="C173" t="str">
        <v>ex Wavin</v>
      </c>
      <c r="D173" t="str">
        <v>m'</v>
      </c>
      <c r="E173">
        <v>28</v>
      </c>
      <c r="F173">
        <f>SUMIF(SNI!C$1:C$65536,'RAB - rumahA'!B$1:B$65536,SNI!L$1:L$65536)</f>
        <v>0</v>
      </c>
      <c r="G173">
        <f>E173*F173</f>
        <v>0</v>
      </c>
    </row>
    <row r="174">
      <c r="A174">
        <f>A173+1</f>
        <v>3</v>
      </c>
      <c r="B174" t="str">
        <v xml:space="preserve">Pipa PVC dia. 2" </v>
      </c>
      <c r="C174" t="str">
        <v>ex Wavin</v>
      </c>
      <c r="D174" t="str">
        <v>m'</v>
      </c>
      <c r="E174">
        <v>20</v>
      </c>
      <c r="F174">
        <f>SUMIF(SNI!C$1:C$65536,'RAB - rumahA'!B$1:B$65536,SNI!L$1:L$65536)</f>
        <v>0</v>
      </c>
      <c r="G174">
        <f>E174*F174</f>
        <v>0</v>
      </c>
    </row>
    <row r="175">
      <c r="A175">
        <f>A174+1</f>
        <v>4</v>
      </c>
      <c r="B175" t="str">
        <v xml:space="preserve">Pipa PVC dia. 1" </v>
      </c>
      <c r="C175" t="str">
        <v>ex Wavin</v>
      </c>
      <c r="D175" t="str">
        <v>m'</v>
      </c>
      <c r="E175">
        <v>16</v>
      </c>
      <c r="F175">
        <f>SUMIF(SNI!C$1:C$65536,'RAB - rumahA'!B$1:B$65536,SNI!L$1:L$65536)</f>
        <v>0</v>
      </c>
      <c r="G175">
        <f>E175*F175</f>
        <v>0</v>
      </c>
      <c r="H175">
        <f>SUM(G172:G175)</f>
        <v>0</v>
      </c>
    </row>
    <row r="176">
      <c r="A176" t="str">
        <v>C.1.7</v>
      </c>
      <c r="B176" t="str">
        <v>Pekerjaan Septictank</v>
      </c>
    </row>
    <row r="177">
      <c r="A177">
        <v>1</v>
      </c>
      <c r="B177" t="str">
        <v>Septictank Pas. Bata + Rembesan kap. 6,00 m3</v>
      </c>
      <c r="D177" t="str">
        <v>UNIT</v>
      </c>
      <c r="E177">
        <v>1</v>
      </c>
      <c r="F177">
        <f>SUMIF(SNI!C$1:C$65536,'RAB - rumahA'!B$1:B$65536,SNI!L$1:L$65536)</f>
        <v>97754300</v>
      </c>
      <c r="G177">
        <f>E177*F177</f>
        <v>97754300</v>
      </c>
      <c r="H177">
        <f>G177</f>
        <v>97754300</v>
      </c>
    </row>
    <row r="178">
      <c r="G178" t="str">
        <v>Jumlah C.1 .... Rp</v>
      </c>
      <c r="H178">
        <f>SUM(G131:G177)</f>
        <v>97754300</v>
      </c>
    </row>
    <row r="179">
      <c r="A179" t="str">
        <v>C.2</v>
      </c>
      <c r="B179" t="str">
        <v>Pekerjaan Elektrikal</v>
      </c>
    </row>
    <row r="180">
      <c r="A180" t="str">
        <v>C.2.1</v>
      </c>
      <c r="B180" t="str">
        <v>Panel</v>
      </c>
    </row>
    <row r="181">
      <c r="A181">
        <v>1</v>
      </c>
      <c r="B181" t="str">
        <v>Pas. Box Panel</v>
      </c>
      <c r="C181" t="str">
        <v>ex Legrand</v>
      </c>
      <c r="D181" t="str">
        <v>bh</v>
      </c>
      <c r="E181">
        <v>2</v>
      </c>
      <c r="F181">
        <f>SUMIF(SNI!C$1:C$65536,'RAB - rumahA'!B$1:B$65536,SNI!L$1:L$65536)</f>
        <v>0</v>
      </c>
      <c r="G181">
        <f>E181*F181</f>
        <v>0</v>
      </c>
      <c r="H181">
        <f>G181</f>
        <v>0</v>
      </c>
    </row>
    <row r="182">
      <c r="A182" t="str">
        <v>C.2.2</v>
      </c>
      <c r="B182" t="str">
        <v>Instalasi</v>
      </c>
    </row>
    <row r="183">
      <c r="A183">
        <v>1</v>
      </c>
      <c r="B183" t="str">
        <v>Pas. Instalasi lampu</v>
      </c>
      <c r="C183" t="str">
        <v>Supreme NYM 2 x 1.5 mm</v>
      </c>
      <c r="D183" t="str">
        <v>ttk</v>
      </c>
      <c r="E183">
        <v>26</v>
      </c>
      <c r="F183">
        <f>SUMIF(SNI!C$1:C$65536,'RAB - rumahA'!B$1:B$65536,SNI!L$1:L$65536)</f>
        <v>0</v>
      </c>
      <c r="G183">
        <f>E183*F183</f>
        <v>0</v>
      </c>
    </row>
    <row r="184">
      <c r="A184">
        <f>A183+1</f>
        <v>2</v>
      </c>
      <c r="B184" t="str">
        <v xml:space="preserve">Pas. Instalasi exhausfan </v>
      </c>
      <c r="C184" t="str">
        <v>Supreme NYM 2 x 1.5 mm</v>
      </c>
      <c r="D184" t="str">
        <v>ttk</v>
      </c>
      <c r="E184">
        <v>2</v>
      </c>
      <c r="F184">
        <f>F183</f>
        <v>0</v>
      </c>
      <c r="G184">
        <f>E184*F184</f>
        <v>0</v>
      </c>
    </row>
    <row r="185">
      <c r="A185">
        <f>A184+1</f>
        <v>3</v>
      </c>
      <c r="B185" t="str">
        <v>Pas. Instalasi antena TV</v>
      </c>
      <c r="D185" t="str">
        <v>ttk</v>
      </c>
      <c r="E185">
        <v>5</v>
      </c>
      <c r="F185">
        <f>SUMIF(SNI!C$1:C$65536,'RAB - rumahA'!B$1:B$65536,SNI!L$1:L$65536)</f>
        <v>0</v>
      </c>
      <c r="G185">
        <f>E185*F185</f>
        <v>0</v>
      </c>
    </row>
    <row r="186">
      <c r="A186">
        <f>A185+1</f>
        <v>4</v>
      </c>
      <c r="B186" t="str">
        <v>Pas. Instalasi stop kontak</v>
      </c>
      <c r="C186" t="str">
        <v>Supreme NYM 3 x 2.5 mm</v>
      </c>
      <c r="D186" t="str">
        <v>ttk</v>
      </c>
      <c r="E186">
        <v>15</v>
      </c>
      <c r="F186">
        <f>SUMIF(SNI!C$1:C$65536,'RAB - rumahA'!B$1:B$65536,SNI!L$1:L$65536)</f>
        <v>0</v>
      </c>
      <c r="G186">
        <f>E186*F186</f>
        <v>0</v>
      </c>
      <c r="H186">
        <f>SUM(G183:G186)</f>
        <v>0</v>
      </c>
    </row>
    <row r="187">
      <c r="A187" t="str">
        <v>C.2.3</v>
      </c>
      <c r="B187" t="str">
        <v>Armature</v>
      </c>
    </row>
    <row r="188">
      <c r="A188">
        <v>1</v>
      </c>
      <c r="B188" t="str">
        <v>Pas. Down light &amp; PLC 13 W</v>
      </c>
      <c r="C188" t="str">
        <v>ex Phanasonic</v>
      </c>
      <c r="D188" t="str">
        <v>bh</v>
      </c>
      <c r="E188">
        <v>26</v>
      </c>
      <c r="F188">
        <f>SUMIF(SNI!C$1:C$65536,'RAB - rumahA'!B$1:B$65536,SNI!L$1:L$65536)</f>
        <v>0</v>
      </c>
      <c r="G188">
        <f>E188*F188</f>
        <v>0</v>
      </c>
    </row>
    <row r="189">
      <c r="A189">
        <f>A188+1</f>
        <v>2</v>
      </c>
      <c r="B189" t="str">
        <v>Pas. Saklar engkel</v>
      </c>
      <c r="C189" t="str">
        <v>ex Broco</v>
      </c>
      <c r="D189" t="str">
        <v>bh</v>
      </c>
      <c r="E189">
        <v>12</v>
      </c>
      <c r="F189">
        <f>SUMIF(SNI!C$1:C$65536,'RAB - rumahA'!B$1:B$65536,SNI!L$1:L$65536)</f>
        <v>0</v>
      </c>
      <c r="G189">
        <f>E189*F189</f>
        <v>0</v>
      </c>
    </row>
    <row r="190">
      <c r="A190">
        <f>A189+1</f>
        <v>3</v>
      </c>
      <c r="B190" t="str">
        <v>Pas. Saklar doble</v>
      </c>
      <c r="C190" t="str">
        <v>ex Broco</v>
      </c>
      <c r="D190" t="str">
        <v>bh</v>
      </c>
      <c r="E190">
        <v>6</v>
      </c>
      <c r="F190">
        <f>SUMIF(SNI!C$1:C$65536,'RAB - rumahA'!B$1:B$65536,SNI!L$1:L$65536)</f>
        <v>0</v>
      </c>
      <c r="G190">
        <f>E190*F190</f>
        <v>0</v>
      </c>
    </row>
    <row r="191">
      <c r="A191">
        <f>A190+1</f>
        <v>4</v>
      </c>
      <c r="B191" t="str">
        <v>Pas. Stop kontak</v>
      </c>
      <c r="C191" t="str">
        <v>ex Broco</v>
      </c>
      <c r="D191" t="str">
        <v>bh</v>
      </c>
      <c r="E191">
        <v>15</v>
      </c>
      <c r="F191">
        <f>SUMIF(SNI!C$1:C$65536,'RAB - rumahA'!B$1:B$65536,SNI!L$1:L$65536)</f>
        <v>0</v>
      </c>
      <c r="G191">
        <f>E191*F191</f>
        <v>0</v>
      </c>
    </row>
    <row r="192">
      <c r="A192">
        <f>A191+1</f>
        <v>5</v>
      </c>
      <c r="B192" t="str">
        <v>Pas. Outlet TV</v>
      </c>
      <c r="C192" t="str">
        <v>ex Broco</v>
      </c>
      <c r="D192" t="str">
        <v>bh</v>
      </c>
      <c r="E192">
        <v>5</v>
      </c>
      <c r="F192">
        <f>SUMIF(SNI!C$1:C$65536,'RAB - rumahA'!B$1:B$65536,SNI!L$1:L$65536)</f>
        <v>0</v>
      </c>
      <c r="G192">
        <f>E192*F192</f>
        <v>0</v>
      </c>
    </row>
    <row r="193">
      <c r="A193">
        <f>A192+1</f>
        <v>6</v>
      </c>
      <c r="B193" t="str">
        <v>Pas. Outlet exhausefan</v>
      </c>
      <c r="C193" t="str">
        <v>ex Maspion</v>
      </c>
      <c r="D193" t="str">
        <v>bh</v>
      </c>
      <c r="E193">
        <v>2</v>
      </c>
      <c r="F193">
        <f>SUMIF(SNI!C$1:C$65536,'RAB - rumahA'!B$1:B$65536,SNI!L$1:L$65536)</f>
        <v>0</v>
      </c>
      <c r="G193">
        <f>E193*F193</f>
        <v>0</v>
      </c>
      <c r="H193">
        <f>SUM(G188:G193)</f>
        <v>0</v>
      </c>
    </row>
    <row r="194">
      <c r="G194" t="str">
        <v>Jumlah C.2 .... Rp</v>
      </c>
      <c r="H194">
        <f>SUM(G181:G193)</f>
        <v>0</v>
      </c>
    </row>
    <row r="195">
      <c r="A195" t="str">
        <v>D.</v>
      </c>
      <c r="B195" t="str">
        <v>PEKERJAAN FINISHING</v>
      </c>
    </row>
    <row r="196">
      <c r="A196">
        <v>1</v>
      </c>
      <c r="B196" t="str">
        <v>Pas. Dinding Keramik 300x300</v>
      </c>
      <c r="C196" t="str">
        <v>ex Masterina</v>
      </c>
      <c r="D196" t="str">
        <v>m2</v>
      </c>
      <c r="E196">
        <f>'A-QTY'!D425+24.3+'A-QTY'!D440+7.2</f>
        <v>93.06</v>
      </c>
      <c r="F196">
        <f>SUMIF(SNI!C$1:C$65536,'RAB - rumahA'!B$1:B$65536,SNI!L$1:L$65536)</f>
        <v>0</v>
      </c>
      <c r="G196">
        <f>E196*F196</f>
        <v>0</v>
      </c>
    </row>
    <row r="197">
      <c r="A197">
        <v>2</v>
      </c>
      <c r="B197" t="str">
        <v>Pas. Dinding Keramik 300x300</v>
      </c>
      <c r="C197" t="str">
        <v>Batu templek</v>
      </c>
      <c r="D197" t="str">
        <v>m2</v>
      </c>
      <c r="E197">
        <f>'A-QTY'!D393</f>
        <v>17.5</v>
      </c>
      <c r="F197">
        <f>SUMIF(SNI!C$1:C$65536,'RAB - rumahA'!B$1:B$65536,SNI!L$1:L$65536)</f>
        <v>0</v>
      </c>
      <c r="G197">
        <f>E197*F197</f>
        <v>0</v>
      </c>
    </row>
    <row r="198">
      <c r="A198">
        <v>3</v>
      </c>
      <c r="B198" t="str">
        <v>Cat dinding luar weathershiled KW.I</v>
      </c>
      <c r="C198" t="str">
        <v>ex Dulux ICI</v>
      </c>
      <c r="D198" t="str">
        <v>m2</v>
      </c>
      <c r="E198">
        <f>'A-QTY'!D453</f>
        <v>906.37</v>
      </c>
      <c r="F198">
        <f>SUMIF(SNI!C$1:C$65536,'RAB - rumahA'!B$1:B$65536,SNI!L$1:L$65536)</f>
        <v>0</v>
      </c>
      <c r="G198">
        <f>E198*F198</f>
        <v>0</v>
      </c>
    </row>
    <row r="199">
      <c r="A199">
        <v>4</v>
      </c>
      <c r="B199" t="str">
        <v>Cat dinding dalam acrylic emulsion KW.I</v>
      </c>
      <c r="C199" t="str">
        <v>ex Dulux ICI</v>
      </c>
      <c r="D199" t="str">
        <v>m2</v>
      </c>
      <c r="E199">
        <f>'A-QTY'!D401+'A-QTY'!D409+'A-QTY'!D417</f>
        <v>521.59</v>
      </c>
      <c r="F199">
        <f>SUMIF(SNI!C$1:C$65536,'RAB - rumahA'!B$1:B$65536,SNI!L$1:L$65536)</f>
        <v>0</v>
      </c>
      <c r="G199">
        <f>E199*F199</f>
        <v>0</v>
      </c>
    </row>
    <row r="200">
      <c r="A200">
        <v>5</v>
      </c>
      <c r="B200" t="str">
        <v>Cat plafond acrylic emulsion KW.I</v>
      </c>
      <c r="C200" t="str">
        <v>ex Dulux ICI</v>
      </c>
      <c r="D200" t="str">
        <v>m2</v>
      </c>
      <c r="E200">
        <f>'A-QTY'!D397+'A-QTY'!D405+'A-QTY'!D413+'A-QTY'!D421+'A-QTY'!D428+'A-QTY'!D455</f>
        <v>328</v>
      </c>
      <c r="F200">
        <f>SUMIF(SNI!C$1:C$65536,'RAB - rumahA'!B$1:B$65536,SNI!L$1:L$65536)</f>
        <v>0</v>
      </c>
      <c r="G200">
        <f>E200*F200</f>
        <v>0</v>
      </c>
    </row>
    <row r="201">
      <c r="A201">
        <v>6</v>
      </c>
      <c r="B201" t="str">
        <v xml:space="preserve">Cat kayu synthetic </v>
      </c>
      <c r="C201" t="str">
        <v>Seiv</v>
      </c>
      <c r="D201" t="str">
        <v>m2</v>
      </c>
      <c r="E201">
        <f>'A-QTY'!D458+'A-QTY'!D383+'A-QTY'!D384+'A-QTY'!D385+'A-QTY'!D386</f>
        <v>142.3582</v>
      </c>
      <c r="F201">
        <f>SUMIF(SNI!C$1:C$65536,'RAB - rumahA'!B$1:B$65536,SNI!L$1:L$65536)</f>
        <v>0</v>
      </c>
      <c r="G201">
        <f>E201*F201</f>
        <v>0</v>
      </c>
    </row>
    <row r="202">
      <c r="A202">
        <v>7</v>
      </c>
      <c r="B202" t="str">
        <v xml:space="preserve">Cat besi synthetic </v>
      </c>
      <c r="C202" t="str">
        <v>ex Seiv</v>
      </c>
      <c r="D202" t="str">
        <v>m2</v>
      </c>
      <c r="E202">
        <f>E114*2</f>
        <v>19.2</v>
      </c>
      <c r="F202">
        <f>SUMIF(SNI!C$1:C$65536,'RAB - rumahA'!B$1:B$65536,SNI!L$1:L$65536)</f>
        <v>0</v>
      </c>
      <c r="G202">
        <f>E202*F202</f>
        <v>0</v>
      </c>
      <c r="H202">
        <f>SUM(G196:G202)</f>
        <v>0</v>
      </c>
    </row>
    <row r="203">
      <c r="B203" t="str">
        <v>Pekerjaan Canopi</v>
      </c>
    </row>
    <row r="204">
      <c r="A204">
        <v>8</v>
      </c>
      <c r="B204" t="str">
        <v>Pas. Acian PC</v>
      </c>
      <c r="C204" t="str">
        <v>Spesi 1 : 2</v>
      </c>
      <c r="D204" t="str">
        <v>m2</v>
      </c>
      <c r="E204">
        <f>'A-QTY'!D461</f>
        <v>36.56999999999999</v>
      </c>
      <c r="F204">
        <f>SUMIF(SNI!C$1:C$65536,'RAB - rumahA'!B$1:B$65536,SNI!L$1:L$65536)</f>
        <v>0</v>
      </c>
      <c r="G204">
        <f>E204*F204</f>
        <v>0</v>
      </c>
    </row>
    <row r="205">
      <c r="A205">
        <v>9</v>
      </c>
      <c r="B205" t="str">
        <v>Cat plafond acrylic emulsion KW.I</v>
      </c>
      <c r="C205" t="str">
        <v>ex Dulux ICI</v>
      </c>
      <c r="D205" t="str">
        <v>m2</v>
      </c>
      <c r="E205">
        <f>E204</f>
        <v>36.56999999999999</v>
      </c>
      <c r="F205">
        <f>SUMIF(SNI!C$1:C$65536,'RAB - rumahA'!B$1:B$65536,SNI!L$1:L$65536)</f>
        <v>0</v>
      </c>
      <c r="G205">
        <f>E205*F205</f>
        <v>0</v>
      </c>
      <c r="H205">
        <f>SUM(G204:G205)</f>
        <v>0</v>
      </c>
    </row>
    <row r="206">
      <c r="G206" t="str">
        <v>Jumlah C.2 .... Rp</v>
      </c>
      <c r="H206">
        <f>SUM(G196:G205)</f>
        <v>0</v>
      </c>
    </row>
  </sheetData>
  <mergeCells count="9">
    <mergeCell ref="A2:H2"/>
    <mergeCell ref="A28:A29"/>
    <mergeCell ref="B28:B29"/>
    <mergeCell ref="C28:C29"/>
    <mergeCell ref="D28:D29"/>
    <mergeCell ref="E28:E29"/>
    <mergeCell ref="G28:H28"/>
    <mergeCell ref="G29:H29"/>
    <mergeCell ref="A27:H27"/>
  </mergeCells>
  <hyperlinks>
    <hyperlink ref="I1" location="MENU!A1" tooltip="menu"/>
    <hyperlink ref="I2" location="HSBGN!A1" tooltip="HSBGN"/>
  </hyperlinks>
  <pageMargins left="0.47" right="0.2" top="0.7480314960629921" bottom="0.57" header="0.4330708661417323" footer="0.31496062992125984"/>
  <ignoredErrors>
    <ignoredError numberStoredAsText="1" sqref="A1:I206"/>
  </ignoredErrors>
</worksheet>
</file>

<file path=xl/worksheets/sheet19.xml><?xml version="1.0" encoding="utf-8"?>
<worksheet xmlns="http://schemas.openxmlformats.org/spreadsheetml/2006/main" xmlns:r="http://schemas.openxmlformats.org/officeDocument/2006/relationships">
  <dimension ref="A1:T462"/>
  <sheetViews>
    <sheetView workbookViewId="0" rightToLeft="0"/>
  </sheetViews>
  <sheetData>
    <row r="1">
      <c r="A1" t="str">
        <v>menu</v>
      </c>
    </row>
    <row r="2">
      <c r="A2" t="str">
        <v>TAKING OFF</v>
      </c>
    </row>
    <row r="3">
      <c r="A3" t="str">
        <v>PERHITUNGAN VOLUME</v>
      </c>
    </row>
    <row r="4">
      <c r="A4" t="str">
        <v>RUMAH NEGARA TYPE  A</v>
      </c>
    </row>
    <row r="5">
      <c r="A5" t="str">
        <v>LUAS BANGUNGAN TYPE A ( 250 M2)</v>
      </c>
    </row>
    <row r="7">
      <c r="A7" t="str">
        <v>No</v>
      </c>
      <c r="B7" t="str">
        <v>Uraian Pekerjaan</v>
      </c>
      <c r="C7" t="str">
        <v>PANJANG</v>
      </c>
      <c r="D7" t="str">
        <v>LEBAR</v>
      </c>
      <c r="E7" t="str">
        <v>JUMLAH</v>
      </c>
    </row>
    <row r="8">
      <c r="C8" t="str">
        <v>m</v>
      </c>
      <c r="D8" t="str">
        <v>m</v>
      </c>
      <c r="E8" t="str">
        <v>m2</v>
      </c>
    </row>
    <row r="10">
      <c r="A10" t="str">
        <v>A.</v>
      </c>
      <c r="B10" t="str">
        <v>RUMAH</v>
      </c>
    </row>
    <row r="11">
      <c r="A11">
        <v>1</v>
      </c>
      <c r="B11" t="str">
        <v>Ruang keluarga+dapur r.tamu</v>
      </c>
      <c r="C11">
        <v>4</v>
      </c>
      <c r="D11">
        <v>4.5</v>
      </c>
      <c r="E11">
        <f>C11*D11</f>
        <v>18</v>
      </c>
    </row>
    <row r="12">
      <c r="C12">
        <v>6</v>
      </c>
      <c r="D12">
        <v>10.5</v>
      </c>
      <c r="E12">
        <f>C12*D12</f>
        <v>63</v>
      </c>
    </row>
    <row r="13">
      <c r="C13">
        <v>3</v>
      </c>
      <c r="D13">
        <v>1.5</v>
      </c>
      <c r="E13">
        <f>C13*D13</f>
        <v>4.5</v>
      </c>
    </row>
    <row r="14">
      <c r="C14">
        <v>2.5</v>
      </c>
      <c r="D14">
        <v>1.5</v>
      </c>
      <c r="E14">
        <f>C14*D14</f>
        <v>3.75</v>
      </c>
    </row>
    <row r="15">
      <c r="C15">
        <v>4</v>
      </c>
      <c r="D15">
        <v>2.5</v>
      </c>
      <c r="E15">
        <f>C15*D15</f>
        <v>10</v>
      </c>
    </row>
    <row r="16">
      <c r="A16">
        <v>2</v>
      </c>
      <c r="B16" t="str">
        <v>Kamar tidur.1</v>
      </c>
      <c r="C16">
        <v>4.5</v>
      </c>
      <c r="D16">
        <v>3</v>
      </c>
      <c r="E16">
        <f>C16*D16</f>
        <v>13.5</v>
      </c>
    </row>
    <row r="17">
      <c r="A17">
        <v>3</v>
      </c>
      <c r="B17" t="str">
        <v>Kamar tidur.2</v>
      </c>
      <c r="C17">
        <v>4.5</v>
      </c>
      <c r="D17">
        <v>3</v>
      </c>
      <c r="E17">
        <f>C17*D17</f>
        <v>13.5</v>
      </c>
    </row>
    <row r="18">
      <c r="A18">
        <v>4</v>
      </c>
      <c r="B18" t="str">
        <v>Kamar tidur.3</v>
      </c>
      <c r="C18">
        <v>4.5</v>
      </c>
      <c r="D18">
        <v>3</v>
      </c>
      <c r="E18">
        <f>C18*D18</f>
        <v>13.5</v>
      </c>
    </row>
    <row r="19">
      <c r="A19">
        <v>5</v>
      </c>
      <c r="B19" t="str">
        <v>Kamar tidur.4</v>
      </c>
      <c r="C19">
        <v>4.5</v>
      </c>
      <c r="D19">
        <v>3</v>
      </c>
      <c r="E19">
        <f>C19*D19</f>
        <v>13.5</v>
      </c>
    </row>
    <row r="20">
      <c r="A20">
        <v>6</v>
      </c>
      <c r="B20" t="str">
        <v>Kamar tidur.5</v>
      </c>
      <c r="C20">
        <v>3</v>
      </c>
      <c r="D20">
        <v>2</v>
      </c>
      <c r="E20">
        <f>C20*D20</f>
        <v>6</v>
      </c>
    </row>
    <row r="21">
      <c r="A21">
        <v>7</v>
      </c>
      <c r="B21" t="str">
        <v>Kamar tidur.6</v>
      </c>
      <c r="C21">
        <v>3</v>
      </c>
      <c r="D21">
        <v>2</v>
      </c>
      <c r="E21">
        <f>C21*D21</f>
        <v>6</v>
      </c>
    </row>
    <row r="22">
      <c r="A22">
        <v>8</v>
      </c>
      <c r="B22" t="str">
        <v>R.Kerja</v>
      </c>
      <c r="C22">
        <v>4</v>
      </c>
      <c r="D22">
        <v>3</v>
      </c>
      <c r="E22">
        <f>C22*D22</f>
        <v>12</v>
      </c>
    </row>
    <row r="23">
      <c r="A23">
        <v>9</v>
      </c>
      <c r="B23" t="str">
        <v>Kamar mandi.1</v>
      </c>
      <c r="C23">
        <v>3</v>
      </c>
      <c r="D23">
        <v>2.5</v>
      </c>
      <c r="E23">
        <f>C23*D23</f>
        <v>7.5</v>
      </c>
    </row>
    <row r="24">
      <c r="A24">
        <v>10</v>
      </c>
      <c r="B24" t="str">
        <v>Kamar mandi.2</v>
      </c>
      <c r="C24">
        <v>2.5</v>
      </c>
      <c r="D24">
        <v>2.5</v>
      </c>
      <c r="E24">
        <f>C24*D24</f>
        <v>6.25</v>
      </c>
    </row>
    <row r="25">
      <c r="A25">
        <v>11</v>
      </c>
      <c r="B25" t="str">
        <v>Kamar mandi.2</v>
      </c>
      <c r="C25">
        <v>3</v>
      </c>
      <c r="D25">
        <v>1.25</v>
      </c>
      <c r="E25">
        <f>C25*D25</f>
        <v>3.75</v>
      </c>
    </row>
    <row r="26">
      <c r="A26">
        <v>12</v>
      </c>
      <c r="B26" t="str">
        <v>Garasi</v>
      </c>
      <c r="C26">
        <v>6</v>
      </c>
      <c r="D26">
        <v>4.5</v>
      </c>
      <c r="E26">
        <f>C26*D26</f>
        <v>27</v>
      </c>
    </row>
    <row r="27">
      <c r="A27">
        <v>13</v>
      </c>
      <c r="B27" t="str">
        <v>Gudang</v>
      </c>
      <c r="C27">
        <v>3</v>
      </c>
      <c r="D27">
        <v>1.5</v>
      </c>
      <c r="E27">
        <f>C27*D27</f>
        <v>4.5</v>
      </c>
    </row>
    <row r="28">
      <c r="A28">
        <v>14</v>
      </c>
      <c r="B28" t="str">
        <v>T.Cuci</v>
      </c>
      <c r="C28">
        <v>1.25</v>
      </c>
      <c r="D28">
        <v>1.5</v>
      </c>
      <c r="E28">
        <f>C28*D28</f>
        <v>1.875</v>
      </c>
    </row>
    <row r="29">
      <c r="A29">
        <v>15</v>
      </c>
      <c r="B29" t="str">
        <v>Teras depan</v>
      </c>
      <c r="C29">
        <v>4.5</v>
      </c>
      <c r="D29">
        <v>3.5</v>
      </c>
      <c r="E29">
        <f>C29*D29</f>
        <v>15.75</v>
      </c>
    </row>
    <row r="30">
      <c r="A30">
        <v>16</v>
      </c>
      <c r="B30" t="str">
        <v>Koridor</v>
      </c>
      <c r="C30">
        <v>2</v>
      </c>
      <c r="D30">
        <v>2.5</v>
      </c>
      <c r="E30">
        <f>C30*D30</f>
        <v>5</v>
      </c>
    </row>
    <row r="31">
      <c r="C31">
        <v>6</v>
      </c>
      <c r="D31">
        <v>1.5</v>
      </c>
      <c r="E31">
        <f>C31*D31</f>
        <v>9</v>
      </c>
    </row>
    <row r="32">
      <c r="C32">
        <v>3</v>
      </c>
      <c r="D32">
        <v>2</v>
      </c>
      <c r="E32">
        <f>C32*D32</f>
        <v>6</v>
      </c>
    </row>
    <row r="33">
      <c r="C33">
        <v>1.5</v>
      </c>
      <c r="D33">
        <v>1.25</v>
      </c>
      <c r="E33">
        <f>C33*D33</f>
        <v>1.875</v>
      </c>
    </row>
    <row r="34">
      <c r="A34">
        <v>17</v>
      </c>
      <c r="B34" t="str">
        <v>Teras belakang</v>
      </c>
      <c r="C34">
        <v>20</v>
      </c>
      <c r="D34">
        <v>1.25</v>
      </c>
      <c r="E34">
        <f>C34*D34</f>
        <v>25</v>
      </c>
    </row>
    <row r="35">
      <c r="C35">
        <v>6</v>
      </c>
      <c r="D35">
        <v>1</v>
      </c>
      <c r="E35">
        <f>C35*D35</f>
        <v>6</v>
      </c>
    </row>
    <row r="36">
      <c r="C36">
        <v>4</v>
      </c>
      <c r="D36">
        <v>2.5</v>
      </c>
      <c r="E36">
        <f>C36*D36</f>
        <v>10</v>
      </c>
    </row>
    <row r="37">
      <c r="E37">
        <f>SUM(E11:E36)</f>
        <v>306.75</v>
      </c>
    </row>
    <row r="38">
      <c r="A38" t="str">
        <v>B.</v>
      </c>
      <c r="B38" t="str">
        <v>LAND SCAPE</v>
      </c>
    </row>
    <row r="39">
      <c r="A39">
        <v>1</v>
      </c>
      <c r="B39" t="str">
        <v>Carport</v>
      </c>
      <c r="C39">
        <v>6</v>
      </c>
      <c r="D39">
        <v>6</v>
      </c>
      <c r="E39">
        <f>C39*D39</f>
        <v>36</v>
      </c>
    </row>
    <row r="40">
      <c r="C40">
        <v>1.5</v>
      </c>
      <c r="D40">
        <v>1.5</v>
      </c>
      <c r="E40">
        <f>C40*D40</f>
        <v>2.25</v>
      </c>
    </row>
    <row r="41">
      <c r="A41">
        <v>2</v>
      </c>
      <c r="B41" t="str">
        <v>Beton deuker</v>
      </c>
      <c r="C41">
        <v>6</v>
      </c>
      <c r="D41">
        <v>0.6</v>
      </c>
      <c r="E41">
        <f>C41*D41</f>
        <v>3.5999999999999996</v>
      </c>
    </row>
    <row r="42">
      <c r="A42">
        <v>3</v>
      </c>
      <c r="B42" t="str">
        <v>Pagar depan</v>
      </c>
      <c r="C42">
        <v>20</v>
      </c>
      <c r="D42">
        <v>2</v>
      </c>
      <c r="E42">
        <f>C42*D42</f>
        <v>40</v>
      </c>
    </row>
    <row r="43">
      <c r="A43">
        <v>4</v>
      </c>
      <c r="B43" t="str">
        <v>Benteng samping depan</v>
      </c>
      <c r="C43">
        <v>21.5</v>
      </c>
      <c r="D43">
        <v>2.5</v>
      </c>
      <c r="E43">
        <f>C43*D43</f>
        <v>53.75</v>
      </c>
    </row>
    <row r="44">
      <c r="A44">
        <v>5</v>
      </c>
      <c r="B44" t="str">
        <v>Benteng samping belakang</v>
      </c>
      <c r="C44">
        <v>10</v>
      </c>
      <c r="D44">
        <v>2.5</v>
      </c>
      <c r="E44">
        <f>C44*D44</f>
        <v>25</v>
      </c>
    </row>
    <row r="45">
      <c r="A45">
        <v>6</v>
      </c>
      <c r="B45" t="str">
        <v>Benteng belakang</v>
      </c>
      <c r="C45">
        <v>20</v>
      </c>
      <c r="D45">
        <v>2.5</v>
      </c>
      <c r="E45">
        <f>C45*D45</f>
        <v>50</v>
      </c>
    </row>
    <row r="48">
      <c r="A48" t="str">
        <v>C</v>
      </c>
      <c r="B48" t="str">
        <v>LUAS TANAH</v>
      </c>
      <c r="C48">
        <v>30</v>
      </c>
      <c r="D48">
        <v>20</v>
      </c>
      <c r="E48">
        <f>C48*D48</f>
        <v>600</v>
      </c>
    </row>
    <row r="52">
      <c r="A52" t="str">
        <v xml:space="preserve">VOLUME PEKERJAAN PONDASI BATU KALI </v>
      </c>
    </row>
    <row r="53">
      <c r="A53" t="str">
        <v xml:space="preserve"> NO</v>
      </c>
      <c r="B53" t="str">
        <v>URAIAN PEKERJAAN</v>
      </c>
      <c r="C53" t="str">
        <v>SAT</v>
      </c>
      <c r="D53" t="str">
        <v>RUMAH</v>
      </c>
      <c r="E53" t="str">
        <v>B.SP.D</v>
      </c>
      <c r="F53" t="str">
        <v>B.SP.B</v>
      </c>
      <c r="G53" t="str">
        <v>B.BLK</v>
      </c>
    </row>
    <row r="55">
      <c r="A55">
        <v>1</v>
      </c>
      <c r="B55" t="str">
        <v xml:space="preserve">UKURAN GALIAN TANAH </v>
      </c>
    </row>
    <row r="56">
      <c r="B56" t="str">
        <v>Lebar</v>
      </c>
      <c r="C56" t="str">
        <v>m</v>
      </c>
      <c r="D56">
        <v>0.7</v>
      </c>
      <c r="E56">
        <v>0.7</v>
      </c>
      <c r="F56">
        <v>0.7</v>
      </c>
      <c r="G56">
        <v>0.7</v>
      </c>
    </row>
    <row r="57">
      <c r="B57" t="str">
        <v>Tinggi</v>
      </c>
      <c r="C57" t="str">
        <v>m</v>
      </c>
      <c r="D57">
        <v>1.1</v>
      </c>
      <c r="E57">
        <v>1.1</v>
      </c>
      <c r="F57">
        <v>1.1</v>
      </c>
      <c r="G57">
        <v>1.1</v>
      </c>
    </row>
    <row r="58">
      <c r="B58" t="str">
        <v>Panjang</v>
      </c>
      <c r="C58" t="str">
        <v>m</v>
      </c>
      <c r="D58">
        <f>'A-QTY'!B320</f>
        <v>186</v>
      </c>
      <c r="E58">
        <f>'A-QTY'!J320</f>
        <v>22</v>
      </c>
      <c r="F58">
        <f>'A-QTY'!N320</f>
        <v>10</v>
      </c>
      <c r="G58">
        <f>'A-QTY'!R320</f>
        <v>20</v>
      </c>
    </row>
    <row r="60">
      <c r="A60">
        <v>2</v>
      </c>
      <c r="B60" t="str">
        <v>UKURAN PONDASI</v>
      </c>
    </row>
    <row r="61">
      <c r="B61" t="str">
        <v>Lebar Atas</v>
      </c>
      <c r="C61" t="str">
        <v>m</v>
      </c>
      <c r="D61">
        <v>0.3</v>
      </c>
      <c r="E61">
        <v>0.3</v>
      </c>
      <c r="F61">
        <v>0.3</v>
      </c>
      <c r="G61">
        <v>0.3</v>
      </c>
    </row>
    <row r="62">
      <c r="B62" t="str">
        <v>Lebar Bawah</v>
      </c>
      <c r="C62" t="str">
        <v>m</v>
      </c>
      <c r="D62">
        <v>0.6</v>
      </c>
      <c r="E62">
        <v>0.6</v>
      </c>
      <c r="F62">
        <v>0.6</v>
      </c>
      <c r="G62">
        <v>0.6</v>
      </c>
    </row>
    <row r="63">
      <c r="B63" t="str">
        <v>Tinggi</v>
      </c>
      <c r="C63" t="str">
        <v>m</v>
      </c>
      <c r="D63">
        <v>0.7</v>
      </c>
      <c r="E63">
        <v>0.7</v>
      </c>
      <c r="F63">
        <v>0.7</v>
      </c>
      <c r="G63">
        <v>0.7</v>
      </c>
    </row>
    <row r="65">
      <c r="A65">
        <v>3</v>
      </c>
      <c r="B65" t="str">
        <v>JUMLAH VOLUME</v>
      </c>
      <c r="D65" t="str">
        <f>D53</f>
        <v>RUMAH</v>
      </c>
      <c r="E65" t="str">
        <f>E53</f>
        <v>B.SP.D</v>
      </c>
      <c r="F65" t="str">
        <f>F53</f>
        <v>B.SP.B</v>
      </c>
      <c r="G65" t="str">
        <f>G53</f>
        <v>B.BLK</v>
      </c>
    </row>
    <row r="66">
      <c r="B66" t="str">
        <v>Galian tanah</v>
      </c>
      <c r="C66" t="str">
        <v>m3</v>
      </c>
      <c r="D66">
        <f>D56*D57*D58</f>
        <v>143.22</v>
      </c>
      <c r="E66">
        <f>E56*E57*E58</f>
        <v>16.94</v>
      </c>
      <c r="F66">
        <f>F56*F57*F58</f>
        <v>7.7</v>
      </c>
      <c r="G66">
        <f>G56*G57*G58</f>
        <v>15.4</v>
      </c>
    </row>
    <row r="67">
      <c r="B67" t="str">
        <v>Urugan pasir</v>
      </c>
      <c r="C67" t="str">
        <v>m3</v>
      </c>
      <c r="D67">
        <f>+D56*D58*0.05</f>
        <v>6.51</v>
      </c>
      <c r="E67">
        <f>+E56*E58*0.05</f>
        <v>0.77</v>
      </c>
      <c r="F67">
        <f>+F56*F58*0.05</f>
        <v>0.35000000000000003</v>
      </c>
      <c r="G67">
        <f>+G56*G58*0.05</f>
        <v>0.7000000000000001</v>
      </c>
    </row>
    <row r="68">
      <c r="B68" t="str">
        <v>Aanstamping</v>
      </c>
      <c r="C68" t="str">
        <v>m3</v>
      </c>
      <c r="D68">
        <f>D56*D58*0.15</f>
        <v>19.529999999999998</v>
      </c>
      <c r="E68">
        <f>E56*E58*0.15</f>
        <v>2.3099999999999996</v>
      </c>
      <c r="F68">
        <f>F56*F58*0.15</f>
        <v>1.05</v>
      </c>
      <c r="G68">
        <f>G56*G58*0.15</f>
        <v>2.1</v>
      </c>
    </row>
    <row r="69">
      <c r="B69" t="str">
        <v>Pondasi</v>
      </c>
      <c r="C69" t="str">
        <v>m3</v>
      </c>
      <c r="D69">
        <f>((D61+D62)/2)*D63*D58</f>
        <v>58.58999999999999</v>
      </c>
      <c r="E69">
        <f>((E61+E62)/2)*E63*E58</f>
        <v>6.929999999999999</v>
      </c>
      <c r="F69">
        <f>((F61+F62)/2)*F63*F58</f>
        <v>3.1499999999999995</v>
      </c>
      <c r="G69">
        <f>((G61+G62)/2)*G63*G58</f>
        <v>6.299999999999999</v>
      </c>
    </row>
    <row r="70">
      <c r="B70" t="str">
        <v>Urugan tanah</v>
      </c>
      <c r="C70" t="str">
        <v>m3</v>
      </c>
      <c r="D70">
        <f>D66-D71</f>
        <v>58.59</v>
      </c>
      <c r="E70">
        <f>E66-E71</f>
        <v>6.930000000000003</v>
      </c>
      <c r="F70">
        <f>F66-F71</f>
        <v>3.1500000000000004</v>
      </c>
      <c r="G70">
        <f>G66-G71</f>
        <v>6.300000000000001</v>
      </c>
    </row>
    <row r="71">
      <c r="B71" t="str">
        <v>Pemindahan tanah</v>
      </c>
      <c r="C71" t="str">
        <v>m3</v>
      </c>
      <c r="D71">
        <f>D67+D68+D69</f>
        <v>84.63</v>
      </c>
      <c r="E71">
        <f>E67+E68+E69</f>
        <v>10.009999999999998</v>
      </c>
      <c r="F71">
        <f>F67+F68+F69</f>
        <v>4.55</v>
      </c>
      <c r="G71">
        <f>G67+G68+G69</f>
        <v>9.1</v>
      </c>
    </row>
    <row r="74">
      <c r="A74" t="str">
        <v>VOLUME PEKERJAAN PONDASI ROLLAG BATA</v>
      </c>
    </row>
    <row r="75">
      <c r="A75" t="str">
        <v xml:space="preserve"> NO</v>
      </c>
      <c r="B75" t="str">
        <v>URAIAN PEKERJAAN</v>
      </c>
      <c r="C75" t="str">
        <v>SAT</v>
      </c>
      <c r="D75" t="str">
        <v>RUMAH</v>
      </c>
    </row>
    <row r="77">
      <c r="A77">
        <v>1</v>
      </c>
      <c r="B77" t="str">
        <v xml:space="preserve">UKURAN GALIAN TANAH </v>
      </c>
    </row>
    <row r="78">
      <c r="B78" t="str">
        <v>Lebar</v>
      </c>
      <c r="C78" t="str">
        <v>m</v>
      </c>
      <c r="D78">
        <v>0.3</v>
      </c>
    </row>
    <row r="79">
      <c r="B79" t="str">
        <v>Tinggi</v>
      </c>
      <c r="C79" t="str">
        <v>m</v>
      </c>
      <c r="D79">
        <v>0.4</v>
      </c>
    </row>
    <row r="80">
      <c r="B80" t="str">
        <v>Panjang</v>
      </c>
      <c r="C80" t="str">
        <v>m</v>
      </c>
      <c r="D80">
        <v>35.5</v>
      </c>
    </row>
    <row r="82">
      <c r="A82">
        <v>2</v>
      </c>
      <c r="B82" t="str">
        <v>UKURAN PONDASI</v>
      </c>
    </row>
    <row r="83">
      <c r="B83" t="str">
        <v xml:space="preserve">Lebar </v>
      </c>
      <c r="C83" t="str">
        <v>m</v>
      </c>
      <c r="D83">
        <v>0.2</v>
      </c>
    </row>
    <row r="84">
      <c r="B84" t="str">
        <v>Tinggi</v>
      </c>
      <c r="C84" t="str">
        <v>m</v>
      </c>
      <c r="D84">
        <v>0.3</v>
      </c>
    </row>
    <row r="86">
      <c r="A86">
        <v>3</v>
      </c>
      <c r="B86" t="str">
        <v>JUMLAH VOLUME</v>
      </c>
      <c r="D86" t="str">
        <f>D75</f>
        <v>RUMAH</v>
      </c>
    </row>
    <row r="87">
      <c r="B87" t="str">
        <v>Galian tanah</v>
      </c>
      <c r="C87" t="str">
        <v>m3</v>
      </c>
      <c r="D87">
        <f>D78*D79*D80</f>
        <v>4.26</v>
      </c>
    </row>
    <row r="88">
      <c r="B88" t="str">
        <v>Urugan pasir</v>
      </c>
      <c r="C88" t="str">
        <v>m3</v>
      </c>
      <c r="D88">
        <f>+D78*D80*0.05</f>
        <v>0.5325000000000001</v>
      </c>
    </row>
    <row r="89">
      <c r="B89" t="str">
        <v>Lantai kerja</v>
      </c>
      <c r="C89" t="str">
        <v>m2</v>
      </c>
      <c r="D89">
        <f>D78*D80</f>
        <v>10.65</v>
      </c>
    </row>
    <row r="90">
      <c r="B90" t="str">
        <v>Pondasi</v>
      </c>
      <c r="C90" t="str">
        <v>m2</v>
      </c>
      <c r="D90">
        <f>D80*(D83+D84)</f>
        <v>17.75</v>
      </c>
    </row>
    <row r="91">
      <c r="B91" t="str">
        <v>Pleteran</v>
      </c>
      <c r="C91" t="str">
        <v>m2</v>
      </c>
      <c r="D91">
        <f>(D80*(D83+D84))*2</f>
        <v>35.5</v>
      </c>
    </row>
    <row r="92">
      <c r="B92" t="str">
        <v>Urugan tanah</v>
      </c>
      <c r="C92" t="str">
        <v>m3</v>
      </c>
      <c r="D92">
        <f>D87-D93</f>
        <v>1.4199999999999995</v>
      </c>
    </row>
    <row r="93">
      <c r="B93" t="str">
        <v>Pemindahan tanah</v>
      </c>
      <c r="C93" t="str">
        <v>m3</v>
      </c>
      <c r="D93">
        <f>D88+D88+(D90*0.1)</f>
        <v>2.8400000000000003</v>
      </c>
    </row>
    <row r="98">
      <c r="B98" t="str">
        <v>MUTU BAJA</v>
      </c>
      <c r="C98" t="str">
        <v>DIA</v>
      </c>
      <c r="D98" t="str">
        <v>KG/M</v>
      </c>
      <c r="E98" t="str">
        <v>40 D</v>
      </c>
    </row>
    <row r="99">
      <c r="B99" t="str">
        <v>U-24</v>
      </c>
      <c r="C99">
        <v>6</v>
      </c>
      <c r="D99">
        <v>0.22</v>
      </c>
      <c r="E99">
        <f>(C99*40)/1000</f>
        <v>0.24</v>
      </c>
    </row>
    <row r="100">
      <c r="C100">
        <v>8</v>
      </c>
      <c r="D100">
        <v>0.393</v>
      </c>
      <c r="E100">
        <f>(C100*40)/1000</f>
        <v>0.32</v>
      </c>
    </row>
    <row r="101">
      <c r="C101">
        <v>10</v>
      </c>
      <c r="D101">
        <f>IF(YEAR(NOW())=YEAR(NOW()),0.62,a)</f>
        <v>0.62</v>
      </c>
      <c r="E101">
        <f>(C101*40)/1000</f>
        <v>0.4</v>
      </c>
    </row>
    <row r="102">
      <c r="C102">
        <v>12</v>
      </c>
      <c r="D102">
        <v>0.887</v>
      </c>
      <c r="E102">
        <f>(C102*40)/1000</f>
        <v>0.48</v>
      </c>
    </row>
    <row r="103">
      <c r="B103" t="str">
        <v>U-39</v>
      </c>
      <c r="C103">
        <v>13</v>
      </c>
      <c r="D103">
        <v>0.992</v>
      </c>
      <c r="E103">
        <f>(C103*40)/1000</f>
        <v>0.52</v>
      </c>
    </row>
    <row r="104">
      <c r="C104">
        <v>16</v>
      </c>
      <c r="D104">
        <v>1.558</v>
      </c>
      <c r="E104">
        <f>(C104*40)/1000</f>
        <v>0.64</v>
      </c>
    </row>
    <row r="105">
      <c r="C105">
        <v>19</v>
      </c>
      <c r="D105">
        <v>2.25</v>
      </c>
      <c r="E105">
        <f>(C105*40)/1000</f>
        <v>0.76</v>
      </c>
    </row>
    <row r="106">
      <c r="C106">
        <v>22</v>
      </c>
      <c r="D106">
        <v>3.042</v>
      </c>
      <c r="E106">
        <f>(C106*40)/1000</f>
        <v>0.88</v>
      </c>
    </row>
    <row r="107">
      <c r="C107">
        <v>25</v>
      </c>
      <c r="D107">
        <v>3.983</v>
      </c>
      <c r="E107">
        <f>(C107*40)/1000</f>
        <v>1</v>
      </c>
    </row>
    <row r="108">
      <c r="C108">
        <v>29</v>
      </c>
      <c r="D108">
        <v>5.042</v>
      </c>
      <c r="E108">
        <f>(C108*40)/1000</f>
        <v>1.16</v>
      </c>
    </row>
    <row r="109">
      <c r="C109">
        <v>32</v>
      </c>
      <c r="D109">
        <v>6.233</v>
      </c>
      <c r="E109">
        <f>(C109*40)/1000</f>
        <v>1.28</v>
      </c>
    </row>
    <row r="112">
      <c r="A112" t="str">
        <v>VOLUME PEKERJAAN SLOOF</v>
      </c>
    </row>
    <row r="113">
      <c r="A113" t="str">
        <v>NO</v>
      </c>
      <c r="B113" t="str">
        <v>URAIAN PEKERJAAN</v>
      </c>
      <c r="C113" t="str">
        <v>SAT</v>
      </c>
      <c r="D113" t="str">
        <v>RUMAH</v>
      </c>
      <c r="E113" t="str">
        <v>B.SP.D</v>
      </c>
      <c r="F113" t="str">
        <v>B.SP.B</v>
      </c>
      <c r="G113" t="str">
        <v>B.BLK</v>
      </c>
    </row>
    <row r="115">
      <c r="A115">
        <v>1</v>
      </c>
      <c r="B115" t="str">
        <v>UKURAN</v>
      </c>
    </row>
    <row r="116">
      <c r="B116" t="str">
        <v>Lebar</v>
      </c>
      <c r="C116" t="str">
        <v>m</v>
      </c>
      <c r="D116">
        <v>0.15</v>
      </c>
      <c r="E116">
        <v>0.15</v>
      </c>
      <c r="F116">
        <v>0.15</v>
      </c>
      <c r="G116">
        <v>0.15</v>
      </c>
    </row>
    <row r="117">
      <c r="B117" t="str">
        <v>Tebal</v>
      </c>
      <c r="C117" t="str">
        <v>m</v>
      </c>
      <c r="D117">
        <v>0.2</v>
      </c>
      <c r="E117">
        <v>0.2</v>
      </c>
      <c r="F117">
        <v>0.2</v>
      </c>
      <c r="G117">
        <v>0.2</v>
      </c>
    </row>
    <row r="118">
      <c r="B118" t="str">
        <v>Panjang</v>
      </c>
      <c r="C118" t="str">
        <v>m'</v>
      </c>
      <c r="D118">
        <f>'A-QTY'!D58</f>
        <v>186</v>
      </c>
      <c r="E118">
        <f>'A-QTY'!E58</f>
        <v>22</v>
      </c>
      <c r="F118">
        <f>'A-QTY'!F58</f>
        <v>10</v>
      </c>
      <c r="G118">
        <f>'A-QTY'!G58</f>
        <v>20</v>
      </c>
    </row>
    <row r="119">
      <c r="B119" t="str">
        <v xml:space="preserve">Banyaknya </v>
      </c>
      <c r="C119" t="str">
        <v>bh</v>
      </c>
      <c r="D119">
        <v>1</v>
      </c>
      <c r="E119">
        <v>1</v>
      </c>
      <c r="F119">
        <v>1</v>
      </c>
      <c r="G119">
        <v>1</v>
      </c>
    </row>
    <row r="121">
      <c r="A121">
        <v>2</v>
      </c>
      <c r="B121" t="str">
        <v>TULANGAN MENERUS</v>
      </c>
    </row>
    <row r="122">
      <c r="B122" t="str">
        <v>Diameter</v>
      </c>
      <c r="C122" t="str">
        <v>mm</v>
      </c>
      <c r="D122">
        <v>10</v>
      </c>
      <c r="E122">
        <v>10</v>
      </c>
      <c r="F122">
        <v>10</v>
      </c>
      <c r="G122">
        <v>10</v>
      </c>
    </row>
    <row r="123">
      <c r="B123" t="str">
        <v>Berat</v>
      </c>
      <c r="C123" t="str">
        <v>kg/m</v>
      </c>
      <c r="D123">
        <f>VLOOKUP(D122,$C$99:$D$109,2)</f>
        <v>0.62</v>
      </c>
      <c r="E123">
        <f>VLOOKUP(E122,$C$99:$D$109,2)</f>
        <v>0.62</v>
      </c>
      <c r="F123">
        <f>VLOOKUP(F122,$C$99:$D$109,2)</f>
        <v>0.62</v>
      </c>
      <c r="G123">
        <f>VLOOKUP(G122,$C$99:$D$109,2)</f>
        <v>0.62</v>
      </c>
    </row>
    <row r="124">
      <c r="B124" t="str">
        <v>Sambungan</v>
      </c>
      <c r="C124" t="str">
        <v>%</v>
      </c>
      <c r="D124">
        <v>0.05</v>
      </c>
      <c r="E124">
        <v>0.05</v>
      </c>
      <c r="F124">
        <v>0.05</v>
      </c>
      <c r="G124">
        <v>0.05</v>
      </c>
    </row>
    <row r="125">
      <c r="B125" t="str">
        <v>Panjang tulangan</v>
      </c>
      <c r="C125" t="str">
        <v>m</v>
      </c>
      <c r="D125">
        <f>(D118*D124)+D118</f>
        <v>195.3</v>
      </c>
      <c r="E125">
        <f>(E118*E124)+E118</f>
        <v>23.1</v>
      </c>
      <c r="F125">
        <f>(F118*F124)+F118</f>
        <v>10.5</v>
      </c>
      <c r="G125">
        <f>(G118*G124)+G118</f>
        <v>21</v>
      </c>
    </row>
    <row r="126">
      <c r="B126" t="str">
        <v xml:space="preserve">Jumlah tulangan </v>
      </c>
      <c r="C126" t="str">
        <v>bh</v>
      </c>
      <c r="D126">
        <v>4</v>
      </c>
      <c r="E126">
        <v>4</v>
      </c>
      <c r="F126">
        <v>4</v>
      </c>
      <c r="G126">
        <v>4</v>
      </c>
    </row>
    <row r="127">
      <c r="B127" t="str">
        <v>Jumlah berat</v>
      </c>
      <c r="C127" t="str">
        <v>kg</v>
      </c>
      <c r="D127">
        <f>D119*D123*D125*D126</f>
        <v>484.34400000000005</v>
      </c>
      <c r="E127">
        <f>E119*E123*E125*E126</f>
        <v>57.288000000000004</v>
      </c>
      <c r="F127">
        <f>F119*F123*F125*F126</f>
        <v>26.04</v>
      </c>
      <c r="G127">
        <f>G119*G123*G125*G126</f>
        <v>52.08</v>
      </c>
    </row>
    <row r="128">
      <c r="B128" t="str">
        <v>Jumlah batang</v>
      </c>
      <c r="C128" t="str">
        <v>bt</v>
      </c>
      <c r="D128">
        <f>D127/(D123*12)</f>
        <v>65.10000000000001</v>
      </c>
      <c r="E128">
        <f>E127/(E123*12)</f>
        <v>7.700000000000001</v>
      </c>
      <c r="F128">
        <f>F127/(F123*12)</f>
        <v>3.5</v>
      </c>
      <c r="G128">
        <f>G127/(G123*12)</f>
        <v>7</v>
      </c>
    </row>
    <row r="130">
      <c r="A130">
        <v>3</v>
      </c>
      <c r="B130" t="str">
        <v>TULANGAN TUMPUAN</v>
      </c>
    </row>
    <row r="131">
      <c r="B131" t="str">
        <v>Diameter</v>
      </c>
      <c r="C131" t="str">
        <v>mm</v>
      </c>
      <c r="D131">
        <v>10</v>
      </c>
      <c r="E131">
        <v>10</v>
      </c>
      <c r="F131">
        <v>10</v>
      </c>
      <c r="G131">
        <v>10</v>
      </c>
    </row>
    <row r="132">
      <c r="B132" t="str">
        <v>Berat</v>
      </c>
      <c r="C132" t="str">
        <v>kg/m</v>
      </c>
      <c r="D132">
        <f>VLOOKUP(D131,$C$99:$D$109,2)</f>
        <v>0.62</v>
      </c>
      <c r="E132">
        <f>VLOOKUP(E131,$C$99:$D$109,2)</f>
        <v>0.62</v>
      </c>
      <c r="F132">
        <f>VLOOKUP(F131,$C$99:$D$109,2)</f>
        <v>0.62</v>
      </c>
      <c r="G132">
        <f>VLOOKUP(G131,$C$99:$D$109,2)</f>
        <v>0.62</v>
      </c>
    </row>
    <row r="133">
      <c r="B133" t="str">
        <v>Sambungan</v>
      </c>
      <c r="C133" t="str">
        <v>%</v>
      </c>
      <c r="D133">
        <v>0.05</v>
      </c>
      <c r="E133">
        <v>0.05</v>
      </c>
      <c r="F133">
        <v>0.05</v>
      </c>
      <c r="G133">
        <v>0.05</v>
      </c>
    </row>
    <row r="134">
      <c r="B134" t="str">
        <v>Panjang tulangan</v>
      </c>
      <c r="C134" t="str">
        <v>m</v>
      </c>
      <c r="D134">
        <f>((D117+(D118*0.25))*D133)+((D117+(D118*0.25)))</f>
        <v>49.035000000000004</v>
      </c>
      <c r="E134">
        <f>((E117+(E118*0.25))*E133)+((E117+(E118*0.25)))</f>
        <v>5.985</v>
      </c>
      <c r="F134">
        <f>((F117+(F118*0.25))*F133)+((F117+(F118*0.25)))</f>
        <v>2.835</v>
      </c>
      <c r="G134">
        <f>((G117+(G118*0.25))*G133)+((G117+(G118*0.25)))</f>
        <v>5.46</v>
      </c>
    </row>
    <row r="135">
      <c r="B135" t="str">
        <v xml:space="preserve">Jumlah tulangan </v>
      </c>
      <c r="C135" t="str">
        <v>bh</v>
      </c>
    </row>
    <row r="136">
      <c r="B136" t="str">
        <v>Jumlah berat</v>
      </c>
      <c r="C136" t="str">
        <v>kg</v>
      </c>
      <c r="D136">
        <f>D119*D132*D134*D135</f>
        <v>0</v>
      </c>
      <c r="E136">
        <f>E119*E132*E134*E135</f>
        <v>0</v>
      </c>
      <c r="F136">
        <f>F119*F132*F134*F135</f>
        <v>0</v>
      </c>
      <c r="G136">
        <f>G119*G132*G134*G135</f>
        <v>0</v>
      </c>
    </row>
    <row r="137">
      <c r="B137" t="str">
        <v>Jumlah batang</v>
      </c>
      <c r="C137" t="str">
        <v>bt</v>
      </c>
      <c r="D137">
        <f>D136/(D132*12)</f>
        <v>0</v>
      </c>
      <c r="E137">
        <f>E136/(E132*12)</f>
        <v>0</v>
      </c>
      <c r="F137">
        <f>F136/(F132*12)</f>
        <v>0</v>
      </c>
      <c r="G137">
        <f>G136/(G132*12)</f>
        <v>0</v>
      </c>
    </row>
    <row r="139">
      <c r="A139">
        <v>4</v>
      </c>
      <c r="B139" t="str">
        <v>TULANGAN LAPANGAN</v>
      </c>
    </row>
    <row r="140">
      <c r="B140" t="str">
        <v>Diameter</v>
      </c>
      <c r="C140" t="str">
        <v>mm</v>
      </c>
      <c r="D140">
        <v>10</v>
      </c>
      <c r="E140">
        <v>10</v>
      </c>
      <c r="F140">
        <v>10</v>
      </c>
      <c r="G140">
        <v>10</v>
      </c>
    </row>
    <row r="141">
      <c r="B141" t="str">
        <v>Berat</v>
      </c>
      <c r="C141" t="str">
        <v>kg/m</v>
      </c>
      <c r="D141">
        <f>VLOOKUP(D140,$C$99:$D$109,2)</f>
        <v>0.62</v>
      </c>
      <c r="E141">
        <f>VLOOKUP(E140,$C$99:$D$109,2)</f>
        <v>0.62</v>
      </c>
      <c r="F141">
        <f>VLOOKUP(F140,$C$99:$D$109,2)</f>
        <v>0.62</v>
      </c>
      <c r="G141">
        <f>VLOOKUP(G140,$C$99:$D$109,2)</f>
        <v>0.62</v>
      </c>
    </row>
    <row r="142">
      <c r="B142" t="str">
        <v>Sambungan</v>
      </c>
      <c r="C142" t="str">
        <v>%</v>
      </c>
      <c r="D142">
        <v>0.05</v>
      </c>
      <c r="E142">
        <v>0.05</v>
      </c>
      <c r="F142">
        <v>0.05</v>
      </c>
      <c r="G142">
        <v>0.05</v>
      </c>
    </row>
    <row r="143">
      <c r="B143" t="str">
        <v>Panjang tulangan</v>
      </c>
      <c r="C143" t="str">
        <v>m</v>
      </c>
      <c r="D143">
        <f>((D118*0.6*D142)+(D118*0.6))</f>
        <v>117.17999999999999</v>
      </c>
      <c r="E143">
        <f>((E118*0.6*E142)+(E118*0.6))</f>
        <v>13.86</v>
      </c>
      <c r="F143">
        <f>((F118*0.6*F142)+(F118*0.6))</f>
        <v>6.3</v>
      </c>
      <c r="G143">
        <f>((G118*0.6*G142)+(G118*0.6))</f>
        <v>12.6</v>
      </c>
    </row>
    <row r="144">
      <c r="B144" t="str">
        <v xml:space="preserve">Jumlah tulangan </v>
      </c>
      <c r="C144" t="str">
        <v>bh</v>
      </c>
    </row>
    <row r="145">
      <c r="B145" t="str">
        <v>Jumlah berat</v>
      </c>
      <c r="C145" t="str">
        <v>kg</v>
      </c>
      <c r="D145">
        <f>D119*D141*D143*D144</f>
        <v>0</v>
      </c>
      <c r="E145">
        <f>E119*E141*E143*E144</f>
        <v>0</v>
      </c>
      <c r="F145">
        <f>F119*F141*F143*F144</f>
        <v>0</v>
      </c>
      <c r="G145">
        <f>G119*G141*G143*G144</f>
        <v>0</v>
      </c>
    </row>
    <row r="146">
      <c r="B146" t="str">
        <v>Jumlah batang</v>
      </c>
      <c r="C146" t="str">
        <v>bt</v>
      </c>
      <c r="D146">
        <f>D145/(D141*12)</f>
        <v>0</v>
      </c>
      <c r="E146">
        <f>E145/(E141*12)</f>
        <v>0</v>
      </c>
      <c r="F146">
        <f>F145/(F141*12)</f>
        <v>0</v>
      </c>
      <c r="G146">
        <f>G145/(G141*12)</f>
        <v>0</v>
      </c>
    </row>
    <row r="148">
      <c r="A148">
        <v>6</v>
      </c>
      <c r="B148" t="str">
        <v>TULANGAN SENGKANG</v>
      </c>
    </row>
    <row r="149">
      <c r="B149" t="str">
        <v>Diameter</v>
      </c>
      <c r="C149" t="str">
        <v>mm</v>
      </c>
      <c r="D149">
        <v>8</v>
      </c>
      <c r="E149">
        <v>8</v>
      </c>
      <c r="F149">
        <v>8</v>
      </c>
      <c r="G149">
        <v>8</v>
      </c>
    </row>
    <row r="150">
      <c r="B150" t="str">
        <v>Berat</v>
      </c>
      <c r="C150" t="str">
        <v>kg/m</v>
      </c>
      <c r="D150">
        <f>VLOOKUP(D149,$C$99:$D$109,2)</f>
        <v>0.393</v>
      </c>
      <c r="E150">
        <f>VLOOKUP(E149,$C$99:$D$109,2)</f>
        <v>0.393</v>
      </c>
      <c r="F150">
        <f>VLOOKUP(F149,$C$99:$D$109,2)</f>
        <v>0.393</v>
      </c>
      <c r="G150">
        <f>VLOOKUP(G149,$C$99:$D$109,2)</f>
        <v>0.393</v>
      </c>
    </row>
    <row r="151">
      <c r="B151" t="str">
        <v>Sambungan</v>
      </c>
      <c r="C151" t="str">
        <v>%</v>
      </c>
      <c r="D151">
        <v>0.05</v>
      </c>
      <c r="E151">
        <v>0.05</v>
      </c>
      <c r="F151">
        <v>0.05</v>
      </c>
      <c r="G151">
        <v>0.05</v>
      </c>
    </row>
    <row r="152">
      <c r="B152" t="str">
        <v>Jarak sengkang</v>
      </c>
      <c r="C152" t="str">
        <v>m</v>
      </c>
      <c r="D152">
        <v>0.15</v>
      </c>
      <c r="E152">
        <v>0.15</v>
      </c>
      <c r="F152">
        <v>0.15</v>
      </c>
      <c r="G152">
        <v>0.15</v>
      </c>
    </row>
    <row r="153">
      <c r="B153" t="str">
        <v>Panjang sengkang</v>
      </c>
      <c r="C153" t="str">
        <v>m'</v>
      </c>
      <c r="D153">
        <f>(((D116+D117)*2)*D151)+((D116+D117)*2)</f>
        <v>0.735</v>
      </c>
      <c r="E153">
        <f>(((E116+E117)*2)*E151)+((E116+E117)*2)</f>
        <v>0.735</v>
      </c>
      <c r="F153">
        <f>(((F116+F117)*2)*F151)+((F116+F117)*2)</f>
        <v>0.735</v>
      </c>
      <c r="G153">
        <f>(((G116+G117)*2)*G151)+((G116+G117)*2)</f>
        <v>0.735</v>
      </c>
    </row>
    <row r="154">
      <c r="B154" t="str">
        <v>Jumlah sengkang</v>
      </c>
      <c r="C154" t="str">
        <v>bh</v>
      </c>
      <c r="D154">
        <f>INT((D118/D152)+1)</f>
        <v>1241</v>
      </c>
      <c r="E154">
        <f>INT((E118/E152)+1)</f>
        <v>147</v>
      </c>
      <c r="F154">
        <f>INT((F118/F152)+1)</f>
        <v>67</v>
      </c>
      <c r="G154">
        <f>INT((G118/G152)+1)</f>
        <v>134</v>
      </c>
    </row>
    <row r="155">
      <c r="B155" t="str">
        <v>Jumlah berat</v>
      </c>
      <c r="C155" t="str">
        <v>kg</v>
      </c>
      <c r="D155">
        <f>D119*D150*D153*D154</f>
        <v>358.469055</v>
      </c>
      <c r="E155">
        <f>E119*E150*E153*E154</f>
        <v>42.461685</v>
      </c>
      <c r="F155">
        <f>F119*F150*F153*F154</f>
        <v>19.353285000000003</v>
      </c>
      <c r="G155">
        <f>G119*G150*G153*G154</f>
        <v>38.706570000000006</v>
      </c>
    </row>
    <row r="156">
      <c r="B156" t="str">
        <v>Jumlah batang</v>
      </c>
      <c r="C156" t="str">
        <v>bt</v>
      </c>
      <c r="D156">
        <f>D155/(D150*12)</f>
        <v>76.01125</v>
      </c>
      <c r="E156">
        <f>E155/(E150*12)</f>
        <v>9.00375</v>
      </c>
      <c r="F156">
        <f>F155/(F150*12)</f>
        <v>4.103750000000001</v>
      </c>
      <c r="G156">
        <f>G155/(G150*12)</f>
        <v>8.207500000000001</v>
      </c>
    </row>
    <row r="158">
      <c r="A158">
        <v>7</v>
      </c>
      <c r="B158" t="str">
        <v>JUMLAH VOLUME</v>
      </c>
      <c r="D158" t="str">
        <f>D113</f>
        <v>RUMAH</v>
      </c>
      <c r="E158" t="str">
        <f>E113</f>
        <v>B.SP.D</v>
      </c>
      <c r="F158" t="str">
        <f>F113</f>
        <v>B.SP.B</v>
      </c>
      <c r="G158" t="str">
        <f>G113</f>
        <v>B.BLK</v>
      </c>
    </row>
    <row r="159">
      <c r="B159" t="str">
        <v>Begisting</v>
      </c>
      <c r="C159" t="str">
        <v>m2</v>
      </c>
      <c r="D159">
        <f>(D117*2)*D118*D119</f>
        <v>74.4</v>
      </c>
      <c r="E159">
        <f>(E117*2)*E118*E119</f>
        <v>8.8</v>
      </c>
      <c r="F159">
        <f>(F117*2)*F118*F119</f>
        <v>4</v>
      </c>
      <c r="G159">
        <f>(G117*2)*G118*G119</f>
        <v>8</v>
      </c>
    </row>
    <row r="160">
      <c r="B160" t="str">
        <v>Tulangan</v>
      </c>
      <c r="C160" t="str">
        <v>kg</v>
      </c>
      <c r="D160">
        <f>D127+D136+D145+D155</f>
        <v>842.8130550000001</v>
      </c>
      <c r="E160">
        <f>E127+E136+E145+E155</f>
        <v>99.749685</v>
      </c>
      <c r="F160">
        <f>F127+F136+F145+F155</f>
        <v>45.393285000000006</v>
      </c>
      <c r="G160">
        <f>G127+G136+G145+G155</f>
        <v>90.78657000000001</v>
      </c>
    </row>
    <row r="161">
      <c r="B161" t="str">
        <v>Cor beton</v>
      </c>
      <c r="C161" t="str">
        <v>m3</v>
      </c>
      <c r="D161">
        <f>D116*D117*D118*D119</f>
        <v>5.58</v>
      </c>
      <c r="E161">
        <f>E116*E117*E118*E119</f>
        <v>0.6599999999999999</v>
      </c>
      <c r="F161">
        <f>F116*F117*F118*F119</f>
        <v>0.3</v>
      </c>
      <c r="G161">
        <f>G116*G117*G118*G119</f>
        <v>0.6</v>
      </c>
    </row>
    <row r="164">
      <c r="A164" t="str">
        <v>VOLUME PEKERJAAN KOLOM</v>
      </c>
    </row>
    <row r="165">
      <c r="A165" t="str">
        <v>NO</v>
      </c>
      <c r="C165" t="str">
        <v>SAT</v>
      </c>
      <c r="D165" t="str">
        <v>RUMAH</v>
      </c>
      <c r="E165" t="str">
        <v>B.SP.D</v>
      </c>
      <c r="F165" t="str">
        <v>B.SP.B</v>
      </c>
      <c r="G165" t="str">
        <v>B.BLK</v>
      </c>
    </row>
    <row r="167">
      <c r="A167">
        <v>1</v>
      </c>
      <c r="B167" t="str">
        <v>UKURAN</v>
      </c>
    </row>
    <row r="168">
      <c r="B168" t="str">
        <v>Lebar</v>
      </c>
      <c r="C168" t="str">
        <v>m</v>
      </c>
      <c r="D168">
        <v>0.15</v>
      </c>
      <c r="E168">
        <v>0.15</v>
      </c>
      <c r="F168">
        <v>0.15</v>
      </c>
      <c r="G168">
        <v>0.15</v>
      </c>
    </row>
    <row r="169">
      <c r="B169" t="str">
        <v>Panjang</v>
      </c>
      <c r="C169" t="str">
        <v>m</v>
      </c>
      <c r="D169">
        <v>0.15</v>
      </c>
      <c r="E169">
        <v>0.15</v>
      </c>
      <c r="F169">
        <v>0.15</v>
      </c>
      <c r="G169">
        <v>0.15</v>
      </c>
    </row>
    <row r="170">
      <c r="B170" t="str">
        <v>Tinggi</v>
      </c>
      <c r="C170" t="str">
        <v>m'</v>
      </c>
      <c r="D170">
        <v>4</v>
      </c>
      <c r="E170">
        <v>3</v>
      </c>
      <c r="F170">
        <v>3</v>
      </c>
      <c r="G170">
        <v>3</v>
      </c>
    </row>
    <row r="171">
      <c r="B171" t="str">
        <v>Banyaknya</v>
      </c>
      <c r="C171" t="str">
        <v>bh</v>
      </c>
      <c r="D171">
        <v>64</v>
      </c>
      <c r="E171">
        <v>7</v>
      </c>
      <c r="F171">
        <v>2</v>
      </c>
      <c r="G171">
        <v>8</v>
      </c>
    </row>
    <row r="173">
      <c r="A173">
        <v>2</v>
      </c>
      <c r="B173" t="str">
        <v>TULANGAN UTAMA</v>
      </c>
    </row>
    <row r="174">
      <c r="B174" t="str">
        <v>Diameter</v>
      </c>
      <c r="C174" t="str">
        <v>mm</v>
      </c>
      <c r="D174">
        <v>10</v>
      </c>
      <c r="E174">
        <v>10</v>
      </c>
      <c r="F174">
        <v>10</v>
      </c>
      <c r="G174">
        <v>10</v>
      </c>
    </row>
    <row r="175">
      <c r="B175" t="str">
        <v>Berat</v>
      </c>
      <c r="C175" t="str">
        <v>kg/m'</v>
      </c>
      <c r="D175">
        <f>VLOOKUP(D174,$C$99:$D$109,2)</f>
        <v>0.62</v>
      </c>
      <c r="E175">
        <f>VLOOKUP(E174,$C$99:$D$109,2)</f>
        <v>0.62</v>
      </c>
      <c r="F175">
        <f>VLOOKUP(F174,$C$99:$D$109,2)</f>
        <v>0.62</v>
      </c>
      <c r="G175">
        <f>VLOOKUP(G174,$C$99:$D$109,2)</f>
        <v>0.62</v>
      </c>
    </row>
    <row r="176">
      <c r="B176" t="str">
        <v>Tiggi ring balk</v>
      </c>
      <c r="C176" t="str">
        <v>m</v>
      </c>
      <c r="D176">
        <v>0.11</v>
      </c>
      <c r="E176">
        <v>0.11</v>
      </c>
      <c r="F176">
        <v>0.11</v>
      </c>
      <c r="G176">
        <v>0.11</v>
      </c>
    </row>
    <row r="177">
      <c r="B177" t="str">
        <v>Panjang stek 40 d</v>
      </c>
      <c r="C177" t="str">
        <v>m'</v>
      </c>
      <c r="D177">
        <f>D174*0.04</f>
        <v>0.4</v>
      </c>
      <c r="E177">
        <f>E174*0.04</f>
        <v>0.4</v>
      </c>
      <c r="F177">
        <f>F174*0.04</f>
        <v>0.4</v>
      </c>
      <c r="G177">
        <f>G174*0.04</f>
        <v>0.4</v>
      </c>
    </row>
    <row r="178">
      <c r="B178" t="str">
        <v>Sambungan</v>
      </c>
      <c r="C178" t="str">
        <v>%</v>
      </c>
      <c r="D178">
        <v>0.05</v>
      </c>
      <c r="E178">
        <v>0.05</v>
      </c>
      <c r="F178">
        <v>0.05</v>
      </c>
      <c r="G178">
        <v>0.05</v>
      </c>
    </row>
    <row r="179">
      <c r="B179" t="str">
        <v>Panjang tulangan</v>
      </c>
      <c r="C179" t="str">
        <v>m'</v>
      </c>
      <c r="D179">
        <f>((D170+D176+D177)*D178)+(D170+D176+D177)</f>
        <v>4.735500000000001</v>
      </c>
      <c r="E179">
        <f>((E170+E176+E177)*E178)+(E170+E176+E177)</f>
        <v>3.6854999999999998</v>
      </c>
      <c r="F179">
        <f>((F170+F176+F177)*F178)+(F170+F176+F177)</f>
        <v>3.6854999999999998</v>
      </c>
      <c r="G179">
        <f>((G170+G176+G177)*G178)+(G170+G176+G177)</f>
        <v>3.6854999999999998</v>
      </c>
    </row>
    <row r="180">
      <c r="B180" t="str">
        <v xml:space="preserve">Jumlah tulangan </v>
      </c>
      <c r="C180" t="str">
        <v>bh</v>
      </c>
      <c r="D180">
        <v>4</v>
      </c>
      <c r="E180">
        <v>4</v>
      </c>
      <c r="F180">
        <v>4</v>
      </c>
      <c r="G180">
        <v>4</v>
      </c>
    </row>
    <row r="181">
      <c r="B181" t="str">
        <v>Jumlah berat</v>
      </c>
      <c r="C181" t="str">
        <v>kg</v>
      </c>
      <c r="D181">
        <f>D171*D175*D179*D180</f>
        <v>751.6185600000001</v>
      </c>
      <c r="E181">
        <f>E171*E175*E179*E180</f>
        <v>63.98027999999999</v>
      </c>
      <c r="F181">
        <f>F171*F175*F179*F180</f>
        <v>18.280079999999998</v>
      </c>
      <c r="G181">
        <f>G171*G175*G179*G180</f>
        <v>73.12031999999999</v>
      </c>
    </row>
    <row r="182">
      <c r="B182" t="str">
        <v>Jumlah batang</v>
      </c>
      <c r="C182" t="str">
        <v>bt</v>
      </c>
      <c r="D182">
        <f>D181/(D175*12)</f>
        <v>101.02400000000003</v>
      </c>
      <c r="E182">
        <f>E181/(E175*12)</f>
        <v>8.599499999999999</v>
      </c>
      <c r="F182">
        <f>F181/(F175*12)</f>
        <v>2.457</v>
      </c>
      <c r="G182">
        <f>G181/(G175*12)</f>
        <v>9.828</v>
      </c>
    </row>
    <row r="184">
      <c r="A184">
        <v>3</v>
      </c>
      <c r="B184" t="str">
        <v>TULANGAN SENGKANG</v>
      </c>
    </row>
    <row r="185">
      <c r="B185" t="str">
        <v>Diameter</v>
      </c>
      <c r="C185" t="str">
        <v>mm</v>
      </c>
      <c r="D185">
        <v>8</v>
      </c>
      <c r="E185">
        <v>8</v>
      </c>
      <c r="F185">
        <v>8</v>
      </c>
      <c r="G185">
        <v>8</v>
      </c>
    </row>
    <row r="186">
      <c r="B186" t="str">
        <v>Berat</v>
      </c>
      <c r="C186" t="str">
        <v>kg/m'</v>
      </c>
      <c r="D186">
        <f>VLOOKUP(D185,$C$99:$D$109,2)</f>
        <v>0.393</v>
      </c>
      <c r="E186">
        <f>VLOOKUP(E185,$C$99:$D$109,2)</f>
        <v>0.393</v>
      </c>
      <c r="F186">
        <f>VLOOKUP(F185,$C$99:$D$109,2)</f>
        <v>0.393</v>
      </c>
      <c r="G186">
        <f>VLOOKUP(G185,$C$99:$D$109,2)</f>
        <v>0.393</v>
      </c>
    </row>
    <row r="187">
      <c r="B187" t="str">
        <v>Sambungan</v>
      </c>
      <c r="C187" t="str">
        <v>%</v>
      </c>
      <c r="D187">
        <v>0.05</v>
      </c>
      <c r="E187">
        <v>0.05</v>
      </c>
      <c r="F187">
        <v>0.05</v>
      </c>
      <c r="G187">
        <v>0.05</v>
      </c>
    </row>
    <row r="188">
      <c r="B188" t="str">
        <v>Jarak sengkang</v>
      </c>
      <c r="C188" t="str">
        <v>m</v>
      </c>
      <c r="D188">
        <v>0.15</v>
      </c>
      <c r="E188">
        <v>0.15</v>
      </c>
      <c r="F188">
        <v>0.15</v>
      </c>
      <c r="G188">
        <v>0.15</v>
      </c>
    </row>
    <row r="189">
      <c r="B189" t="str">
        <v>Panjang sengkang</v>
      </c>
      <c r="C189" t="str">
        <v>m'</v>
      </c>
      <c r="D189">
        <f>((D168+D169)*2)*D187+(D168+D169)*2</f>
        <v>0.63</v>
      </c>
      <c r="E189">
        <f>((E168+E169)*2)*E187+(E168+E169)*2</f>
        <v>0.63</v>
      </c>
      <c r="F189">
        <f>((F168+F169)*2)*F187+(F168+F169)*2</f>
        <v>0.63</v>
      </c>
      <c r="G189">
        <f>((G168+G169)*2)*G187+(G168+G169)*2</f>
        <v>0.63</v>
      </c>
    </row>
    <row r="190">
      <c r="B190" t="str">
        <v>Jumlah sengkang</v>
      </c>
      <c r="C190" t="str">
        <v>bh</v>
      </c>
      <c r="D190">
        <f>INT((D170/D188)+1)</f>
        <v>27</v>
      </c>
      <c r="E190">
        <f>INT((E170/E188)+1)</f>
        <v>21</v>
      </c>
      <c r="F190">
        <f>INT((F170/F188)+1)</f>
        <v>21</v>
      </c>
      <c r="G190">
        <f>INT((G170/G188)+1)</f>
        <v>21</v>
      </c>
    </row>
    <row r="191">
      <c r="B191" t="str">
        <v>Jumlah berat</v>
      </c>
      <c r="C191" t="str">
        <v>kg</v>
      </c>
      <c r="D191">
        <f>D171*D186*D189*D190</f>
        <v>427.83552000000003</v>
      </c>
      <c r="E191">
        <f>E171*E186*E189*E190</f>
        <v>36.39573000000001</v>
      </c>
      <c r="F191">
        <f>F171*F186*F189*F190</f>
        <v>10.39878</v>
      </c>
      <c r="G191">
        <f>G171*G186*G189*G190</f>
        <v>41.59512</v>
      </c>
    </row>
    <row r="192">
      <c r="B192" t="str">
        <v>Jumlah batang</v>
      </c>
      <c r="C192" t="str">
        <v>bt</v>
      </c>
      <c r="D192">
        <f>D191/(D186*12)</f>
        <v>90.72</v>
      </c>
      <c r="E192">
        <f>E191/(E186*12)</f>
        <v>7.717500000000001</v>
      </c>
      <c r="F192">
        <f>F191/(F186*12)</f>
        <v>2.205</v>
      </c>
      <c r="G192">
        <f>G191/(G186*12)</f>
        <v>8.82</v>
      </c>
    </row>
    <row r="194">
      <c r="A194">
        <v>4</v>
      </c>
      <c r="B194" t="str">
        <v>JUMLAH VOLUME</v>
      </c>
      <c r="D194" t="str">
        <f>D165</f>
        <v>RUMAH</v>
      </c>
      <c r="E194" t="str">
        <f>E165</f>
        <v>B.SP.D</v>
      </c>
      <c r="F194" t="str">
        <f>F165</f>
        <v>B.SP.B</v>
      </c>
      <c r="G194" t="str">
        <f>G165</f>
        <v>B.BLK</v>
      </c>
    </row>
    <row r="195">
      <c r="B195" t="str">
        <v>Begisting</v>
      </c>
      <c r="C195" t="str">
        <v>m2</v>
      </c>
      <c r="D195">
        <f>(((D168+D169))*D170)*D171</f>
        <v>76.8</v>
      </c>
      <c r="E195">
        <f>(((E168+E169))*E170)*E171</f>
        <v>6.299999999999999</v>
      </c>
      <c r="F195">
        <f>(((F168+F169))*F170)*F171</f>
        <v>1.7999999999999998</v>
      </c>
      <c r="G195">
        <f>(((G168+G169))*G170)*G171</f>
        <v>7.199999999999999</v>
      </c>
      <c r="L195">
        <f>SUM(D195:G195)</f>
        <v>92.1</v>
      </c>
    </row>
    <row r="196">
      <c r="B196" t="str">
        <v>Tulangan</v>
      </c>
      <c r="C196" t="str">
        <v>kg</v>
      </c>
      <c r="D196">
        <f>D181+D191</f>
        <v>1179.4540800000002</v>
      </c>
      <c r="E196">
        <f>E181+E191</f>
        <v>100.37601000000001</v>
      </c>
      <c r="F196">
        <f>F181+F191</f>
        <v>28.67886</v>
      </c>
      <c r="G196">
        <f>G181+G191</f>
        <v>114.71544</v>
      </c>
      <c r="L196">
        <f>SUM(D196:G196)</f>
        <v>1423.22439</v>
      </c>
    </row>
    <row r="197">
      <c r="B197" t="str">
        <v>Cor beton</v>
      </c>
      <c r="C197" t="str">
        <v>m3</v>
      </c>
      <c r="D197">
        <f>(D168*D169*D170)*D171</f>
        <v>5.76</v>
      </c>
      <c r="E197">
        <f>(E168*E169*E170)*E171</f>
        <v>0.47250000000000003</v>
      </c>
      <c r="F197">
        <f>(F168*F169*F170)*F171</f>
        <v>0.135</v>
      </c>
      <c r="G197">
        <f>(G168*G169*G170)*G171</f>
        <v>0.54</v>
      </c>
      <c r="L197">
        <f>SUM(D197:G197)</f>
        <v>6.9075</v>
      </c>
    </row>
    <row r="200">
      <c r="A200" t="str">
        <v>VOLUME PEKERJAAN RINGBALK</v>
      </c>
    </row>
    <row r="201">
      <c r="A201" t="str">
        <v>NO</v>
      </c>
      <c r="B201" t="str">
        <v>URAIAN PEKERJAAN</v>
      </c>
      <c r="C201" t="str">
        <v>SAT</v>
      </c>
      <c r="D201" t="str">
        <v>RUMAH</v>
      </c>
      <c r="E201" t="str">
        <v>AMPIQ</v>
      </c>
      <c r="F201" t="str">
        <v>B.SP.D</v>
      </c>
      <c r="G201" t="str">
        <v>B.SP.B</v>
      </c>
      <c r="H201" t="str">
        <v>B.BLK</v>
      </c>
    </row>
    <row r="203">
      <c r="A203">
        <v>1</v>
      </c>
      <c r="B203" t="str">
        <v>UKURAN</v>
      </c>
    </row>
    <row r="204">
      <c r="B204" t="str">
        <v>Lebar</v>
      </c>
      <c r="C204" t="str">
        <v>m</v>
      </c>
      <c r="D204">
        <v>0.15</v>
      </c>
      <c r="E204">
        <v>0.15</v>
      </c>
      <c r="F204">
        <v>0.15</v>
      </c>
      <c r="G204">
        <v>0.15</v>
      </c>
      <c r="H204">
        <v>0.15</v>
      </c>
    </row>
    <row r="205">
      <c r="B205" t="str">
        <v>Tebal</v>
      </c>
      <c r="C205" t="str">
        <v>m</v>
      </c>
      <c r="D205">
        <v>0.2</v>
      </c>
      <c r="E205">
        <v>0.2</v>
      </c>
      <c r="F205">
        <v>0.2</v>
      </c>
      <c r="G205">
        <v>0.2</v>
      </c>
      <c r="H205">
        <v>0.2</v>
      </c>
    </row>
    <row r="206">
      <c r="B206" t="str">
        <v>Panjang</v>
      </c>
      <c r="C206" t="str">
        <v>m'</v>
      </c>
      <c r="D206">
        <f>'A-QTY'!B320</f>
        <v>186</v>
      </c>
      <c r="E206">
        <f>(2*3)+(1.5*12)+(3*2)+(22*1)+(14*3)+(10*1)+(3.5*1)</f>
        <v>107.5</v>
      </c>
      <c r="F206">
        <f>'A-QTY'!J320</f>
        <v>22</v>
      </c>
      <c r="G206">
        <f>'A-QTY'!N320</f>
        <v>10</v>
      </c>
      <c r="H206">
        <f>'A-QTY'!R320</f>
        <v>20</v>
      </c>
    </row>
    <row r="207">
      <c r="B207" t="str">
        <v xml:space="preserve">Banyaknya </v>
      </c>
      <c r="C207" t="str">
        <v>bh</v>
      </c>
      <c r="D207">
        <v>1</v>
      </c>
      <c r="E207">
        <v>1</v>
      </c>
      <c r="F207">
        <v>1</v>
      </c>
      <c r="G207">
        <v>1</v>
      </c>
      <c r="H207">
        <v>1</v>
      </c>
    </row>
    <row r="209">
      <c r="A209">
        <v>2</v>
      </c>
      <c r="B209" t="str">
        <v>TULANGAN MENERUS</v>
      </c>
    </row>
    <row r="210">
      <c r="B210" t="str">
        <v>Diameter</v>
      </c>
      <c r="C210" t="str">
        <v>mm</v>
      </c>
      <c r="D210">
        <v>10</v>
      </c>
      <c r="E210">
        <v>10</v>
      </c>
      <c r="F210">
        <v>10</v>
      </c>
      <c r="G210">
        <v>10</v>
      </c>
      <c r="H210">
        <v>10</v>
      </c>
    </row>
    <row r="211">
      <c r="B211" t="str">
        <v>Berat</v>
      </c>
      <c r="C211" t="str">
        <v>kg/m</v>
      </c>
      <c r="D211">
        <f>VLOOKUP(D210,$C$99:$D$109,2)</f>
        <v>0.62</v>
      </c>
      <c r="E211">
        <f>VLOOKUP(E210,$C$99:$D$109,2)</f>
        <v>0.62</v>
      </c>
      <c r="F211">
        <f>VLOOKUP(F210,$C$99:$D$109,2)</f>
        <v>0.62</v>
      </c>
      <c r="G211">
        <f>VLOOKUP(G210,$C$99:$D$109,2)</f>
        <v>0.62</v>
      </c>
      <c r="H211">
        <f>VLOOKUP(H210,$C$99:$D$109,2)</f>
        <v>0.62</v>
      </c>
    </row>
    <row r="212">
      <c r="B212" t="str">
        <v>Sambungan</v>
      </c>
      <c r="C212" t="str">
        <v>%</v>
      </c>
      <c r="D212">
        <v>0.05</v>
      </c>
      <c r="E212">
        <v>0.05</v>
      </c>
      <c r="F212">
        <v>0.05</v>
      </c>
      <c r="G212">
        <v>0.05</v>
      </c>
      <c r="H212">
        <v>0.05</v>
      </c>
    </row>
    <row r="213">
      <c r="B213" t="str">
        <v>Panjang tulangan</v>
      </c>
      <c r="C213" t="str">
        <v>m</v>
      </c>
      <c r="D213">
        <f>(D206*D212)+D206</f>
        <v>195.3</v>
      </c>
      <c r="E213">
        <f>(E206*E212)+E206</f>
        <v>112.875</v>
      </c>
      <c r="F213">
        <f>(F206*F212)+F206</f>
        <v>23.1</v>
      </c>
      <c r="G213">
        <f>(G206*G212)+G206</f>
        <v>10.5</v>
      </c>
      <c r="H213">
        <f>(H206*H212)+H206</f>
        <v>21</v>
      </c>
    </row>
    <row r="214">
      <c r="B214" t="str">
        <v xml:space="preserve">Jumlah tulangan </v>
      </c>
      <c r="C214" t="str">
        <v>bh</v>
      </c>
      <c r="D214">
        <v>4</v>
      </c>
      <c r="E214">
        <v>4</v>
      </c>
      <c r="F214">
        <v>4</v>
      </c>
      <c r="G214">
        <v>4</v>
      </c>
      <c r="H214">
        <v>4</v>
      </c>
    </row>
    <row r="215">
      <c r="B215" t="str">
        <v>Jumlah berat</v>
      </c>
      <c r="C215" t="str">
        <v>kg</v>
      </c>
      <c r="D215">
        <f>D207*D211*D213*D214</f>
        <v>484.34400000000005</v>
      </c>
      <c r="E215">
        <f>E207*E211*E213*E214</f>
        <v>279.93</v>
      </c>
      <c r="F215">
        <f>F207*F211*F213*F214</f>
        <v>57.288000000000004</v>
      </c>
      <c r="G215">
        <f>G207*G211*G213*G214</f>
        <v>26.04</v>
      </c>
      <c r="H215">
        <f>H207*H211*H213*H214</f>
        <v>52.08</v>
      </c>
    </row>
    <row r="216">
      <c r="B216" t="str">
        <v>Jumlah batang</v>
      </c>
      <c r="C216" t="str">
        <v>bt</v>
      </c>
      <c r="D216">
        <f>D215/(D211*12)</f>
        <v>65.10000000000001</v>
      </c>
      <c r="E216">
        <f>E215/(E211*12)</f>
        <v>37.625</v>
      </c>
      <c r="F216">
        <f>F215/(F211*12)</f>
        <v>7.700000000000001</v>
      </c>
      <c r="G216">
        <f>G215/(G211*12)</f>
        <v>3.5</v>
      </c>
      <c r="H216">
        <f>H215/(H211*12)</f>
        <v>7</v>
      </c>
    </row>
    <row r="218">
      <c r="A218">
        <v>3</v>
      </c>
      <c r="B218" t="str">
        <v>TULANGAN TUMPUAN</v>
      </c>
    </row>
    <row r="219">
      <c r="B219" t="str">
        <v>Diameter</v>
      </c>
      <c r="C219" t="str">
        <v>mm</v>
      </c>
      <c r="D219">
        <v>10</v>
      </c>
      <c r="E219">
        <v>10</v>
      </c>
      <c r="F219">
        <v>10</v>
      </c>
      <c r="G219">
        <v>10</v>
      </c>
      <c r="H219">
        <v>10</v>
      </c>
    </row>
    <row r="220">
      <c r="B220" t="str">
        <v>Berat</v>
      </c>
      <c r="C220" t="str">
        <v>kg/m</v>
      </c>
      <c r="D220">
        <f>VLOOKUP(D219,$C$99:$D$109,2)</f>
        <v>0.62</v>
      </c>
      <c r="E220">
        <f>VLOOKUP(E219,$C$99:$D$109,2)</f>
        <v>0.62</v>
      </c>
      <c r="F220">
        <f>VLOOKUP(F219,$C$99:$D$109,2)</f>
        <v>0.62</v>
      </c>
      <c r="G220">
        <f>VLOOKUP(G219,$C$99:$D$109,2)</f>
        <v>0.62</v>
      </c>
      <c r="H220">
        <f>VLOOKUP(H219,$C$99:$D$109,2)</f>
        <v>0.62</v>
      </c>
    </row>
    <row r="221">
      <c r="B221" t="str">
        <v>Sambungan</v>
      </c>
      <c r="C221" t="str">
        <v>%</v>
      </c>
      <c r="D221">
        <v>0.05</v>
      </c>
      <c r="E221">
        <v>0.05</v>
      </c>
      <c r="F221">
        <v>0.05</v>
      </c>
      <c r="G221">
        <v>0.05</v>
      </c>
      <c r="H221">
        <v>0.05</v>
      </c>
    </row>
    <row r="222">
      <c r="B222" t="str">
        <v>Panjang tulangan</v>
      </c>
      <c r="C222" t="str">
        <v>m</v>
      </c>
      <c r="D222">
        <f>((D205+(D206*0.25))*D221)+((D205+(D206*0.25)))</f>
        <v>49.035000000000004</v>
      </c>
      <c r="E222">
        <f>((E205+(E206*0.25))*E221)+((E205+(E206*0.25)))</f>
        <v>28.42875</v>
      </c>
      <c r="F222">
        <f>((F205+(F206*0.25))*F221)+((F205+(F206*0.25)))</f>
        <v>5.985</v>
      </c>
      <c r="G222">
        <f>((G205+(G206*0.25))*G221)+((G205+(G206*0.25)))</f>
        <v>2.835</v>
      </c>
      <c r="H222">
        <f>((H205+(H206*0.25))*H221)+((H205+(H206*0.25)))</f>
        <v>5.46</v>
      </c>
    </row>
    <row r="223">
      <c r="B223" t="str">
        <v xml:space="preserve">Jumlah tulangan </v>
      </c>
      <c r="C223" t="str">
        <v>bh</v>
      </c>
    </row>
    <row r="224">
      <c r="B224" t="str">
        <v>Jumlah berat</v>
      </c>
      <c r="C224" t="str">
        <v>kg</v>
      </c>
      <c r="D224">
        <f>D207*D220*D222*D223</f>
        <v>0</v>
      </c>
      <c r="E224">
        <f>E207*E220*E222*E223</f>
        <v>0</v>
      </c>
      <c r="F224">
        <f>F207*F220*F222*F223</f>
        <v>0</v>
      </c>
      <c r="G224">
        <f>G207*G220*G222*G223</f>
        <v>0</v>
      </c>
      <c r="H224">
        <f>H207*H220*H222*H223</f>
        <v>0</v>
      </c>
    </row>
    <row r="225">
      <c r="B225" t="str">
        <v>Jumlah batang</v>
      </c>
      <c r="C225" t="str">
        <v>bt</v>
      </c>
      <c r="D225">
        <f>D224/(D220*12)</f>
        <v>0</v>
      </c>
      <c r="E225">
        <f>E224/(E220*12)</f>
        <v>0</v>
      </c>
      <c r="F225">
        <f>F224/(F220*12)</f>
        <v>0</v>
      </c>
      <c r="G225">
        <f>G224/(G220*12)</f>
        <v>0</v>
      </c>
      <c r="H225">
        <f>H224/(H220*12)</f>
        <v>0</v>
      </c>
    </row>
    <row r="227">
      <c r="A227">
        <v>4</v>
      </c>
      <c r="B227" t="str">
        <v>TULANGAN LAPANGAN</v>
      </c>
    </row>
    <row r="228">
      <c r="B228" t="str">
        <v>Diameter</v>
      </c>
      <c r="C228" t="str">
        <v>mm</v>
      </c>
      <c r="D228">
        <v>10</v>
      </c>
      <c r="E228">
        <v>10</v>
      </c>
      <c r="F228">
        <v>10</v>
      </c>
      <c r="G228">
        <v>10</v>
      </c>
      <c r="H228">
        <v>10</v>
      </c>
    </row>
    <row r="229">
      <c r="B229" t="str">
        <v>Berat</v>
      </c>
      <c r="C229" t="str">
        <v>kg/m</v>
      </c>
      <c r="D229">
        <f>VLOOKUP(D228,$C$99:$D$109,2)</f>
        <v>0.62</v>
      </c>
      <c r="E229">
        <f>VLOOKUP(E228,$C$99:$D$109,2)</f>
        <v>0.62</v>
      </c>
      <c r="F229">
        <f>VLOOKUP(F228,$C$99:$D$109,2)</f>
        <v>0.62</v>
      </c>
      <c r="G229">
        <f>VLOOKUP(G228,$C$99:$D$109,2)</f>
        <v>0.62</v>
      </c>
      <c r="H229">
        <f>VLOOKUP(H228,$C$99:$D$109,2)</f>
        <v>0.62</v>
      </c>
    </row>
    <row r="230">
      <c r="B230" t="str">
        <v>Sambungan</v>
      </c>
      <c r="C230" t="str">
        <v>%</v>
      </c>
      <c r="D230">
        <v>0.05</v>
      </c>
      <c r="E230">
        <v>0.05</v>
      </c>
      <c r="F230">
        <v>0.05</v>
      </c>
      <c r="G230">
        <v>0.05</v>
      </c>
      <c r="H230">
        <v>0.05</v>
      </c>
    </row>
    <row r="231">
      <c r="B231" t="str">
        <v>Panjang tulangan</v>
      </c>
      <c r="C231" t="str">
        <v>m</v>
      </c>
      <c r="D231">
        <f>((D206*0.6*D230)+(D206*0.6))</f>
        <v>117.17999999999999</v>
      </c>
      <c r="E231">
        <f>((E206*0.6*E230)+(E206*0.6))</f>
        <v>67.725</v>
      </c>
      <c r="F231">
        <f>((F206*0.6*F230)+(F206*0.6))</f>
        <v>13.86</v>
      </c>
      <c r="G231">
        <f>((G206*0.6*G230)+(G206*0.6))</f>
        <v>6.3</v>
      </c>
      <c r="H231">
        <f>((H206*0.6*H230)+(H206*0.6))</f>
        <v>12.6</v>
      </c>
    </row>
    <row r="232">
      <c r="B232" t="str">
        <v xml:space="preserve">Jumlah tulangan </v>
      </c>
      <c r="C232" t="str">
        <v>bh</v>
      </c>
    </row>
    <row r="233">
      <c r="B233" t="str">
        <v>Jumlah berat</v>
      </c>
      <c r="C233" t="str">
        <v>kg</v>
      </c>
      <c r="D233">
        <f>D207*D229*D231*D232</f>
        <v>0</v>
      </c>
      <c r="E233">
        <f>E207*E229*E231*E232</f>
        <v>0</v>
      </c>
      <c r="F233">
        <f>F207*F229*F231*F232</f>
        <v>0</v>
      </c>
      <c r="G233">
        <f>G207*G229*G231*G232</f>
        <v>0</v>
      </c>
      <c r="H233">
        <f>H207*H229*H231*H232</f>
        <v>0</v>
      </c>
    </row>
    <row r="234">
      <c r="B234" t="str">
        <v>Jumlah batang</v>
      </c>
      <c r="C234" t="str">
        <v>bt</v>
      </c>
      <c r="D234">
        <f>D233/(D229*12)</f>
        <v>0</v>
      </c>
      <c r="E234">
        <f>E233/(E229*12)</f>
        <v>0</v>
      </c>
      <c r="F234">
        <f>F233/(F229*12)</f>
        <v>0</v>
      </c>
      <c r="G234">
        <f>G233/(G229*12)</f>
        <v>0</v>
      </c>
      <c r="H234">
        <f>H233/(H229*12)</f>
        <v>0</v>
      </c>
    </row>
    <row r="236">
      <c r="A236">
        <v>6</v>
      </c>
      <c r="B236" t="str">
        <v>TULANGAN SENGKANG</v>
      </c>
    </row>
    <row r="237">
      <c r="B237" t="str">
        <v>Diameter</v>
      </c>
      <c r="C237" t="str">
        <v>mm</v>
      </c>
      <c r="D237">
        <v>8</v>
      </c>
      <c r="E237">
        <v>8</v>
      </c>
      <c r="F237">
        <v>8</v>
      </c>
      <c r="G237">
        <v>8</v>
      </c>
      <c r="H237">
        <v>8</v>
      </c>
    </row>
    <row r="238">
      <c r="B238" t="str">
        <v>Berat</v>
      </c>
      <c r="C238" t="str">
        <v>kg/m</v>
      </c>
      <c r="D238">
        <f>VLOOKUP(D237,$C$99:$D$109,2)</f>
        <v>0.393</v>
      </c>
      <c r="E238">
        <f>VLOOKUP(E237,$C$99:$D$109,2)</f>
        <v>0.393</v>
      </c>
      <c r="F238">
        <f>VLOOKUP(F237,$C$99:$D$109,2)</f>
        <v>0.393</v>
      </c>
      <c r="G238">
        <f>VLOOKUP(G237,$C$99:$D$109,2)</f>
        <v>0.393</v>
      </c>
      <c r="H238">
        <f>VLOOKUP(H237,$C$99:$D$109,2)</f>
        <v>0.393</v>
      </c>
    </row>
    <row r="239">
      <c r="B239" t="str">
        <v>Sambungan</v>
      </c>
      <c r="C239" t="str">
        <v>%</v>
      </c>
      <c r="D239">
        <v>0.05</v>
      </c>
      <c r="E239">
        <v>0.05</v>
      </c>
      <c r="F239">
        <v>0.05</v>
      </c>
      <c r="G239">
        <v>0.05</v>
      </c>
      <c r="H239">
        <v>0.05</v>
      </c>
    </row>
    <row r="240">
      <c r="B240" t="str">
        <v>Jarak sengkang</v>
      </c>
      <c r="C240" t="str">
        <v>m</v>
      </c>
      <c r="D240">
        <v>0.15</v>
      </c>
      <c r="E240">
        <v>0.15</v>
      </c>
      <c r="F240">
        <v>0.15</v>
      </c>
      <c r="G240">
        <v>0.15</v>
      </c>
      <c r="H240">
        <v>0.15</v>
      </c>
    </row>
    <row r="241">
      <c r="B241" t="str">
        <v>Panjang sengkang</v>
      </c>
      <c r="C241" t="str">
        <v>m'</v>
      </c>
      <c r="D241">
        <f>(((D204+D205)*2)*D239)+((D204+D205)*2)</f>
        <v>0.735</v>
      </c>
      <c r="E241">
        <f>(((E204+E205)*2)*E239)+((E204+E205)*2)</f>
        <v>0.735</v>
      </c>
      <c r="F241">
        <f>(((F204+F205)*2)*F239)+((F204+F205)*2)</f>
        <v>0.735</v>
      </c>
      <c r="G241">
        <f>(((G204+G205)*2)*G239)+((G204+G205)*2)</f>
        <v>0.735</v>
      </c>
      <c r="H241">
        <f>(((H204+H205)*2)*H239)+((H204+H205)*2)</f>
        <v>0.735</v>
      </c>
    </row>
    <row r="242">
      <c r="B242" t="str">
        <v>Jumlah sengkang</v>
      </c>
      <c r="C242" t="str">
        <v>bh</v>
      </c>
      <c r="D242">
        <f>INT((D206/D240)+1)</f>
        <v>1241</v>
      </c>
      <c r="E242">
        <f>INT((E206/E240)+1)</f>
        <v>717</v>
      </c>
      <c r="F242">
        <f>INT((F206/F240)+1)</f>
        <v>147</v>
      </c>
      <c r="G242">
        <f>INT((G206/G240)+1)</f>
        <v>67</v>
      </c>
      <c r="H242">
        <f>INT((H206/H240)+1)</f>
        <v>134</v>
      </c>
    </row>
    <row r="243">
      <c r="B243" t="str">
        <v>Jumlah berat</v>
      </c>
      <c r="C243" t="str">
        <v>kg</v>
      </c>
      <c r="D243">
        <f>D207*D238*D241*D242</f>
        <v>358.469055</v>
      </c>
      <c r="E243">
        <f>E207*E238*E241*E242</f>
        <v>207.10903500000003</v>
      </c>
      <c r="F243">
        <f>F207*F238*F241*F242</f>
        <v>42.461685</v>
      </c>
      <c r="G243">
        <f>G207*G238*G241*G242</f>
        <v>19.353285000000003</v>
      </c>
      <c r="H243">
        <f>H207*H238*H241*H242</f>
        <v>38.706570000000006</v>
      </c>
    </row>
    <row r="244">
      <c r="B244" t="str">
        <v>Jumlah batang</v>
      </c>
      <c r="C244" t="str">
        <v>bt</v>
      </c>
      <c r="D244">
        <f>D243/(D238*12)</f>
        <v>76.01125</v>
      </c>
      <c r="E244">
        <f>E243/(E238*12)</f>
        <v>43.916250000000005</v>
      </c>
      <c r="F244">
        <f>F243/(F238*12)</f>
        <v>9.00375</v>
      </c>
      <c r="G244">
        <f>G243/(G238*12)</f>
        <v>4.103750000000001</v>
      </c>
      <c r="H244">
        <f>H243/(H238*12)</f>
        <v>8.207500000000001</v>
      </c>
    </row>
    <row r="246">
      <c r="A246">
        <v>7</v>
      </c>
      <c r="B246" t="str">
        <v>JUMLAH VOLUME</v>
      </c>
      <c r="D246" t="str">
        <f>D201</f>
        <v>RUMAH</v>
      </c>
      <c r="E246" t="str">
        <f>E201</f>
        <v>AMPIQ</v>
      </c>
      <c r="F246" t="str">
        <f>F201</f>
        <v>B.SP.D</v>
      </c>
      <c r="G246" t="str">
        <f>G201</f>
        <v>B.SP.B</v>
      </c>
      <c r="H246" t="str">
        <f>H201</f>
        <v>B.BLK</v>
      </c>
    </row>
    <row r="247">
      <c r="B247" t="str">
        <v>Tulangan</v>
      </c>
      <c r="C247" t="str">
        <v>kg</v>
      </c>
      <c r="D247">
        <f>D215+D224+D233+D243</f>
        <v>842.8130550000001</v>
      </c>
      <c r="E247">
        <f>E215+E224+E233+E243</f>
        <v>487.039035</v>
      </c>
      <c r="F247">
        <f>F215+F224+F233+F243</f>
        <v>99.749685</v>
      </c>
      <c r="G247">
        <f>G215+G224+G233+G243</f>
        <v>45.393285000000006</v>
      </c>
      <c r="H247">
        <f>H215+H224+H233+H243</f>
        <v>90.78657000000001</v>
      </c>
    </row>
    <row r="248">
      <c r="B248" t="str">
        <v>Begisting</v>
      </c>
      <c r="C248" t="str">
        <v>m2</v>
      </c>
      <c r="D248">
        <f>(D205*2)*D206*D207</f>
        <v>74.4</v>
      </c>
      <c r="E248">
        <f>(E205*2)*E206*E207</f>
        <v>43</v>
      </c>
      <c r="F248">
        <f>(F205*2)*F206*F207</f>
        <v>8.8</v>
      </c>
      <c r="G248">
        <f>(G205*2)*G206*G207</f>
        <v>4</v>
      </c>
      <c r="H248">
        <f>(H205*2)*H206*H207</f>
        <v>8</v>
      </c>
    </row>
    <row r="249">
      <c r="B249" t="str">
        <v>Cor beton</v>
      </c>
      <c r="C249" t="str">
        <v>m3</v>
      </c>
      <c r="D249">
        <f>D204*D205*D206*D207</f>
        <v>5.58</v>
      </c>
      <c r="E249">
        <f>E204*E205*E206*E207</f>
        <v>3.225</v>
      </c>
      <c r="F249">
        <f>F204*F205*F206*F207</f>
        <v>0.6599999999999999</v>
      </c>
      <c r="G249">
        <f>G204*G205*G206*G207</f>
        <v>0.3</v>
      </c>
      <c r="H249">
        <f>H204*H205*H206*H207</f>
        <v>0.6</v>
      </c>
    </row>
    <row r="252">
      <c r="A252" t="str">
        <v>VOLUME PEKERJAAN PLAT BETON</v>
      </c>
    </row>
    <row r="253">
      <c r="A253" t="str">
        <v>NO</v>
      </c>
      <c r="C253" t="str">
        <v>SAT</v>
      </c>
      <c r="D253" t="str">
        <v>Dak</v>
      </c>
      <c r="E253" t="str">
        <v>Dak</v>
      </c>
      <c r="F253" t="str">
        <v>Canopy</v>
      </c>
      <c r="G253" t="str">
        <v>Meja</v>
      </c>
    </row>
    <row r="255">
      <c r="A255" t="str">
        <v>A.</v>
      </c>
      <c r="B255" t="str">
        <v>TELAPAK</v>
      </c>
    </row>
    <row r="257">
      <c r="A257">
        <v>1</v>
      </c>
      <c r="B257" t="str">
        <v>UKURAN</v>
      </c>
    </row>
    <row r="258">
      <c r="B258" t="str">
        <v>Lebar</v>
      </c>
      <c r="C258" t="str">
        <v>m'</v>
      </c>
      <c r="D258">
        <v>2</v>
      </c>
      <c r="E258">
        <v>8</v>
      </c>
      <c r="F258">
        <v>0.6</v>
      </c>
      <c r="G258">
        <v>0.6</v>
      </c>
    </row>
    <row r="259">
      <c r="B259" t="str">
        <v>Panjang</v>
      </c>
      <c r="C259" t="str">
        <v>m'</v>
      </c>
      <c r="D259">
        <v>1.5</v>
      </c>
      <c r="E259">
        <v>4</v>
      </c>
      <c r="F259">
        <v>20</v>
      </c>
      <c r="G259">
        <v>4</v>
      </c>
    </row>
    <row r="260">
      <c r="B260" t="str">
        <v>Tinggi</v>
      </c>
      <c r="C260" t="str">
        <v>m'</v>
      </c>
      <c r="D260">
        <v>0.1</v>
      </c>
      <c r="E260">
        <v>0.1</v>
      </c>
      <c r="F260">
        <v>0.1</v>
      </c>
      <c r="G260">
        <v>0.1</v>
      </c>
    </row>
    <row r="261">
      <c r="B261" t="str">
        <v>Banyaknya</v>
      </c>
      <c r="C261" t="str">
        <v>bh</v>
      </c>
      <c r="D261">
        <v>1</v>
      </c>
      <c r="E261">
        <v>1</v>
      </c>
      <c r="F261">
        <v>1</v>
      </c>
      <c r="G261">
        <v>1</v>
      </c>
    </row>
    <row r="263">
      <c r="A263">
        <v>2</v>
      </c>
      <c r="B263" t="str">
        <v>TULANGAN LEBAR</v>
      </c>
    </row>
    <row r="264">
      <c r="B264" t="str">
        <v>Diameter</v>
      </c>
      <c r="C264" t="str">
        <v>mm</v>
      </c>
      <c r="D264">
        <v>8</v>
      </c>
      <c r="E264">
        <v>8</v>
      </c>
      <c r="F264">
        <v>8</v>
      </c>
      <c r="G264">
        <v>8</v>
      </c>
    </row>
    <row r="265">
      <c r="B265" t="str">
        <v>Berat</v>
      </c>
      <c r="C265" t="str">
        <v>kg/m'</v>
      </c>
      <c r="D265">
        <f>VLOOKUP(D264,$C$99:$D$109,2)</f>
        <v>0.393</v>
      </c>
      <c r="E265">
        <f>VLOOKUP(E264,$C$99:$D$109,2)</f>
        <v>0.393</v>
      </c>
      <c r="F265">
        <f>VLOOKUP(F264,$C$99:$D$109,2)</f>
        <v>0.393</v>
      </c>
      <c r="G265">
        <f>VLOOKUP(G264,$C$99:$D$109,2)</f>
        <v>0.393</v>
      </c>
    </row>
    <row r="266">
      <c r="B266" t="str">
        <v>Sambungan</v>
      </c>
      <c r="C266" t="str">
        <v>%</v>
      </c>
      <c r="D266">
        <v>0.05</v>
      </c>
      <c r="E266">
        <v>0.05</v>
      </c>
      <c r="F266">
        <v>0.05</v>
      </c>
      <c r="G266">
        <v>0.05</v>
      </c>
    </row>
    <row r="267">
      <c r="B267" t="str">
        <v>Jarak sengkang</v>
      </c>
      <c r="C267" t="str">
        <v>m</v>
      </c>
      <c r="D267">
        <v>0.2</v>
      </c>
      <c r="E267">
        <v>0.2</v>
      </c>
      <c r="F267">
        <v>0.2</v>
      </c>
      <c r="G267">
        <v>0.2</v>
      </c>
    </row>
    <row r="268">
      <c r="B268" t="str">
        <v>Panjang tulangan</v>
      </c>
      <c r="C268" t="str">
        <v>m'</v>
      </c>
      <c r="D268">
        <f>(((D259+D260)*2)*D266)+(D259+D260)*2</f>
        <v>3.3600000000000003</v>
      </c>
      <c r="E268">
        <f>(((E259+E260)*2)*E266)+(E259+E260)*2</f>
        <v>8.61</v>
      </c>
      <c r="F268">
        <f>(((F259+F260)*2)*F266)+(F259+F260)*2</f>
        <v>42.21</v>
      </c>
      <c r="G268">
        <f>(((G259+G260)*2)*G266)+(G259+G260)*2</f>
        <v>8.61</v>
      </c>
    </row>
    <row r="269">
      <c r="B269" t="str">
        <v xml:space="preserve">Jumlah tulangan </v>
      </c>
      <c r="C269" t="str">
        <v>bh</v>
      </c>
      <c r="D269">
        <f>INT((D258/D267)+1)</f>
        <v>11</v>
      </c>
      <c r="E269">
        <f>INT((E258/E267)+1)</f>
        <v>41</v>
      </c>
      <c r="F269">
        <f>INT((F258/F267)+1)</f>
        <v>4</v>
      </c>
      <c r="G269">
        <f>INT((G258/G267)+1)</f>
        <v>4</v>
      </c>
    </row>
    <row r="270">
      <c r="B270" t="str">
        <v>Jumlah berat</v>
      </c>
      <c r="C270" t="str">
        <v>kg</v>
      </c>
      <c r="D270">
        <f>D261*D265*D268*D269</f>
        <v>14.52528</v>
      </c>
      <c r="E270">
        <f>E261*E265*E268*E269</f>
        <v>138.73293</v>
      </c>
      <c r="F270">
        <f>F261*F265*F268*F269</f>
        <v>66.35412000000001</v>
      </c>
      <c r="G270">
        <f>G261*G265*G268*G269</f>
        <v>13.53492</v>
      </c>
    </row>
    <row r="271">
      <c r="B271" t="str">
        <v>Jumlah batang</v>
      </c>
      <c r="C271" t="str">
        <v>bt</v>
      </c>
      <c r="D271">
        <f>D270/(D265*12)</f>
        <v>3.08</v>
      </c>
      <c r="E271">
        <f>E270/(E265*12)</f>
        <v>29.4175</v>
      </c>
      <c r="F271">
        <f>F270/(F265*12)</f>
        <v>14.070000000000002</v>
      </c>
      <c r="G271">
        <f>G270/(G265*12)</f>
        <v>2.8699999999999997</v>
      </c>
    </row>
    <row r="273">
      <c r="A273">
        <v>3</v>
      </c>
      <c r="B273" t="str">
        <v>TULANGAN PANJANG</v>
      </c>
    </row>
    <row r="274">
      <c r="B274" t="str">
        <v>Diameter</v>
      </c>
      <c r="C274" t="str">
        <v>mm</v>
      </c>
      <c r="D274">
        <v>8</v>
      </c>
      <c r="E274">
        <v>8</v>
      </c>
      <c r="F274">
        <v>8</v>
      </c>
      <c r="G274">
        <v>8</v>
      </c>
    </row>
    <row r="275">
      <c r="B275" t="str">
        <v>Berat</v>
      </c>
      <c r="C275" t="str">
        <v>kg/m'</v>
      </c>
      <c r="D275">
        <f>VLOOKUP(D274,$C$99:$D$109,2)</f>
        <v>0.393</v>
      </c>
      <c r="E275">
        <f>VLOOKUP(E274,$C$99:$D$109,2)</f>
        <v>0.393</v>
      </c>
      <c r="F275">
        <f>VLOOKUP(F274,$C$99:$D$109,2)</f>
        <v>0.393</v>
      </c>
      <c r="G275">
        <f>VLOOKUP(G274,$C$99:$D$109,2)</f>
        <v>0.393</v>
      </c>
    </row>
    <row r="276">
      <c r="B276" t="str">
        <v>Sambungan</v>
      </c>
      <c r="C276" t="str">
        <v>%</v>
      </c>
      <c r="D276">
        <v>0.05</v>
      </c>
      <c r="E276">
        <v>0.05</v>
      </c>
      <c r="F276">
        <v>0.05</v>
      </c>
      <c r="G276">
        <v>0.05</v>
      </c>
    </row>
    <row r="277">
      <c r="B277" t="str">
        <v>Jarak sengkang</v>
      </c>
      <c r="C277" t="str">
        <v>m</v>
      </c>
      <c r="D277">
        <v>0.2</v>
      </c>
      <c r="E277">
        <v>0.2</v>
      </c>
      <c r="F277">
        <v>0.2</v>
      </c>
      <c r="G277">
        <v>0.2</v>
      </c>
    </row>
    <row r="278">
      <c r="B278" t="str">
        <v>Panjang tulangan</v>
      </c>
      <c r="C278" t="str">
        <v>m'</v>
      </c>
      <c r="D278">
        <f>(((D258+D260)*2)*D276)+(D258+D260)*2</f>
        <v>4.41</v>
      </c>
      <c r="E278">
        <f>(((E258+E260)*2)*E276)+(E258+E260)*2</f>
        <v>17.009999999999998</v>
      </c>
      <c r="F278">
        <f>(((F258+F260)*2)*F276)+(F258+F260)*2</f>
        <v>1.47</v>
      </c>
      <c r="G278">
        <f>(((G258+G260)*2)*G276)+(G258+G260)*2</f>
        <v>1.47</v>
      </c>
    </row>
    <row r="279">
      <c r="B279" t="str">
        <v xml:space="preserve">Jumlah tulangan </v>
      </c>
      <c r="C279" t="str">
        <v>bh</v>
      </c>
      <c r="D279">
        <f>INT((D259/D277)+1)</f>
        <v>8</v>
      </c>
      <c r="E279">
        <f>INT((E259/E277)+1)</f>
        <v>21</v>
      </c>
      <c r="F279">
        <f>INT((F259/F277)+1)</f>
        <v>101</v>
      </c>
      <c r="G279">
        <f>INT((G259/G277)+1)</f>
        <v>21</v>
      </c>
    </row>
    <row r="280">
      <c r="B280" t="str">
        <v>Jumlah berat</v>
      </c>
      <c r="C280" t="str">
        <v>kg</v>
      </c>
      <c r="D280">
        <f>D261*D275*D278*D279</f>
        <v>13.86504</v>
      </c>
      <c r="E280">
        <f>E261*E275*E278*E279</f>
        <v>140.38352999999998</v>
      </c>
      <c r="F280">
        <f>F261*F275*F278*F279</f>
        <v>58.348710000000004</v>
      </c>
      <c r="G280">
        <f>G261*G275*G278*G279</f>
        <v>12.131910000000001</v>
      </c>
    </row>
    <row r="281">
      <c r="B281" t="str">
        <v>Jumlah batang</v>
      </c>
      <c r="C281" t="str">
        <v>bt</v>
      </c>
      <c r="D281">
        <f>D280/(D275*12)</f>
        <v>2.94</v>
      </c>
      <c r="E281">
        <f>E280/(E275*12)</f>
        <v>29.767499999999995</v>
      </c>
      <c r="F281">
        <f>F280/(F275*12)</f>
        <v>12.3725</v>
      </c>
      <c r="G281">
        <f>G280/(G275*12)</f>
        <v>2.5725000000000002</v>
      </c>
    </row>
    <row r="284">
      <c r="A284">
        <v>4</v>
      </c>
      <c r="B284" t="str">
        <v>JUMLAH VOLUME</v>
      </c>
      <c r="D284" t="str">
        <f>D253</f>
        <v>Dak</v>
      </c>
      <c r="E284" t="str">
        <f>E253</f>
        <v>Dak</v>
      </c>
      <c r="F284" t="str">
        <f>F253</f>
        <v>Canopy</v>
      </c>
      <c r="G284" t="str">
        <f>G253</f>
        <v>Meja</v>
      </c>
    </row>
    <row r="285">
      <c r="B285" t="str">
        <v>Stoot werk</v>
      </c>
      <c r="C285" t="str">
        <v>m2</v>
      </c>
      <c r="D285">
        <f>D258*D259*D261</f>
        <v>3</v>
      </c>
      <c r="E285">
        <f>E258*E259*E261</f>
        <v>32</v>
      </c>
      <c r="F285">
        <f>F258*F259*F261</f>
        <v>12</v>
      </c>
      <c r="G285">
        <f>G258*G259*G261</f>
        <v>2.4</v>
      </c>
    </row>
    <row r="286">
      <c r="B286" t="str">
        <v>Begisting</v>
      </c>
      <c r="C286" t="str">
        <v>m2</v>
      </c>
      <c r="D286">
        <f>((D258+D260)*(D259+D260))*D261</f>
        <v>3.3600000000000003</v>
      </c>
      <c r="E286">
        <f>((E258+E260)*(E259+E260))*E261</f>
        <v>33.209999999999994</v>
      </c>
      <c r="F286">
        <f>((F258+F260)*(F259+F260))*F261</f>
        <v>14.07</v>
      </c>
      <c r="G286">
        <f>((G258+G260)*(G259+G260))*G261</f>
        <v>2.8699999999999997</v>
      </c>
    </row>
    <row r="287">
      <c r="B287" t="str">
        <v>Tulangan</v>
      </c>
      <c r="C287" t="str">
        <v>kg</v>
      </c>
      <c r="D287">
        <f>D270+D280</f>
        <v>28.390320000000003</v>
      </c>
      <c r="E287">
        <f>E270+E280</f>
        <v>279.11645999999996</v>
      </c>
      <c r="F287">
        <f>F270+F280</f>
        <v>124.70283</v>
      </c>
      <c r="G287">
        <f>G270+G280</f>
        <v>25.66683</v>
      </c>
    </row>
    <row r="288">
      <c r="B288" t="str">
        <v>Cor beton</v>
      </c>
      <c r="C288" t="str">
        <v>m3</v>
      </c>
      <c r="D288">
        <f>((D258*D259*D260))*D261</f>
        <v>0.30000000000000004</v>
      </c>
      <c r="E288">
        <f>((E258*E259*E260))*E261</f>
        <v>3.2</v>
      </c>
      <c r="F288">
        <f>((F258*F259*F260))*F261</f>
        <v>1.2000000000000002</v>
      </c>
      <c r="G288">
        <f>((G258*G259*G260))*G261</f>
        <v>0.24</v>
      </c>
    </row>
    <row r="291">
      <c r="A291" t="str">
        <v>VOLUME PEKERJAAN DINDING BATA</v>
      </c>
    </row>
    <row r="292">
      <c r="A292" t="str">
        <v xml:space="preserve">BANGUNAN </v>
      </c>
      <c r="E292" t="str">
        <v>AMPIQ/GEVEL</v>
      </c>
      <c r="I292" t="str">
        <v>BENTENG SAMPING DEPAN</v>
      </c>
      <c r="M292" t="str">
        <v>BENTENG SAMPING BELAKANG</v>
      </c>
      <c r="Q292" t="str">
        <v>BENTENG BELAKANG</v>
      </c>
    </row>
    <row r="293">
      <c r="A293" t="str">
        <v>AS</v>
      </c>
      <c r="B293" t="str">
        <v>P</v>
      </c>
      <c r="C293" t="str">
        <v>T</v>
      </c>
      <c r="D293" t="str">
        <v>JML</v>
      </c>
      <c r="E293" t="str">
        <v>AS</v>
      </c>
      <c r="F293" t="str">
        <v>P</v>
      </c>
      <c r="G293" t="str">
        <v>T</v>
      </c>
      <c r="H293" t="str">
        <v>JML</v>
      </c>
      <c r="I293" t="str">
        <v>AS</v>
      </c>
      <c r="J293" t="str">
        <v>P</v>
      </c>
      <c r="K293" t="str">
        <v>T</v>
      </c>
      <c r="L293" t="str">
        <v>JML</v>
      </c>
      <c r="M293" t="str">
        <v>AS</v>
      </c>
      <c r="N293" t="str">
        <v>P</v>
      </c>
      <c r="O293" t="str">
        <v>T</v>
      </c>
      <c r="P293" t="str">
        <v>JML</v>
      </c>
      <c r="Q293" t="str">
        <v>AS</v>
      </c>
      <c r="R293" t="str">
        <v>P</v>
      </c>
      <c r="S293" t="str">
        <v>T</v>
      </c>
      <c r="T293" t="str">
        <v>JML</v>
      </c>
    </row>
    <row r="294">
      <c r="A294">
        <v>1</v>
      </c>
      <c r="B294">
        <v>21</v>
      </c>
      <c r="C294">
        <v>4</v>
      </c>
      <c r="D294">
        <f>B294*C294</f>
        <v>84</v>
      </c>
      <c r="E294">
        <v>1</v>
      </c>
      <c r="F294">
        <v>22</v>
      </c>
      <c r="G294">
        <v>2</v>
      </c>
      <c r="H294">
        <f>F294*G294</f>
        <v>44</v>
      </c>
      <c r="I294">
        <v>1</v>
      </c>
      <c r="J294">
        <v>5</v>
      </c>
      <c r="K294">
        <v>3</v>
      </c>
      <c r="L294">
        <f>J294*K294</f>
        <v>15</v>
      </c>
      <c r="M294">
        <v>1</v>
      </c>
      <c r="N294">
        <v>5</v>
      </c>
      <c r="O294">
        <v>3</v>
      </c>
      <c r="P294">
        <f>N294*O294</f>
        <v>15</v>
      </c>
      <c r="Q294" t="str">
        <v>E</v>
      </c>
      <c r="R294">
        <v>20</v>
      </c>
      <c r="S294">
        <v>3</v>
      </c>
      <c r="T294">
        <f>R294*S294</f>
        <v>60</v>
      </c>
    </row>
    <row r="295">
      <c r="A295">
        <v>2</v>
      </c>
      <c r="B295">
        <v>6</v>
      </c>
      <c r="C295">
        <v>4</v>
      </c>
      <c r="D295">
        <f>B295*C295</f>
        <v>24</v>
      </c>
      <c r="E295">
        <v>12</v>
      </c>
      <c r="F295">
        <v>18</v>
      </c>
      <c r="G295">
        <v>2</v>
      </c>
      <c r="H295">
        <f>F295*G295</f>
        <v>36</v>
      </c>
      <c r="I295">
        <v>14</v>
      </c>
      <c r="J295">
        <v>17</v>
      </c>
      <c r="K295">
        <v>3</v>
      </c>
      <c r="L295">
        <f>J295*K295</f>
        <v>51</v>
      </c>
      <c r="M295">
        <v>14</v>
      </c>
      <c r="N295">
        <v>5</v>
      </c>
      <c r="O295">
        <v>3</v>
      </c>
      <c r="P295">
        <f>N295*O295</f>
        <v>15</v>
      </c>
    </row>
    <row r="296">
      <c r="A296">
        <v>3</v>
      </c>
      <c r="B296">
        <v>5.5</v>
      </c>
      <c r="C296">
        <v>4</v>
      </c>
      <c r="D296">
        <f>B296*C296</f>
        <v>22</v>
      </c>
      <c r="E296">
        <v>14</v>
      </c>
      <c r="F296">
        <v>8</v>
      </c>
      <c r="G296">
        <v>2</v>
      </c>
      <c r="H296">
        <f>F296*G296</f>
        <v>16</v>
      </c>
    </row>
    <row r="297">
      <c r="A297">
        <v>4</v>
      </c>
      <c r="B297">
        <v>8.5</v>
      </c>
      <c r="C297">
        <v>4</v>
      </c>
      <c r="D297">
        <f>B297*C297</f>
        <v>34</v>
      </c>
    </row>
    <row r="298">
      <c r="A298">
        <v>5</v>
      </c>
      <c r="B298">
        <v>12</v>
      </c>
      <c r="C298">
        <v>4</v>
      </c>
      <c r="D298">
        <f>B298*C298</f>
        <v>48</v>
      </c>
    </row>
    <row r="299">
      <c r="A299">
        <v>6</v>
      </c>
      <c r="B299">
        <v>4.5</v>
      </c>
      <c r="C299">
        <v>4</v>
      </c>
      <c r="D299">
        <f>B299*C299</f>
        <v>18</v>
      </c>
    </row>
    <row r="300">
      <c r="A300">
        <v>7</v>
      </c>
      <c r="B300">
        <v>14.5</v>
      </c>
      <c r="C300">
        <v>4</v>
      </c>
      <c r="D300">
        <f>B300*C300</f>
        <v>58</v>
      </c>
    </row>
    <row r="301">
      <c r="A301">
        <v>8</v>
      </c>
      <c r="B301">
        <v>3</v>
      </c>
      <c r="C301">
        <v>4</v>
      </c>
      <c r="D301">
        <f>B301*C301</f>
        <v>12</v>
      </c>
    </row>
    <row r="302">
      <c r="A302">
        <v>9</v>
      </c>
      <c r="B302">
        <v>3</v>
      </c>
      <c r="C302">
        <v>4</v>
      </c>
      <c r="D302">
        <f>B302*C302</f>
        <v>12</v>
      </c>
    </row>
    <row r="303">
      <c r="A303">
        <v>10</v>
      </c>
      <c r="B303">
        <v>8.5</v>
      </c>
      <c r="C303">
        <v>4</v>
      </c>
      <c r="D303">
        <f>B303*C303</f>
        <v>34</v>
      </c>
    </row>
    <row r="304">
      <c r="A304">
        <v>11</v>
      </c>
      <c r="B304">
        <v>6</v>
      </c>
      <c r="C304">
        <v>4</v>
      </c>
      <c r="D304">
        <f>B304*C304</f>
        <v>24</v>
      </c>
    </row>
    <row r="305">
      <c r="A305">
        <v>12</v>
      </c>
      <c r="B305">
        <v>3</v>
      </c>
      <c r="C305">
        <v>4</v>
      </c>
      <c r="D305">
        <f>B305*C305</f>
        <v>12</v>
      </c>
    </row>
    <row r="306">
      <c r="A306">
        <v>13</v>
      </c>
      <c r="B306">
        <v>3</v>
      </c>
      <c r="C306">
        <v>4</v>
      </c>
      <c r="D306">
        <f>B306*C306</f>
        <v>12</v>
      </c>
    </row>
    <row r="307">
      <c r="A307">
        <v>14</v>
      </c>
      <c r="B307">
        <v>8.5</v>
      </c>
      <c r="C307">
        <v>4</v>
      </c>
      <c r="D307">
        <f>B307*C307</f>
        <v>34</v>
      </c>
    </row>
    <row r="308">
      <c r="A308" t="str">
        <v>A</v>
      </c>
      <c r="B308">
        <v>4.5</v>
      </c>
      <c r="C308">
        <v>4</v>
      </c>
      <c r="D308">
        <f>B308*C308</f>
        <v>18</v>
      </c>
    </row>
    <row r="309">
      <c r="A309" t="str">
        <v>B</v>
      </c>
      <c r="B309">
        <v>6</v>
      </c>
      <c r="C309">
        <v>4</v>
      </c>
      <c r="D309">
        <f>B309*C309</f>
        <v>24</v>
      </c>
    </row>
    <row r="310">
      <c r="A310" t="str">
        <v>C</v>
      </c>
      <c r="B310">
        <v>4.5</v>
      </c>
      <c r="C310">
        <v>4</v>
      </c>
      <c r="D310">
        <f>B310*C310</f>
        <v>18</v>
      </c>
    </row>
    <row r="311">
      <c r="A311" t="str">
        <v>D</v>
      </c>
      <c r="B311">
        <v>12.5</v>
      </c>
      <c r="C311">
        <v>4</v>
      </c>
      <c r="D311">
        <f>B311*C311</f>
        <v>50</v>
      </c>
    </row>
    <row r="312">
      <c r="A312" t="str">
        <v>E</v>
      </c>
      <c r="B312">
        <v>9</v>
      </c>
      <c r="C312">
        <v>4</v>
      </c>
      <c r="D312">
        <f>B312*C312</f>
        <v>36</v>
      </c>
    </row>
    <row r="313">
      <c r="A313" t="str">
        <v>F</v>
      </c>
      <c r="B313">
        <v>12.5</v>
      </c>
      <c r="C313">
        <v>4</v>
      </c>
      <c r="D313">
        <f>B313*C313</f>
        <v>50</v>
      </c>
    </row>
    <row r="314">
      <c r="A314" t="str">
        <v>G</v>
      </c>
      <c r="B314">
        <v>1.5</v>
      </c>
      <c r="C314">
        <v>4</v>
      </c>
      <c r="D314">
        <f>B314*C314</f>
        <v>6</v>
      </c>
    </row>
    <row r="315">
      <c r="A315" t="str">
        <v>H</v>
      </c>
      <c r="B315">
        <v>11</v>
      </c>
      <c r="C315">
        <v>4</v>
      </c>
      <c r="D315">
        <f>B315*C315</f>
        <v>44</v>
      </c>
    </row>
    <row r="316">
      <c r="A316" t="str">
        <v>I</v>
      </c>
      <c r="B316">
        <v>6</v>
      </c>
      <c r="C316">
        <v>4</v>
      </c>
      <c r="D316">
        <f>B316*C316</f>
        <v>24</v>
      </c>
    </row>
    <row r="317">
      <c r="A317" t="str">
        <v>J</v>
      </c>
      <c r="B317">
        <v>8</v>
      </c>
      <c r="C317">
        <v>4</v>
      </c>
      <c r="D317">
        <f>B317*C317</f>
        <v>32</v>
      </c>
    </row>
    <row r="318">
      <c r="A318" t="str">
        <v>FSD</v>
      </c>
      <c r="B318">
        <v>3.5</v>
      </c>
      <c r="C318">
        <v>5</v>
      </c>
      <c r="D318">
        <f>B318*C318</f>
        <v>17.5</v>
      </c>
    </row>
    <row r="320">
      <c r="B320">
        <f>SUM(B294:B319)</f>
        <v>186</v>
      </c>
      <c r="D320">
        <f>SUM(D294:D319)</f>
        <v>747.5</v>
      </c>
      <c r="F320">
        <f>SUM(F294:F319)</f>
        <v>48</v>
      </c>
      <c r="H320">
        <f>SUM(H294:H319)</f>
        <v>96</v>
      </c>
      <c r="J320">
        <f>SUM(J294:J319)</f>
        <v>22</v>
      </c>
      <c r="L320">
        <f>SUM(L294:L319)</f>
        <v>66</v>
      </c>
      <c r="N320">
        <f>SUM(N294:N319)</f>
        <v>10</v>
      </c>
      <c r="P320">
        <f>SUM(P294:P319)</f>
        <v>30</v>
      </c>
      <c r="R320">
        <f>SUM(R294:R319)</f>
        <v>20</v>
      </c>
      <c r="T320">
        <f>SUM(T294:T319)</f>
        <v>60</v>
      </c>
    </row>
    <row r="321">
      <c r="A321" t="str">
        <v>LUAS KUSEN</v>
      </c>
      <c r="D321">
        <f>'A-QTY'!S330</f>
        <v>50.74000000000001</v>
      </c>
    </row>
    <row r="322">
      <c r="A322" t="str">
        <v>JUMLAH</v>
      </c>
      <c r="D322">
        <f>D320-D321</f>
        <v>696.76</v>
      </c>
    </row>
    <row r="323">
      <c r="A323" t="str">
        <v>PLESTERAN</v>
      </c>
      <c r="D323">
        <f>D322*2</f>
        <v>1393.52</v>
      </c>
      <c r="H323">
        <f>H320*2</f>
        <v>192</v>
      </c>
    </row>
    <row r="326">
      <c r="A326" t="str">
        <v>VOLUME PINTU &amp; JENDELA</v>
      </c>
    </row>
    <row r="327">
      <c r="A327" t="str">
        <v>NO</v>
      </c>
      <c r="B327" t="str">
        <v>URAIAN PEKERJAAN</v>
      </c>
      <c r="C327" t="str">
        <v>SATUAN</v>
      </c>
      <c r="D327" t="str">
        <v>PJ</v>
      </c>
      <c r="G327" t="str">
        <v>P.1</v>
      </c>
      <c r="J327" t="str">
        <v>P.2</v>
      </c>
      <c r="M327" t="str">
        <v>P.3</v>
      </c>
      <c r="P327" t="str">
        <v>J.1</v>
      </c>
    </row>
    <row r="328">
      <c r="D328" t="str">
        <v>VOLUME</v>
      </c>
      <c r="E328" t="str">
        <v>BANYAK</v>
      </c>
      <c r="F328" t="str">
        <v>JUMLAH</v>
      </c>
      <c r="G328" t="str">
        <v>VOLUME</v>
      </c>
      <c r="H328" t="str">
        <v>BANYAK</v>
      </c>
      <c r="I328" t="str">
        <v>JUMLAH</v>
      </c>
      <c r="J328" t="str">
        <v>VOLUME</v>
      </c>
      <c r="K328" t="str">
        <v>BANYAK</v>
      </c>
      <c r="L328" t="str">
        <v>JUMLAH</v>
      </c>
      <c r="M328" t="str">
        <v>VOLUME</v>
      </c>
      <c r="N328" t="str">
        <v>BANYAK</v>
      </c>
      <c r="O328" t="str">
        <v>JUMLAH</v>
      </c>
      <c r="P328" t="str">
        <v>VOLUME</v>
      </c>
      <c r="Q328" t="str">
        <v>BANYAK</v>
      </c>
      <c r="R328" t="str">
        <v>JUMLAH</v>
      </c>
      <c r="S328" t="str">
        <v>TOTAL</v>
      </c>
    </row>
    <row r="330">
      <c r="A330">
        <v>1</v>
      </c>
      <c r="B330" t="str">
        <v>Luas</v>
      </c>
      <c r="C330" t="str">
        <v>m2</v>
      </c>
      <c r="D330">
        <f>(2.1*0.9)+(1.8*0.55)</f>
        <v>2.8800000000000003</v>
      </c>
      <c r="E330">
        <v>2</v>
      </c>
      <c r="F330">
        <f>D330*E330</f>
        <v>5.760000000000001</v>
      </c>
      <c r="G330">
        <f>(2.1*0.9)</f>
        <v>1.8900000000000001</v>
      </c>
      <c r="H330">
        <v>10</v>
      </c>
      <c r="I330">
        <f>G330*H330</f>
        <v>18.900000000000002</v>
      </c>
      <c r="J330">
        <f>(2.1*0.8)</f>
        <v>1.6800000000000002</v>
      </c>
      <c r="K330">
        <v>4</v>
      </c>
      <c r="L330">
        <f>J330*K330</f>
        <v>6.720000000000001</v>
      </c>
      <c r="M330">
        <f>(2.1*2.1)</f>
        <v>4.41</v>
      </c>
      <c r="N330">
        <v>1</v>
      </c>
      <c r="O330">
        <f>M330*N330</f>
        <v>4.41</v>
      </c>
      <c r="P330">
        <f>(1.3*1.15)</f>
        <v>1.4949999999999999</v>
      </c>
      <c r="Q330">
        <v>10</v>
      </c>
      <c r="R330">
        <f>P330*Q330</f>
        <v>14.95</v>
      </c>
      <c r="S330">
        <f>F330+I330+L330+O330+R330</f>
        <v>50.74000000000001</v>
      </c>
    </row>
    <row r="331">
      <c r="A331">
        <v>2</v>
      </c>
      <c r="B331" t="str">
        <v>Tali air/skoneng</v>
      </c>
      <c r="C331" t="str">
        <v>m</v>
      </c>
      <c r="D331">
        <f>(2.1+2.1+1.45+0.55)*2</f>
        <v>12.4</v>
      </c>
      <c r="E331">
        <v>2</v>
      </c>
      <c r="F331">
        <f>D331*E331</f>
        <v>24.8</v>
      </c>
      <c r="G331">
        <f>(2.1+2.1+0.9)*2</f>
        <v>10.200000000000001</v>
      </c>
      <c r="H331">
        <v>10</v>
      </c>
      <c r="I331">
        <f>G331*H331</f>
        <v>102.00000000000001</v>
      </c>
      <c r="J331">
        <f>(2.1+2.1+0.8)*2</f>
        <v>10</v>
      </c>
      <c r="K331">
        <v>4</v>
      </c>
      <c r="L331">
        <f>J331*K331</f>
        <v>40</v>
      </c>
      <c r="M331">
        <f>(2.1+2.1+2.1)*2</f>
        <v>12.600000000000001</v>
      </c>
      <c r="N331">
        <v>1</v>
      </c>
      <c r="O331">
        <f>M331*N331</f>
        <v>12.600000000000001</v>
      </c>
      <c r="P331">
        <f>(1.3+1.3+1.15+1.15)*2</f>
        <v>9.8</v>
      </c>
      <c r="Q331">
        <v>10</v>
      </c>
      <c r="R331">
        <f>P331*Q331</f>
        <v>98</v>
      </c>
      <c r="S331">
        <f>F331+I331+L331+O331+R331</f>
        <v>277.4</v>
      </c>
    </row>
    <row r="332">
      <c r="A332">
        <v>3</v>
      </c>
      <c r="B332" t="str">
        <v>Sepatu kusen</v>
      </c>
      <c r="C332" t="str">
        <v>bh</v>
      </c>
      <c r="D332">
        <v>2</v>
      </c>
      <c r="E332">
        <v>2</v>
      </c>
      <c r="F332">
        <f>D332*E332</f>
        <v>4</v>
      </c>
      <c r="G332">
        <v>2</v>
      </c>
      <c r="H332">
        <v>10</v>
      </c>
      <c r="I332">
        <f>G332*H332</f>
        <v>20</v>
      </c>
      <c r="J332">
        <v>2</v>
      </c>
      <c r="K332">
        <v>4</v>
      </c>
      <c r="L332">
        <f>J332*K332</f>
        <v>8</v>
      </c>
      <c r="M332">
        <v>2</v>
      </c>
      <c r="N332">
        <v>1</v>
      </c>
      <c r="O332">
        <f>M332*N332</f>
        <v>2</v>
      </c>
      <c r="S332">
        <f>F332+I332+L332+O332+R332</f>
        <v>34</v>
      </c>
    </row>
    <row r="333">
      <c r="A333">
        <v>4</v>
      </c>
      <c r="B333" t="str">
        <v>Anker</v>
      </c>
      <c r="C333" t="str">
        <v>bh</v>
      </c>
      <c r="D333">
        <v>4</v>
      </c>
      <c r="E333">
        <v>2</v>
      </c>
      <c r="F333">
        <f>D333*E333</f>
        <v>8</v>
      </c>
      <c r="G333">
        <v>4</v>
      </c>
      <c r="H333">
        <v>10</v>
      </c>
      <c r="I333">
        <f>G333*H333</f>
        <v>40</v>
      </c>
      <c r="J333">
        <v>4</v>
      </c>
      <c r="K333">
        <v>4</v>
      </c>
      <c r="L333">
        <f>J333*K333</f>
        <v>16</v>
      </c>
      <c r="M333">
        <v>6</v>
      </c>
      <c r="N333">
        <v>1</v>
      </c>
      <c r="O333">
        <f>M333*N333</f>
        <v>6</v>
      </c>
      <c r="P333">
        <v>4</v>
      </c>
      <c r="Q333">
        <v>10</v>
      </c>
      <c r="R333">
        <f>P333*Q333</f>
        <v>40</v>
      </c>
      <c r="S333">
        <f>F333+I333+L333+O333+R333</f>
        <v>110</v>
      </c>
    </row>
    <row r="334">
      <c r="A334">
        <v>5</v>
      </c>
      <c r="B334" t="str">
        <v>Kusen</v>
      </c>
      <c r="C334" t="str">
        <v>m3</v>
      </c>
      <c r="D334">
        <f>(2.1+2.1+1.8+1.45+0.55)*0.06*0.15</f>
        <v>0.072</v>
      </c>
      <c r="E334">
        <v>2</v>
      </c>
      <c r="F334">
        <f>D334*E334</f>
        <v>0.144</v>
      </c>
      <c r="G334">
        <f>(2.1+2.1+0.9)*0.06*0.15</f>
        <v>0.045899999999999996</v>
      </c>
      <c r="H334">
        <v>10</v>
      </c>
      <c r="I334">
        <f>G334*H334</f>
        <v>0.45899999999999996</v>
      </c>
      <c r="J334">
        <f>(2.1+2.1+0.8)*0.06*0.15</f>
        <v>0.045</v>
      </c>
      <c r="K334">
        <v>4</v>
      </c>
      <c r="L334">
        <f>J334*K334</f>
        <v>0.18</v>
      </c>
      <c r="M334">
        <f>(2.1+2.1+2.1)*0.06*0.15</f>
        <v>0.0567</v>
      </c>
      <c r="N334">
        <v>1</v>
      </c>
      <c r="O334">
        <f>M334*N334</f>
        <v>0.0567</v>
      </c>
      <c r="P334">
        <f>(1.3+1.3+1.15+1.15)*0.06*0.15</f>
        <v>0.04409999999999999</v>
      </c>
      <c r="Q334">
        <v>10</v>
      </c>
      <c r="R334">
        <f>P334*Q334</f>
        <v>0.44099999999999995</v>
      </c>
      <c r="S334">
        <f>F334+I334+L334+O334+R334</f>
        <v>1.2807</v>
      </c>
    </row>
    <row r="335">
      <c r="A335">
        <v>6</v>
      </c>
      <c r="B335" t="str">
        <v>Finish kusen</v>
      </c>
      <c r="C335" t="str">
        <v>m</v>
      </c>
      <c r="D335">
        <f>(2.1+2.1+1.8+1.45+0.55)</f>
        <v>8</v>
      </c>
      <c r="E335">
        <v>2</v>
      </c>
      <c r="F335">
        <f>D335*E335</f>
        <v>16</v>
      </c>
      <c r="G335">
        <f>(2.1+2.1+0.9)</f>
        <v>5.1000000000000005</v>
      </c>
      <c r="H335">
        <v>10</v>
      </c>
      <c r="I335">
        <f>G335*H335</f>
        <v>51.00000000000001</v>
      </c>
      <c r="J335">
        <f>(2.1+2.1+0.8)</f>
        <v>5</v>
      </c>
      <c r="K335">
        <v>4</v>
      </c>
      <c r="L335">
        <f>J335*K335</f>
        <v>20</v>
      </c>
      <c r="M335">
        <f>(2.1+2.1+2.1)</f>
        <v>6.300000000000001</v>
      </c>
      <c r="N335">
        <v>1</v>
      </c>
      <c r="O335">
        <f>M335*N335</f>
        <v>6.300000000000001</v>
      </c>
      <c r="P335">
        <f>(1.3+1.3+1.15+1.15)</f>
        <v>4.9</v>
      </c>
      <c r="Q335">
        <v>10</v>
      </c>
      <c r="R335">
        <f>P335*Q335</f>
        <v>49</v>
      </c>
      <c r="S335">
        <f>F335+I335+L335+O335+R335</f>
        <v>142.3</v>
      </c>
    </row>
    <row r="336">
      <c r="S336">
        <f>F336+I336+L336+O336+R336</f>
        <v>0</v>
      </c>
    </row>
    <row r="337">
      <c r="A337">
        <v>1</v>
      </c>
      <c r="B337" t="str">
        <v>Pintu panel</v>
      </c>
      <c r="C337" t="str">
        <v>bh</v>
      </c>
      <c r="D337">
        <v>1</v>
      </c>
      <c r="E337">
        <v>2</v>
      </c>
      <c r="F337">
        <f>D337*E337</f>
        <v>2</v>
      </c>
      <c r="S337">
        <f>F337+I337+L337+O337+R337</f>
        <v>2</v>
      </c>
    </row>
    <row r="338">
      <c r="A338">
        <v>2</v>
      </c>
      <c r="B338" t="str">
        <v>Pintu double triplek</v>
      </c>
      <c r="C338" t="str">
        <v>bh</v>
      </c>
      <c r="G338">
        <v>1</v>
      </c>
      <c r="H338">
        <v>10</v>
      </c>
      <c r="I338">
        <f>G338*H338</f>
        <v>10</v>
      </c>
      <c r="S338">
        <f>F338+I338+L338+O338+R338</f>
        <v>10</v>
      </c>
    </row>
    <row r="339">
      <c r="A339">
        <v>3</v>
      </c>
      <c r="B339" t="str">
        <v>Pintu triplek+fomika</v>
      </c>
      <c r="C339" t="str">
        <v>bh</v>
      </c>
      <c r="J339">
        <v>1</v>
      </c>
      <c r="K339">
        <v>4</v>
      </c>
      <c r="L339">
        <f>J339*K339</f>
        <v>4</v>
      </c>
      <c r="S339">
        <f>F339+I339+L339+O339+R339</f>
        <v>4</v>
      </c>
    </row>
    <row r="340">
      <c r="A340">
        <v>4</v>
      </c>
      <c r="B340" t="str">
        <v>Pintu kaca</v>
      </c>
      <c r="C340" t="str">
        <v>bh</v>
      </c>
      <c r="M340">
        <v>4</v>
      </c>
      <c r="N340">
        <v>1</v>
      </c>
      <c r="O340">
        <f>M340*N340</f>
        <v>4</v>
      </c>
      <c r="S340">
        <f>F340+I340+L340+O340+R340</f>
        <v>4</v>
      </c>
    </row>
    <row r="341">
      <c r="A341">
        <v>5</v>
      </c>
      <c r="B341" t="str">
        <v>Engsel</v>
      </c>
      <c r="C341" t="str">
        <v>bh</v>
      </c>
      <c r="D341">
        <v>3</v>
      </c>
      <c r="E341">
        <v>2</v>
      </c>
      <c r="F341">
        <f>D341*E341</f>
        <v>6</v>
      </c>
      <c r="G341">
        <v>3</v>
      </c>
      <c r="H341">
        <v>10</v>
      </c>
      <c r="I341">
        <f>G341*H341</f>
        <v>30</v>
      </c>
      <c r="J341">
        <v>3</v>
      </c>
      <c r="K341">
        <v>4</v>
      </c>
      <c r="L341">
        <f>J341*K341</f>
        <v>12</v>
      </c>
      <c r="M341">
        <v>12</v>
      </c>
      <c r="N341">
        <v>1</v>
      </c>
      <c r="O341">
        <f>M341*N341</f>
        <v>12</v>
      </c>
      <c r="S341">
        <f>F341+I341+L341+O341+R341</f>
        <v>60</v>
      </c>
    </row>
    <row r="342">
      <c r="A342">
        <v>6</v>
      </c>
      <c r="B342" t="str">
        <v>Kunci pintu utama</v>
      </c>
      <c r="C342" t="str">
        <v>bh</v>
      </c>
      <c r="D342">
        <v>1</v>
      </c>
      <c r="E342">
        <v>2</v>
      </c>
      <c r="F342">
        <f>D342*E342</f>
        <v>2</v>
      </c>
      <c r="S342">
        <f>F342+I342+L342+O342+R342</f>
        <v>2</v>
      </c>
    </row>
    <row r="343">
      <c r="A343">
        <v>7</v>
      </c>
      <c r="B343" t="str">
        <v>Kunci pintu kamar</v>
      </c>
      <c r="C343" t="str">
        <v>bh</v>
      </c>
      <c r="G343">
        <v>1</v>
      </c>
      <c r="H343">
        <v>10</v>
      </c>
      <c r="I343">
        <f>G343*H343</f>
        <v>10</v>
      </c>
      <c r="M343">
        <v>1</v>
      </c>
      <c r="N343">
        <v>1</v>
      </c>
      <c r="O343">
        <f>M343*N343</f>
        <v>1</v>
      </c>
      <c r="S343">
        <f>F343+I343+L343+O343+R343</f>
        <v>11</v>
      </c>
    </row>
    <row r="344">
      <c r="A344">
        <v>8</v>
      </c>
      <c r="B344" t="str">
        <v>Kunci pintu kamar mandi</v>
      </c>
      <c r="C344" t="str">
        <v>bh</v>
      </c>
      <c r="J344">
        <v>1</v>
      </c>
      <c r="K344">
        <v>4</v>
      </c>
      <c r="L344">
        <f>J344*K344</f>
        <v>4</v>
      </c>
      <c r="S344">
        <f>F344+I344+L344+O344+R344</f>
        <v>4</v>
      </c>
    </row>
    <row r="345">
      <c r="A345">
        <v>9</v>
      </c>
      <c r="B345" t="str">
        <v>Slot tanam</v>
      </c>
      <c r="C345" t="str">
        <v>bh</v>
      </c>
      <c r="M345">
        <v>3</v>
      </c>
      <c r="N345">
        <v>1</v>
      </c>
      <c r="O345">
        <f>M345*N345</f>
        <v>3</v>
      </c>
      <c r="S345">
        <f>F345+I345+L345+O345+R345</f>
        <v>3</v>
      </c>
    </row>
    <row r="346">
      <c r="A346">
        <v>10</v>
      </c>
      <c r="B346" t="str">
        <v>Finish pintu</v>
      </c>
      <c r="C346" t="str">
        <v>m2</v>
      </c>
      <c r="D346">
        <f>(0.86*2.1)*2</f>
        <v>3.612</v>
      </c>
      <c r="E346">
        <v>2</v>
      </c>
      <c r="F346">
        <f>D346*E346</f>
        <v>7.224</v>
      </c>
      <c r="G346">
        <f>(0.86*2.1)*2</f>
        <v>3.612</v>
      </c>
      <c r="H346">
        <v>10</v>
      </c>
      <c r="I346">
        <f>G346*H346</f>
        <v>36.120000000000005</v>
      </c>
      <c r="J346">
        <f>(0.76*2.1)</f>
        <v>1.596</v>
      </c>
      <c r="K346">
        <v>4</v>
      </c>
      <c r="L346">
        <f>J346*K346</f>
        <v>6.384</v>
      </c>
      <c r="M346">
        <f>(0.76*2.1)</f>
        <v>1.596</v>
      </c>
      <c r="N346">
        <v>1</v>
      </c>
      <c r="O346">
        <f>M346*N346</f>
        <v>1.596</v>
      </c>
      <c r="S346">
        <f>F346+I346+L346+O346+R346</f>
        <v>51.32400000000001</v>
      </c>
    </row>
    <row r="347">
      <c r="A347">
        <v>11</v>
      </c>
      <c r="B347" t="str">
        <v>Finish pintu kaca</v>
      </c>
      <c r="C347" t="str">
        <v>m</v>
      </c>
      <c r="M347">
        <f>((2.06+0.5)*2)*4</f>
        <v>20.48</v>
      </c>
      <c r="N347">
        <v>1</v>
      </c>
      <c r="O347">
        <f>M347*N347</f>
        <v>20.48</v>
      </c>
      <c r="S347">
        <f>F347+I347+L347+O347+R347</f>
        <v>20.48</v>
      </c>
    </row>
    <row r="348">
      <c r="S348">
        <f>F348+I348+L348+O348+R348</f>
        <v>0</v>
      </c>
    </row>
    <row r="349">
      <c r="A349">
        <v>1</v>
      </c>
      <c r="B349" t="str">
        <v>Jendela</v>
      </c>
      <c r="C349" t="str">
        <v>bh</v>
      </c>
      <c r="D349">
        <v>1</v>
      </c>
      <c r="E349">
        <v>2</v>
      </c>
      <c r="F349">
        <f>D349*E349</f>
        <v>2</v>
      </c>
      <c r="S349">
        <f>F349+I349+L349+O349+R349</f>
        <v>2</v>
      </c>
    </row>
    <row r="350">
      <c r="A350">
        <v>2</v>
      </c>
      <c r="B350" t="str">
        <v>Jendela</v>
      </c>
      <c r="P350">
        <v>2</v>
      </c>
      <c r="Q350">
        <v>10</v>
      </c>
      <c r="R350">
        <f>P350*Q350</f>
        <v>20</v>
      </c>
      <c r="S350">
        <f>F350+I350+L350+O350+R350</f>
        <v>20</v>
      </c>
    </row>
    <row r="351">
      <c r="A351">
        <v>3</v>
      </c>
      <c r="B351" t="str">
        <v>Ensel jendela</v>
      </c>
      <c r="C351" t="str">
        <v>bh</v>
      </c>
      <c r="D351">
        <v>2</v>
      </c>
      <c r="E351">
        <v>2</v>
      </c>
      <c r="F351">
        <f>D351*E351</f>
        <v>4</v>
      </c>
      <c r="P351">
        <v>4</v>
      </c>
      <c r="Q351">
        <v>10</v>
      </c>
      <c r="R351">
        <f>P351*Q351</f>
        <v>40</v>
      </c>
      <c r="S351">
        <f>F351+I351+L351+O351+R351</f>
        <v>44</v>
      </c>
    </row>
    <row r="352">
      <c r="A352">
        <v>4</v>
      </c>
      <c r="B352" t="str">
        <v>Slot jendela</v>
      </c>
      <c r="C352" t="str">
        <v>bh</v>
      </c>
      <c r="D352">
        <v>2</v>
      </c>
      <c r="E352">
        <v>2</v>
      </c>
      <c r="F352">
        <f>D352*E352</f>
        <v>4</v>
      </c>
      <c r="P352">
        <v>4</v>
      </c>
      <c r="Q352">
        <v>10</v>
      </c>
      <c r="R352">
        <f>P352*Q352</f>
        <v>40</v>
      </c>
      <c r="S352">
        <f>F352+I352+L352+O352+R352</f>
        <v>44</v>
      </c>
    </row>
    <row r="353">
      <c r="A353">
        <v>5</v>
      </c>
      <c r="B353" t="str">
        <v>Ram skar</v>
      </c>
      <c r="C353" t="str">
        <v>bh</v>
      </c>
      <c r="D353">
        <v>1</v>
      </c>
      <c r="E353">
        <v>2</v>
      </c>
      <c r="F353">
        <f>D353*E353</f>
        <v>2</v>
      </c>
      <c r="P353">
        <v>2</v>
      </c>
      <c r="Q353">
        <v>10</v>
      </c>
      <c r="R353">
        <f>P353*Q353</f>
        <v>20</v>
      </c>
      <c r="S353">
        <f>F353+I353+L353+O353+R353</f>
        <v>22</v>
      </c>
    </row>
    <row r="354">
      <c r="A354">
        <v>6</v>
      </c>
      <c r="B354" t="str">
        <v>Kaca</v>
      </c>
      <c r="C354" t="str">
        <v>m2</v>
      </c>
      <c r="D354">
        <f>0.36*1.56</f>
        <v>0.5616</v>
      </c>
      <c r="E354">
        <v>2</v>
      </c>
      <c r="F354">
        <f>D354*E354</f>
        <v>1.1232</v>
      </c>
      <c r="M354">
        <f>0.36*1.88*4</f>
        <v>2.7072</v>
      </c>
      <c r="N354">
        <v>1</v>
      </c>
      <c r="O354">
        <f>M354*N354</f>
        <v>2.7072</v>
      </c>
      <c r="P354">
        <f>0.36*1.08*2</f>
        <v>0.7776000000000001</v>
      </c>
      <c r="Q354">
        <v>10</v>
      </c>
      <c r="R354">
        <f>P354*Q354</f>
        <v>7.776000000000001</v>
      </c>
      <c r="S354">
        <f>F354+I354+L354+O354+R354</f>
        <v>11.6064</v>
      </c>
    </row>
    <row r="355">
      <c r="A355">
        <v>7</v>
      </c>
      <c r="B355" t="str">
        <v>Finish jendela</v>
      </c>
      <c r="C355" t="str">
        <v>m</v>
      </c>
      <c r="D355">
        <f>(0.52+1.22)*2</f>
        <v>3.48</v>
      </c>
      <c r="E355">
        <v>2</v>
      </c>
      <c r="F355">
        <f>D355*E355</f>
        <v>6.96</v>
      </c>
      <c r="P355">
        <f>(0.52+1.22+0.52+1.22)*2</f>
        <v>6.959999999999999</v>
      </c>
      <c r="Q355">
        <v>10</v>
      </c>
      <c r="R355">
        <f>P355*Q355</f>
        <v>69.6</v>
      </c>
      <c r="S355">
        <f>F355+I355+L355+O355+R355</f>
        <v>76.55999999999999</v>
      </c>
    </row>
    <row r="360">
      <c r="A360" t="str">
        <v>PEKERJAAN KUSEN PINTU,JENDELA DAN ACCESSORIES</v>
      </c>
    </row>
    <row r="362">
      <c r="A362" t="str">
        <v>I.</v>
      </c>
      <c r="B362" t="str">
        <v>KUSEN,PINTU &amp; JENDELA</v>
      </c>
    </row>
    <row r="363">
      <c r="A363">
        <v>1</v>
      </c>
      <c r="B363" t="str">
        <v>Kusen (terpasang)</v>
      </c>
      <c r="C363" t="str">
        <v>m3</v>
      </c>
      <c r="D363">
        <f>'A-QTY'!S334</f>
        <v>1.2807</v>
      </c>
    </row>
    <row r="364">
      <c r="A364">
        <v>2</v>
      </c>
      <c r="B364" t="str">
        <v>Pintu panel depan 71 x 206 cm</v>
      </c>
      <c r="C364" t="str">
        <v>m2</v>
      </c>
      <c r="D364">
        <f>'A-QTY'!S337*0.71*2.06</f>
        <v>2.9252</v>
      </c>
    </row>
    <row r="365">
      <c r="A365">
        <v>3</v>
      </c>
      <c r="B365" t="str">
        <v>Pintu panel kamar tidur 81 x 206 cm</v>
      </c>
      <c r="C365" t="str">
        <v>m2</v>
      </c>
      <c r="D365">
        <f>'A-QTY'!S338*0.81*2.06</f>
        <v>16.686000000000003</v>
      </c>
    </row>
    <row r="366">
      <c r="A366">
        <v>4</v>
      </c>
      <c r="B366" t="str">
        <v>Pintu panel kamar mandi 71 x 206 cm</v>
      </c>
      <c r="C366" t="str">
        <v>m2</v>
      </c>
      <c r="D366">
        <f>'A-QTY'!S339*0.71*2.06</f>
        <v>5.8504</v>
      </c>
    </row>
    <row r="367">
      <c r="A367">
        <v>5</v>
      </c>
      <c r="B367" t="str">
        <v>Pintu kaca 50 x 206 cm</v>
      </c>
      <c r="C367" t="str">
        <v>m2</v>
      </c>
      <c r="D367">
        <f>'A-QTY'!S340*0.5*2.06</f>
        <v>4.12</v>
      </c>
    </row>
    <row r="368">
      <c r="A368">
        <v>6</v>
      </c>
      <c r="B368" t="str">
        <v>Jendela kaca 52 x 122 cm</v>
      </c>
      <c r="C368" t="str">
        <v>m2</v>
      </c>
      <c r="D368">
        <f>'A-QTY'!S350*0.52*1.22</f>
        <v>12.688</v>
      </c>
    </row>
    <row r="369">
      <c r="A369">
        <v>7</v>
      </c>
      <c r="B369" t="str">
        <v>Jendela kaca 52 x 182 cm</v>
      </c>
      <c r="C369" t="str">
        <v>m2</v>
      </c>
      <c r="D369">
        <f>'A-QTY'!S349*0.52*1.82</f>
        <v>1.8928</v>
      </c>
    </row>
    <row r="371">
      <c r="A371" t="str">
        <v>II.</v>
      </c>
      <c r="B371" t="str">
        <v>ACCESSORIES</v>
      </c>
    </row>
    <row r="372">
      <c r="A372">
        <v>1</v>
      </c>
      <c r="B372" t="str">
        <v>Kaca polos 5 mm</v>
      </c>
      <c r="C372" t="str">
        <v>m2</v>
      </c>
      <c r="D372">
        <f>'A-QTY'!S354</f>
        <v>11.6064</v>
      </c>
    </row>
    <row r="373">
      <c r="A373">
        <v>2</v>
      </c>
      <c r="B373" t="str">
        <v>Engsel pintu</v>
      </c>
      <c r="C373" t="str">
        <v>bh</v>
      </c>
      <c r="D373">
        <f>'A-QTY'!S341</f>
        <v>60</v>
      </c>
    </row>
    <row r="374">
      <c r="A374">
        <v>3</v>
      </c>
      <c r="B374" t="str">
        <v>Engsel jendela</v>
      </c>
      <c r="C374" t="str">
        <v>bh</v>
      </c>
      <c r="D374">
        <f>'A-QTY'!S351</f>
        <v>44</v>
      </c>
    </row>
    <row r="375">
      <c r="A375">
        <v>4</v>
      </c>
      <c r="B375" t="str">
        <v>Kunci pintu utama</v>
      </c>
      <c r="C375" t="str">
        <v>bh</v>
      </c>
      <c r="D375">
        <f>'A-QTY'!S342</f>
        <v>2</v>
      </c>
    </row>
    <row r="376">
      <c r="A376">
        <v>5</v>
      </c>
      <c r="B376" t="str">
        <v xml:space="preserve">Kunci pintu kamar </v>
      </c>
      <c r="C376" t="str">
        <v>bh</v>
      </c>
      <c r="D376">
        <f>'A-QTY'!S343</f>
        <v>11</v>
      </c>
    </row>
    <row r="377">
      <c r="A377">
        <v>6</v>
      </c>
      <c r="B377" t="str">
        <v>Kunci pintu kamar mandi</v>
      </c>
      <c r="C377" t="str">
        <v>bh</v>
      </c>
      <c r="D377">
        <f>'A-QTY'!S344</f>
        <v>4</v>
      </c>
    </row>
    <row r="378">
      <c r="A378">
        <v>7</v>
      </c>
      <c r="B378" t="str">
        <v>Slot tanam</v>
      </c>
      <c r="C378" t="str">
        <v>ps</v>
      </c>
      <c r="D378">
        <f>'A-QTY'!S345</f>
        <v>3</v>
      </c>
    </row>
    <row r="379">
      <c r="A379">
        <v>8</v>
      </c>
      <c r="B379" t="str">
        <v>Kait angin</v>
      </c>
      <c r="C379" t="str">
        <v>bh</v>
      </c>
      <c r="D379">
        <f>'A-QTY'!S353</f>
        <v>22</v>
      </c>
    </row>
    <row r="380">
      <c r="A380">
        <v>9</v>
      </c>
      <c r="B380" t="str">
        <v>Slot jendela</v>
      </c>
      <c r="C380" t="str">
        <v>bh</v>
      </c>
      <c r="D380">
        <f>'A-QTY'!S352</f>
        <v>44</v>
      </c>
    </row>
    <row r="382">
      <c r="A382" t="str">
        <v>III.</v>
      </c>
      <c r="B382" t="str">
        <v>FINSHING KUSEN,PINTU DAN JENDELA</v>
      </c>
    </row>
    <row r="383">
      <c r="A383">
        <v>1</v>
      </c>
      <c r="B383" t="str">
        <v>Cat kusen</v>
      </c>
      <c r="C383" t="str">
        <v>m2</v>
      </c>
      <c r="D383">
        <f>'A-QTY'!S335*(0.05+0.15+0.05)</f>
        <v>35.575</v>
      </c>
    </row>
    <row r="384">
      <c r="A384">
        <v>2</v>
      </c>
      <c r="B384" t="str">
        <v xml:space="preserve">Cat pintu </v>
      </c>
      <c r="C384" t="str">
        <v>m2</v>
      </c>
      <c r="D384">
        <f>'A-QTY'!S346</f>
        <v>51.32400000000001</v>
      </c>
    </row>
    <row r="385">
      <c r="A385">
        <v>3</v>
      </c>
      <c r="B385" t="str">
        <v>Cat pintu kaca</v>
      </c>
      <c r="C385" t="str">
        <v>m2</v>
      </c>
      <c r="D385">
        <f>'A-QTY'!S347*(0.04+0.12+0.04+0.12)</f>
        <v>6.5536</v>
      </c>
    </row>
    <row r="386">
      <c r="A386">
        <v>4</v>
      </c>
      <c r="B386" t="str">
        <v>Cat jendela</v>
      </c>
      <c r="C386" t="str">
        <v>m2</v>
      </c>
      <c r="D386">
        <f>'A-QTY'!S355*(0.03+0.1+0.03+0.1)</f>
        <v>19.905599999999996</v>
      </c>
    </row>
    <row r="390">
      <c r="A390" t="str">
        <v>VOLUME FINISHING</v>
      </c>
    </row>
    <row r="392">
      <c r="A392" t="str">
        <v>I.</v>
      </c>
      <c r="B392" t="str">
        <v xml:space="preserve">TERAS DEPAN </v>
      </c>
    </row>
    <row r="393">
      <c r="A393">
        <v>1</v>
      </c>
      <c r="B393" t="str">
        <v>Finishing fasade</v>
      </c>
      <c r="C393" t="str">
        <v>m2</v>
      </c>
      <c r="D393">
        <f>3.5*5</f>
        <v>17.5</v>
      </c>
    </row>
    <row r="394">
      <c r="A394">
        <v>2</v>
      </c>
      <c r="B394" t="str">
        <v>Finishing lantai</v>
      </c>
      <c r="C394" t="str">
        <v>m2</v>
      </c>
      <c r="D394">
        <f>'A-QTY'!E29</f>
        <v>15.75</v>
      </c>
    </row>
    <row r="395">
      <c r="A395">
        <v>3</v>
      </c>
      <c r="B395" t="str">
        <v>Plint lantai + tali air</v>
      </c>
      <c r="C395" t="str">
        <v>m'</v>
      </c>
      <c r="D395">
        <f>16-0.9</f>
        <v>15.1</v>
      </c>
    </row>
    <row r="396">
      <c r="A396">
        <v>4</v>
      </c>
      <c r="B396" t="str">
        <v>Finishing plafond</v>
      </c>
      <c r="C396" t="str">
        <v>m2</v>
      </c>
      <c r="D396">
        <f>D394</f>
        <v>15.75</v>
      </c>
    </row>
    <row r="397">
      <c r="A397">
        <v>5</v>
      </c>
      <c r="B397" t="str">
        <v>Cat plafond</v>
      </c>
      <c r="C397" t="str">
        <v>m2</v>
      </c>
      <c r="D397">
        <f>D396</f>
        <v>15.75</v>
      </c>
    </row>
    <row r="398">
      <c r="A398">
        <v>6</v>
      </c>
      <c r="B398" t="str">
        <v>List plafond</v>
      </c>
      <c r="C398" t="str">
        <v>m'</v>
      </c>
      <c r="D398">
        <v>16</v>
      </c>
    </row>
    <row r="400">
      <c r="A400" t="str">
        <v>II.</v>
      </c>
      <c r="B400" t="str">
        <v xml:space="preserve">RUANG KELUARGA,DAPUR </v>
      </c>
    </row>
    <row r="401">
      <c r="A401">
        <v>1</v>
      </c>
      <c r="B401" t="str">
        <v>Finishing dinding</v>
      </c>
      <c r="C401" t="str">
        <v>m2</v>
      </c>
      <c r="D401">
        <f>(64*3)-((0.9*2.1*9)+(0.8*2.1*2)+(2.1*2.1)+(2.1*0.9*1)+(1.8*0.55*1)+(1.3*1.15*3))</f>
        <v>159.85500000000002</v>
      </c>
    </row>
    <row r="402">
      <c r="A402">
        <v>2</v>
      </c>
      <c r="B402" t="str">
        <v>Finishing lantai</v>
      </c>
      <c r="C402" t="str">
        <v>m2</v>
      </c>
      <c r="D402">
        <f>'A-QTY'!E11+'A-QTY'!E12+'A-QTY'!E13+'A-QTY'!E14+'A-QTY'!E15</f>
        <v>99.25</v>
      </c>
    </row>
    <row r="403">
      <c r="A403">
        <v>3</v>
      </c>
      <c r="B403" t="str">
        <v>Plint lantai</v>
      </c>
      <c r="C403" t="str">
        <v>m'</v>
      </c>
      <c r="D403">
        <f>(64*1)-((0.9*9)+(0.8*2)+(2.1*1)+(0.9*1))</f>
        <v>51.3</v>
      </c>
    </row>
    <row r="404">
      <c r="A404">
        <v>4</v>
      </c>
      <c r="B404" t="str">
        <v>Finishing plafond</v>
      </c>
      <c r="C404" t="str">
        <v>m2</v>
      </c>
      <c r="D404">
        <f>D402</f>
        <v>99.25</v>
      </c>
    </row>
    <row r="405">
      <c r="A405">
        <v>5</v>
      </c>
      <c r="B405" t="str">
        <v>Cat plafond</v>
      </c>
      <c r="C405" t="str">
        <v>m2</v>
      </c>
      <c r="D405">
        <f>D404</f>
        <v>99.25</v>
      </c>
    </row>
    <row r="406">
      <c r="A406">
        <v>6</v>
      </c>
      <c r="B406" t="str">
        <v>List plafond</v>
      </c>
      <c r="C406" t="str">
        <v>m'</v>
      </c>
      <c r="D406">
        <f>64</f>
        <v>64</v>
      </c>
    </row>
    <row r="408">
      <c r="A408" t="str">
        <v>III.</v>
      </c>
      <c r="B408" t="str">
        <v xml:space="preserve">KAMAR TIDUR </v>
      </c>
    </row>
    <row r="409">
      <c r="A409">
        <v>1</v>
      </c>
      <c r="B409" t="str">
        <v>Finishing dinding</v>
      </c>
      <c r="C409" t="str">
        <v>m2</v>
      </c>
      <c r="D409">
        <f>(((4.5+3)*2*4)*3)-((0.9*2.1*4)+(1.3*1.15*4))</f>
        <v>166.46</v>
      </c>
    </row>
    <row r="410">
      <c r="A410">
        <v>2</v>
      </c>
      <c r="B410" t="str">
        <v>Finishing lantai</v>
      </c>
      <c r="C410" t="str">
        <v>m2</v>
      </c>
      <c r="D410">
        <f>'A-QTY'!E16+'A-QTY'!E17+'A-QTY'!E18+'A-QTY'!E19</f>
        <v>54</v>
      </c>
    </row>
    <row r="411">
      <c r="A411">
        <v>3</v>
      </c>
      <c r="B411" t="str">
        <v>Plint lantai</v>
      </c>
      <c r="C411" t="str">
        <v>m'</v>
      </c>
      <c r="D411">
        <f>((4.5+3)*2*4)-(0.9*4)</f>
        <v>56.4</v>
      </c>
    </row>
    <row r="412">
      <c r="A412">
        <v>4</v>
      </c>
      <c r="B412" t="str">
        <v>Finishing plafond</v>
      </c>
      <c r="C412" t="str">
        <v>m2</v>
      </c>
      <c r="D412">
        <f>D410</f>
        <v>54</v>
      </c>
    </row>
    <row r="413">
      <c r="A413">
        <v>5</v>
      </c>
      <c r="B413" t="str">
        <v>Cat plafond</v>
      </c>
      <c r="C413" t="str">
        <v>m2</v>
      </c>
      <c r="D413">
        <f>D412</f>
        <v>54</v>
      </c>
    </row>
    <row r="414">
      <c r="A414">
        <v>6</v>
      </c>
      <c r="B414" t="str">
        <v>List plafond</v>
      </c>
      <c r="C414" t="str">
        <v>m'</v>
      </c>
      <c r="D414">
        <f>((4.5+3)*2*4)</f>
        <v>60</v>
      </c>
    </row>
    <row r="416">
      <c r="A416" t="str">
        <v>V.</v>
      </c>
      <c r="B416" t="str">
        <v>RUANG</v>
      </c>
    </row>
    <row r="417">
      <c r="A417">
        <v>1</v>
      </c>
      <c r="B417" t="str">
        <v>Finishing dinding</v>
      </c>
      <c r="C417" t="str">
        <v>m2</v>
      </c>
      <c r="D417">
        <f>(70*3)-((0.9*2.1*7)+(1.3*1.15*1))</f>
        <v>195.275</v>
      </c>
    </row>
    <row r="418">
      <c r="A418">
        <v>2</v>
      </c>
      <c r="B418" t="str">
        <v>Finishing lantai</v>
      </c>
      <c r="C418" t="str">
        <v>m2</v>
      </c>
      <c r="D418">
        <f>'A-QTY'!E20+'A-QTY'!E21+'A-QTY'!E22+'A-QTY'!E27+'A-QTY'!E28</f>
        <v>30.375</v>
      </c>
    </row>
    <row r="419">
      <c r="A419">
        <v>3</v>
      </c>
      <c r="B419" t="str">
        <v>Plint lantai</v>
      </c>
      <c r="C419" t="str">
        <v>m'</v>
      </c>
      <c r="D419">
        <f>70-(0.9*7)</f>
        <v>63.7</v>
      </c>
    </row>
    <row r="420">
      <c r="A420">
        <v>4</v>
      </c>
      <c r="B420" t="str">
        <v>Finishing plafond</v>
      </c>
      <c r="C420" t="str">
        <v>m2</v>
      </c>
      <c r="D420">
        <f>D418</f>
        <v>30.375</v>
      </c>
    </row>
    <row r="421">
      <c r="A421">
        <v>6</v>
      </c>
      <c r="B421" t="str">
        <v>Cat plafond</v>
      </c>
      <c r="C421" t="str">
        <v>m2</v>
      </c>
      <c r="D421">
        <f>D420</f>
        <v>30.375</v>
      </c>
    </row>
    <row r="422">
      <c r="A422">
        <v>7</v>
      </c>
      <c r="B422" t="str">
        <v>List plafond</v>
      </c>
      <c r="C422" t="str">
        <v>m'</v>
      </c>
      <c r="D422">
        <f>70</f>
        <v>70</v>
      </c>
    </row>
    <row r="424">
      <c r="A424" t="str">
        <v>VI.</v>
      </c>
      <c r="B424" t="str">
        <v>KAMAR MANDI</v>
      </c>
    </row>
    <row r="425">
      <c r="A425">
        <v>1</v>
      </c>
      <c r="B425" t="str">
        <v>Finishing dinding</v>
      </c>
      <c r="C425" t="str">
        <v>m2</v>
      </c>
      <c r="D425">
        <f>(((3+2.5)*2)*2.7*2)-(0.8*2.1*2)</f>
        <v>56.040000000000006</v>
      </c>
    </row>
    <row r="426">
      <c r="A426">
        <v>2</v>
      </c>
      <c r="B426" t="str">
        <v>Finishing lantai</v>
      </c>
      <c r="C426" t="str">
        <v>m2</v>
      </c>
      <c r="D426">
        <f>'A-QTY'!E23+'A-QTY'!E24</f>
        <v>13.75</v>
      </c>
    </row>
    <row r="427">
      <c r="A427">
        <v>3</v>
      </c>
      <c r="B427" t="str">
        <v>Finishing plafond</v>
      </c>
      <c r="C427" t="str">
        <v>m2</v>
      </c>
      <c r="D427">
        <f>D426</f>
        <v>13.75</v>
      </c>
    </row>
    <row r="428">
      <c r="A428">
        <v>4</v>
      </c>
      <c r="B428" t="str">
        <v>Cat plafond</v>
      </c>
      <c r="C428" t="str">
        <v>m2</v>
      </c>
      <c r="D428">
        <f>D427</f>
        <v>13.75</v>
      </c>
    </row>
    <row r="429">
      <c r="A429">
        <v>5</v>
      </c>
      <c r="B429" t="str">
        <v>List plafond</v>
      </c>
      <c r="C429" t="str">
        <v>m'</v>
      </c>
      <c r="D429">
        <f>((2.5+3)*2)*2</f>
        <v>22</v>
      </c>
    </row>
    <row r="430">
      <c r="A430">
        <v>6</v>
      </c>
      <c r="B430" t="str">
        <v>Washtafel</v>
      </c>
      <c r="C430" t="str">
        <v>bh</v>
      </c>
      <c r="D430">
        <v>2</v>
      </c>
    </row>
    <row r="431">
      <c r="A431">
        <v>7</v>
      </c>
      <c r="B431" t="str">
        <v xml:space="preserve">Kran washtafel </v>
      </c>
      <c r="C431" t="str">
        <v>bh</v>
      </c>
      <c r="D431">
        <v>2</v>
      </c>
    </row>
    <row r="432">
      <c r="A432">
        <v>8</v>
      </c>
      <c r="B432" t="str">
        <v>Closet duduk</v>
      </c>
      <c r="C432" t="str">
        <v>bh</v>
      </c>
      <c r="D432">
        <v>2</v>
      </c>
    </row>
    <row r="433">
      <c r="A433">
        <v>9</v>
      </c>
      <c r="B433" t="str">
        <v>Shower spray (kran bilas)</v>
      </c>
      <c r="C433" t="str">
        <v>bh</v>
      </c>
      <c r="D433">
        <v>2</v>
      </c>
    </row>
    <row r="434">
      <c r="A434">
        <v>10</v>
      </c>
      <c r="B434" t="str">
        <v>Wall shower</v>
      </c>
      <c r="C434" t="str">
        <v>bh</v>
      </c>
      <c r="D434">
        <v>2</v>
      </c>
    </row>
    <row r="435">
      <c r="A435">
        <v>11</v>
      </c>
      <c r="B435" t="str">
        <v>Shower valve</v>
      </c>
      <c r="C435" t="str">
        <v>bh</v>
      </c>
      <c r="D435">
        <v>2</v>
      </c>
    </row>
    <row r="436">
      <c r="A436">
        <v>12</v>
      </c>
      <c r="B436" t="str">
        <v>Floor drain</v>
      </c>
      <c r="C436" t="str">
        <v>bh</v>
      </c>
      <c r="D436">
        <v>2</v>
      </c>
    </row>
    <row r="437">
      <c r="A437">
        <v>13</v>
      </c>
      <c r="B437" t="str">
        <v>Soap holder</v>
      </c>
      <c r="C437" t="str">
        <v>bh</v>
      </c>
      <c r="D437">
        <v>2</v>
      </c>
    </row>
    <row r="439">
      <c r="A439" t="str">
        <v>IX.</v>
      </c>
      <c r="B439" t="str">
        <v>DAPUR</v>
      </c>
    </row>
    <row r="440">
      <c r="A440">
        <v>1</v>
      </c>
      <c r="B440" t="str">
        <v>Finishing dinding &amp; meja dapur</v>
      </c>
      <c r="C440" t="str">
        <v>m2</v>
      </c>
      <c r="D440">
        <f>(0.6+4+0.6+4)*0.6</f>
        <v>5.52</v>
      </c>
    </row>
    <row r="441">
      <c r="A441">
        <v>2</v>
      </c>
      <c r="B441" t="str">
        <v xml:space="preserve">Sink </v>
      </c>
      <c r="C441" t="str">
        <v>bh</v>
      </c>
      <c r="D441">
        <v>1</v>
      </c>
    </row>
    <row r="442">
      <c r="A442">
        <v>3</v>
      </c>
      <c r="B442" t="str">
        <v>Kran sink</v>
      </c>
      <c r="C442" t="str">
        <v>bh</v>
      </c>
      <c r="D442">
        <v>1</v>
      </c>
    </row>
    <row r="444">
      <c r="A444" t="str">
        <v>XI.</v>
      </c>
      <c r="B444" t="str">
        <v>TERAS BELAKANG/KORRIDOR</v>
      </c>
    </row>
    <row r="445">
      <c r="A445">
        <v>1</v>
      </c>
      <c r="B445" t="str">
        <v>Finishing lantai</v>
      </c>
      <c r="C445" t="str">
        <v>m2</v>
      </c>
      <c r="D445">
        <f>'A-QTY'!E30+'A-QTY'!E31+'A-QTY'!E32+'A-QTY'!E33+'A-QTY'!E34+'A-QTY'!E35+'A-QTY'!E36</f>
        <v>62.875</v>
      </c>
    </row>
    <row r="446">
      <c r="A446">
        <v>2</v>
      </c>
      <c r="B446" t="str">
        <v>Plint lantai</v>
      </c>
      <c r="C446" t="str">
        <v>m2</v>
      </c>
      <c r="D446">
        <f>57.5-((0.9*6)+(2.1))</f>
        <v>50</v>
      </c>
    </row>
    <row r="448">
      <c r="A448" t="str">
        <v>XII.</v>
      </c>
      <c r="B448" t="str">
        <v>CARPORT</v>
      </c>
    </row>
    <row r="449">
      <c r="A449">
        <v>1</v>
      </c>
      <c r="B449" t="str">
        <v>Finishing lantai</v>
      </c>
      <c r="C449" t="str">
        <v>m2</v>
      </c>
      <c r="D449">
        <f>'A-QTY'!E39</f>
        <v>36</v>
      </c>
    </row>
    <row r="450">
      <c r="A450">
        <v>2</v>
      </c>
      <c r="B450" t="str">
        <v>Kran tembok</v>
      </c>
      <c r="C450" t="str">
        <v>bh</v>
      </c>
      <c r="D450">
        <v>1</v>
      </c>
    </row>
    <row r="452">
      <c r="A452" t="str">
        <v>XIII.</v>
      </c>
      <c r="B452" t="str">
        <v>FINISHING BAGIAN LUAR</v>
      </c>
    </row>
    <row r="453">
      <c r="A453">
        <v>1</v>
      </c>
      <c r="B453" t="str">
        <v>Cat dinding luar</v>
      </c>
      <c r="C453" t="str">
        <v>m2</v>
      </c>
      <c r="D453">
        <f>('A-QTY'!D323+'A-QTY'!H320)-(D401+D409+D417+D425+D440)</f>
        <v>906.37</v>
      </c>
    </row>
    <row r="454">
      <c r="A454">
        <v>2</v>
      </c>
      <c r="B454" t="str">
        <v>Finishing plafond luar</v>
      </c>
      <c r="C454" t="str">
        <v>m2</v>
      </c>
      <c r="D454">
        <f>52+D445</f>
        <v>114.875</v>
      </c>
    </row>
    <row r="455">
      <c r="A455">
        <v>3</v>
      </c>
      <c r="B455" t="str">
        <v>Cat plafond</v>
      </c>
      <c r="C455" t="str">
        <v>m2</v>
      </c>
      <c r="D455">
        <f>D454</f>
        <v>114.875</v>
      </c>
    </row>
    <row r="457">
      <c r="A457" t="str">
        <v>XIV.</v>
      </c>
      <c r="B457" t="str">
        <v>FINISHING ATAP</v>
      </c>
    </row>
    <row r="458">
      <c r="A458">
        <v>1</v>
      </c>
      <c r="B458" t="str">
        <v>Pengecatan listplank</v>
      </c>
      <c r="C458" t="str">
        <v>m2</v>
      </c>
      <c r="D458">
        <f>50*(0.04+0.25+0.04+0.25)</f>
        <v>28.999999999999996</v>
      </c>
    </row>
    <row r="459">
      <c r="A459">
        <v>2</v>
      </c>
      <c r="B459" t="str">
        <v>Pengecatan wuwung</v>
      </c>
      <c r="C459" t="str">
        <v>m'</v>
      </c>
      <c r="D459">
        <v>20</v>
      </c>
    </row>
    <row r="460">
      <c r="A460">
        <v>3</v>
      </c>
      <c r="B460" t="str">
        <v>Water profing dak beton</v>
      </c>
      <c r="C460" t="str">
        <v>m2</v>
      </c>
      <c r="D460">
        <f>'A-QTY'!D286+'A-QTY'!E286</f>
        <v>36.56999999999999</v>
      </c>
    </row>
    <row r="461">
      <c r="A461">
        <v>4</v>
      </c>
      <c r="B461" t="str">
        <v>Finishing lantai dak beton</v>
      </c>
      <c r="C461" t="str">
        <v>m2</v>
      </c>
      <c r="D461">
        <f>D460</f>
        <v>36.56999999999999</v>
      </c>
    </row>
    <row r="462">
      <c r="A462">
        <v>5</v>
      </c>
      <c r="B462" t="str">
        <v xml:space="preserve">Roof drain </v>
      </c>
      <c r="C462" t="str">
        <v>bh</v>
      </c>
      <c r="D462">
        <v>2</v>
      </c>
    </row>
  </sheetData>
  <mergeCells count="10">
    <mergeCell ref="A292:D292"/>
    <mergeCell ref="I292:L292"/>
    <mergeCell ref="Q292:T292"/>
    <mergeCell ref="M292:P292"/>
    <mergeCell ref="E292:H292"/>
    <mergeCell ref="P327:R327"/>
    <mergeCell ref="D327:F327"/>
    <mergeCell ref="G327:I327"/>
    <mergeCell ref="J327:L327"/>
    <mergeCell ref="M327:O327"/>
  </mergeCells>
  <hyperlinks>
    <hyperlink ref="A1" location="MENU!A1" tooltip="menu"/>
  </hyperlinks>
  <pageMargins left="0.99" right="0.19" top="0.1" bottom="0.46" header="0.51" footer="0.17"/>
  <ignoredErrors>
    <ignoredError numberStoredAsText="1" sqref="A1:T462"/>
  </ignoredErrors>
</worksheet>
</file>

<file path=xl/worksheets/sheet2.xml><?xml version="1.0" encoding="utf-8"?>
<worksheet xmlns="http://schemas.openxmlformats.org/spreadsheetml/2006/main" xmlns:r="http://schemas.openxmlformats.org/officeDocument/2006/relationships">
  <dimension ref="A1:A14"/>
  <sheetViews>
    <sheetView workbookViewId="0" rightToLeft="0"/>
  </sheetViews>
  <sheetData>
    <row r="1">
      <c r="A1" t="str">
        <v>menu</v>
      </c>
    </row>
    <row r="2">
      <c r="A2" t="str">
        <v>PANDUAN PENGGUNAAN</v>
      </c>
    </row>
    <row r="4">
      <c r="A4" t="str">
        <v>Formula disusun dengan perangkat lunak Microsoft Excel yang sederhana agar mudah dioperasikan.</v>
      </c>
    </row>
    <row r="5">
      <c r="A5" t="str">
        <v>Berikut langkah-langkah penggunaan formula HSBGN:</v>
      </c>
    </row>
    <row r="7">
      <c r="A7" t="str">
        <v>a.       Buka file HSBGN.xls dengan software Microsoft Excel</v>
      </c>
    </row>
    <row r="8">
      <c r="A8" t="str">
        <v>b.      Ketika layar utama terbuka, terdapat beberapa menu (pilih salah satu)</v>
      </c>
    </row>
    <row r="9">
      <c r="A9" t="str">
        <v>i.   Klik “Pedoman Teknis” untuk mengetahui tentang HSBGN; pengertian, maksud dan tujuan, klasifikasi,  dan tata cara penyusunan HSBGN</v>
      </c>
    </row>
    <row r="10">
      <c r="A10" t="str">
        <v xml:space="preserve">ii.  Klik “Isi Data Harga Material dan Upah ” untuk memasukkan data harga satuan material dan upah </v>
      </c>
    </row>
    <row r="11">
      <c r="A11" t="str">
        <v>iii. Klik “HSBGN” untuk melihat hasil yang diperoleh berupa HSBGN masing-masing klasifikasi apabila data telah diisi secara lengkap dan benar</v>
      </c>
    </row>
    <row r="12">
      <c r="A12" t="str">
        <v>iv.  Klik “Surat Keputusan” untuk memperoleh tampilan HSBGN suatu daerah (setelah data diisi secara lengkap dan benar) dalam tampilan/ format Surat Keputusan</v>
      </c>
    </row>
    <row r="13">
      <c r="A13" t="str">
        <v xml:space="preserve">v.    Klik “Model Bangunan” untuk melihat gambar model teknis yang digunakan sebagai contoh/ sample dalam perhitungan program HSBGN </v>
      </c>
    </row>
    <row r="14">
      <c r="A14" t="str">
        <v>c.       Bila salah satu menu tersebut dibuka dan akan kembali ke layar utama, klik tombol “menu” di sudut atas kiri atau kanan tampilan</v>
      </c>
    </row>
  </sheetData>
  <hyperlinks>
    <hyperlink ref="A1" location="MENU!A1" tooltip="menu"/>
  </hyperlinks>
  <pageMargins left="0.7480314960629921" right="0.35433070866141736" top="1.7716535433070868" bottom="0.984251968503937" header="0.5118110236220472" footer="0.5118110236220472"/>
  <ignoredErrors>
    <ignoredError numberStoredAsText="1" sqref="A1:A14"/>
  </ignoredErrors>
</worksheet>
</file>

<file path=xl/worksheets/sheet20.xml><?xml version="1.0" encoding="utf-8"?>
<worksheet xmlns="http://schemas.openxmlformats.org/spreadsheetml/2006/main" xmlns:r="http://schemas.openxmlformats.org/officeDocument/2006/relationships">
  <dimension ref="A1:K190"/>
  <sheetViews>
    <sheetView workbookViewId="0" rightToLeft="0"/>
  </sheetViews>
  <sheetData>
    <row r="1">
      <c r="I1" t="str">
        <v>menu</v>
      </c>
    </row>
    <row r="2">
      <c r="A2" t="str">
        <v>REKAPITULASI BIAYA STANDAR RUMAH NEGARA TYPE B</v>
      </c>
      <c r="I2" t="str">
        <v>HSBGN</v>
      </c>
    </row>
    <row r="4">
      <c r="A4" t="str">
        <f>A30</f>
        <v>A.</v>
      </c>
      <c r="B4" t="str">
        <f>B30</f>
        <v>PEKERJAAN STRUKTUR</v>
      </c>
      <c r="I4">
        <f>SUM(I5:I6)</f>
        <v>0.004633013872596092</v>
      </c>
      <c r="J4" t="str">
        <v>MIN</v>
      </c>
      <c r="K4" t="str">
        <v>MAX</v>
      </c>
    </row>
    <row r="5">
      <c r="A5" t="str">
        <f>A31</f>
        <v>A.1</v>
      </c>
      <c r="B5" t="str">
        <f>B31</f>
        <v xml:space="preserve">Pekerjaan Pondasi </v>
      </c>
      <c r="H5">
        <f>H47</f>
        <v>11761875</v>
      </c>
      <c r="I5">
        <f>H5/$H$18</f>
        <v>0.004633013872596092</v>
      </c>
    </row>
    <row r="6">
      <c r="A6" t="str">
        <f>A48</f>
        <v>A.2</v>
      </c>
      <c r="B6" t="str">
        <f>B48</f>
        <v>Pekerjaan Struktur</v>
      </c>
      <c r="H6">
        <f>H73</f>
        <v>0</v>
      </c>
      <c r="I6">
        <f>H6/$H$18</f>
        <v>0</v>
      </c>
    </row>
    <row r="7">
      <c r="A7" t="str">
        <f>A74</f>
        <v>B.</v>
      </c>
      <c r="B7" t="str">
        <f>B74</f>
        <v>PEKERJAAN ARSITEKTUR</v>
      </c>
      <c r="I7">
        <f>SUM(I8:I12)</f>
        <v>0.9715841914289347</v>
      </c>
    </row>
    <row r="8">
      <c r="A8" t="str">
        <f>A76</f>
        <v>B.1</v>
      </c>
      <c r="B8" t="str">
        <f>B76</f>
        <v>Pekerjaan Lantai</v>
      </c>
      <c r="H8">
        <f>H83</f>
        <v>0</v>
      </c>
      <c r="I8">
        <f>H8/$H$18</f>
        <v>0</v>
      </c>
    </row>
    <row r="9">
      <c r="A9" t="str">
        <f>A84</f>
        <v>B.2</v>
      </c>
      <c r="B9" t="str">
        <f>B84</f>
        <v>Pekerjaan Dinding</v>
      </c>
      <c r="H9">
        <f>H88</f>
        <v>2466569737.5</v>
      </c>
      <c r="I9">
        <f>H9/$H$18</f>
        <v>0.9715841914289347</v>
      </c>
    </row>
    <row r="10">
      <c r="A10" t="str">
        <f>A89</f>
        <v>B.3</v>
      </c>
      <c r="B10" t="str">
        <f>B89</f>
        <v>Pekerjaan Plafond</v>
      </c>
      <c r="H10">
        <f>H93</f>
        <v>0</v>
      </c>
      <c r="I10">
        <f>H10/$H$18</f>
        <v>0</v>
      </c>
    </row>
    <row r="11">
      <c r="A11" t="str">
        <f>A94</f>
        <v>B.4</v>
      </c>
      <c r="B11" t="str">
        <f>B94</f>
        <v>Pekerjaan Atap</v>
      </c>
      <c r="H11">
        <f>H101</f>
        <v>0</v>
      </c>
      <c r="I11">
        <f>H11/$H$18</f>
        <v>0</v>
      </c>
    </row>
    <row r="12">
      <c r="A12" t="str">
        <f>A102</f>
        <v>B.5</v>
      </c>
      <c r="B12" t="str">
        <f>B102</f>
        <v>Pekerjaan Kusen</v>
      </c>
      <c r="H12">
        <f>H120</f>
        <v>0</v>
      </c>
      <c r="I12">
        <f>H12/$H$18</f>
        <v>0</v>
      </c>
    </row>
    <row r="13">
      <c r="A13" t="str">
        <f>A121</f>
        <v>C.</v>
      </c>
      <c r="B13" t="str">
        <f>B121</f>
        <v>PEKERJAAN UTILITAS</v>
      </c>
      <c r="I13">
        <f>SUM(I14:I15)</f>
        <v>0.023782794698469233</v>
      </c>
    </row>
    <row r="14">
      <c r="A14" t="str">
        <f>A122</f>
        <v>C.1</v>
      </c>
      <c r="B14" t="str">
        <f>B122</f>
        <v>Pekerjaan Plumbing</v>
      </c>
      <c r="H14">
        <f>H163</f>
        <v>60377600</v>
      </c>
      <c r="I14">
        <f>H14/$H$18</f>
        <v>0.023782794698469233</v>
      </c>
    </row>
    <row r="15">
      <c r="A15" t="str">
        <f>A164</f>
        <v>C.2</v>
      </c>
      <c r="B15" t="str">
        <f>B164</f>
        <v>Pekerjaan Elektrikal</v>
      </c>
      <c r="H15">
        <f>H178</f>
        <v>0</v>
      </c>
      <c r="I15">
        <f>H15/$H$18</f>
        <v>0</v>
      </c>
    </row>
    <row r="16">
      <c r="A16" t="str">
        <f>A179</f>
        <v>D.</v>
      </c>
      <c r="B16" t="str">
        <f>B179</f>
        <v>PEKERJAAN FINISHING</v>
      </c>
      <c r="H16">
        <f>H190</f>
        <v>0</v>
      </c>
      <c r="I16">
        <f>H16/$H$18</f>
        <v>0</v>
      </c>
    </row>
    <row r="18">
      <c r="G18" t="str">
        <v>Jumlah Biaya Pekerjaan Standar ( a ) … Rp.</v>
      </c>
      <c r="H18">
        <f>SUM(H4:H16)</f>
        <v>2538709212.5</v>
      </c>
      <c r="I18">
        <f>SUM(I4,I7,I13,I16)</f>
        <v>1</v>
      </c>
    </row>
    <row r="19">
      <c r="G19" t="str">
        <v>PPN 10% ( b ) … Rp.</v>
      </c>
      <c r="H19">
        <f>0.1*H18</f>
        <v>253870921.25</v>
      </c>
    </row>
    <row r="20">
      <c r="G20" t="str">
        <v xml:space="preserve"> '( c ) = ( a ) + ( b ) … Rp.</v>
      </c>
      <c r="H20">
        <f>H18+H19</f>
        <v>2792580133.75</v>
      </c>
    </row>
    <row r="21">
      <c r="G21" t="str">
        <v>Luas bangunan ( d ) … m2.</v>
      </c>
      <c r="H21">
        <v>120</v>
      </c>
    </row>
    <row r="22">
      <c r="G22" t="str">
        <v>Harga bangunan untuk pekerjaan standar /m2 ( e ) = ( c ) / ( d ) … Rp.</v>
      </c>
      <c r="H22">
        <f>H20/H21</f>
        <v>23271501.114583332</v>
      </c>
    </row>
    <row r="23">
      <c r="G23" t="str">
        <v>Ijin Mendirikan Bangunan /m2 ( f ) … Rp.</v>
      </c>
      <c r="H23">
        <f>'Isi Data'!E171</f>
        <v>0</v>
      </c>
    </row>
    <row r="24">
      <c r="G24" t="str">
        <v>(e) + (f) Dibulatkan... Rp.</v>
      </c>
      <c r="H24">
        <f>ROUND(H22+H23,-4)</f>
        <v>23270000</v>
      </c>
    </row>
    <row r="27">
      <c r="A27" t="str">
        <v>RINCIAN  BIAYA STANDAR RUMAH NEGARA TYPE B</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 xml:space="preserve">Pekerjaan Pondasi </v>
      </c>
    </row>
    <row r="32">
      <c r="A32" t="str">
        <v>A.1.1</v>
      </c>
      <c r="B32" t="str">
        <v>Pekerjaan Pondasi Batukali</v>
      </c>
    </row>
    <row r="33">
      <c r="A33">
        <v>1</v>
      </c>
      <c r="B33" t="str">
        <v>Galian tanah, dalam  s/d 1 m</v>
      </c>
      <c r="D33" t="str">
        <v>m3</v>
      </c>
      <c r="E33">
        <f>'B-QTY'!D80</f>
        <v>53.51400000000001</v>
      </c>
      <c r="F33">
        <f>SUMIF(SNI!C$1:C$65536,'RAB - RumahB'!B$1:B$65536,SNI!L$1:L$65536)</f>
        <v>0</v>
      </c>
      <c r="G33">
        <f>E33*F33</f>
        <v>0</v>
      </c>
    </row>
    <row r="34">
      <c r="A34">
        <f>A33+1</f>
        <v>2</v>
      </c>
      <c r="B34" t="str">
        <v>Pas. Urugan pasir</v>
      </c>
      <c r="D34" t="str">
        <v>m3</v>
      </c>
      <c r="E34">
        <f>'B-QTY'!D81</f>
        <v>2.9730000000000003</v>
      </c>
      <c r="F34">
        <f>SUMIF(SNI!C$1:C$65536,'RAB - RumahB'!B$1:B$65536,SNI!L$1:L$65536)</f>
        <v>0</v>
      </c>
      <c r="G34">
        <f>E34*F34</f>
        <v>0</v>
      </c>
    </row>
    <row r="35">
      <c r="A35">
        <f>A34+1</f>
        <v>3</v>
      </c>
      <c r="B35" t="str">
        <v>Aanstamping batu kali</v>
      </c>
      <c r="D35" t="str">
        <v>m3</v>
      </c>
      <c r="E35">
        <f>'B-QTY'!D82</f>
        <v>8.919</v>
      </c>
      <c r="F35">
        <f>SUMIF(SNI!C$1:C$65536,'RAB - RumahB'!B$1:B$65536,SNI!L$1:L$65536)</f>
        <v>0</v>
      </c>
      <c r="G35">
        <f>E35*F35</f>
        <v>0</v>
      </c>
    </row>
    <row r="36">
      <c r="A36">
        <f>A35+1</f>
        <v>4</v>
      </c>
      <c r="B36" t="str">
        <v>Pas. pondasi batu kali 1:4</v>
      </c>
      <c r="C36" t="str">
        <v>Spesi 1 : 4</v>
      </c>
      <c r="D36" t="str">
        <v>m3</v>
      </c>
      <c r="E36">
        <f>'B-QTY'!D83</f>
        <v>23.784000000000002</v>
      </c>
      <c r="F36">
        <f>SUMIF(SNI!C$1:C$65536,'RAB - RumahB'!B$1:B$65536,SNI!L$1:L$65536)</f>
        <v>0</v>
      </c>
      <c r="G36">
        <f>E36*F36</f>
        <v>0</v>
      </c>
    </row>
    <row r="37">
      <c r="A37">
        <f>A36+1</f>
        <v>5</v>
      </c>
      <c r="B37" t="str">
        <v>Urugan tanah kembali</v>
      </c>
      <c r="C37" t="str">
        <v>Sisi pondasi</v>
      </c>
      <c r="D37" t="str">
        <v>m3</v>
      </c>
      <c r="E37">
        <f>'B-QTY'!D84</f>
        <v>17.838000000000008</v>
      </c>
      <c r="F37">
        <f>SUMIF(SNI!C$1:C$65536,'RAB - RumahB'!B$1:B$65536,SNI!L$1:L$65536)</f>
        <v>0</v>
      </c>
      <c r="G37">
        <f>E37*F37</f>
        <v>0</v>
      </c>
    </row>
    <row r="38">
      <c r="A38">
        <f>A37+1</f>
        <v>6</v>
      </c>
      <c r="B38" t="str">
        <v>Buang tanah</v>
      </c>
      <c r="C38" t="str">
        <v>Didalam site</v>
      </c>
      <c r="D38" t="str">
        <v>m3</v>
      </c>
      <c r="E38">
        <f>'B-QTY'!D85</f>
        <v>35.676</v>
      </c>
      <c r="F38">
        <f>SUMIF(SNI!C$1:C$65536,'RAB - RumahB'!B$1:B$65536,SNI!L$1:L$65536)</f>
        <v>0</v>
      </c>
      <c r="G38">
        <f>E38*F38</f>
        <v>0</v>
      </c>
      <c r="H38">
        <f>SUM(G33:G38)</f>
        <v>0</v>
      </c>
    </row>
    <row r="39">
      <c r="A39" t="str">
        <v>A.1.2</v>
      </c>
      <c r="B39" t="str">
        <v>Pekerjaan Rolag Bata</v>
      </c>
    </row>
    <row r="40">
      <c r="A40">
        <v>1</v>
      </c>
      <c r="B40" t="str">
        <v>Galian tanah, dalam  s/d 1 m</v>
      </c>
      <c r="D40" t="str">
        <v>m3</v>
      </c>
      <c r="E40">
        <f>'B-QTY'!D101</f>
        <v>0.54</v>
      </c>
      <c r="F40">
        <f>SUMIF(SNI!C$1:C$65536,'RAB - RumahB'!B$1:B$65536,SNI!L$1:L$65536)</f>
        <v>0</v>
      </c>
      <c r="G40">
        <f>E40*F40</f>
        <v>0</v>
      </c>
    </row>
    <row r="41">
      <c r="A41">
        <f>A40+1</f>
        <v>2</v>
      </c>
      <c r="B41" t="str">
        <v>Pas. Urugan pasir</v>
      </c>
      <c r="D41" t="str">
        <v>m3</v>
      </c>
      <c r="E41">
        <f>'B-QTY'!D102</f>
        <v>0.06749999999999999</v>
      </c>
      <c r="F41">
        <f>SUMIF(SNI!C$1:C$65536,'RAB - RumahB'!B$1:B$65536,SNI!L$1:L$65536)</f>
        <v>0</v>
      </c>
      <c r="G41">
        <f>E41*F41</f>
        <v>0</v>
      </c>
    </row>
    <row r="42">
      <c r="A42">
        <f>A41+1</f>
        <v>3</v>
      </c>
      <c r="B42" t="str">
        <v>Pas. Lantai kerja beton tumbuk 1:3:5</v>
      </c>
      <c r="C42" t="str">
        <v>Spesi 1 : 6</v>
      </c>
      <c r="D42" t="str">
        <v>m2</v>
      </c>
      <c r="E42">
        <f>'B-QTY'!D103</f>
        <v>1.3499999999999999</v>
      </c>
      <c r="F42">
        <f>SUMIF(SNI!C$1:C$65536,'RAB - RumahB'!B$1:B$65536,SNI!L$1:L$65536)</f>
        <v>0</v>
      </c>
      <c r="G42">
        <f>E42*F42</f>
        <v>0</v>
      </c>
    </row>
    <row r="43">
      <c r="A43">
        <f>A42+1</f>
        <v>4</v>
      </c>
      <c r="B43" t="str">
        <v>Pas. Dinding batu bata; ad 1:4</v>
      </c>
      <c r="C43" t="str">
        <v>Spesi 1 : 4</v>
      </c>
      <c r="D43" t="str">
        <v>m2</v>
      </c>
      <c r="E43">
        <f>'B-QTY'!D104</f>
        <v>2.25</v>
      </c>
      <c r="F43">
        <f>SUMIF(SNI!C$1:C$65536,'RAB - RumahB'!B$1:B$65536,SNI!L$1:L$65536)</f>
        <v>5227500</v>
      </c>
      <c r="G43">
        <f>E43*F43</f>
        <v>11761875</v>
      </c>
    </row>
    <row r="44">
      <c r="A44">
        <f>A43+1</f>
        <v>5</v>
      </c>
      <c r="B44" t="str">
        <v>Pas. Plester acian; ad. 1:4</v>
      </c>
      <c r="C44" t="str">
        <v>Spesi 1 : 2</v>
      </c>
      <c r="D44" t="str">
        <v>m2</v>
      </c>
      <c r="E44">
        <f>'B-QTY'!D105</f>
        <v>4.5</v>
      </c>
      <c r="F44">
        <f>SUMIF(SNI!C$1:C$65536,'RAB - RumahB'!B$1:B$65536,SNI!L$1:L$65536)</f>
        <v>0</v>
      </c>
      <c r="G44">
        <f>E44*F44</f>
        <v>0</v>
      </c>
    </row>
    <row r="45">
      <c r="A45">
        <f>A44+1</f>
        <v>6</v>
      </c>
      <c r="B45" t="str">
        <v>Urugan tanah kembali</v>
      </c>
      <c r="C45" t="str">
        <v>Sisi pondasi</v>
      </c>
      <c r="D45" t="str">
        <v>m3</v>
      </c>
      <c r="E45">
        <f>'B-QTY'!D106</f>
        <v>0.18000000000000005</v>
      </c>
      <c r="F45">
        <f>SUMIF(SNI!C$1:C$65536,'RAB - RumahB'!B$1:B$65536,SNI!L$1:L$65536)</f>
        <v>0</v>
      </c>
      <c r="G45">
        <f>E45*F45</f>
        <v>0</v>
      </c>
    </row>
    <row r="46">
      <c r="A46">
        <f>A45+1</f>
        <v>7</v>
      </c>
      <c r="B46" t="str">
        <v>Buang tanah</v>
      </c>
      <c r="C46" t="str">
        <v>Didalam site</v>
      </c>
      <c r="D46" t="str">
        <v>m3</v>
      </c>
      <c r="E46">
        <f>'B-QTY'!D107</f>
        <v>0.36</v>
      </c>
      <c r="F46">
        <f>SUMIF(SNI!C$1:C$65536,'RAB - RumahB'!B$1:B$65536,SNI!L$1:L$65536)</f>
        <v>0</v>
      </c>
      <c r="G46">
        <f>E46*F46</f>
        <v>0</v>
      </c>
      <c r="H46">
        <f>SUM(G40:G46)</f>
        <v>11761875</v>
      </c>
    </row>
    <row r="47">
      <c r="G47" t="str">
        <v>Jumlah A.1 .... Rp</v>
      </c>
      <c r="H47">
        <f>SUM(G33:G46)</f>
        <v>11761875</v>
      </c>
    </row>
    <row r="48">
      <c r="A48" t="str">
        <v>A.2</v>
      </c>
      <c r="B48" t="str">
        <v>Pekerjaan Struktur</v>
      </c>
    </row>
    <row r="49">
      <c r="A49" t="str">
        <v>A.2.1</v>
      </c>
      <c r="B49" t="str">
        <v>Pekerjaan Sloof</v>
      </c>
    </row>
    <row r="50">
      <c r="A50">
        <v>1</v>
      </c>
      <c r="B50" t="str">
        <v>Bekisting sloof beton</v>
      </c>
      <c r="C50" t="str">
        <v>Kayu terentang</v>
      </c>
      <c r="D50" t="str">
        <v>m2</v>
      </c>
      <c r="E50">
        <f>'B-QTY'!D173</f>
        <v>39.64000000000001</v>
      </c>
      <c r="F50">
        <f>SUMIF(SNI!C$1:C$65536,'RAB - RumahB'!B$1:B$65536,SNI!L$1:L$65536)</f>
        <v>0</v>
      </c>
      <c r="G50">
        <f>E50*F50</f>
        <v>0</v>
      </c>
    </row>
    <row r="51">
      <c r="A51">
        <f>A50+1</f>
        <v>2</v>
      </c>
      <c r="B51" t="str">
        <v>Tulangan besi beton U-24</v>
      </c>
      <c r="C51" t="str">
        <v>Mutu baja U-24</v>
      </c>
      <c r="D51" t="str">
        <v>kg</v>
      </c>
      <c r="E51">
        <f>'B-QTY'!D174</f>
        <v>448.989555</v>
      </c>
      <c r="F51">
        <f>SUMIF(SNI!C$1:C$65536,'RAB - RumahB'!B$1:B$65536,SNI!L$1:L$65536)</f>
        <v>0</v>
      </c>
      <c r="G51">
        <f>E51*F51</f>
        <v>0</v>
      </c>
    </row>
    <row r="52">
      <c r="A52">
        <f>A51+1</f>
        <v>3</v>
      </c>
      <c r="B52" t="str">
        <v>Beton K - 175</v>
      </c>
      <c r="C52" t="str">
        <v>Mutu beton K-175</v>
      </c>
      <c r="D52" t="str">
        <v>m3</v>
      </c>
      <c r="E52">
        <f>'B-QTY'!D175</f>
        <v>2.9730000000000003</v>
      </c>
      <c r="F52">
        <f>SUMIF(SNI!C$1:C$65536,'RAB - RumahB'!B$1:B$65536,SNI!L$1:L$65536)</f>
        <v>0</v>
      </c>
      <c r="G52">
        <f>E52*F52</f>
        <v>0</v>
      </c>
      <c r="H52">
        <f>SUM(G50:G52)</f>
        <v>0</v>
      </c>
    </row>
    <row r="53">
      <c r="A53" t="str">
        <v>A.2.2</v>
      </c>
      <c r="B53" t="str">
        <v>Pekerjaan Kolom Praktis</v>
      </c>
    </row>
    <row r="54">
      <c r="A54">
        <v>1</v>
      </c>
      <c r="B54" t="str">
        <v>Bekisting Praktis beton</v>
      </c>
      <c r="C54" t="str">
        <v>Mutu baja U-24</v>
      </c>
      <c r="D54" t="str">
        <v>m2</v>
      </c>
      <c r="E54">
        <f>'B-QTY'!D210</f>
        <v>25.740000000000002</v>
      </c>
      <c r="F54">
        <f>SUMIF(SNI!C$1:C$65536,'RAB - RumahB'!B$1:B$65536,SNI!L$1:L$65536)</f>
        <v>0</v>
      </c>
      <c r="G54">
        <f>E54*F54</f>
        <v>0</v>
      </c>
    </row>
    <row r="55">
      <c r="A55">
        <f>A54+1</f>
        <v>2</v>
      </c>
      <c r="B55" t="str">
        <v>Tulangan besi beton U-24</v>
      </c>
      <c r="C55" t="str">
        <v>Kayu terentang</v>
      </c>
      <c r="D55" t="str">
        <v>kg</v>
      </c>
      <c r="E55">
        <f>'B-QTY'!D211</f>
        <v>369.503316</v>
      </c>
      <c r="F55">
        <f>SUMIF(SNI!C$1:C$65536,'RAB - RumahB'!B$1:B$65536,SNI!L$1:L$65536)</f>
        <v>0</v>
      </c>
      <c r="G55">
        <f>E55*F55</f>
        <v>0</v>
      </c>
    </row>
    <row r="56">
      <c r="A56">
        <f>A55+1</f>
        <v>3</v>
      </c>
      <c r="B56" t="str">
        <v>Beton K - 175</v>
      </c>
      <c r="C56" t="str">
        <v>Mutu beton K-175</v>
      </c>
      <c r="D56" t="str">
        <v>m3</v>
      </c>
      <c r="E56">
        <f>'B-QTY'!D212</f>
        <v>1.4157</v>
      </c>
      <c r="F56">
        <f>SUMIF(SNI!C$1:C$65536,'RAB - RumahB'!B$1:B$65536,SNI!L$1:L$65536)</f>
        <v>0</v>
      </c>
      <c r="G56">
        <f>E56*F56</f>
        <v>0</v>
      </c>
      <c r="H56">
        <f>SUM(G54:G56)</f>
        <v>0</v>
      </c>
    </row>
    <row r="57">
      <c r="A57" t="str">
        <v>A.2.3</v>
      </c>
      <c r="B57" t="str">
        <v>Pekerjaan Ringbalk</v>
      </c>
    </row>
    <row r="58">
      <c r="A58">
        <v>1</v>
      </c>
      <c r="B58" t="str">
        <v>Bekisting Praktis beton</v>
      </c>
      <c r="C58" t="str">
        <v>Mutu baja U-24</v>
      </c>
      <c r="D58" t="str">
        <v>m2</v>
      </c>
      <c r="E58">
        <f>'B-QTY'!D264</f>
        <v>29.73</v>
      </c>
      <c r="F58">
        <f>SUMIF(SNI!C$1:C$65536,'RAB - RumahB'!B$1:B$65536,SNI!L$1:L$65536)</f>
        <v>0</v>
      </c>
      <c r="G58">
        <f>E58*F58</f>
        <v>0</v>
      </c>
    </row>
    <row r="59">
      <c r="A59">
        <f>A58+1</f>
        <v>2</v>
      </c>
      <c r="B59" t="str">
        <v>Tulangan besi beton U-24</v>
      </c>
      <c r="C59" t="str">
        <v>Kayu terentang</v>
      </c>
      <c r="D59" t="str">
        <v>kg</v>
      </c>
      <c r="E59">
        <f>'B-QTY'!D263</f>
        <v>380.86104</v>
      </c>
      <c r="F59">
        <f>SUMIF(SNI!C$1:C$65536,'RAB - RumahB'!B$1:B$65536,SNI!L$1:L$65536)</f>
        <v>0</v>
      </c>
      <c r="G59">
        <f>E59*F59</f>
        <v>0</v>
      </c>
    </row>
    <row r="60">
      <c r="A60">
        <f>A59+1</f>
        <v>3</v>
      </c>
      <c r="B60" t="str">
        <v>Beton K - 175</v>
      </c>
      <c r="C60" t="str">
        <v>Mutu beton K-175</v>
      </c>
      <c r="D60" t="str">
        <v>m3</v>
      </c>
      <c r="E60">
        <f>'B-QTY'!D265</f>
        <v>2.22975</v>
      </c>
      <c r="F60">
        <f>SUMIF(SNI!C$1:C$65536,'RAB - RumahB'!B$1:B$65536,SNI!L$1:L$65536)</f>
        <v>0</v>
      </c>
      <c r="G60">
        <f>E60*F60</f>
        <v>0</v>
      </c>
      <c r="H60">
        <f>SUM(G58:G60)</f>
        <v>0</v>
      </c>
    </row>
    <row r="61">
      <c r="A61" t="str">
        <v>A.2.3</v>
      </c>
      <c r="B61" t="str">
        <v>Pekerjaan Ringbalk Ampiq</v>
      </c>
    </row>
    <row r="62">
      <c r="A62">
        <v>1</v>
      </c>
      <c r="B62" t="str">
        <v>Bekisting Praktis beton</v>
      </c>
      <c r="C62" t="str">
        <v>Mutu baja U-24</v>
      </c>
      <c r="D62" t="str">
        <v>m2</v>
      </c>
      <c r="E62">
        <f>'B-QTY'!E264</f>
        <v>22.680000000000003</v>
      </c>
      <c r="F62">
        <f>SUMIF(SNI!C$1:C$65536,'RAB - RumahB'!B$1:B$65536,SNI!L$1:L$65536)</f>
        <v>0</v>
      </c>
      <c r="G62">
        <f>E62*F62</f>
        <v>0</v>
      </c>
    </row>
    <row r="63">
      <c r="A63">
        <f>A62+1</f>
        <v>2</v>
      </c>
      <c r="B63" t="str">
        <v>Tulangan besi beton U-24</v>
      </c>
      <c r="C63" t="str">
        <v>Kayu terentang</v>
      </c>
      <c r="D63" t="str">
        <v>kg</v>
      </c>
      <c r="E63">
        <f>'B-QTY'!E263</f>
        <v>290.69901000000004</v>
      </c>
      <c r="F63">
        <f>SUMIF(SNI!C$1:C$65536,'RAB - RumahB'!B$1:B$65536,SNI!L$1:L$65536)</f>
        <v>0</v>
      </c>
      <c r="G63">
        <f>E63*F63</f>
        <v>0</v>
      </c>
    </row>
    <row r="64">
      <c r="A64">
        <f>A63+1</f>
        <v>3</v>
      </c>
      <c r="B64" t="str">
        <v>Beton K - 175</v>
      </c>
      <c r="C64" t="str">
        <v>Mutu beton K-175</v>
      </c>
      <c r="D64" t="str">
        <v>m3</v>
      </c>
      <c r="E64">
        <f>'B-QTY'!E265</f>
        <v>1.701</v>
      </c>
      <c r="F64">
        <f>SUMIF(SNI!C$1:C$65536,'RAB - RumahB'!B$1:B$65536,SNI!L$1:L$65536)</f>
        <v>0</v>
      </c>
      <c r="G64">
        <f>E64*F64</f>
        <v>0</v>
      </c>
      <c r="H64">
        <f>SUM(G62:G64)</f>
        <v>0</v>
      </c>
    </row>
    <row r="65">
      <c r="A65" t="str">
        <v>A.2.3</v>
      </c>
      <c r="B65" t="str">
        <v>Pekerjaan Kanopi</v>
      </c>
    </row>
    <row r="66">
      <c r="A66">
        <v>1</v>
      </c>
      <c r="B66" t="str">
        <v>Bekisting beton plat lantai</v>
      </c>
      <c r="C66" t="str">
        <v>Kayu terentang</v>
      </c>
      <c r="D66" t="str">
        <v>m2</v>
      </c>
      <c r="E66">
        <f>'B-QTY'!F303</f>
        <v>4.619999999999999</v>
      </c>
      <c r="F66">
        <f>SUMIF(SNI!C$1:C$65536,'RAB - RumahB'!B$1:B$65536,SNI!L$1:L$65536)</f>
        <v>0</v>
      </c>
      <c r="G66">
        <f>E66*F66</f>
        <v>0</v>
      </c>
    </row>
    <row r="67">
      <c r="A67">
        <f>A66+1</f>
        <v>2</v>
      </c>
      <c r="B67" t="str">
        <v>Tulangan besi beton U-24</v>
      </c>
      <c r="C67" t="str">
        <v>Mutu baja U-24</v>
      </c>
      <c r="D67" t="str">
        <v>kg</v>
      </c>
      <c r="E67">
        <f>'B-QTY'!F304</f>
        <v>40.85235</v>
      </c>
      <c r="F67">
        <f>SUMIF(SNI!C$1:C$65536,'RAB - RumahB'!B$1:B$65536,SNI!L$1:L$65536)</f>
        <v>0</v>
      </c>
      <c r="G67">
        <f>E67*F67</f>
        <v>0</v>
      </c>
    </row>
    <row r="68">
      <c r="A68">
        <f>A67+1</f>
        <v>3</v>
      </c>
      <c r="B68" t="str">
        <v>Beton K - 175</v>
      </c>
      <c r="C68" t="str">
        <v>Mutu beton K-175</v>
      </c>
      <c r="D68" t="str">
        <v>m3</v>
      </c>
      <c r="E68">
        <f>'B-QTY'!F305</f>
        <v>0.39</v>
      </c>
      <c r="F68">
        <f>SUMIF(SNI!C$1:C$65536,'RAB - RumahB'!B$1:B$65536,SNI!L$1:L$65536)</f>
        <v>0</v>
      </c>
      <c r="G68">
        <f>E68*F68</f>
        <v>0</v>
      </c>
      <c r="H68">
        <f>SUM(G66:G68)</f>
        <v>0</v>
      </c>
    </row>
    <row r="69">
      <c r="A69" t="str">
        <v>A.2.3</v>
      </c>
      <c r="B69" t="str">
        <v>Pekerjaan Meja beton</v>
      </c>
    </row>
    <row r="70">
      <c r="A70">
        <v>1</v>
      </c>
      <c r="B70" t="str">
        <v>Bekisting Praktis beton</v>
      </c>
      <c r="C70" t="str">
        <v>Kayu terentang</v>
      </c>
      <c r="D70" t="str">
        <v>m2</v>
      </c>
      <c r="E70">
        <f>'B-QTY'!G303</f>
        <v>1.33</v>
      </c>
      <c r="F70">
        <f>SUMIF(SNI!C$1:C$65536,'RAB - RumahB'!B$1:B$65536,SNI!L$1:L$65536)</f>
        <v>0</v>
      </c>
      <c r="G70">
        <f>E70*F70</f>
        <v>0</v>
      </c>
    </row>
    <row r="71">
      <c r="A71">
        <f>A70+1</f>
        <v>2</v>
      </c>
      <c r="B71" t="str">
        <v>Tulangan besi beton U-24</v>
      </c>
      <c r="C71" t="str">
        <v>Mutu baja U-24</v>
      </c>
      <c r="D71" t="str">
        <v>kg</v>
      </c>
      <c r="E71">
        <f>'B-QTY'!G304</f>
        <v>12.049380000000001</v>
      </c>
      <c r="F71">
        <f>SUMIF(SNI!C$1:C$65536,'RAB - RumahB'!B$1:B$65536,SNI!L$1:L$65536)</f>
        <v>0</v>
      </c>
      <c r="G71">
        <f>E71*F71</f>
        <v>0</v>
      </c>
    </row>
    <row r="72">
      <c r="A72">
        <f>A71+1</f>
        <v>3</v>
      </c>
      <c r="B72" t="str">
        <v>Beton K - 175</v>
      </c>
      <c r="C72" t="str">
        <v>Mutu beton K-175</v>
      </c>
      <c r="D72" t="str">
        <v>m3</v>
      </c>
      <c r="E72">
        <f>'B-QTY'!G305</f>
        <v>0.10800000000000001</v>
      </c>
      <c r="F72">
        <f>SUMIF(SNI!C$1:C$65536,'RAB - RumahB'!B$1:B$65536,SNI!L$1:L$65536)</f>
        <v>0</v>
      </c>
      <c r="G72">
        <f>E72*F72</f>
        <v>0</v>
      </c>
      <c r="H72">
        <f>SUM(G70:G72)</f>
        <v>0</v>
      </c>
    </row>
    <row r="73">
      <c r="G73" t="str">
        <v>Jumlah A.2 .... Rp</v>
      </c>
      <c r="H73">
        <f>SUM(G50:G72)</f>
        <v>0</v>
      </c>
    </row>
    <row r="74">
      <c r="A74" t="str">
        <v>B.</v>
      </c>
      <c r="B74" t="str">
        <v>PEKERJAAN ARSITEKTUR</v>
      </c>
    </row>
    <row r="76">
      <c r="A76" t="str">
        <v>B.1</v>
      </c>
      <c r="B76" t="str">
        <v>Pekerjaan Lantai</v>
      </c>
    </row>
    <row r="77">
      <c r="A77">
        <v>1</v>
      </c>
      <c r="B77" t="str">
        <v>Pas. Urugan pasir</v>
      </c>
      <c r="C77" t="str">
        <v>t. 10 cm</v>
      </c>
      <c r="D77" t="str">
        <v>m3</v>
      </c>
      <c r="E77">
        <f>('B-QTY'!E26+'B-QTY'!E28)*0.05</f>
        <v>8.4705625</v>
      </c>
      <c r="F77">
        <f>SUMIF(SNI!C$1:C$65536,'RAB - RumahB'!B$1:B$65536,SNI!L$1:L$65536)</f>
        <v>0</v>
      </c>
      <c r="G77">
        <f>E77*F77</f>
        <v>0</v>
      </c>
    </row>
    <row r="78">
      <c r="A78">
        <f>A77+1</f>
        <v>2</v>
      </c>
      <c r="B78" t="str">
        <v>Pas. Lantai kerja beton tumbuk 1:3:5</v>
      </c>
      <c r="C78" t="str">
        <v>t. 5 cm</v>
      </c>
      <c r="D78" t="str">
        <v>m2</v>
      </c>
      <c r="E78">
        <f>'B-QTY'!E26</f>
        <v>131.91125</v>
      </c>
      <c r="F78">
        <f>SUMIF(SNI!C$1:C$65536,'RAB - RumahB'!B$1:B$65536,SNI!L$1:L$65536)</f>
        <v>0</v>
      </c>
      <c r="G78">
        <f>E78*F78</f>
        <v>0</v>
      </c>
    </row>
    <row r="79">
      <c r="A79">
        <f>A78+1</f>
        <v>3</v>
      </c>
      <c r="B79" t="str">
        <v>Pas. Lantai Keramik 300x300</v>
      </c>
      <c r="C79" t="str">
        <v>ex Masterina</v>
      </c>
      <c r="D79" t="str">
        <v>m2</v>
      </c>
      <c r="E79">
        <f>'B-QTY'!D408+2.5+17.44</f>
        <v>41.21000000000001</v>
      </c>
      <c r="F79">
        <f>SUMIF(SNI!C$1:C$65536,'RAB - RumahB'!B$1:B$65536,SNI!L$1:L$65536)</f>
        <v>0</v>
      </c>
      <c r="G79">
        <f>E79*F79</f>
        <v>0</v>
      </c>
    </row>
    <row r="80">
      <c r="A80">
        <f>A79+1</f>
        <v>4</v>
      </c>
      <c r="B80" t="str">
        <v>Pas. Lantai Keramik 300x300</v>
      </c>
      <c r="C80" t="str">
        <v>ex Masterina</v>
      </c>
      <c r="D80" t="str">
        <v>m2</v>
      </c>
      <c r="E80">
        <f>'B-QTY'!D377+'B-QTY'!D428+'B-QTY'!D385+'B-QTY'!D393+'B-QTY'!D401</f>
        <v>104.57124999999999</v>
      </c>
      <c r="F80">
        <f>SUMIF(SNI!C$1:C$65536,'RAB - RumahB'!B$1:B$65536,SNI!L$1:L$65536)</f>
        <v>0</v>
      </c>
      <c r="G80">
        <f>E80*F80</f>
        <v>0</v>
      </c>
    </row>
    <row r="81">
      <c r="A81">
        <f>A80+1</f>
        <v>5</v>
      </c>
      <c r="B81" t="str">
        <v>Pas. Plint Keramik 100x300</v>
      </c>
      <c r="C81" t="str">
        <v>ex Masterina</v>
      </c>
      <c r="D81" t="str">
        <v>m</v>
      </c>
      <c r="E81">
        <f>'B-QTY'!D378+'B-QTY'!D386+'B-QTY'!D394+'B-QTY'!D402+'B-QTY'!D429+13.2</f>
        <v>103.67500000000001</v>
      </c>
      <c r="F81">
        <f>SUMIF(SNI!C$1:C$65536,'RAB - RumahB'!B$1:B$65536,SNI!L$1:L$65536)</f>
        <v>0</v>
      </c>
      <c r="G81">
        <f>E81*F81</f>
        <v>0</v>
      </c>
    </row>
    <row r="82">
      <c r="A82">
        <f>A81+1</f>
        <v>6</v>
      </c>
      <c r="B82" t="str">
        <v>Pas. Rabat beton; finish acian</v>
      </c>
      <c r="C82" t="str">
        <v xml:space="preserve">Beton spesi 1 : 3 : 5 </v>
      </c>
      <c r="D82" t="str">
        <v>m2</v>
      </c>
      <c r="E82">
        <f>'B-QTY'!D432</f>
        <v>37.5</v>
      </c>
      <c r="F82">
        <f>SUMIF(SNI!C$1:C$65536,'RAB - RumahB'!B$1:B$65536,SNI!L$1:L$65536)</f>
        <v>0</v>
      </c>
      <c r="G82">
        <f>E82*F82</f>
        <v>0</v>
      </c>
    </row>
    <row r="83">
      <c r="G83" t="str">
        <v>Jumlah B.1 .... Rp</v>
      </c>
      <c r="H83">
        <f>SUM(G77:G82)</f>
        <v>0</v>
      </c>
    </row>
    <row r="84">
      <c r="A84" t="str">
        <v>B.2</v>
      </c>
      <c r="B84" t="str">
        <v>Pekerjaan Dinding</v>
      </c>
    </row>
    <row r="85">
      <c r="A85">
        <v>1</v>
      </c>
      <c r="B85" t="str">
        <v>Pas. Dinding batu bata; ad 1:4</v>
      </c>
      <c r="C85" t="str">
        <v>Batu bata merah</v>
      </c>
      <c r="D85" t="str">
        <v>m2</v>
      </c>
      <c r="E85">
        <f>'B-QTY'!D62+'B-QTY'!H60</f>
        <v>471.845</v>
      </c>
      <c r="F85">
        <f>SUMIF(SNI!C$1:C$65536,'RAB - RumahB'!B$1:B$65536,SNI!L$1:L$65536)</f>
        <v>5227500</v>
      </c>
      <c r="G85">
        <f>E85*F85</f>
        <v>2466569737.5</v>
      </c>
    </row>
    <row r="86">
      <c r="A86">
        <f>A85+1</f>
        <v>2</v>
      </c>
      <c r="B86" t="str">
        <v>Pas. Plester acian; ad. 1:4</v>
      </c>
      <c r="C86" t="str">
        <v>t. 15 mm; Interior</v>
      </c>
      <c r="D86" t="str">
        <v>m2</v>
      </c>
      <c r="E86">
        <f>'B-QTY'!D63+'B-QTY'!H63</f>
        <v>943.69</v>
      </c>
      <c r="F86">
        <f>SUMIF(SNI!C$1:C$65536,'RAB - RumahB'!B$1:B$65536,SNI!L$1:L$65536)</f>
        <v>0</v>
      </c>
      <c r="G86">
        <f>E86*F86</f>
        <v>0</v>
      </c>
    </row>
    <row r="87">
      <c r="A87">
        <f>A86+1</f>
        <v>3</v>
      </c>
      <c r="B87" t="str">
        <v>Pas. Acian PC</v>
      </c>
      <c r="D87" t="str">
        <v>m2</v>
      </c>
      <c r="E87">
        <f>'B-QTY'!D63+'B-QTY'!H63</f>
        <v>943.69</v>
      </c>
      <c r="F87">
        <f>SUMIF(SNI!C$1:C$65536,'RAB - RumahB'!B$1:B$65536,SNI!L$1:L$65536)</f>
        <v>0</v>
      </c>
      <c r="G87">
        <f>E87*F87</f>
        <v>0</v>
      </c>
    </row>
    <row r="88">
      <c r="G88" t="str">
        <v>Jumlah B.2 .... Rp</v>
      </c>
      <c r="H88">
        <f>SUM(G85:G87)</f>
        <v>2466569737.5</v>
      </c>
    </row>
    <row r="89">
      <c r="A89" t="str">
        <v>B.3</v>
      </c>
      <c r="B89" t="str">
        <v>Pekerjaan Plafond</v>
      </c>
    </row>
    <row r="90">
      <c r="A90">
        <v>1</v>
      </c>
      <c r="B90" t="str">
        <v>Pas. Rangka Plafond Metal furing</v>
      </c>
      <c r="C90" t="str">
        <v>Metal furing</v>
      </c>
      <c r="D90" t="str">
        <v>m2</v>
      </c>
      <c r="E90">
        <f>'B-QTY'!D379+'B-QTY'!D387+'B-QTY'!D395+'B-QTY'!D403+'B-QTY'!D410+'B-QTY'!D437+17.44</f>
        <v>152.71125</v>
      </c>
      <c r="F90">
        <f>SUMIF(SNI!C$1:C$65536,'RAB - RumahB'!B$1:B$65536,SNI!L$1:L$65536)</f>
        <v>0</v>
      </c>
      <c r="G90">
        <f>E90*F90</f>
        <v>0</v>
      </c>
    </row>
    <row r="91">
      <c r="A91">
        <f>A90+1</f>
        <v>2</v>
      </c>
      <c r="B91" t="str">
        <v>Pas. Penutup Plafond Gypsumboard t. 9 mm</v>
      </c>
      <c r="C91" t="str">
        <v>ex Jayaboard</v>
      </c>
      <c r="D91" t="str">
        <v>m2</v>
      </c>
      <c r="E91">
        <f>'B-QTY'!D387+'B-QTY'!D395+'B-QTY'!D403+17.44+'B-QTY'!D379+'B-QTY'!D437+'B-QTY'!D410+2.25</f>
        <v>154.96125</v>
      </c>
      <c r="F91">
        <f>SUMIF(SNI!C$1:C$65536,'RAB - RumahB'!B$1:B$65536,SNI!L$1:L$65536)</f>
        <v>0</v>
      </c>
      <c r="G91">
        <f>E91*F91</f>
        <v>0</v>
      </c>
    </row>
    <row r="92">
      <c r="A92">
        <f>A91+1</f>
        <v>3</v>
      </c>
      <c r="B92" t="str">
        <v>Pas. List Profil Gypsum t. 5 cm</v>
      </c>
      <c r="C92" t="str">
        <v>ex Jayaboard</v>
      </c>
      <c r="D92" t="str">
        <v>m'</v>
      </c>
      <c r="E92">
        <f>'B-QTY'!D381+'B-QTY'!D389+'B-QTY'!D397+'B-QTY'!D405+'B-QTY'!D412+17.3</f>
        <v>122.12499999999999</v>
      </c>
      <c r="F92">
        <f>SUMIF(SNI!C$1:C$65536,'RAB - RumahB'!B$1:B$65536,SNI!L$1:L$65536)</f>
        <v>0</v>
      </c>
      <c r="G92">
        <f>E92*F92</f>
        <v>0</v>
      </c>
    </row>
    <row r="93">
      <c r="G93" t="str">
        <v>Jumlah B.3 .... Rp</v>
      </c>
      <c r="H93">
        <f>SUM(G90:G92)</f>
        <v>0</v>
      </c>
    </row>
    <row r="94">
      <c r="A94" t="str">
        <v>B.4</v>
      </c>
      <c r="B94" t="str">
        <v>Pekerjaan Atap</v>
      </c>
    </row>
    <row r="95">
      <c r="A95">
        <v>1</v>
      </c>
      <c r="B95" t="str">
        <v>Rangka atap baja ringan</v>
      </c>
      <c r="C95" t="str">
        <v>ex Smartruss</v>
      </c>
      <c r="D95" t="str">
        <v>m2</v>
      </c>
      <c r="E95">
        <f>(10*3.2)+(10*9.6)+(5*2.95)+(4*4)</f>
        <v>158.75</v>
      </c>
      <c r="F95">
        <f>SUMIF(SNI!C$1:C$65536,'RAB - RumahB'!B$1:B$65536,SNI!L$1:L$65536)</f>
        <v>0</v>
      </c>
      <c r="G95">
        <f>E95*F95</f>
        <v>0</v>
      </c>
    </row>
    <row r="96">
      <c r="A96">
        <v>2</v>
      </c>
      <c r="B96" t="str">
        <v xml:space="preserve">Penutup atap Genteng Keramik </v>
      </c>
      <c r="C96" t="str">
        <v>ex Jatiwangi</v>
      </c>
      <c r="D96" t="str">
        <v>m2</v>
      </c>
      <c r="E96">
        <f>E95</f>
        <v>158.75</v>
      </c>
      <c r="F96">
        <f>SUMIF(SNI!C$1:C$65536,'RAB - RumahB'!B$1:B$65536,SNI!L$1:L$65536)</f>
        <v>0</v>
      </c>
      <c r="G96">
        <f>E96*F96</f>
        <v>0</v>
      </c>
    </row>
    <row r="97">
      <c r="A97">
        <v>3</v>
      </c>
      <c r="B97" t="str">
        <v>Bubungan Genteng Keramik</v>
      </c>
      <c r="C97" t="str">
        <v>ex Jatiwangi</v>
      </c>
      <c r="D97" t="str">
        <v>m'</v>
      </c>
      <c r="E97">
        <v>12.8</v>
      </c>
      <c r="F97">
        <f>SUMIF(SNI!C$1:C$65536,'RAB - RumahB'!B$1:B$65536,SNI!L$1:L$65536)</f>
        <v>0</v>
      </c>
      <c r="G97">
        <f>E97*F97</f>
        <v>0</v>
      </c>
    </row>
    <row r="98">
      <c r="A98">
        <v>4</v>
      </c>
      <c r="B98" t="str">
        <v>Pas. Lisplank Kayu 3/20 mm</v>
      </c>
      <c r="C98" t="str">
        <v>Kayu kamper medan</v>
      </c>
      <c r="D98" t="str">
        <v>m'</v>
      </c>
      <c r="E98">
        <f>24.4+10+4+3</f>
        <v>41.4</v>
      </c>
      <c r="F98">
        <f>SUMIF(SNI!C$1:C$65536,'RAB - RumahB'!B$1:B$65536,SNI!L$1:L$65536)</f>
        <v>0</v>
      </c>
      <c r="G98">
        <f>E98*F98</f>
        <v>0</v>
      </c>
    </row>
    <row r="99">
      <c r="A99">
        <v>5</v>
      </c>
      <c r="B99" t="str">
        <v>Pas. Fleshing seng plat</v>
      </c>
      <c r="C99" t="str">
        <v>Seng bjls 35</v>
      </c>
      <c r="D99" t="str">
        <v>m'</v>
      </c>
      <c r="E99">
        <v>46</v>
      </c>
      <c r="F99">
        <f>SUMIF(SNI!C$1:C$65536,'RAB - RumahB'!B$1:B$65536,SNI!L$1:L$65536)</f>
        <v>0</v>
      </c>
      <c r="G99">
        <f>E99*F99</f>
        <v>0</v>
      </c>
    </row>
    <row r="100">
      <c r="A100">
        <v>6</v>
      </c>
      <c r="B100" t="str">
        <v>Pas. Roof Drain</v>
      </c>
      <c r="D100" t="str">
        <v>bh</v>
      </c>
      <c r="E100">
        <f>'B-QTY'!D445</f>
        <v>2</v>
      </c>
      <c r="F100">
        <f>SUMIF(SNI!C$1:C$65536,'RAB - RumahB'!B$1:B$65536,SNI!L$1:L$65536)</f>
        <v>0</v>
      </c>
      <c r="G100">
        <f>E100*F100</f>
        <v>0</v>
      </c>
    </row>
    <row r="101">
      <c r="G101" t="str">
        <v>Jumlah B4 .... Rp</v>
      </c>
      <c r="H101">
        <f>SUM(G95:G100)</f>
        <v>0</v>
      </c>
    </row>
    <row r="102">
      <c r="A102" t="str">
        <v>B.5</v>
      </c>
      <c r="B102" t="str">
        <v>Pekerjaan Kusen</v>
      </c>
    </row>
    <row r="103">
      <c r="A103">
        <v>1</v>
      </c>
      <c r="B103" t="str">
        <v>Kusen Pintu dan Jendela Kayu KW.II</v>
      </c>
      <c r="C103" t="str">
        <v>Kayu Kamper Samarinda</v>
      </c>
      <c r="D103" t="str">
        <v>m3</v>
      </c>
      <c r="E103">
        <f>'B-QTY'!D346</f>
        <v>0.6983999999999999</v>
      </c>
      <c r="F103">
        <f>SUMIF(SNI!C$1:C$65536,'RAB - RumahB'!B$1:B$65536,SNI!L$1:L$65536)</f>
        <v>0</v>
      </c>
      <c r="G103">
        <f>E103*F103</f>
        <v>0</v>
      </c>
    </row>
    <row r="104">
      <c r="A104">
        <v>2</v>
      </c>
      <c r="B104" t="str">
        <v>Pintu panel kayu KW.II; 82 x 206 cm; R. Tamu</v>
      </c>
      <c r="C104" t="str">
        <v>Kayu Kamper Samarinda</v>
      </c>
      <c r="D104" t="str">
        <v>m2</v>
      </c>
      <c r="E104">
        <f>'B-QTY'!D347</f>
        <v>2.9252</v>
      </c>
      <c r="F104">
        <f>SNI!L749</f>
        <v>0</v>
      </c>
      <c r="G104">
        <f>E104*F104</f>
        <v>0</v>
      </c>
    </row>
    <row r="105">
      <c r="A105">
        <v>3</v>
      </c>
      <c r="B105" t="str">
        <v>Pintu doble teakwood 82 x 206 cm; K. Tidur</v>
      </c>
      <c r="C105" t="str">
        <v>Rangka Kayu Kamper Samarinda</v>
      </c>
      <c r="D105" t="str">
        <v>m2</v>
      </c>
      <c r="E105">
        <f>'B-QTY'!D348</f>
        <v>10.011600000000001</v>
      </c>
      <c r="F105">
        <f>SNI!L765</f>
        <v>0</v>
      </c>
      <c r="G105">
        <f>E105*F105</f>
        <v>0</v>
      </c>
    </row>
    <row r="106">
      <c r="A106">
        <v>4</v>
      </c>
      <c r="B106" t="str">
        <v>Pintu doble teakwood 72 x 206 cm; K. Mandi</v>
      </c>
      <c r="C106" t="str">
        <v>Rangka Kayu Kamper Samarinda</v>
      </c>
      <c r="D106" t="str">
        <v>m2</v>
      </c>
      <c r="E106">
        <f>'B-QTY'!D349</f>
        <v>2.9252</v>
      </c>
      <c r="F106">
        <f>F105</f>
        <v>0</v>
      </c>
      <c r="G106">
        <f>E106*F106</f>
        <v>0</v>
      </c>
    </row>
    <row r="107">
      <c r="A107">
        <v>5</v>
      </c>
      <c r="B107" t="str">
        <v>Pintu kaca kayu KW.II; 50 x 206 cm</v>
      </c>
      <c r="C107" t="str">
        <v>Rangka Kayu Kamper Samarinda</v>
      </c>
      <c r="D107" t="str">
        <v>m2</v>
      </c>
      <c r="E107">
        <f>'B-QTY'!D350</f>
        <v>4.12</v>
      </c>
      <c r="F107">
        <f>SNI!L725</f>
        <v>0</v>
      </c>
      <c r="G107">
        <f>E107*F107</f>
        <v>0</v>
      </c>
    </row>
    <row r="108">
      <c r="A108">
        <v>6</v>
      </c>
      <c r="B108" t="str">
        <v>Jendela kaca kayu KW.II; 52 x 122 cm</v>
      </c>
      <c r="C108" t="str">
        <v>Rangka Kayu Kamper Samarinda</v>
      </c>
      <c r="D108" t="str">
        <v>m2</v>
      </c>
      <c r="E108">
        <f>'B-QTY'!D351</f>
        <v>3.8064</v>
      </c>
      <c r="F108">
        <f>F107</f>
        <v>0</v>
      </c>
      <c r="G108">
        <f>E108*F108</f>
        <v>0</v>
      </c>
    </row>
    <row r="109">
      <c r="A109">
        <v>7</v>
      </c>
      <c r="B109" t="str">
        <v>Jendela kaca kayu KW.II; 52 x 182 cm</v>
      </c>
      <c r="C109" t="str">
        <v>Rangka Kayu Kamper Samarinda</v>
      </c>
      <c r="D109" t="str">
        <v>m2</v>
      </c>
      <c r="E109">
        <f>'B-QTY'!D352</f>
        <v>1.8928</v>
      </c>
      <c r="F109">
        <f>F108</f>
        <v>0</v>
      </c>
      <c r="G109">
        <f>E109*F109</f>
        <v>0</v>
      </c>
    </row>
    <row r="110">
      <c r="A110">
        <v>8</v>
      </c>
      <c r="B110" t="str">
        <v>Pintu Besi 240 x 400 cm; Garasi</v>
      </c>
      <c r="C110" t="str">
        <v>Rangka Besi siku; Penutup plat besi</v>
      </c>
      <c r="D110" t="str">
        <v>m2</v>
      </c>
      <c r="E110">
        <f>3.05*2.4</f>
        <v>7.319999999999999</v>
      </c>
      <c r="F110">
        <f>SNI!L785</f>
        <v>0</v>
      </c>
      <c r="G110">
        <f>E110*F110</f>
        <v>0</v>
      </c>
    </row>
    <row r="111">
      <c r="A111">
        <v>9</v>
      </c>
      <c r="B111" t="str">
        <v>Pas. Kaca polos 5 mm</v>
      </c>
      <c r="C111" t="str">
        <v>ex Asahi</v>
      </c>
      <c r="D111" t="str">
        <v>m2</v>
      </c>
      <c r="E111">
        <f>'B-QTY'!D355</f>
        <v>6.1632</v>
      </c>
      <c r="F111">
        <f>SUMIF(SNI!C$1:C$65536,'RAB - RumahB'!B$1:B$65536,SNI!L$1:L$65536)</f>
        <v>0</v>
      </c>
      <c r="G111">
        <f>E111*F111</f>
        <v>0</v>
      </c>
    </row>
    <row r="112">
      <c r="A112">
        <v>10</v>
      </c>
      <c r="B112" t="str">
        <v>Pas. Engsel pintu</v>
      </c>
      <c r="C112" t="str">
        <v>ex Solid</v>
      </c>
      <c r="D112" t="str">
        <v>bh</v>
      </c>
      <c r="E112">
        <f>'B-QTY'!D356</f>
        <v>42</v>
      </c>
      <c r="F112">
        <f>SUMIF(SNI!C$1:C$65536,'RAB - RumahB'!B$1:B$65536,SNI!L$1:L$65536)</f>
        <v>0</v>
      </c>
      <c r="G112">
        <f>E112*F112</f>
        <v>0</v>
      </c>
    </row>
    <row r="113">
      <c r="A113">
        <v>11</v>
      </c>
      <c r="B113" t="str">
        <v>Pas. Engsel jendela</v>
      </c>
      <c r="C113" t="str">
        <v>ex Solid</v>
      </c>
      <c r="D113" t="str">
        <v>bh</v>
      </c>
      <c r="E113">
        <f>'B-QTY'!D357</f>
        <v>16</v>
      </c>
      <c r="F113">
        <f>SUMIF(SNI!C$1:C$65536,'RAB - RumahB'!B$1:B$65536,SNI!L$1:L$65536)</f>
        <v>0</v>
      </c>
      <c r="G113">
        <f>E113*F113</f>
        <v>0</v>
      </c>
    </row>
    <row r="114">
      <c r="A114">
        <v>12</v>
      </c>
      <c r="B114" t="str">
        <v>Pas. Kunci pintu ruangan</v>
      </c>
      <c r="C114" t="str">
        <v>ex Solid</v>
      </c>
      <c r="D114" t="str">
        <v>bh</v>
      </c>
      <c r="E114">
        <f>'B-QTY'!D358+'B-QTY'!D359</f>
        <v>9</v>
      </c>
      <c r="F114">
        <f>SUMIF(SNI!C$1:C$65536,'RAB - RumahB'!B$1:B$65536,SNI!L$1:L$65536)</f>
        <v>0</v>
      </c>
      <c r="G114">
        <f>E114*F114</f>
        <v>0</v>
      </c>
    </row>
    <row r="115">
      <c r="A115">
        <v>13</v>
      </c>
      <c r="B115" t="str">
        <v>Pas. Kunci knob pintu kamar mandi</v>
      </c>
      <c r="C115" t="str">
        <v>ex Alpha</v>
      </c>
      <c r="D115" t="str">
        <v>bh</v>
      </c>
      <c r="E115">
        <f>'B-QTY'!D360</f>
        <v>2</v>
      </c>
      <c r="F115">
        <f>SUMIF(SNI!C$1:C$65536,'RAB - RumahB'!B$1:B$65536,SNI!L$1:L$65536)</f>
        <v>0</v>
      </c>
      <c r="G115">
        <f>E115*F115</f>
        <v>0</v>
      </c>
    </row>
    <row r="116">
      <c r="A116">
        <v>14</v>
      </c>
      <c r="B116" t="str">
        <v>Pas. Slot tanam pintu doble</v>
      </c>
      <c r="C116" t="str">
        <v>ex Solid</v>
      </c>
      <c r="D116" t="str">
        <v>ps</v>
      </c>
      <c r="E116">
        <f>'B-QTY'!D361</f>
        <v>3</v>
      </c>
      <c r="F116">
        <f>SUMIF(SNI!C$1:C$65536,'RAB - RumahB'!B$1:B$65536,SNI!L$1:L$65536)</f>
        <v>0</v>
      </c>
      <c r="G116">
        <f>E116*F116</f>
        <v>0</v>
      </c>
    </row>
    <row r="117">
      <c r="A117">
        <v>15</v>
      </c>
      <c r="B117" t="str">
        <v>Pas. Kait angin jendela</v>
      </c>
      <c r="C117" t="str">
        <v>ex Solid</v>
      </c>
      <c r="D117" t="str">
        <v>bh</v>
      </c>
      <c r="E117">
        <f>'B-QTY'!D362</f>
        <v>8</v>
      </c>
      <c r="F117">
        <f>SUMIF(SNI!C$1:C$65536,'RAB - RumahB'!B$1:B$65536,SNI!L$1:L$65536)</f>
        <v>0</v>
      </c>
      <c r="G117">
        <f>E117*F117</f>
        <v>0</v>
      </c>
    </row>
    <row r="118">
      <c r="A118">
        <v>16</v>
      </c>
      <c r="B118" t="str">
        <v>Pas. Grendel Jendela</v>
      </c>
      <c r="C118" t="str">
        <v>ex Solid</v>
      </c>
      <c r="D118" t="str">
        <v>bh</v>
      </c>
      <c r="E118">
        <f>'B-QTY'!D363</f>
        <v>16</v>
      </c>
      <c r="F118">
        <f>SUMIF(SNI!C$1:C$65536,'RAB - RumahB'!B$1:B$65536,SNI!L$1:L$65536)</f>
        <v>0</v>
      </c>
      <c r="G118">
        <f>E118*F118</f>
        <v>0</v>
      </c>
    </row>
    <row r="119">
      <c r="A119">
        <v>17</v>
      </c>
      <c r="B119" t="str">
        <v>Pas. Rel pintu lipat 4 pintu</v>
      </c>
      <c r="C119" t="str">
        <v>Dekson</v>
      </c>
      <c r="D119" t="str">
        <v>unt</v>
      </c>
      <c r="E119">
        <v>1</v>
      </c>
      <c r="F119">
        <f>SUMIF(SNI!C$1:C$65536,'RAB - RumahB'!B$1:B$65536,SNI!L$1:L$65536)</f>
        <v>0</v>
      </c>
      <c r="G119">
        <f>E119*F119</f>
        <v>0</v>
      </c>
    </row>
    <row r="120">
      <c r="G120" t="str">
        <v>Jumlah B5 .... Rp</v>
      </c>
      <c r="H120">
        <f>SUM(G103:G119)</f>
        <v>0</v>
      </c>
    </row>
    <row r="121">
      <c r="A121" t="str">
        <v>C.</v>
      </c>
      <c r="B121" t="str">
        <v>PEKERJAAN UTILITAS</v>
      </c>
    </row>
    <row r="122">
      <c r="A122" t="str">
        <v>C.1</v>
      </c>
      <c r="B122" t="str">
        <v>Pekerjaan Plumbing</v>
      </c>
    </row>
    <row r="123">
      <c r="A123" t="str">
        <v>C.1.1</v>
      </c>
      <c r="B123" t="str">
        <v>Pekerjaan Sanitary</v>
      </c>
    </row>
    <row r="124">
      <c r="A124">
        <v>1</v>
      </c>
      <c r="B124" t="str">
        <v>Pas. Washtafel keramik</v>
      </c>
      <c r="C124" t="str">
        <v>TOTO LW 240 CJ</v>
      </c>
      <c r="D124" t="str">
        <v>bh</v>
      </c>
      <c r="E124">
        <f>'B-QTY'!D413</f>
        <v>1</v>
      </c>
      <c r="F124">
        <f>SUMIF(SNI!C$1:C$65536,'RAB - RumahB'!B$1:B$65536,SNI!L$1:L$65536)</f>
        <v>0</v>
      </c>
      <c r="G124">
        <f>E124*F124</f>
        <v>0</v>
      </c>
    </row>
    <row r="125">
      <c r="A125">
        <v>2</v>
      </c>
      <c r="B125" t="str">
        <v>Pas. Kloset Duduk Keramik</v>
      </c>
      <c r="C125" t="str">
        <v>TOTO CW 660 J / SW 660 J</v>
      </c>
      <c r="D125" t="str">
        <v>bh</v>
      </c>
      <c r="E125">
        <f>'B-QTY'!D415</f>
        <v>1</v>
      </c>
      <c r="F125">
        <f>SUMIF(SNI!C$1:C$65536,'RAB - RumahB'!B$1:B$65536,SNI!L$1:L$65536)</f>
        <v>0</v>
      </c>
      <c r="G125">
        <f>E125*F125</f>
        <v>0</v>
      </c>
    </row>
    <row r="126">
      <c r="A126">
        <v>3</v>
      </c>
      <c r="B126" t="str">
        <v>Pas. Kloset Jongkok Keramik</v>
      </c>
      <c r="C126" t="str">
        <v>TOTO CE 7</v>
      </c>
      <c r="D126" t="str">
        <v>bh</v>
      </c>
      <c r="E126">
        <f>'B-QTY'!D416</f>
        <v>1</v>
      </c>
      <c r="F126">
        <f>SUMIF(SNI!C$1:C$65536,'RAB - RumahB'!B$1:B$65536,SNI!L$1:L$65536)</f>
        <v>0</v>
      </c>
      <c r="G126">
        <f>E126*F126</f>
        <v>0</v>
      </c>
    </row>
    <row r="127">
      <c r="A127">
        <v>4</v>
      </c>
      <c r="B127" t="str">
        <v>Pas. Bak Air Fiberglass</v>
      </c>
      <c r="C127" t="str">
        <v>Fibre glass</v>
      </c>
      <c r="D127" t="str">
        <v>bh</v>
      </c>
      <c r="E127">
        <f>'B-QTY'!D417</f>
        <v>1</v>
      </c>
      <c r="F127">
        <f>SUMIF(SNI!C$1:C$65536,'RAB - RumahB'!B$1:B$65536,SNI!L$1:L$65536)</f>
        <v>0</v>
      </c>
      <c r="G127">
        <f>E127*F127</f>
        <v>0</v>
      </c>
    </row>
    <row r="128">
      <c r="A128">
        <v>5</v>
      </c>
      <c r="B128" t="str">
        <v>Pas. Shower spray</v>
      </c>
      <c r="C128" t="str">
        <v>TOTO THX 20 NBP1V</v>
      </c>
      <c r="D128" t="str">
        <v>bh</v>
      </c>
      <c r="E128">
        <f>'B-QTY'!D416</f>
        <v>1</v>
      </c>
      <c r="F128">
        <f>SUMIF(SNI!C$1:C$65536,'RAB - RumahB'!B$1:B$65536,SNI!L$1:L$65536)</f>
        <v>0</v>
      </c>
      <c r="G128">
        <f>E128*F128</f>
        <v>0</v>
      </c>
    </row>
    <row r="129">
      <c r="A129">
        <v>6</v>
      </c>
      <c r="B129" t="str">
        <v>Pas. Shower set</v>
      </c>
      <c r="C129" t="str">
        <v>TOTO TX423SZ</v>
      </c>
      <c r="D129" t="str">
        <v>bh</v>
      </c>
      <c r="E129">
        <f>'B-QTY'!D417</f>
        <v>1</v>
      </c>
      <c r="F129">
        <f>SUMIF(SNI!C$1:C$65536,'RAB - RumahB'!B$1:B$65536,SNI!L$1:L$65536)</f>
        <v>0</v>
      </c>
      <c r="G129">
        <f>E129*F129</f>
        <v>0</v>
      </c>
    </row>
    <row r="130">
      <c r="A130">
        <v>7</v>
      </c>
      <c r="B130" t="str">
        <v>Pas. Floor Drain</v>
      </c>
      <c r="C130" t="str">
        <v>TOTO TX 1 BN</v>
      </c>
      <c r="D130" t="str">
        <v>bh</v>
      </c>
      <c r="E130">
        <f>'B-QTY'!D419+2</f>
        <v>3</v>
      </c>
      <c r="F130">
        <f>SUMIF(SNI!C$1:C$65536,'RAB - RumahB'!B$1:B$65536,SNI!L$1:L$65536)</f>
        <v>0</v>
      </c>
      <c r="G130">
        <f>E130*F130</f>
        <v>0</v>
      </c>
    </row>
    <row r="131">
      <c r="A131">
        <v>8</v>
      </c>
      <c r="B131" t="str">
        <v>Pas. Tempat sabun keramik</v>
      </c>
      <c r="C131" t="str">
        <v>TOTO S 11 N</v>
      </c>
      <c r="D131" t="str">
        <v>bh</v>
      </c>
      <c r="E131">
        <f>'B-QTY'!D420+1</f>
        <v>2</v>
      </c>
      <c r="F131">
        <f>SUMIF(SNI!C$1:C$65536,'RAB - RumahB'!B$1:B$65536,SNI!L$1:L$65536)</f>
        <v>0</v>
      </c>
      <c r="G131">
        <f>E131*F131</f>
        <v>0</v>
      </c>
    </row>
    <row r="132">
      <c r="A132">
        <v>9</v>
      </c>
      <c r="B132" t="str">
        <v>Pas. Kitchenzink stainlees stell 1 lubang</v>
      </c>
      <c r="C132" t="str">
        <v>HWACO</v>
      </c>
      <c r="D132" t="str">
        <v>bh</v>
      </c>
      <c r="E132">
        <f>'B-QTY'!D424</f>
        <v>1</v>
      </c>
      <c r="F132">
        <f>SUMIF(SNI!C$1:C$65536,'RAB - RumahB'!B$1:B$65536,SNI!L$1:L$65536)</f>
        <v>0</v>
      </c>
      <c r="G132">
        <f>E132*F132</f>
        <v>0</v>
      </c>
    </row>
    <row r="133">
      <c r="A133">
        <v>10</v>
      </c>
      <c r="B133" t="str">
        <v>Pas. Kran zink</v>
      </c>
      <c r="C133" t="str">
        <v>TOTO T 30 AR13V7N</v>
      </c>
      <c r="D133" t="str">
        <v>bh</v>
      </c>
      <c r="E133">
        <f>'B-QTY'!D425</f>
        <v>1</v>
      </c>
      <c r="F133">
        <f>SUMIF(SNI!C$1:C$65536,'RAB - RumahB'!B$1:B$65536,SNI!L$1:L$65536)</f>
        <v>0</v>
      </c>
      <c r="G133">
        <f>E133*F133</f>
        <v>0</v>
      </c>
    </row>
    <row r="134">
      <c r="A134">
        <v>11</v>
      </c>
      <c r="B134" t="str">
        <v>Pas. Kran dinding</v>
      </c>
      <c r="C134" t="str">
        <v>TOTO T 23 B 13</v>
      </c>
      <c r="D134" t="str">
        <v>bh</v>
      </c>
      <c r="E134">
        <f>'B-QTY'!D433+2</f>
        <v>3</v>
      </c>
      <c r="F134">
        <f>SUMIF(SNI!C$1:C$65536,'RAB - RumahB'!B$1:B$65536,SNI!L$1:L$65536)</f>
        <v>0</v>
      </c>
      <c r="G134">
        <f>E134*F134</f>
        <v>0</v>
      </c>
      <c r="H134">
        <f>SUM(G124:G134)</f>
        <v>0</v>
      </c>
    </row>
    <row r="135">
      <c r="A135" t="str">
        <v>C.1.2</v>
      </c>
      <c r="B135" t="str">
        <v>Pekerjaan Sumur Dalam</v>
      </c>
    </row>
    <row r="136">
      <c r="A136">
        <v>1</v>
      </c>
      <c r="B136" t="str">
        <v>Pengeboran Sumur</v>
      </c>
      <c r="D136" t="str">
        <v>m'</v>
      </c>
      <c r="E136">
        <v>24</v>
      </c>
      <c r="F136">
        <f>IF(F137=0,0,75000)</f>
        <v>0</v>
      </c>
      <c r="G136">
        <f>E136*F136</f>
        <v>0</v>
      </c>
    </row>
    <row r="137">
      <c r="A137">
        <v>2</v>
      </c>
      <c r="B137" t="str">
        <v xml:space="preserve">Pipa PVC dia. 3" </v>
      </c>
      <c r="C137" t="str">
        <v>Casing; Wavin</v>
      </c>
      <c r="D137" t="str">
        <v>m'</v>
      </c>
      <c r="E137">
        <v>24</v>
      </c>
      <c r="F137">
        <f>SUMIF(SNI!C$1:C$65536,'RAB - RumahB'!B$1:B$65536,SNI!L$1:L$65536)</f>
        <v>0</v>
      </c>
      <c r="G137">
        <f>E137*F137</f>
        <v>0</v>
      </c>
    </row>
    <row r="138">
      <c r="A138">
        <v>3</v>
      </c>
      <c r="B138" t="str">
        <v xml:space="preserve">Pipa PVC dia. 2" </v>
      </c>
      <c r="C138" t="str">
        <v>Casing; Wavin</v>
      </c>
      <c r="D138" t="str">
        <v>m'</v>
      </c>
      <c r="E138">
        <v>6</v>
      </c>
      <c r="F138">
        <f>SUMIF(SNI!C$1:C$65536,'RAB - RumahB'!B$1:B$65536,SNI!L$1:L$65536)</f>
        <v>0</v>
      </c>
      <c r="G138">
        <f>E138*F138</f>
        <v>0</v>
      </c>
    </row>
    <row r="139">
      <c r="A139">
        <v>4</v>
      </c>
      <c r="B139" t="str">
        <v xml:space="preserve">Pipa PVC dia. 3/4" </v>
      </c>
      <c r="C139" t="str">
        <v>ex Wavin</v>
      </c>
      <c r="D139" t="str">
        <v>m'</v>
      </c>
      <c r="E139">
        <v>24</v>
      </c>
      <c r="F139">
        <f>SUMIF(SNI!C$1:C$65536,'RAB - RumahB'!B$1:B$65536,SNI!L$1:L$65536)</f>
        <v>0</v>
      </c>
      <c r="G139">
        <f>E139*F139</f>
        <v>0</v>
      </c>
    </row>
    <row r="140">
      <c r="A140">
        <v>5</v>
      </c>
      <c r="B140" t="str">
        <v>Klep diameter 3/4"</v>
      </c>
      <c r="D140" t="str">
        <v>bh</v>
      </c>
      <c r="E140">
        <v>1</v>
      </c>
      <c r="F140">
        <f>SUMIF(SNI!C$1:C$65536,'RAB - RumahB'!B$1:B$65536,SNI!L$1:L$65536)</f>
        <v>0</v>
      </c>
      <c r="G140">
        <f>E140*F140</f>
        <v>0</v>
      </c>
    </row>
    <row r="141">
      <c r="A141">
        <v>6</v>
      </c>
      <c r="B141" t="str">
        <v>Stop kran dia. 1"</v>
      </c>
      <c r="D141" t="str">
        <v>bh</v>
      </c>
      <c r="E141">
        <v>1</v>
      </c>
      <c r="F141">
        <f>SUMIF(SNI!C$1:C$65536,'RAB - RumahB'!B$1:B$65536,SNI!L$1:L$65536)</f>
        <v>0</v>
      </c>
      <c r="G141">
        <f>E141*F141</f>
        <v>0</v>
      </c>
    </row>
    <row r="142">
      <c r="A142">
        <v>7</v>
      </c>
      <c r="B142" t="str">
        <v>Mesin Jet Pump kap.250 watt</v>
      </c>
      <c r="C142" t="str">
        <v>Groundfos</v>
      </c>
      <c r="D142" t="str">
        <v>bh</v>
      </c>
      <c r="E142">
        <v>1</v>
      </c>
      <c r="F142">
        <f>SUMIF(SNI!C$1:C$65536,'RAB - RumahB'!B$1:B$65536,SNI!L$1:L$65536)</f>
        <v>0</v>
      </c>
      <c r="G142">
        <f>E142*F142</f>
        <v>0</v>
      </c>
      <c r="H142">
        <f>SUM(G136:G142)</f>
        <v>0</v>
      </c>
    </row>
    <row r="143">
      <c r="A143" t="str">
        <v>C.1.3</v>
      </c>
      <c r="B143" t="str">
        <v>Tanki Air</v>
      </c>
    </row>
    <row r="144">
      <c r="A144">
        <v>1</v>
      </c>
      <c r="B144" t="str">
        <v xml:space="preserve">Pipa PVC dia. 1" </v>
      </c>
      <c r="C144" t="str">
        <v>Sparing pam; ex Wavin</v>
      </c>
      <c r="D144" t="str">
        <v>m'</v>
      </c>
      <c r="E144">
        <v>12</v>
      </c>
      <c r="F144">
        <f>SUMIF(SNI!C$1:C$65536,'RAB - RumahB'!B$1:B$65536,SNI!L$1:L$65536)</f>
        <v>0</v>
      </c>
      <c r="G144">
        <f>E144*F144</f>
        <v>0</v>
      </c>
    </row>
    <row r="145">
      <c r="A145">
        <v>2</v>
      </c>
      <c r="B145" t="str">
        <v xml:space="preserve">Pipa PVC dia. 1" </v>
      </c>
      <c r="C145" t="str">
        <v>Inst. d/ pompa ke tanki air; ex Wavin</v>
      </c>
      <c r="D145" t="str">
        <v>m'</v>
      </c>
      <c r="E145">
        <v>8</v>
      </c>
      <c r="F145">
        <f>SUMIF(SNI!C$1:C$65536,'RAB - RumahB'!B$1:B$65536,SNI!L$1:L$65536)</f>
        <v>0</v>
      </c>
      <c r="G145">
        <f>E145*F145</f>
        <v>0</v>
      </c>
    </row>
    <row r="146">
      <c r="A146">
        <v>3</v>
      </c>
      <c r="B146" t="str">
        <v xml:space="preserve">Pipa PVC dia. 3/4" </v>
      </c>
      <c r="C146" t="str">
        <v>ex Wavin</v>
      </c>
      <c r="D146" t="str">
        <v>m'</v>
      </c>
      <c r="E146">
        <v>4</v>
      </c>
      <c r="F146">
        <f>SUMIF(SNI!C$1:C$65536,'RAB - RumahB'!B$1:B$65536,SNI!L$1:L$65536)</f>
        <v>0</v>
      </c>
      <c r="G146">
        <f>E146*F146</f>
        <v>0</v>
      </c>
    </row>
    <row r="147">
      <c r="A147">
        <v>4</v>
      </c>
      <c r="B147" t="str">
        <v>Tangki air 500 liter</v>
      </c>
      <c r="C147" t="str">
        <v>Exel</v>
      </c>
      <c r="D147" t="str">
        <v>bh</v>
      </c>
      <c r="E147">
        <v>1</v>
      </c>
      <c r="F147">
        <f>SUMIF(SNI!C$1:C$65536,'RAB - RumahB'!B$1:B$65536,SNI!L$1:L$65536)</f>
        <v>0</v>
      </c>
      <c r="G147">
        <f>E147*F147</f>
        <v>0</v>
      </c>
    </row>
    <row r="148">
      <c r="A148">
        <v>5</v>
      </c>
      <c r="B148" t="str">
        <v>Dudukan tangki air</v>
      </c>
      <c r="C148" t="str">
        <v>Besi siku</v>
      </c>
      <c r="D148" t="str">
        <v>bh</v>
      </c>
      <c r="E148">
        <v>1</v>
      </c>
      <c r="F148">
        <f>SUMIF(SNI!C$1:C$65536,'RAB - RumahB'!B$1:B$65536,SNI!L$1:L$65536)</f>
        <v>0</v>
      </c>
      <c r="G148">
        <f>E148*F148</f>
        <v>0</v>
      </c>
    </row>
    <row r="149">
      <c r="A149">
        <v>6</v>
      </c>
      <c r="B149" t="str">
        <v>Stop kran dia. 1"</v>
      </c>
      <c r="C149" t="str">
        <v>ex Onda</v>
      </c>
      <c r="D149" t="str">
        <v>bh</v>
      </c>
      <c r="E149">
        <v>2</v>
      </c>
      <c r="F149">
        <f>SUMIF(SNI!C$1:C$65536,'RAB - RumahB'!B$1:B$65536,SNI!L$1:L$65536)</f>
        <v>0</v>
      </c>
      <c r="G149">
        <f>E149*F149</f>
        <v>0</v>
      </c>
    </row>
    <row r="150">
      <c r="A150">
        <v>7</v>
      </c>
      <c r="B150" t="str">
        <v>Stop kran dia. 1"</v>
      </c>
      <c r="C150" t="str">
        <v>ex Onda</v>
      </c>
      <c r="D150" t="str">
        <v>bh</v>
      </c>
      <c r="E150">
        <v>1</v>
      </c>
      <c r="F150">
        <f>SUMIF(SNI!C$1:C$65536,'RAB - RumahB'!B$1:B$65536,SNI!L$1:L$65536)</f>
        <v>0</v>
      </c>
      <c r="G150">
        <f>E150*F150</f>
        <v>0</v>
      </c>
    </row>
    <row r="151">
      <c r="A151">
        <v>8</v>
      </c>
      <c r="B151" t="str">
        <v>Stop kran dia. 1"</v>
      </c>
      <c r="C151" t="str">
        <v>ex Onda</v>
      </c>
      <c r="D151" t="str">
        <v>bh</v>
      </c>
      <c r="E151">
        <v>1</v>
      </c>
      <c r="F151">
        <f>SUMIF(SNI!C$1:C$65536,'RAB - RumahB'!B$1:B$65536,SNI!L$1:L$65536)</f>
        <v>0</v>
      </c>
      <c r="G151">
        <f>E151*F151</f>
        <v>0</v>
      </c>
      <c r="H151">
        <f>SUM(G144:G151)</f>
        <v>0</v>
      </c>
    </row>
    <row r="152">
      <c r="A152" t="str">
        <v>C.1.4</v>
      </c>
      <c r="B152" t="str">
        <v>Instalasi Air Bersih</v>
      </c>
    </row>
    <row r="153">
      <c r="A153">
        <v>1</v>
      </c>
      <c r="B153" t="str">
        <v xml:space="preserve">Pipa PVC dia. 1" </v>
      </c>
      <c r="C153" t="str">
        <v>ex Wavin</v>
      </c>
      <c r="D153" t="str">
        <v>m'</v>
      </c>
      <c r="E153">
        <v>28</v>
      </c>
      <c r="F153">
        <f>SUMIF(SNI!C$1:C$65536,'RAB - RumahB'!B$1:B$65536,SNI!L$1:L$65536)</f>
        <v>0</v>
      </c>
      <c r="G153">
        <f>E153*F153</f>
        <v>0</v>
      </c>
    </row>
    <row r="154">
      <c r="A154">
        <v>2</v>
      </c>
      <c r="B154" t="str">
        <v xml:space="preserve">Pipa PVC dia. 3/4" </v>
      </c>
      <c r="C154" t="str">
        <v>ex Wavin</v>
      </c>
      <c r="D154" t="str">
        <v>m'</v>
      </c>
      <c r="E154">
        <v>24</v>
      </c>
      <c r="F154">
        <f>SUMIF(SNI!C$1:C$65536,'RAB - RumahB'!B$1:B$65536,SNI!L$1:L$65536)</f>
        <v>0</v>
      </c>
      <c r="G154">
        <f>E154*F154</f>
        <v>0</v>
      </c>
    </row>
    <row r="155">
      <c r="A155">
        <v>3</v>
      </c>
      <c r="B155" t="str">
        <v xml:space="preserve">Pipa PVC dia. 1/2" </v>
      </c>
      <c r="C155" t="str">
        <v>ex Wavin</v>
      </c>
      <c r="D155" t="str">
        <v>m'</v>
      </c>
      <c r="E155">
        <v>28</v>
      </c>
      <c r="F155">
        <f>SUMIF(SNI!C$1:C$65536,'RAB - RumahB'!B$1:B$65536,SNI!L$1:L$65536)</f>
        <v>0</v>
      </c>
      <c r="G155">
        <f>E155*F155</f>
        <v>0</v>
      </c>
      <c r="H155">
        <f>SUM(G153:G155)</f>
        <v>0</v>
      </c>
    </row>
    <row r="156">
      <c r="A156" t="str">
        <v>C.1.5</v>
      </c>
      <c r="B156" t="str">
        <v>Instalasi Air Kotor &amp; air bekas</v>
      </c>
    </row>
    <row r="157">
      <c r="A157">
        <v>1</v>
      </c>
      <c r="B157" t="str">
        <v xml:space="preserve">Pipa PVC dia. 4" </v>
      </c>
      <c r="C157" t="str">
        <v>ex Wavin</v>
      </c>
      <c r="D157" t="str">
        <v>m'</v>
      </c>
      <c r="E157">
        <v>12</v>
      </c>
      <c r="F157">
        <f>SUMIF(SNI!C$1:C$65536,'RAB - RumahB'!B$1:B$65536,SNI!L$1:L$65536)</f>
        <v>0</v>
      </c>
      <c r="G157">
        <f>E157*F157</f>
        <v>0</v>
      </c>
    </row>
    <row r="158">
      <c r="A158">
        <v>2</v>
      </c>
      <c r="B158" t="str">
        <v xml:space="preserve">Pipa PVC dia. 3" </v>
      </c>
      <c r="C158" t="str">
        <v>ex Wavin</v>
      </c>
      <c r="D158" t="str">
        <v>m'</v>
      </c>
      <c r="E158">
        <v>20</v>
      </c>
      <c r="F158">
        <f>SUMIF(SNI!C$1:C$65536,'RAB - RumahB'!B$1:B$65536,SNI!L$1:L$65536)</f>
        <v>0</v>
      </c>
      <c r="G158">
        <f>E158*F158</f>
        <v>0</v>
      </c>
    </row>
    <row r="159">
      <c r="A159">
        <v>3</v>
      </c>
      <c r="B159" t="str">
        <v xml:space="preserve">Pipa PVC dia. 2" </v>
      </c>
      <c r="C159" t="str">
        <v>ex Wavin</v>
      </c>
      <c r="D159" t="str">
        <v>m'</v>
      </c>
      <c r="E159">
        <v>12</v>
      </c>
      <c r="F159">
        <f>SUMIF(SNI!C$1:C$65536,'RAB - RumahB'!B$1:B$65536,SNI!L$1:L$65536)</f>
        <v>0</v>
      </c>
      <c r="G159">
        <f>E159*F159</f>
        <v>0</v>
      </c>
    </row>
    <row r="160">
      <c r="A160">
        <v>4</v>
      </c>
      <c r="B160" t="str">
        <v xml:space="preserve">Pipa PVC dia. 1" </v>
      </c>
      <c r="C160" t="str">
        <v>ex Wavin</v>
      </c>
      <c r="D160" t="str">
        <v>m'</v>
      </c>
      <c r="E160">
        <v>8</v>
      </c>
      <c r="F160">
        <f>SUMIF(SNI!C$1:C$65536,'RAB - RumahB'!B$1:B$65536,SNI!L$1:L$65536)</f>
        <v>0</v>
      </c>
      <c r="G160">
        <f>E160*F160</f>
        <v>0</v>
      </c>
      <c r="H160">
        <f>SUM(G157:G160)</f>
        <v>0</v>
      </c>
    </row>
    <row r="161">
      <c r="A161" t="str">
        <v>C.1.6</v>
      </c>
      <c r="B161" t="str">
        <v>Pekerjaan Septictank</v>
      </c>
    </row>
    <row r="162">
      <c r="A162">
        <v>1</v>
      </c>
      <c r="B162" t="str">
        <v xml:space="preserve">Septictank Pas. Bata kap. 3,00 m3 + Rembesan </v>
      </c>
      <c r="D162" t="str">
        <v>unit</v>
      </c>
      <c r="E162">
        <v>1</v>
      </c>
      <c r="F162">
        <f>SUMIF(SNI!C$1:C$65536,'RAB - RumahB'!B$1:B$65536,SNI!L$1:L$65536)</f>
        <v>60377600</v>
      </c>
      <c r="G162">
        <f>E162*F162</f>
        <v>60377600</v>
      </c>
      <c r="H162">
        <f>G162</f>
        <v>60377600</v>
      </c>
    </row>
    <row r="163">
      <c r="G163" t="str">
        <v>Jumlah C.1 .... Rp</v>
      </c>
      <c r="H163">
        <f>SUM(G124:G162)</f>
        <v>60377600</v>
      </c>
    </row>
    <row r="164">
      <c r="A164" t="str">
        <v>C.2</v>
      </c>
      <c r="B164" t="str">
        <v>Pekerjaan Elektrikal</v>
      </c>
    </row>
    <row r="165">
      <c r="A165" t="str">
        <v>C.2.1</v>
      </c>
      <c r="B165" t="str">
        <v>Panel</v>
      </c>
    </row>
    <row r="166">
      <c r="A166">
        <v>1</v>
      </c>
      <c r="B166" t="str">
        <v>Pas. Box Panel</v>
      </c>
      <c r="C166" t="str">
        <v>ex Legrand</v>
      </c>
      <c r="D166" t="str">
        <v>bh</v>
      </c>
      <c r="E166">
        <v>1</v>
      </c>
      <c r="F166">
        <f>SUMIF(SNI!C$1:C$65536,'RAB - RumahB'!B$1:B$65536,SNI!L$1:L$65536)</f>
        <v>0</v>
      </c>
      <c r="G166">
        <f>E166*F166</f>
        <v>0</v>
      </c>
      <c r="H166">
        <f>G166</f>
        <v>0</v>
      </c>
    </row>
    <row r="167">
      <c r="A167" t="str">
        <v>C.2.2</v>
      </c>
      <c r="B167" t="str">
        <v>Instalasi</v>
      </c>
    </row>
    <row r="168">
      <c r="A168">
        <v>1</v>
      </c>
      <c r="B168" t="str">
        <v>Pas. Instalasi lampu</v>
      </c>
      <c r="C168" t="str">
        <v>Supreme NYM 2 x 1.5 mm</v>
      </c>
      <c r="D168" t="str">
        <v>ttk</v>
      </c>
      <c r="E168">
        <v>16</v>
      </c>
      <c r="F168">
        <f>SUMIF(SNI!C$1:C$65536,'RAB - RumahB'!B$1:B$65536,SNI!L$1:L$65536)</f>
        <v>0</v>
      </c>
      <c r="G168">
        <f>E168*F168</f>
        <v>0</v>
      </c>
    </row>
    <row r="169">
      <c r="A169">
        <f>A168+1</f>
        <v>2</v>
      </c>
      <c r="B169" t="str">
        <v xml:space="preserve">Pas. Instalasi exhausfan </v>
      </c>
      <c r="C169" t="str">
        <v>Supreme NYM 2 x 1.5 mm</v>
      </c>
      <c r="D169" t="str">
        <v>ttk</v>
      </c>
      <c r="E169">
        <v>1</v>
      </c>
      <c r="F169">
        <f>F168</f>
        <v>0</v>
      </c>
      <c r="G169">
        <f>E169*F169</f>
        <v>0</v>
      </c>
    </row>
    <row r="170">
      <c r="A170">
        <f>A169+1</f>
        <v>3</v>
      </c>
      <c r="B170" t="str">
        <v>Pas. Instalasi stop kontak</v>
      </c>
      <c r="C170" t="str">
        <v>Supreme NYM 3 x 2.5 mm</v>
      </c>
      <c r="D170" t="str">
        <v>ttk</v>
      </c>
      <c r="E170">
        <v>10</v>
      </c>
      <c r="F170">
        <f>SUMIF(SNI!C$1:C$65536,'RAB - RumahB'!B$1:B$65536,SNI!L$1:L$65536)</f>
        <v>0</v>
      </c>
      <c r="G170">
        <f>E170*F170</f>
        <v>0</v>
      </c>
      <c r="H170">
        <f>SUM(G168:G170)</f>
        <v>0</v>
      </c>
    </row>
    <row r="171">
      <c r="A171" t="str">
        <v>C.2.3</v>
      </c>
      <c r="B171" t="str">
        <v>Armature</v>
      </c>
    </row>
    <row r="172">
      <c r="A172">
        <v>1</v>
      </c>
      <c r="B172" t="str">
        <v>Pas. Down light &amp; PLC 13 W</v>
      </c>
      <c r="C172" t="str">
        <v>ex Phanasonic</v>
      </c>
      <c r="D172" t="str">
        <v>bh</v>
      </c>
      <c r="E172">
        <v>16</v>
      </c>
      <c r="F172">
        <f>SUMIF(SNI!C$1:C$65536,'RAB - RumahB'!B$1:B$65536,SNI!L$1:L$65536)</f>
        <v>0</v>
      </c>
      <c r="G172">
        <f>E172*F172</f>
        <v>0</v>
      </c>
    </row>
    <row r="173">
      <c r="A173">
        <f>A172+1</f>
        <v>2</v>
      </c>
      <c r="B173" t="str">
        <v>Pas. Saklar engkel</v>
      </c>
      <c r="C173" t="str">
        <v>ex Broco</v>
      </c>
      <c r="D173" t="str">
        <v>bh</v>
      </c>
      <c r="E173">
        <v>6</v>
      </c>
      <c r="F173">
        <f>SUMIF(SNI!C$1:C$65536,'RAB - RumahB'!B$1:B$65536,SNI!L$1:L$65536)</f>
        <v>0</v>
      </c>
      <c r="G173">
        <f>E173*F173</f>
        <v>0</v>
      </c>
    </row>
    <row r="174">
      <c r="A174">
        <f>A173+1</f>
        <v>3</v>
      </c>
      <c r="B174" t="str">
        <v>Pas. Saklar doble</v>
      </c>
      <c r="C174" t="str">
        <v>ex Broco</v>
      </c>
      <c r="D174" t="str">
        <v>bh</v>
      </c>
      <c r="E174">
        <v>3</v>
      </c>
      <c r="F174">
        <f>SUMIF(SNI!C$1:C$65536,'RAB - RumahB'!B$1:B$65536,SNI!L$1:L$65536)</f>
        <v>0</v>
      </c>
      <c r="G174">
        <f>E174*F174</f>
        <v>0</v>
      </c>
    </row>
    <row r="175">
      <c r="A175">
        <f>A174+1</f>
        <v>4</v>
      </c>
      <c r="B175" t="str">
        <v>Pas. Stop kontak</v>
      </c>
      <c r="C175" t="str">
        <v>ex Broco</v>
      </c>
      <c r="D175" t="str">
        <v>bh</v>
      </c>
      <c r="E175">
        <v>10</v>
      </c>
      <c r="F175">
        <f>SUMIF(SNI!C$1:C$65536,'RAB - RumahB'!B$1:B$65536,SNI!L$1:L$65536)</f>
        <v>0</v>
      </c>
      <c r="G175">
        <f>E175*F175</f>
        <v>0</v>
      </c>
    </row>
    <row r="176">
      <c r="A176">
        <f>A175+1</f>
        <v>5</v>
      </c>
      <c r="B176" t="str">
        <v>Pas. Outlet exhausefan</v>
      </c>
      <c r="C176" t="str">
        <v>ex Maspion</v>
      </c>
      <c r="D176" t="str">
        <v>bh</v>
      </c>
      <c r="E176">
        <v>1</v>
      </c>
      <c r="F176">
        <f>SUMIF(SNI!C$1:C$65536,'RAB - RumahB'!B$1:B$65536,SNI!L$1:L$65536)</f>
        <v>0</v>
      </c>
      <c r="G176">
        <f>E176*F176</f>
        <v>0</v>
      </c>
      <c r="H176">
        <f>SUM(G172:G176)</f>
        <v>0</v>
      </c>
    </row>
    <row r="178">
      <c r="G178" t="str">
        <v>Jumlah C.2 .... Rp</v>
      </c>
      <c r="H178">
        <f>SUM(G166:G177)</f>
        <v>0</v>
      </c>
    </row>
    <row r="179">
      <c r="A179" t="str">
        <v>D.</v>
      </c>
      <c r="B179" t="str">
        <v>PEKERJAAN FINISHING</v>
      </c>
    </row>
    <row r="180">
      <c r="A180">
        <v>1</v>
      </c>
      <c r="B180" t="str">
        <v>Pas. Dinding Keramik 300x300</v>
      </c>
      <c r="C180" t="str">
        <v>ex Masterina</v>
      </c>
      <c r="D180" t="str">
        <v>m2</v>
      </c>
      <c r="E180">
        <f>'B-QTY'!D408+15.87+'B-QTY'!D423+3.84</f>
        <v>43.5</v>
      </c>
      <c r="F180">
        <f>SUMIF(SNI!C$1:C$65536,'RAB - RumahB'!B$1:B$65536,SNI!L$1:L$65536)</f>
        <v>0</v>
      </c>
      <c r="G180">
        <f>E180*F180</f>
        <v>0</v>
      </c>
    </row>
    <row r="181">
      <c r="A181">
        <v>2</v>
      </c>
      <c r="B181" t="str">
        <v>Pas. Dinding Keramik 300x300</v>
      </c>
      <c r="C181" t="str">
        <v>Batu templek</v>
      </c>
      <c r="D181" t="str">
        <v>m2</v>
      </c>
      <c r="E181">
        <f>'B-QTY'!D376</f>
        <v>20</v>
      </c>
      <c r="F181">
        <f>SUMIF(SNI!C$1:C$65536,'RAB - RumahB'!B$1:B$65536,SNI!L$1:L$65536)</f>
        <v>0</v>
      </c>
      <c r="G181">
        <f>E181*F181</f>
        <v>0</v>
      </c>
    </row>
    <row r="182">
      <c r="A182">
        <v>3</v>
      </c>
      <c r="B182" t="str">
        <v>Cat dinding luar weathershiled KW.I</v>
      </c>
      <c r="C182" t="str">
        <v>ex Mowilex</v>
      </c>
      <c r="D182" t="str">
        <v>m2</v>
      </c>
      <c r="E182">
        <f>'B-QTY'!D436</f>
        <v>554.3925</v>
      </c>
      <c r="F182">
        <f>SUMIF(SNI!C$1:C$65536,'RAB - RumahB'!B$1:B$65536,SNI!L$1:L$65536)</f>
        <v>0</v>
      </c>
      <c r="G182">
        <f>E182*F182</f>
        <v>0</v>
      </c>
    </row>
    <row r="183">
      <c r="A183">
        <v>4</v>
      </c>
      <c r="B183" t="str">
        <v>Cat dinding dalam acrylic emulsion KW.I</v>
      </c>
      <c r="C183" t="str">
        <v>ex Mowilex</v>
      </c>
      <c r="D183" t="str">
        <v>m2</v>
      </c>
      <c r="E183">
        <f>'B-QTY'!D384+'B-QTY'!D392+'B-QTY'!D400</f>
        <v>264.7075</v>
      </c>
      <c r="F183">
        <f>SUMIF(SNI!C$1:C$65536,'RAB - RumahB'!B$1:B$65536,SNI!L$1:L$65536)</f>
        <v>0</v>
      </c>
      <c r="G183">
        <f>E183*F183</f>
        <v>0</v>
      </c>
    </row>
    <row r="184">
      <c r="A184">
        <v>5</v>
      </c>
      <c r="B184" t="str">
        <v>Cat plafond acrylic emulsion KW.I</v>
      </c>
      <c r="C184" t="str">
        <v>ex Mowilex</v>
      </c>
      <c r="D184" t="str">
        <v>m2</v>
      </c>
      <c r="E184">
        <f>'B-QTY'!D380+'B-QTY'!D388+'B-QTY'!D396+'B-QTY'!D404+'B-QTY'!D411+'B-QTY'!D438</f>
        <v>135.27125</v>
      </c>
      <c r="F184">
        <f>SUMIF(SNI!C$1:C$65536,'RAB - RumahB'!B$1:B$65536,SNI!L$1:L$65536)</f>
        <v>0</v>
      </c>
      <c r="G184">
        <f>E184*F184</f>
        <v>0</v>
      </c>
    </row>
    <row r="185">
      <c r="A185">
        <v>6</v>
      </c>
      <c r="B185" t="str">
        <v xml:space="preserve">Cat kayu synthetic </v>
      </c>
      <c r="C185" t="str">
        <v>Seiv</v>
      </c>
      <c r="D185" t="str">
        <v>m2</v>
      </c>
      <c r="E185">
        <f>'B-QTY'!D441</f>
        <v>19.872</v>
      </c>
      <c r="F185">
        <f>SUMIF(SNI!C$1:C$65536,'RAB - RumahB'!B$1:B$65536,SNI!L$1:L$65536)</f>
        <v>0</v>
      </c>
      <c r="G185">
        <f>E185*F185</f>
        <v>0</v>
      </c>
    </row>
    <row r="186">
      <c r="A186">
        <v>7</v>
      </c>
      <c r="B186" t="str">
        <v xml:space="preserve">Cat besi synthetic </v>
      </c>
      <c r="C186" t="str">
        <v>ex Seiv</v>
      </c>
      <c r="D186" t="str">
        <v>m2</v>
      </c>
      <c r="E186">
        <f>E110*2</f>
        <v>14.639999999999999</v>
      </c>
      <c r="F186">
        <f>SUMIF(SNI!C$1:C$65536,'RAB - RumahB'!B$1:B$65536,SNI!L$1:L$65536)</f>
        <v>0</v>
      </c>
      <c r="G186">
        <f>E186*F186</f>
        <v>0</v>
      </c>
    </row>
    <row r="187">
      <c r="B187" t="str">
        <v>Pekerjaan Canopi</v>
      </c>
    </row>
    <row r="188">
      <c r="A188">
        <v>8</v>
      </c>
      <c r="B188" t="str">
        <v>Pas. Acian PC</v>
      </c>
      <c r="C188" t="str">
        <v>Spesi 1 : 2</v>
      </c>
      <c r="D188" t="str">
        <v>m2</v>
      </c>
      <c r="E188">
        <f>'B-QTY'!D444</f>
        <v>15.79</v>
      </c>
      <c r="F188">
        <f>SUMIF(SNI!C$1:C$65536,'RAB - RumahB'!B$1:B$65536,SNI!L$1:L$65536)</f>
        <v>0</v>
      </c>
      <c r="G188">
        <f>E188*F188</f>
        <v>0</v>
      </c>
    </row>
    <row r="189">
      <c r="A189">
        <v>9</v>
      </c>
      <c r="B189" t="str">
        <v>Cat plafond acrylic emulsion KW.I</v>
      </c>
      <c r="C189" t="str">
        <v>ex Mowilex</v>
      </c>
      <c r="D189" t="str">
        <v>m2</v>
      </c>
      <c r="E189">
        <f>E188</f>
        <v>15.79</v>
      </c>
      <c r="F189">
        <f>SUMIF(SNI!C$1:C$65536,'RAB - RumahB'!B$1:B$65536,SNI!L$1:L$65536)</f>
        <v>0</v>
      </c>
      <c r="G189">
        <f>E189*F189</f>
        <v>0</v>
      </c>
      <c r="H189">
        <f>SUM(G188:G189)</f>
        <v>0</v>
      </c>
    </row>
    <row r="190">
      <c r="G190" t="str">
        <v>JumlahD .... Rp</v>
      </c>
      <c r="H190">
        <f>SUM(G180:G189)</f>
        <v>0</v>
      </c>
    </row>
  </sheetData>
  <mergeCells count="9">
    <mergeCell ref="G28:H28"/>
    <mergeCell ref="G29:H29"/>
    <mergeCell ref="A27:H27"/>
    <mergeCell ref="A2:H2"/>
    <mergeCell ref="A28:A29"/>
    <mergeCell ref="B28:B29"/>
    <mergeCell ref="C28:C29"/>
    <mergeCell ref="D28:D29"/>
    <mergeCell ref="E28:E29"/>
  </mergeCells>
  <hyperlinks>
    <hyperlink ref="I1" location="MENU!A1" tooltip="menu"/>
    <hyperlink ref="I2" location="HSBGN!A1" tooltip="HSBGN"/>
  </hyperlinks>
  <pageMargins left="0.66" right="0.1968503937007874" top="0.7480314960629921" bottom="0.5118110236220472" header="0.41" footer="0.31496062992125984"/>
  <ignoredErrors>
    <ignoredError numberStoredAsText="1" sqref="A1:K190"/>
  </ignoredErrors>
</worksheet>
</file>

<file path=xl/worksheets/sheet21.xml><?xml version="1.0" encoding="utf-8"?>
<worksheet xmlns="http://schemas.openxmlformats.org/spreadsheetml/2006/main" xmlns:r="http://schemas.openxmlformats.org/officeDocument/2006/relationships">
  <dimension ref="A1:T445"/>
  <sheetViews>
    <sheetView workbookViewId="0" rightToLeft="0"/>
  </sheetViews>
  <sheetData>
    <row r="1">
      <c r="A1" t="str">
        <v>menu</v>
      </c>
    </row>
    <row r="2">
      <c r="A2" t="str">
        <v>TAKING OFF</v>
      </c>
    </row>
    <row r="3">
      <c r="A3" t="str">
        <v>PERHITUNGAN VOLUME</v>
      </c>
    </row>
    <row r="4">
      <c r="A4" t="str">
        <v>RUMAH NEGARA TYPE  B</v>
      </c>
    </row>
    <row r="5">
      <c r="A5" t="str">
        <v>LUAS BANGUNGAN TYPE B ( 120 M2)</v>
      </c>
    </row>
    <row r="8">
      <c r="A8" t="str">
        <v>No</v>
      </c>
      <c r="B8" t="str">
        <v>Uraian Pekerjaan</v>
      </c>
      <c r="C8" t="str">
        <v>PANJANG</v>
      </c>
      <c r="D8" t="str">
        <v>LEBAR</v>
      </c>
      <c r="E8" t="str">
        <v>JUMLAH</v>
      </c>
    </row>
    <row r="9">
      <c r="C9" t="str">
        <v>m</v>
      </c>
      <c r="D9" t="str">
        <v>m</v>
      </c>
      <c r="E9" t="str">
        <v>m2</v>
      </c>
    </row>
    <row r="11">
      <c r="A11" t="str">
        <v>A.</v>
      </c>
      <c r="B11" t="str">
        <v>RUMAH</v>
      </c>
    </row>
    <row r="12">
      <c r="A12">
        <v>1</v>
      </c>
      <c r="B12" t="str">
        <v>Ruang keluarga+dapur r.tamu</v>
      </c>
      <c r="C12">
        <v>5.925</v>
      </c>
      <c r="D12">
        <v>5.4</v>
      </c>
      <c r="E12">
        <f>C12*D12</f>
        <v>31.995</v>
      </c>
    </row>
    <row r="13">
      <c r="C13">
        <v>8.925</v>
      </c>
      <c r="D13">
        <v>2</v>
      </c>
      <c r="E13">
        <f>C13*D13</f>
        <v>17.85</v>
      </c>
    </row>
    <row r="14">
      <c r="C14">
        <v>3.25</v>
      </c>
      <c r="D14">
        <v>0.975</v>
      </c>
      <c r="E14">
        <f>C14*D14</f>
        <v>3.1687499999999997</v>
      </c>
    </row>
    <row r="15">
      <c r="A15">
        <v>2</v>
      </c>
      <c r="B15" t="str">
        <v>Kamar tidur utama</v>
      </c>
      <c r="C15">
        <v>3.075</v>
      </c>
      <c r="D15">
        <v>3.05</v>
      </c>
      <c r="E15">
        <f>C15*D15</f>
        <v>9.37875</v>
      </c>
    </row>
    <row r="16">
      <c r="A16">
        <v>3</v>
      </c>
      <c r="B16" t="str">
        <v>Kamar tidur anak.1</v>
      </c>
      <c r="C16">
        <v>4</v>
      </c>
      <c r="D16">
        <v>2.95</v>
      </c>
      <c r="E16">
        <f>C16*D16</f>
        <v>11.8</v>
      </c>
    </row>
    <row r="17">
      <c r="A17">
        <v>4</v>
      </c>
      <c r="B17" t="str">
        <v>Kamar tidur anak.2</v>
      </c>
      <c r="C17">
        <v>3.05</v>
      </c>
      <c r="D17">
        <v>3.075</v>
      </c>
      <c r="E17">
        <f>C17*D17</f>
        <v>9.37875</v>
      </c>
    </row>
    <row r="18">
      <c r="A18">
        <v>5</v>
      </c>
      <c r="B18" t="str">
        <v>Kamar tidur pembantu</v>
      </c>
      <c r="C18">
        <v>2</v>
      </c>
      <c r="D18">
        <v>2</v>
      </c>
      <c r="E18">
        <f>C18*D18</f>
        <v>4</v>
      </c>
    </row>
    <row r="19">
      <c r="A19">
        <v>6</v>
      </c>
      <c r="B19" t="str">
        <v>Kamar mandi.1</v>
      </c>
      <c r="C19">
        <v>2.25</v>
      </c>
      <c r="D19">
        <v>2</v>
      </c>
      <c r="E19">
        <f>C19*D19</f>
        <v>4.5</v>
      </c>
    </row>
    <row r="20">
      <c r="A20">
        <v>7</v>
      </c>
      <c r="B20" t="str">
        <v>Kamar mandi.2</v>
      </c>
      <c r="C20">
        <v>2</v>
      </c>
      <c r="D20">
        <v>1.5</v>
      </c>
      <c r="E20">
        <f>C20*D20</f>
        <v>3</v>
      </c>
    </row>
    <row r="21">
      <c r="A21">
        <v>8</v>
      </c>
      <c r="B21" t="str">
        <v>R.Setrika</v>
      </c>
      <c r="C21">
        <v>2</v>
      </c>
      <c r="D21">
        <v>2</v>
      </c>
      <c r="E21">
        <f>C21*D21</f>
        <v>4</v>
      </c>
    </row>
    <row r="22">
      <c r="A22">
        <v>9</v>
      </c>
      <c r="B22" t="str">
        <v>Garasi</v>
      </c>
      <c r="C22">
        <v>5.45</v>
      </c>
      <c r="D22">
        <v>3.2</v>
      </c>
      <c r="E22">
        <f>C22*D22</f>
        <v>17.44</v>
      </c>
    </row>
    <row r="23">
      <c r="A23">
        <v>10</v>
      </c>
      <c r="B23" t="str">
        <v>Tempat Cuci</v>
      </c>
      <c r="C23">
        <v>2</v>
      </c>
      <c r="D23">
        <v>1.2</v>
      </c>
      <c r="E23">
        <f>C23*D23</f>
        <v>2.4</v>
      </c>
    </row>
    <row r="24">
      <c r="A24">
        <v>11</v>
      </c>
      <c r="B24" t="str">
        <v xml:space="preserve">Teras depan </v>
      </c>
      <c r="C24">
        <v>2</v>
      </c>
      <c r="D24">
        <v>2</v>
      </c>
      <c r="E24">
        <f>C24*D24</f>
        <v>4</v>
      </c>
    </row>
    <row r="25">
      <c r="A25">
        <v>12</v>
      </c>
      <c r="B25" t="str">
        <v>Teras belakang</v>
      </c>
      <c r="C25">
        <v>5</v>
      </c>
      <c r="D25">
        <v>1.8</v>
      </c>
      <c r="E25">
        <f>C25*D25</f>
        <v>9</v>
      </c>
    </row>
    <row r="26">
      <c r="E26">
        <f>SUM(E12:E25)</f>
        <v>131.91125</v>
      </c>
    </row>
    <row r="27">
      <c r="A27" t="str">
        <v>B.</v>
      </c>
      <c r="B27" t="str">
        <v>LAND SCAPE</v>
      </c>
    </row>
    <row r="28">
      <c r="A28">
        <v>1</v>
      </c>
      <c r="B28" t="str">
        <v>Carport</v>
      </c>
      <c r="C28">
        <v>5</v>
      </c>
      <c r="D28">
        <v>7.5</v>
      </c>
      <c r="E28">
        <f>C28*D28</f>
        <v>37.5</v>
      </c>
    </row>
    <row r="29">
      <c r="A29">
        <v>2</v>
      </c>
      <c r="B29" t="str">
        <v>Beton deuker</v>
      </c>
      <c r="C29">
        <v>7.5</v>
      </c>
      <c r="D29">
        <v>0.6</v>
      </c>
      <c r="E29">
        <f>C29*D29</f>
        <v>4.5</v>
      </c>
    </row>
    <row r="30">
      <c r="A30">
        <v>3</v>
      </c>
      <c r="B30" t="str">
        <v>Pagar depan</v>
      </c>
      <c r="C30">
        <v>12.05</v>
      </c>
      <c r="D30">
        <v>2</v>
      </c>
      <c r="E30">
        <f>C30*D30</f>
        <v>24.1</v>
      </c>
    </row>
    <row r="31">
      <c r="A31">
        <v>4</v>
      </c>
      <c r="B31" t="str">
        <v>Benteng samping depan</v>
      </c>
      <c r="C31">
        <f>4.075*2</f>
        <v>8.15</v>
      </c>
      <c r="D31">
        <v>1.5</v>
      </c>
      <c r="E31">
        <f>C31*D31</f>
        <v>12.225000000000001</v>
      </c>
    </row>
    <row r="32">
      <c r="A32">
        <v>5</v>
      </c>
      <c r="B32" t="str">
        <v>Benteng belakang</v>
      </c>
      <c r="C32">
        <v>5</v>
      </c>
      <c r="D32">
        <v>2.5</v>
      </c>
      <c r="E32">
        <f>C32*D32</f>
        <v>12.5</v>
      </c>
    </row>
    <row r="35">
      <c r="A35" t="str">
        <v>C.</v>
      </c>
      <c r="B35" t="str">
        <v>LUAS TANAH</v>
      </c>
      <c r="C35">
        <v>16.45</v>
      </c>
      <c r="D35">
        <v>12.2</v>
      </c>
      <c r="E35">
        <f>C35*D35</f>
        <v>200.68999999999997</v>
      </c>
    </row>
    <row r="39">
      <c r="A39" t="str">
        <v>VOLUME PEKERJAAN DINDING BATA</v>
      </c>
    </row>
    <row r="40">
      <c r="A40" t="str">
        <v xml:space="preserve">BANGUNAN </v>
      </c>
      <c r="E40" t="str">
        <v>AMPIQ/GEVEL</v>
      </c>
      <c r="I40" t="str">
        <v>BENTENG SAMPING DEPAN</v>
      </c>
      <c r="M40" t="str">
        <v>BENTENG SAMPING BELAKANG</v>
      </c>
      <c r="Q40" t="str">
        <v>BENTENG BELAKANG</v>
      </c>
    </row>
    <row r="41">
      <c r="A41" t="str">
        <v>AS</v>
      </c>
      <c r="B41" t="str">
        <v>P</v>
      </c>
      <c r="C41" t="str">
        <v>T</v>
      </c>
      <c r="D41" t="str">
        <v>JML</v>
      </c>
      <c r="E41" t="str">
        <v>AS</v>
      </c>
      <c r="F41" t="str">
        <v>P</v>
      </c>
      <c r="G41" t="str">
        <v>T</v>
      </c>
      <c r="H41" t="str">
        <v>JML</v>
      </c>
      <c r="I41" t="str">
        <v>AS</v>
      </c>
      <c r="J41" t="str">
        <v>P</v>
      </c>
      <c r="K41" t="str">
        <v>T</v>
      </c>
      <c r="L41" t="str">
        <v>JML</v>
      </c>
      <c r="M41" t="str">
        <v>AS</v>
      </c>
      <c r="N41" t="str">
        <v>P</v>
      </c>
      <c r="O41" t="str">
        <v>T</v>
      </c>
      <c r="P41" t="str">
        <v>JML</v>
      </c>
      <c r="Q41" t="str">
        <v>AS</v>
      </c>
      <c r="R41" t="str">
        <v>P</v>
      </c>
      <c r="S41" t="str">
        <v>T</v>
      </c>
      <c r="T41" t="str">
        <v>JML</v>
      </c>
    </row>
    <row r="42">
      <c r="A42">
        <v>1</v>
      </c>
      <c r="B42">
        <v>12.45</v>
      </c>
      <c r="C42">
        <v>4</v>
      </c>
      <c r="D42">
        <f>B42*C42</f>
        <v>49.8</v>
      </c>
      <c r="E42">
        <v>1</v>
      </c>
      <c r="F42">
        <v>10</v>
      </c>
      <c r="G42">
        <v>2</v>
      </c>
      <c r="H42">
        <f>F42*G42</f>
        <v>20</v>
      </c>
      <c r="I42">
        <v>1</v>
      </c>
      <c r="J42">
        <v>4.075</v>
      </c>
      <c r="K42">
        <v>1.5</v>
      </c>
      <c r="L42">
        <f>J42*K42</f>
        <v>6.112500000000001</v>
      </c>
      <c r="Q42" t="str">
        <v>E</v>
      </c>
      <c r="R42">
        <v>5</v>
      </c>
      <c r="S42">
        <v>2.5</v>
      </c>
      <c r="T42">
        <f>R42*S42</f>
        <v>12.5</v>
      </c>
    </row>
    <row r="43">
      <c r="A43">
        <v>2</v>
      </c>
      <c r="B43">
        <v>2</v>
      </c>
      <c r="C43">
        <v>4</v>
      </c>
      <c r="D43">
        <f>B43*C43</f>
        <v>8</v>
      </c>
      <c r="E43">
        <v>3</v>
      </c>
      <c r="F43">
        <v>10</v>
      </c>
      <c r="G43">
        <v>2</v>
      </c>
      <c r="H43">
        <f>F43*G43</f>
        <v>20</v>
      </c>
      <c r="I43">
        <v>5</v>
      </c>
      <c r="J43">
        <v>4.075</v>
      </c>
      <c r="K43">
        <v>1.5</v>
      </c>
      <c r="L43">
        <f>J43*K43</f>
        <v>6.112500000000001</v>
      </c>
    </row>
    <row r="44">
      <c r="A44">
        <v>3</v>
      </c>
      <c r="B44">
        <v>2</v>
      </c>
      <c r="C44">
        <v>4</v>
      </c>
      <c r="D44">
        <f>B44*C44</f>
        <v>8</v>
      </c>
      <c r="E44">
        <v>9</v>
      </c>
      <c r="F44">
        <v>10</v>
      </c>
      <c r="G44">
        <v>2</v>
      </c>
      <c r="H44">
        <f>F44*G44</f>
        <v>20</v>
      </c>
    </row>
    <row r="45">
      <c r="A45">
        <v>4</v>
      </c>
      <c r="B45">
        <v>7.45</v>
      </c>
      <c r="C45">
        <v>4</v>
      </c>
      <c r="D45">
        <f>B45*C45</f>
        <v>29.8</v>
      </c>
      <c r="E45" t="str">
        <v>BLK</v>
      </c>
      <c r="F45">
        <f>13.9+6.5</f>
        <v>20.4</v>
      </c>
      <c r="G45">
        <v>2</v>
      </c>
      <c r="H45">
        <f>F45*G45</f>
        <v>40.8</v>
      </c>
    </row>
    <row r="46">
      <c r="A46">
        <v>5</v>
      </c>
      <c r="B46">
        <v>2</v>
      </c>
      <c r="C46">
        <v>4</v>
      </c>
      <c r="D46">
        <f>B46*C46</f>
        <v>8</v>
      </c>
    </row>
    <row r="47">
      <c r="A47">
        <v>6</v>
      </c>
      <c r="B47">
        <v>4</v>
      </c>
      <c r="C47">
        <v>4</v>
      </c>
      <c r="D47">
        <f>B47*C47</f>
        <v>16</v>
      </c>
    </row>
    <row r="48">
      <c r="A48">
        <v>7</v>
      </c>
      <c r="B48">
        <v>6.1</v>
      </c>
      <c r="C48">
        <v>4</v>
      </c>
      <c r="D48">
        <f>B48*C48</f>
        <v>24.4</v>
      </c>
    </row>
    <row r="49">
      <c r="A49">
        <v>8</v>
      </c>
      <c r="B49">
        <v>2.25</v>
      </c>
      <c r="C49">
        <v>4</v>
      </c>
      <c r="D49">
        <f>B49*C49</f>
        <v>9</v>
      </c>
    </row>
    <row r="50">
      <c r="A50">
        <v>9</v>
      </c>
      <c r="B50">
        <v>12.3</v>
      </c>
      <c r="C50">
        <v>4</v>
      </c>
      <c r="D50">
        <f>B50*C50</f>
        <v>49.2</v>
      </c>
    </row>
    <row r="51">
      <c r="A51" t="str">
        <v>A</v>
      </c>
      <c r="B51">
        <v>12.2</v>
      </c>
      <c r="C51">
        <v>4</v>
      </c>
      <c r="D51">
        <f>B51*C51</f>
        <v>48.8</v>
      </c>
    </row>
    <row r="52">
      <c r="A52" t="str">
        <v>B</v>
      </c>
      <c r="B52">
        <v>4.075</v>
      </c>
      <c r="C52">
        <v>4</v>
      </c>
      <c r="D52">
        <f>B52*C52</f>
        <v>16.3</v>
      </c>
    </row>
    <row r="53">
      <c r="A53" t="str">
        <v>C</v>
      </c>
      <c r="B53">
        <v>6.275</v>
      </c>
      <c r="C53">
        <v>4</v>
      </c>
      <c r="D53">
        <f>B53*C53</f>
        <v>25.1</v>
      </c>
    </row>
    <row r="54">
      <c r="A54" t="str">
        <v>D</v>
      </c>
      <c r="B54">
        <v>8</v>
      </c>
      <c r="C54">
        <v>4</v>
      </c>
      <c r="D54">
        <f>B54*C54</f>
        <v>32</v>
      </c>
    </row>
    <row r="55">
      <c r="A55" t="str">
        <v>E</v>
      </c>
      <c r="B55">
        <v>4</v>
      </c>
      <c r="C55">
        <v>4</v>
      </c>
      <c r="D55">
        <f>B55*C55</f>
        <v>16</v>
      </c>
    </row>
    <row r="56">
      <c r="A56" t="str">
        <v>F</v>
      </c>
      <c r="B56">
        <v>3</v>
      </c>
      <c r="C56">
        <v>4</v>
      </c>
      <c r="D56">
        <f>B56*C56</f>
        <v>12</v>
      </c>
    </row>
    <row r="57">
      <c r="A57" t="str">
        <v>G</v>
      </c>
      <c r="B57">
        <v>7</v>
      </c>
      <c r="C57">
        <v>4</v>
      </c>
      <c r="D57">
        <f>B57*C57</f>
        <v>28</v>
      </c>
    </row>
    <row r="58">
      <c r="A58" t="str">
        <v>FSD</v>
      </c>
      <c r="B58">
        <v>4</v>
      </c>
      <c r="C58">
        <v>5</v>
      </c>
      <c r="D58">
        <f>B58*C58</f>
        <v>20</v>
      </c>
    </row>
    <row r="60">
      <c r="B60">
        <f>SUM(B42:B59)</f>
        <v>99.10000000000001</v>
      </c>
      <c r="D60">
        <f>SUM(D42:D59)</f>
        <v>400.40000000000003</v>
      </c>
      <c r="F60">
        <f>SUM(F42:F59)</f>
        <v>50.4</v>
      </c>
      <c r="H60">
        <f>SUM(H42:H59)</f>
        <v>100.8</v>
      </c>
      <c r="J60">
        <f>SUM(J42:J59)</f>
        <v>8.15</v>
      </c>
      <c r="L60">
        <f>SUM(L42:L59)</f>
        <v>12.225000000000001</v>
      </c>
      <c r="N60">
        <f>SUM(N42:N59)</f>
        <v>0</v>
      </c>
      <c r="P60">
        <f>SUM(P42:P59)</f>
        <v>0</v>
      </c>
      <c r="R60">
        <f>SUM(R42:R59)</f>
        <v>5</v>
      </c>
      <c r="T60">
        <f>SUM(T42:T59)</f>
        <v>12.5</v>
      </c>
    </row>
    <row r="61">
      <c r="A61" t="str">
        <v>LUAS KUSEN</v>
      </c>
      <c r="D61">
        <f>'B-QTY'!S313</f>
        <v>29.355</v>
      </c>
    </row>
    <row r="62">
      <c r="A62" t="str">
        <v>JUMLAH</v>
      </c>
      <c r="D62">
        <f>D60-D61</f>
        <v>371.045</v>
      </c>
    </row>
    <row r="63">
      <c r="A63" t="str">
        <v>PLESTERAN</v>
      </c>
      <c r="D63">
        <f>D62*2</f>
        <v>742.09</v>
      </c>
      <c r="H63">
        <f>H60*2</f>
        <v>201.6</v>
      </c>
    </row>
    <row r="66">
      <c r="A66" t="str">
        <v xml:space="preserve">VOLUME PEKERJAAN PONDASI BATU KALI </v>
      </c>
    </row>
    <row r="67">
      <c r="A67" t="str">
        <v xml:space="preserve"> NO</v>
      </c>
      <c r="B67" t="str">
        <v>URAIAN PEKERJAAN</v>
      </c>
      <c r="C67" t="str">
        <v>SAT</v>
      </c>
      <c r="D67" t="str">
        <v>RUMAH</v>
      </c>
      <c r="E67" t="str">
        <v>B.SP.D</v>
      </c>
      <c r="F67" t="str">
        <v>B.SP.B</v>
      </c>
      <c r="G67" t="str">
        <v>B.BLK</v>
      </c>
    </row>
    <row r="69">
      <c r="A69">
        <v>1</v>
      </c>
      <c r="B69" t="str">
        <v xml:space="preserve">UKURAN GALIAN TANAH </v>
      </c>
    </row>
    <row r="70">
      <c r="B70" t="str">
        <v>Lebar</v>
      </c>
      <c r="C70" t="str">
        <v>m</v>
      </c>
      <c r="D70">
        <v>0.6</v>
      </c>
      <c r="E70">
        <v>0.6</v>
      </c>
      <c r="F70">
        <v>0.6</v>
      </c>
      <c r="G70">
        <v>0.6</v>
      </c>
    </row>
    <row r="71">
      <c r="B71" t="str">
        <v>Tinggi</v>
      </c>
      <c r="C71" t="str">
        <v>m</v>
      </c>
      <c r="D71">
        <v>0.9</v>
      </c>
      <c r="E71">
        <v>0.9</v>
      </c>
      <c r="F71">
        <v>0.9</v>
      </c>
      <c r="G71">
        <v>0.9</v>
      </c>
    </row>
    <row r="72">
      <c r="B72" t="str">
        <v>Panjang</v>
      </c>
      <c r="C72" t="str">
        <v>m</v>
      </c>
      <c r="D72">
        <f>'B-QTY'!B60</f>
        <v>99.10000000000001</v>
      </c>
      <c r="E72">
        <f>'B-QTY'!J60</f>
        <v>8.15</v>
      </c>
      <c r="F72">
        <f>'B-QTY'!N60</f>
        <v>0</v>
      </c>
      <c r="G72">
        <f>'B-QTY'!R60</f>
        <v>5</v>
      </c>
    </row>
    <row r="74">
      <c r="A74">
        <v>2</v>
      </c>
      <c r="B74" t="str">
        <v>UKURAN PONDASI</v>
      </c>
    </row>
    <row r="75">
      <c r="B75" t="str">
        <v>Lebar Atas</v>
      </c>
      <c r="C75" t="str">
        <v>m</v>
      </c>
      <c r="D75">
        <v>0.3</v>
      </c>
      <c r="E75">
        <v>0.3</v>
      </c>
      <c r="F75">
        <v>0.3</v>
      </c>
      <c r="G75">
        <v>0.3</v>
      </c>
    </row>
    <row r="76">
      <c r="B76" t="str">
        <v>Lebar Bawah</v>
      </c>
      <c r="C76" t="str">
        <v>m</v>
      </c>
      <c r="D76">
        <v>0.5</v>
      </c>
      <c r="E76">
        <v>0.5</v>
      </c>
      <c r="F76">
        <v>0.5</v>
      </c>
      <c r="G76">
        <v>0.5</v>
      </c>
    </row>
    <row r="77">
      <c r="B77" t="str">
        <v>Tinggi</v>
      </c>
      <c r="C77" t="str">
        <v>m</v>
      </c>
      <c r="D77">
        <v>0.6</v>
      </c>
      <c r="E77">
        <v>0.6</v>
      </c>
      <c r="F77">
        <v>0.6</v>
      </c>
      <c r="G77">
        <v>0.6</v>
      </c>
    </row>
    <row r="79">
      <c r="A79">
        <v>3</v>
      </c>
      <c r="B79" t="str">
        <v>JUMLAH VOLUME</v>
      </c>
      <c r="D79" t="str">
        <f>D67</f>
        <v>RUMAH</v>
      </c>
      <c r="E79" t="str">
        <f>E67</f>
        <v>B.SP.D</v>
      </c>
      <c r="F79" t="str">
        <f>F67</f>
        <v>B.SP.B</v>
      </c>
      <c r="G79" t="str">
        <f>G67</f>
        <v>B.BLK</v>
      </c>
    </row>
    <row r="80">
      <c r="B80" t="str">
        <v>Galian tanah</v>
      </c>
      <c r="C80" t="str">
        <v>m3</v>
      </c>
      <c r="D80">
        <f>D70*D71*D72</f>
        <v>53.51400000000001</v>
      </c>
      <c r="E80">
        <f>E70*E71*E72</f>
        <v>4.401000000000001</v>
      </c>
      <c r="F80">
        <f>F70*F71*F72</f>
        <v>0</v>
      </c>
      <c r="G80">
        <f>G70*G71*G72</f>
        <v>2.7</v>
      </c>
    </row>
    <row r="81">
      <c r="B81" t="str">
        <v>Urugan pasir</v>
      </c>
      <c r="C81" t="str">
        <v>m3</v>
      </c>
      <c r="D81">
        <f>+D70*D72*0.05</f>
        <v>2.9730000000000003</v>
      </c>
      <c r="E81">
        <f>+E70*E72*0.05</f>
        <v>0.2445</v>
      </c>
      <c r="F81">
        <f>+F70*F72*0.05</f>
        <v>0</v>
      </c>
      <c r="G81">
        <f>+G70*G72*0.05</f>
        <v>0.15000000000000002</v>
      </c>
    </row>
    <row r="82">
      <c r="B82" t="str">
        <v>Aanstamping</v>
      </c>
      <c r="C82" t="str">
        <v>m3</v>
      </c>
      <c r="D82">
        <f>D70*D72*0.15</f>
        <v>8.919</v>
      </c>
      <c r="E82">
        <f>E70*E72*0.15</f>
        <v>0.7334999999999999</v>
      </c>
      <c r="F82">
        <f>F70*F72*0.15</f>
        <v>0</v>
      </c>
      <c r="G82">
        <f>G70*G72*0.15</f>
        <v>0.44999999999999996</v>
      </c>
    </row>
    <row r="83">
      <c r="B83" t="str">
        <v>Pondasi</v>
      </c>
      <c r="C83" t="str">
        <v>m3</v>
      </c>
      <c r="D83">
        <f>((D75+D76)/2)*D77*D72</f>
        <v>23.784000000000002</v>
      </c>
      <c r="E83">
        <f>((E75+E76)/2)*E77*E72</f>
        <v>1.956</v>
      </c>
      <c r="F83">
        <f>((F75+F76)/2)*F77*F72</f>
        <v>0</v>
      </c>
      <c r="G83">
        <f>((G75+G76)/2)*G77*G72</f>
        <v>1.2</v>
      </c>
    </row>
    <row r="84">
      <c r="B84" t="str">
        <v>Urugan tanah</v>
      </c>
      <c r="C84" t="str">
        <v>m3</v>
      </c>
      <c r="D84">
        <f>D80-D85</f>
        <v>17.838000000000008</v>
      </c>
      <c r="E84">
        <f>E80-E85</f>
        <v>1.4670000000000005</v>
      </c>
      <c r="F84">
        <f>F80-F85</f>
        <v>0</v>
      </c>
      <c r="G84">
        <f>G80-G85</f>
        <v>0.9000000000000004</v>
      </c>
    </row>
    <row r="85">
      <c r="B85" t="str">
        <v>Pemindahan tanah</v>
      </c>
      <c r="C85" t="str">
        <v>m3</v>
      </c>
      <c r="D85">
        <f>D81+D82+D83</f>
        <v>35.676</v>
      </c>
      <c r="E85">
        <f>E81+E82+E83</f>
        <v>2.934</v>
      </c>
      <c r="F85">
        <f>F81+F82+F83</f>
        <v>0</v>
      </c>
      <c r="G85">
        <f>G81+G82+G83</f>
        <v>1.7999999999999998</v>
      </c>
    </row>
    <row r="88">
      <c r="A88" t="str">
        <v>VOLUME PEKERJAAN PONDASI ROLLAG BATA</v>
      </c>
    </row>
    <row r="89">
      <c r="A89" t="str">
        <v xml:space="preserve"> NO</v>
      </c>
      <c r="B89" t="str">
        <v>URAIAN PEKERJAAN</v>
      </c>
      <c r="C89" t="str">
        <v>SAT</v>
      </c>
      <c r="D89" t="str">
        <v>RUMAH</v>
      </c>
    </row>
    <row r="91">
      <c r="A91">
        <v>1</v>
      </c>
      <c r="B91" t="str">
        <v xml:space="preserve">UKURAN GALIAN TANAH </v>
      </c>
    </row>
    <row r="92">
      <c r="B92" t="str">
        <v>Lebar</v>
      </c>
      <c r="C92" t="str">
        <v>m</v>
      </c>
      <c r="D92">
        <v>0.3</v>
      </c>
    </row>
    <row r="93">
      <c r="B93" t="str">
        <v>Tinggi</v>
      </c>
      <c r="C93" t="str">
        <v>m</v>
      </c>
      <c r="D93">
        <v>0.4</v>
      </c>
    </row>
    <row r="94">
      <c r="B94" t="str">
        <v>Panjang</v>
      </c>
      <c r="C94" t="str">
        <v>m</v>
      </c>
      <c r="D94">
        <v>4.5</v>
      </c>
    </row>
    <row r="96">
      <c r="A96">
        <v>2</v>
      </c>
      <c r="B96" t="str">
        <v>UKURAN PONDASI</v>
      </c>
    </row>
    <row r="97">
      <c r="B97" t="str">
        <v xml:space="preserve">Lebar </v>
      </c>
      <c r="C97" t="str">
        <v>m</v>
      </c>
      <c r="D97">
        <v>0.2</v>
      </c>
    </row>
    <row r="98">
      <c r="B98" t="str">
        <v>Tinggi</v>
      </c>
      <c r="C98" t="str">
        <v>m</v>
      </c>
      <c r="D98">
        <v>0.3</v>
      </c>
    </row>
    <row r="100">
      <c r="A100">
        <v>3</v>
      </c>
      <c r="B100" t="str">
        <v>JUMLAH VOLUME</v>
      </c>
      <c r="D100" t="str">
        <f>D89</f>
        <v>RUMAH</v>
      </c>
    </row>
    <row r="101">
      <c r="B101" t="str">
        <v>Galian tanah</v>
      </c>
      <c r="C101" t="str">
        <v>m3</v>
      </c>
      <c r="D101">
        <f>IF(YEAR(NOW())=YEAR(NOW()),D92*D93*D94,a)</f>
        <v>0.54</v>
      </c>
    </row>
    <row r="102">
      <c r="B102" t="str">
        <v>Urugan pasir</v>
      </c>
      <c r="C102" t="str">
        <v>m3</v>
      </c>
      <c r="D102">
        <f>+D92*D94*0.05</f>
        <v>0.06749999999999999</v>
      </c>
    </row>
    <row r="103">
      <c r="B103" t="str">
        <v>Lantai kerja</v>
      </c>
      <c r="C103" t="str">
        <v>m2</v>
      </c>
      <c r="D103">
        <f>D92*D94</f>
        <v>1.3499999999999999</v>
      </c>
    </row>
    <row r="104">
      <c r="B104" t="str">
        <v>Pondasi</v>
      </c>
      <c r="C104" t="str">
        <v>m2</v>
      </c>
      <c r="D104">
        <f>D94*(D97+D98)</f>
        <v>2.25</v>
      </c>
    </row>
    <row r="105">
      <c r="B105" t="str">
        <v>Pleteran</v>
      </c>
      <c r="C105" t="str">
        <v>m2</v>
      </c>
      <c r="D105">
        <f>(D94*(D97+D98))*2</f>
        <v>4.5</v>
      </c>
    </row>
    <row r="106">
      <c r="B106" t="str">
        <v>Urugan tanah</v>
      </c>
      <c r="C106" t="str">
        <v>m3</v>
      </c>
      <c r="D106">
        <f>D101-D107</f>
        <v>0.18000000000000005</v>
      </c>
    </row>
    <row r="107">
      <c r="B107" t="str">
        <v>Pemindahan tanah</v>
      </c>
      <c r="C107" t="str">
        <v>m3</v>
      </c>
      <c r="D107">
        <f>D102+D102+(D104*0.1)</f>
        <v>0.36</v>
      </c>
    </row>
    <row r="112">
      <c r="B112" t="str">
        <v>MUTU BAJA</v>
      </c>
      <c r="C112" t="str">
        <v>DIA</v>
      </c>
      <c r="D112" t="str">
        <v>KG/M</v>
      </c>
      <c r="E112" t="str">
        <v>40 D</v>
      </c>
    </row>
    <row r="113">
      <c r="B113" t="str">
        <v>U-24</v>
      </c>
      <c r="C113">
        <v>6</v>
      </c>
      <c r="D113">
        <v>0.22</v>
      </c>
      <c r="E113">
        <f>(C113*40)/1000</f>
        <v>0.24</v>
      </c>
    </row>
    <row r="114">
      <c r="C114">
        <v>8</v>
      </c>
      <c r="D114">
        <v>0.393</v>
      </c>
      <c r="E114">
        <f>(C114*40)/1000</f>
        <v>0.32</v>
      </c>
    </row>
    <row r="115">
      <c r="C115">
        <v>10</v>
      </c>
      <c r="D115">
        <v>0.62</v>
      </c>
      <c r="E115">
        <f>(C115*40)/1000</f>
        <v>0.4</v>
      </c>
    </row>
    <row r="116">
      <c r="C116">
        <v>12</v>
      </c>
      <c r="D116">
        <v>0.887</v>
      </c>
      <c r="E116">
        <f>(C116*40)/1000</f>
        <v>0.48</v>
      </c>
    </row>
    <row r="117">
      <c r="B117" t="str">
        <v>U-39</v>
      </c>
      <c r="C117">
        <v>13</v>
      </c>
      <c r="D117">
        <v>0.992</v>
      </c>
      <c r="E117">
        <f>(C117*40)/1000</f>
        <v>0.52</v>
      </c>
    </row>
    <row r="118">
      <c r="C118">
        <v>16</v>
      </c>
      <c r="D118">
        <v>1.558</v>
      </c>
      <c r="E118">
        <f>(C118*40)/1000</f>
        <v>0.64</v>
      </c>
    </row>
    <row r="119">
      <c r="C119">
        <v>19</v>
      </c>
      <c r="D119">
        <v>2.25</v>
      </c>
      <c r="E119">
        <f>(C119*40)/1000</f>
        <v>0.76</v>
      </c>
    </row>
    <row r="120">
      <c r="C120">
        <v>22</v>
      </c>
      <c r="D120">
        <v>3.042</v>
      </c>
      <c r="E120">
        <f>(C120*40)/1000</f>
        <v>0.88</v>
      </c>
    </row>
    <row r="121">
      <c r="C121">
        <v>25</v>
      </c>
      <c r="D121">
        <v>3.983</v>
      </c>
      <c r="E121">
        <f>(C121*40)/1000</f>
        <v>1</v>
      </c>
    </row>
    <row r="122">
      <c r="C122">
        <v>29</v>
      </c>
      <c r="D122">
        <v>5.042</v>
      </c>
      <c r="E122">
        <f>(C122*40)/1000</f>
        <v>1.16</v>
      </c>
    </row>
    <row r="123">
      <c r="C123">
        <v>32</v>
      </c>
      <c r="D123">
        <v>6.233</v>
      </c>
      <c r="E123">
        <f>(C123*40)/1000</f>
        <v>1.28</v>
      </c>
    </row>
    <row r="126">
      <c r="A126" t="str">
        <v>VOLUME PEKERJAAN SLOOF</v>
      </c>
    </row>
    <row r="127">
      <c r="A127" t="str">
        <v>NO</v>
      </c>
      <c r="B127" t="str">
        <v>URAIAN PEKERJAAN</v>
      </c>
      <c r="C127" t="str">
        <v>SAT</v>
      </c>
      <c r="D127" t="str">
        <v>RUMAH</v>
      </c>
      <c r="E127" t="str">
        <v>B.SP.D</v>
      </c>
      <c r="F127" t="str">
        <v>B.SP.B</v>
      </c>
      <c r="G127" t="str">
        <v>B.BLK</v>
      </c>
    </row>
    <row r="129">
      <c r="A129">
        <v>1</v>
      </c>
      <c r="B129" t="str">
        <v>UKURAN</v>
      </c>
    </row>
    <row r="130">
      <c r="B130" t="str">
        <v>Lebar</v>
      </c>
      <c r="C130" t="str">
        <v>m</v>
      </c>
      <c r="D130">
        <v>0.15</v>
      </c>
      <c r="E130">
        <v>0.15</v>
      </c>
      <c r="F130">
        <v>0.15</v>
      </c>
      <c r="G130">
        <v>0.15</v>
      </c>
    </row>
    <row r="131">
      <c r="B131" t="str">
        <v>Tebal</v>
      </c>
      <c r="C131" t="str">
        <v>m</v>
      </c>
      <c r="D131">
        <v>0.2</v>
      </c>
      <c r="E131">
        <v>0.2</v>
      </c>
      <c r="F131">
        <v>0.2</v>
      </c>
      <c r="G131">
        <v>0.2</v>
      </c>
    </row>
    <row r="132">
      <c r="B132" t="str">
        <v>Panjang</v>
      </c>
      <c r="C132" t="str">
        <v>m'</v>
      </c>
      <c r="D132">
        <f>'B-QTY'!D72</f>
        <v>99.10000000000001</v>
      </c>
      <c r="E132">
        <f>'B-QTY'!E72</f>
        <v>8.15</v>
      </c>
      <c r="F132">
        <f>'B-QTY'!F72</f>
        <v>0</v>
      </c>
      <c r="G132">
        <f>'B-QTY'!G72</f>
        <v>5</v>
      </c>
    </row>
    <row r="133">
      <c r="B133" t="str">
        <v xml:space="preserve">Banyaknya </v>
      </c>
      <c r="C133" t="str">
        <v>bh</v>
      </c>
      <c r="D133">
        <v>1</v>
      </c>
      <c r="E133">
        <v>1</v>
      </c>
      <c r="F133">
        <v>1</v>
      </c>
      <c r="G133">
        <v>1</v>
      </c>
    </row>
    <row r="135">
      <c r="A135">
        <v>2</v>
      </c>
      <c r="B135" t="str">
        <v>TULANGAN MENERUS</v>
      </c>
    </row>
    <row r="136">
      <c r="B136" t="str">
        <v>Diameter</v>
      </c>
      <c r="C136" t="str">
        <v>mm</v>
      </c>
      <c r="D136">
        <v>10</v>
      </c>
      <c r="E136">
        <v>10</v>
      </c>
      <c r="F136">
        <v>10</v>
      </c>
      <c r="G136">
        <v>10</v>
      </c>
    </row>
    <row r="137">
      <c r="B137" t="str">
        <v>Berat</v>
      </c>
      <c r="C137" t="str">
        <v>kg/m</v>
      </c>
      <c r="D137">
        <f>VLOOKUP(D136,$C$113:$D$123,2)</f>
        <v>0.62</v>
      </c>
      <c r="E137">
        <f>VLOOKUP(E136,$C$113:$D$123,2)</f>
        <v>0.62</v>
      </c>
      <c r="F137">
        <f>VLOOKUP(F136,$C$113:$D$123,2)</f>
        <v>0.62</v>
      </c>
      <c r="G137">
        <f>VLOOKUP(G136,$C$113:$D$123,2)</f>
        <v>0.62</v>
      </c>
    </row>
    <row r="138">
      <c r="B138" t="str">
        <v>Sambungan</v>
      </c>
      <c r="C138" t="str">
        <v>%</v>
      </c>
      <c r="D138">
        <v>0.05</v>
      </c>
      <c r="E138">
        <v>0.05</v>
      </c>
      <c r="F138">
        <v>0.05</v>
      </c>
      <c r="G138">
        <v>0.05</v>
      </c>
    </row>
    <row r="139">
      <c r="B139" t="str">
        <v>Panjang tulangan</v>
      </c>
      <c r="C139" t="str">
        <v>m</v>
      </c>
      <c r="D139">
        <f>(D132*D138)+D132</f>
        <v>104.055</v>
      </c>
      <c r="E139">
        <f>(E132*E138)+E132</f>
        <v>8.557500000000001</v>
      </c>
      <c r="F139">
        <f>(F132*F138)+F132</f>
        <v>0</v>
      </c>
      <c r="G139">
        <f>(G132*G138)+G132</f>
        <v>5.25</v>
      </c>
    </row>
    <row r="140">
      <c r="B140" t="str">
        <v xml:space="preserve">Jumlah tulangan </v>
      </c>
      <c r="C140" t="str">
        <v>bh</v>
      </c>
      <c r="D140">
        <v>4</v>
      </c>
      <c r="E140">
        <v>4</v>
      </c>
      <c r="F140">
        <v>4</v>
      </c>
      <c r="G140">
        <v>4</v>
      </c>
    </row>
    <row r="141">
      <c r="B141" t="str">
        <v>Jumlah berat</v>
      </c>
      <c r="C141" t="str">
        <v>kg</v>
      </c>
      <c r="D141">
        <f>D133*D137*D139*D140</f>
        <v>258.0564</v>
      </c>
      <c r="E141">
        <f>E133*E137*E139*E140</f>
        <v>21.222600000000003</v>
      </c>
      <c r="F141">
        <f>F133*F137*F139*F140</f>
        <v>0</v>
      </c>
      <c r="G141">
        <f>G133*G137*G139*G140</f>
        <v>13.02</v>
      </c>
    </row>
    <row r="142">
      <c r="B142" t="str">
        <v>Jumlah batang</v>
      </c>
      <c r="C142" t="str">
        <v>bt</v>
      </c>
      <c r="D142">
        <f>D141/(D137*12)</f>
        <v>34.685</v>
      </c>
      <c r="E142">
        <f>E141/(E137*12)</f>
        <v>2.8525000000000005</v>
      </c>
      <c r="F142">
        <f>F141/(F137*12)</f>
        <v>0</v>
      </c>
      <c r="G142">
        <f>G141/(G137*12)</f>
        <v>1.75</v>
      </c>
    </row>
    <row r="144">
      <c r="A144">
        <v>3</v>
      </c>
      <c r="B144" t="str">
        <v>TULANGAN TUMPUAN</v>
      </c>
    </row>
    <row r="145">
      <c r="B145" t="str">
        <v>Diameter</v>
      </c>
      <c r="C145" t="str">
        <v>mm</v>
      </c>
      <c r="D145">
        <v>10</v>
      </c>
      <c r="E145">
        <v>10</v>
      </c>
      <c r="F145">
        <v>10</v>
      </c>
      <c r="G145">
        <v>10</v>
      </c>
    </row>
    <row r="146">
      <c r="B146" t="str">
        <v>Berat</v>
      </c>
      <c r="C146" t="str">
        <v>kg/m</v>
      </c>
      <c r="D146">
        <f>VLOOKUP(D145,$C$113:$D$123,2)</f>
        <v>0.62</v>
      </c>
      <c r="E146">
        <f>VLOOKUP(E145,$C$113:$D$123,2)</f>
        <v>0.62</v>
      </c>
      <c r="F146">
        <f>VLOOKUP(F145,$C$113:$D$123,2)</f>
        <v>0.62</v>
      </c>
      <c r="G146">
        <f>VLOOKUP(G145,$C$113:$D$123,2)</f>
        <v>0.62</v>
      </c>
    </row>
    <row r="147">
      <c r="B147" t="str">
        <v>Sambungan</v>
      </c>
      <c r="C147" t="str">
        <v>%</v>
      </c>
      <c r="D147">
        <v>0.05</v>
      </c>
      <c r="E147">
        <v>0.05</v>
      </c>
      <c r="F147">
        <v>0.05</v>
      </c>
      <c r="G147">
        <v>0.05</v>
      </c>
    </row>
    <row r="148">
      <c r="B148" t="str">
        <v>Panjang tulangan</v>
      </c>
      <c r="C148" t="str">
        <v>m</v>
      </c>
      <c r="D148">
        <f>((D131+(D132*0.25))*D147)+((D131+(D132*0.25)))</f>
        <v>26.223750000000003</v>
      </c>
      <c r="E148">
        <f>((E131+(E132*0.25))*E147)+((E131+(E132*0.25)))</f>
        <v>2.349375</v>
      </c>
      <c r="F148">
        <f>((F131+(F132*0.25))*F147)+((F131+(F132*0.25)))</f>
        <v>0.21000000000000002</v>
      </c>
      <c r="G148">
        <f>((G131+(G132*0.25))*G147)+((G131+(G132*0.25)))</f>
        <v>1.5225</v>
      </c>
    </row>
    <row r="149">
      <c r="B149" t="str">
        <v xml:space="preserve">Jumlah tulangan </v>
      </c>
      <c r="C149" t="str">
        <v>bh</v>
      </c>
    </row>
    <row r="150">
      <c r="B150" t="str">
        <v>Jumlah berat</v>
      </c>
      <c r="C150" t="str">
        <v>kg</v>
      </c>
      <c r="D150">
        <f>D133*D146*D148*D149</f>
        <v>0</v>
      </c>
      <c r="E150">
        <f>E133*E146*E148*E149</f>
        <v>0</v>
      </c>
      <c r="F150">
        <f>F133*F146*F148*F149</f>
        <v>0</v>
      </c>
      <c r="G150">
        <f>G133*G146*G148*G149</f>
        <v>0</v>
      </c>
    </row>
    <row r="151">
      <c r="B151" t="str">
        <v>Jumlah batang</v>
      </c>
      <c r="C151" t="str">
        <v>bt</v>
      </c>
      <c r="D151">
        <f>D150/(D146*12)</f>
        <v>0</v>
      </c>
      <c r="E151">
        <f>E150/(E146*12)</f>
        <v>0</v>
      </c>
      <c r="F151">
        <f>F150/(F146*12)</f>
        <v>0</v>
      </c>
      <c r="G151">
        <f>G150/(G146*12)</f>
        <v>0</v>
      </c>
    </row>
    <row r="153">
      <c r="A153">
        <v>4</v>
      </c>
      <c r="B153" t="str">
        <v>TULANGAN LAPANGAN</v>
      </c>
    </row>
    <row r="154">
      <c r="B154" t="str">
        <v>Diameter</v>
      </c>
      <c r="C154" t="str">
        <v>mm</v>
      </c>
      <c r="D154">
        <v>10</v>
      </c>
      <c r="E154">
        <v>10</v>
      </c>
      <c r="F154">
        <v>10</v>
      </c>
      <c r="G154">
        <v>10</v>
      </c>
    </row>
    <row r="155">
      <c r="B155" t="str">
        <v>Berat</v>
      </c>
      <c r="C155" t="str">
        <v>kg/m</v>
      </c>
      <c r="D155">
        <f>VLOOKUP(D154,$C$113:$D$123,2)</f>
        <v>0.62</v>
      </c>
      <c r="E155">
        <f>VLOOKUP(E154,$C$113:$D$123,2)</f>
        <v>0.62</v>
      </c>
      <c r="F155">
        <f>VLOOKUP(F154,$C$113:$D$123,2)</f>
        <v>0.62</v>
      </c>
      <c r="G155">
        <f>VLOOKUP(G154,$C$113:$D$123,2)</f>
        <v>0.62</v>
      </c>
    </row>
    <row r="156">
      <c r="B156" t="str">
        <v>Sambungan</v>
      </c>
      <c r="C156" t="str">
        <v>%</v>
      </c>
      <c r="D156">
        <v>0.05</v>
      </c>
      <c r="E156">
        <v>0.05</v>
      </c>
      <c r="F156">
        <v>0.05</v>
      </c>
      <c r="G156">
        <v>0.05</v>
      </c>
    </row>
    <row r="157">
      <c r="B157" t="str">
        <v>Panjang tulangan</v>
      </c>
      <c r="C157" t="str">
        <v>m</v>
      </c>
      <c r="D157">
        <f>((D132*0.6*D156)+(D132*0.6))</f>
        <v>62.433</v>
      </c>
      <c r="E157">
        <f>((E132*0.6*E156)+(E132*0.6))</f>
        <v>5.1345</v>
      </c>
      <c r="F157">
        <f>((F132*0.6*F156)+(F132*0.6))</f>
        <v>0</v>
      </c>
      <c r="G157">
        <f>((G132*0.6*G156)+(G132*0.6))</f>
        <v>3.15</v>
      </c>
    </row>
    <row r="158">
      <c r="B158" t="str">
        <v xml:space="preserve">Jumlah tulangan </v>
      </c>
      <c r="C158" t="str">
        <v>bh</v>
      </c>
    </row>
    <row r="159">
      <c r="B159" t="str">
        <v>Jumlah berat</v>
      </c>
      <c r="C159" t="str">
        <v>kg</v>
      </c>
      <c r="D159">
        <f>D133*D155*D157*D158</f>
        <v>0</v>
      </c>
      <c r="E159">
        <f>E133*E155*E157*E158</f>
        <v>0</v>
      </c>
      <c r="F159">
        <f>F133*F155*F157*F158</f>
        <v>0</v>
      </c>
      <c r="G159">
        <f>G133*G155*G157*G158</f>
        <v>0</v>
      </c>
    </row>
    <row r="160">
      <c r="B160" t="str">
        <v>Jumlah batang</v>
      </c>
      <c r="C160" t="str">
        <v>bt</v>
      </c>
      <c r="D160">
        <f>D159/(D155*12)</f>
        <v>0</v>
      </c>
      <c r="E160">
        <f>E159/(E155*12)</f>
        <v>0</v>
      </c>
      <c r="F160">
        <f>F159/(F155*12)</f>
        <v>0</v>
      </c>
      <c r="G160">
        <f>G159/(G155*12)</f>
        <v>0</v>
      </c>
    </row>
    <row r="162">
      <c r="A162">
        <v>6</v>
      </c>
      <c r="B162" t="str">
        <v>TULANGAN SENGKANG</v>
      </c>
    </row>
    <row r="163">
      <c r="B163" t="str">
        <v>Diameter</v>
      </c>
      <c r="C163" t="str">
        <v>mm</v>
      </c>
      <c r="D163">
        <v>8</v>
      </c>
      <c r="E163">
        <v>8</v>
      </c>
      <c r="F163">
        <v>8</v>
      </c>
      <c r="G163">
        <v>8</v>
      </c>
    </row>
    <row r="164">
      <c r="B164" t="str">
        <v>Berat</v>
      </c>
      <c r="C164" t="str">
        <v>kg/m</v>
      </c>
      <c r="D164">
        <f>VLOOKUP(D163,$C$113:$D$123,2)</f>
        <v>0.393</v>
      </c>
      <c r="E164">
        <f>VLOOKUP(E163,$C$113:$D$123,2)</f>
        <v>0.393</v>
      </c>
      <c r="F164">
        <f>VLOOKUP(F163,$C$113:$D$123,2)</f>
        <v>0.393</v>
      </c>
      <c r="G164">
        <f>VLOOKUP(G163,$C$113:$D$123,2)</f>
        <v>0.393</v>
      </c>
    </row>
    <row r="165">
      <c r="B165" t="str">
        <v>Sambungan</v>
      </c>
      <c r="C165" t="str">
        <v>%</v>
      </c>
      <c r="D165">
        <v>0.05</v>
      </c>
      <c r="E165">
        <v>0.05</v>
      </c>
      <c r="F165">
        <v>0.05</v>
      </c>
      <c r="G165">
        <v>0.05</v>
      </c>
    </row>
    <row r="166">
      <c r="B166" t="str">
        <v>Jarak sengkang</v>
      </c>
      <c r="C166" t="str">
        <v>m</v>
      </c>
      <c r="D166">
        <v>0.15</v>
      </c>
      <c r="E166">
        <v>0.15</v>
      </c>
      <c r="F166">
        <v>0.15</v>
      </c>
      <c r="G166">
        <v>0.15</v>
      </c>
    </row>
    <row r="167">
      <c r="B167" t="str">
        <v>Panjang sengkang</v>
      </c>
      <c r="C167" t="str">
        <v>m'</v>
      </c>
      <c r="D167">
        <f>(((D130+D131)*2)*D165)+((D130+D131)*2)</f>
        <v>0.735</v>
      </c>
      <c r="E167">
        <f>(((E130+E131)*2)*E165)+((E130+E131)*2)</f>
        <v>0.735</v>
      </c>
      <c r="F167">
        <f>(((F130+F131)*2)*F165)+((F130+F131)*2)</f>
        <v>0.735</v>
      </c>
      <c r="G167">
        <f>(((G130+G131)*2)*G165)+((G130+G131)*2)</f>
        <v>0.735</v>
      </c>
    </row>
    <row r="168">
      <c r="B168" t="str">
        <v>Jumlah sengkang</v>
      </c>
      <c r="C168" t="str">
        <v>bh</v>
      </c>
      <c r="D168">
        <f>INT((D132/D166)+1)</f>
        <v>661</v>
      </c>
      <c r="E168">
        <f>INT((E132/E166)+1)</f>
        <v>55</v>
      </c>
      <c r="F168">
        <f>INT((F132/F166)+1)</f>
        <v>1</v>
      </c>
      <c r="G168">
        <f>INT((G132/G166)+1)</f>
        <v>34</v>
      </c>
    </row>
    <row r="169">
      <c r="B169" t="str">
        <v>Jumlah berat</v>
      </c>
      <c r="C169" t="str">
        <v>kg</v>
      </c>
      <c r="D169">
        <f>D133*D164*D167*D168</f>
        <v>190.93315500000003</v>
      </c>
      <c r="E169">
        <f>E133*E164*E167*E168</f>
        <v>15.887025000000001</v>
      </c>
      <c r="F169">
        <f>F133*F164*F167*F168</f>
        <v>0.28885500000000003</v>
      </c>
      <c r="G169">
        <f>G133*G164*G167*G168</f>
        <v>9.82107</v>
      </c>
    </row>
    <row r="170">
      <c r="B170" t="str">
        <v>Jumlah batang</v>
      </c>
      <c r="C170" t="str">
        <v>bt</v>
      </c>
      <c r="D170">
        <f>D169/(D164*12)</f>
        <v>40.486250000000005</v>
      </c>
      <c r="E170">
        <f>E169/(E164*12)</f>
        <v>3.3687500000000004</v>
      </c>
      <c r="F170">
        <f>F169/(F164*12)</f>
        <v>0.061250000000000006</v>
      </c>
      <c r="G170">
        <f>G169/(G164*12)</f>
        <v>2.0825</v>
      </c>
    </row>
    <row r="172">
      <c r="A172">
        <v>7</v>
      </c>
      <c r="B172" t="str">
        <v>JUMLAH VOLUME</v>
      </c>
      <c r="D172" t="str">
        <f>D127</f>
        <v>RUMAH</v>
      </c>
      <c r="E172" t="str">
        <f>E127</f>
        <v>B.SP.D</v>
      </c>
      <c r="F172" t="str">
        <f>F127</f>
        <v>B.SP.B</v>
      </c>
      <c r="G172" t="str">
        <f>G127</f>
        <v>B.BLK</v>
      </c>
    </row>
    <row r="173">
      <c r="B173" t="str">
        <v>Begisting</v>
      </c>
      <c r="C173" t="str">
        <v>m2</v>
      </c>
      <c r="D173">
        <f>(D131*2)*D132*D133</f>
        <v>39.64000000000001</v>
      </c>
      <c r="E173">
        <f>(E131*2)*E132*E133</f>
        <v>3.2600000000000002</v>
      </c>
      <c r="F173">
        <f>(F131*2)*F132*F133</f>
        <v>0</v>
      </c>
      <c r="G173">
        <f>(G131*2)*G132*G133</f>
        <v>2</v>
      </c>
    </row>
    <row r="174">
      <c r="B174" t="str">
        <v>Tulangan</v>
      </c>
      <c r="C174" t="str">
        <v>kg</v>
      </c>
      <c r="D174">
        <f>D141+D150+D159+D169</f>
        <v>448.989555</v>
      </c>
      <c r="E174">
        <f>E141+E150+E159+E169</f>
        <v>37.10962500000001</v>
      </c>
      <c r="F174">
        <f>F141+F150+F159+F169</f>
        <v>0.28885500000000003</v>
      </c>
      <c r="G174">
        <f>G141+G150+G159+G169</f>
        <v>22.841070000000002</v>
      </c>
    </row>
    <row r="175">
      <c r="B175" t="str">
        <v>Cor beton</v>
      </c>
      <c r="C175" t="str">
        <v>m3</v>
      </c>
      <c r="D175">
        <f>D130*D131*D132*D133</f>
        <v>2.9730000000000003</v>
      </c>
      <c r="E175">
        <f>E130*E131*E132*E133</f>
        <v>0.2445</v>
      </c>
      <c r="F175">
        <f>F130*F131*F132*F133</f>
        <v>0</v>
      </c>
      <c r="G175">
        <f>G130*G131*G132*G133</f>
        <v>0.15</v>
      </c>
    </row>
    <row r="179">
      <c r="A179" t="str">
        <v>VOLUME PEKERJAAN KOLOM</v>
      </c>
    </row>
    <row r="180">
      <c r="A180" t="str">
        <v>NO</v>
      </c>
      <c r="C180" t="str">
        <v>SAT</v>
      </c>
      <c r="D180" t="str">
        <v>RUMAH</v>
      </c>
      <c r="E180" t="str">
        <v>B.SP.D</v>
      </c>
      <c r="F180" t="str">
        <v>B.SP.B</v>
      </c>
      <c r="G180" t="str">
        <v>B.BLK</v>
      </c>
    </row>
    <row r="182">
      <c r="A182">
        <v>1</v>
      </c>
      <c r="B182" t="str">
        <v>UKURAN</v>
      </c>
    </row>
    <row r="183">
      <c r="B183" t="str">
        <v>Lebar</v>
      </c>
      <c r="C183" t="str">
        <v>m</v>
      </c>
      <c r="D183">
        <v>0.11</v>
      </c>
      <c r="E183">
        <v>0.11</v>
      </c>
      <c r="F183">
        <v>0.11</v>
      </c>
      <c r="G183">
        <v>0.11</v>
      </c>
    </row>
    <row r="184">
      <c r="B184" t="str">
        <v>Panjang</v>
      </c>
      <c r="C184" t="str">
        <v>m</v>
      </c>
      <c r="D184">
        <v>0.11</v>
      </c>
      <c r="E184">
        <v>0.11</v>
      </c>
      <c r="F184">
        <v>0.11</v>
      </c>
      <c r="G184">
        <v>0.11</v>
      </c>
    </row>
    <row r="185">
      <c r="B185" t="str">
        <v>Tinggi</v>
      </c>
      <c r="C185" t="str">
        <v>m'</v>
      </c>
      <c r="D185">
        <v>3</v>
      </c>
      <c r="E185">
        <v>1.5</v>
      </c>
      <c r="F185">
        <v>2.5</v>
      </c>
      <c r="G185">
        <v>2.5</v>
      </c>
    </row>
    <row r="186">
      <c r="B186" t="str">
        <v>Banyaknya</v>
      </c>
      <c r="C186" t="str">
        <v>bh</v>
      </c>
      <c r="D186">
        <v>39</v>
      </c>
      <c r="E186">
        <v>4</v>
      </c>
    </row>
    <row r="188">
      <c r="A188">
        <v>2</v>
      </c>
      <c r="B188" t="str">
        <v>TULANGAN UTAMA</v>
      </c>
    </row>
    <row r="189">
      <c r="B189" t="str">
        <v>Diameter</v>
      </c>
      <c r="C189" t="str">
        <v>mm</v>
      </c>
      <c r="D189">
        <v>8</v>
      </c>
      <c r="E189">
        <v>8</v>
      </c>
      <c r="F189">
        <v>8</v>
      </c>
      <c r="G189">
        <v>8</v>
      </c>
    </row>
    <row r="190">
      <c r="B190" t="str">
        <v>Berat</v>
      </c>
      <c r="C190" t="str">
        <v>kg/m'</v>
      </c>
      <c r="D190">
        <f>VLOOKUP(D189,$C$113:$D$123,2)</f>
        <v>0.393</v>
      </c>
      <c r="E190">
        <f>VLOOKUP(E189,$C$113:$D$123,2)</f>
        <v>0.393</v>
      </c>
      <c r="F190">
        <f>VLOOKUP(F189,$C$113:$D$123,2)</f>
        <v>0.393</v>
      </c>
      <c r="G190">
        <f>VLOOKUP(G189,$C$113:$D$123,2)</f>
        <v>0.393</v>
      </c>
    </row>
    <row r="191">
      <c r="B191" t="str">
        <v>Tiggi ring balk</v>
      </c>
      <c r="C191" t="str">
        <v>m</v>
      </c>
      <c r="D191">
        <v>0.11</v>
      </c>
      <c r="E191">
        <v>0.11</v>
      </c>
      <c r="F191">
        <v>0.11</v>
      </c>
      <c r="G191">
        <v>0.11</v>
      </c>
    </row>
    <row r="192">
      <c r="B192" t="str">
        <v>Panjang stek 40 d</v>
      </c>
      <c r="C192" t="str">
        <v>m'</v>
      </c>
      <c r="D192">
        <f>D189*0.04</f>
        <v>0.32</v>
      </c>
      <c r="E192">
        <f>E189*0.04</f>
        <v>0.32</v>
      </c>
      <c r="F192">
        <f>F189*0.04</f>
        <v>0.32</v>
      </c>
      <c r="G192">
        <f>G189*0.04</f>
        <v>0.32</v>
      </c>
    </row>
    <row r="193">
      <c r="B193" t="str">
        <v>Sambungan</v>
      </c>
      <c r="C193" t="str">
        <v>%</v>
      </c>
      <c r="D193">
        <v>0.05</v>
      </c>
      <c r="E193">
        <v>0.05</v>
      </c>
      <c r="F193">
        <v>0.05</v>
      </c>
      <c r="G193">
        <v>0.05</v>
      </c>
    </row>
    <row r="194">
      <c r="B194" t="str">
        <v>Panjang tulangan</v>
      </c>
      <c r="C194" t="str">
        <v>m'</v>
      </c>
      <c r="D194">
        <f>((D185+D191+D192)*D193)+(D185+D191+D192)</f>
        <v>3.6014999999999997</v>
      </c>
      <c r="E194">
        <f>((E185+E191+E192)*E193)+(E185+E191+E192)</f>
        <v>2.0265</v>
      </c>
      <c r="F194">
        <f>((F185+F191+F192)*F193)+(F185+F191+F192)</f>
        <v>3.0765</v>
      </c>
      <c r="G194">
        <f>((G185+G191+G192)*G193)+(G185+G191+G192)</f>
        <v>3.0765</v>
      </c>
    </row>
    <row r="195">
      <c r="B195" t="str">
        <v xml:space="preserve">Jumlah tulangan </v>
      </c>
      <c r="C195" t="str">
        <v>bh</v>
      </c>
      <c r="D195">
        <v>4</v>
      </c>
      <c r="E195">
        <v>4</v>
      </c>
      <c r="F195">
        <v>4</v>
      </c>
      <c r="G195">
        <v>4</v>
      </c>
    </row>
    <row r="196">
      <c r="B196" t="str">
        <v>Jumlah berat</v>
      </c>
      <c r="C196" t="str">
        <v>kg</v>
      </c>
      <c r="D196">
        <f>D186*D190*D194*D195</f>
        <v>220.800762</v>
      </c>
      <c r="E196">
        <f>E186*E190*E194*E195</f>
        <v>12.742632</v>
      </c>
      <c r="F196">
        <f>F186*F190*F194*F195</f>
        <v>0</v>
      </c>
      <c r="G196">
        <f>G186*G190*G194*G195</f>
        <v>0</v>
      </c>
    </row>
    <row r="197">
      <c r="B197" t="str">
        <v>Jumlah batang</v>
      </c>
      <c r="C197" t="str">
        <v>bt</v>
      </c>
      <c r="D197">
        <f>D196/(D190*12)</f>
        <v>46.8195</v>
      </c>
      <c r="E197">
        <f>E196/(E190*12)</f>
        <v>2.702</v>
      </c>
      <c r="F197">
        <f>F196/(F190*12)</f>
        <v>0</v>
      </c>
      <c r="G197">
        <f>G196/(G190*12)</f>
        <v>0</v>
      </c>
    </row>
    <row r="199">
      <c r="A199">
        <v>3</v>
      </c>
      <c r="B199" t="str">
        <v>TULANGAN SENGKANG</v>
      </c>
    </row>
    <row r="200">
      <c r="B200" t="str">
        <v>Diameter</v>
      </c>
      <c r="C200" t="str">
        <v>mm</v>
      </c>
      <c r="D200">
        <v>8</v>
      </c>
      <c r="E200">
        <v>8</v>
      </c>
      <c r="F200">
        <v>8</v>
      </c>
      <c r="G200">
        <v>8</v>
      </c>
    </row>
    <row r="201">
      <c r="B201" t="str">
        <v>Berat</v>
      </c>
      <c r="C201" t="str">
        <v>kg/m'</v>
      </c>
      <c r="D201">
        <f>VLOOKUP(D200,$C$113:$D$123,2)</f>
        <v>0.393</v>
      </c>
      <c r="E201">
        <f>VLOOKUP(E200,$C$113:$D$123,2)</f>
        <v>0.393</v>
      </c>
      <c r="F201">
        <f>VLOOKUP(F200,$C$113:$D$123,2)</f>
        <v>0.393</v>
      </c>
      <c r="G201">
        <f>VLOOKUP(G200,$C$113:$D$123,2)</f>
        <v>0.393</v>
      </c>
    </row>
    <row r="202">
      <c r="B202" t="str">
        <v>Sambungan</v>
      </c>
      <c r="C202" t="str">
        <v>%</v>
      </c>
      <c r="D202">
        <v>0.05</v>
      </c>
      <c r="E202">
        <v>0.05</v>
      </c>
      <c r="F202">
        <v>0.05</v>
      </c>
      <c r="G202">
        <v>0.05</v>
      </c>
    </row>
    <row r="203">
      <c r="B203" t="str">
        <v>Jarak sengkang</v>
      </c>
      <c r="C203" t="str">
        <v>m</v>
      </c>
      <c r="D203">
        <v>0.15</v>
      </c>
      <c r="E203">
        <v>0.15</v>
      </c>
      <c r="F203">
        <v>0.15</v>
      </c>
      <c r="G203">
        <v>0.15</v>
      </c>
    </row>
    <row r="204">
      <c r="B204" t="str">
        <v>Panjang sengkang</v>
      </c>
      <c r="C204" t="str">
        <v>m'</v>
      </c>
      <c r="D204">
        <f>((D183+D184)*2)*D202+(D183+D184)*2</f>
        <v>0.462</v>
      </c>
      <c r="E204">
        <f>((E183+E184)*2)*E202+(E183+E184)*2</f>
        <v>0.462</v>
      </c>
      <c r="F204">
        <f>((F183+F184)*2)*F202+(F183+F184)*2</f>
        <v>0.462</v>
      </c>
      <c r="G204">
        <f>((G183+G184)*2)*G202+(G183+G184)*2</f>
        <v>0.462</v>
      </c>
    </row>
    <row r="205">
      <c r="B205" t="str">
        <v>Jumlah sengkang</v>
      </c>
      <c r="C205" t="str">
        <v>bh</v>
      </c>
      <c r="D205">
        <f>INT((D185/D203)+1)</f>
        <v>21</v>
      </c>
      <c r="E205">
        <f>INT((E185/E203)+1)</f>
        <v>11</v>
      </c>
      <c r="F205">
        <f>INT((F185/F203)+1)</f>
        <v>17</v>
      </c>
      <c r="G205">
        <f>INT((G185/G203)+1)</f>
        <v>17</v>
      </c>
    </row>
    <row r="206">
      <c r="B206" t="str">
        <v>Jumlah berat</v>
      </c>
      <c r="C206" t="str">
        <v>kg</v>
      </c>
      <c r="D206">
        <f>D186*D201*D204*D205</f>
        <v>148.702554</v>
      </c>
      <c r="E206">
        <f>E186*E201*E204*E205</f>
        <v>7.988904</v>
      </c>
      <c r="F206">
        <f>F186*F201*F204*F205</f>
        <v>0</v>
      </c>
      <c r="G206">
        <f>G186*G201*G204*G205</f>
        <v>0</v>
      </c>
    </row>
    <row r="207">
      <c r="B207" t="str">
        <v>Jumlah batang</v>
      </c>
      <c r="C207" t="str">
        <v>bt</v>
      </c>
      <c r="D207">
        <f>D206/(D201*12)</f>
        <v>31.531499999999998</v>
      </c>
      <c r="E207">
        <f>E206/(E201*12)</f>
        <v>1.694</v>
      </c>
      <c r="F207">
        <f>F206/(F201*12)</f>
        <v>0</v>
      </c>
      <c r="G207">
        <f>G206/(G201*12)</f>
        <v>0</v>
      </c>
    </row>
    <row r="209">
      <c r="A209">
        <v>4</v>
      </c>
      <c r="B209" t="str">
        <v>JUMLAH VOLUME</v>
      </c>
      <c r="D209" t="str">
        <f>D180</f>
        <v>RUMAH</v>
      </c>
      <c r="E209" t="str">
        <f>E180</f>
        <v>B.SP.D</v>
      </c>
      <c r="F209" t="str">
        <f>F180</f>
        <v>B.SP.B</v>
      </c>
      <c r="G209" t="str">
        <f>G180</f>
        <v>B.BLK</v>
      </c>
    </row>
    <row r="210">
      <c r="B210" t="str">
        <v>Begisting</v>
      </c>
      <c r="C210" t="str">
        <v>m2</v>
      </c>
      <c r="D210">
        <f>(((D183+D184))*D185)*D186</f>
        <v>25.740000000000002</v>
      </c>
      <c r="E210">
        <f>(((E183+E184))*E185)*E186</f>
        <v>1.32</v>
      </c>
      <c r="F210">
        <f>(((F183+F184))*F185)*F186</f>
        <v>0</v>
      </c>
      <c r="G210">
        <f>(((G183+G184))*G185)*G186</f>
        <v>0</v>
      </c>
      <c r="L210">
        <f>SUM(D210:G210)</f>
        <v>27.060000000000002</v>
      </c>
    </row>
    <row r="211">
      <c r="B211" t="str">
        <v>Tulangan</v>
      </c>
      <c r="C211" t="str">
        <v>kg</v>
      </c>
      <c r="D211">
        <f>D196+D206</f>
        <v>369.503316</v>
      </c>
      <c r="E211">
        <f>E196+E206</f>
        <v>20.731536</v>
      </c>
      <c r="F211">
        <f>F196+F206</f>
        <v>0</v>
      </c>
      <c r="G211">
        <f>G196+G206</f>
        <v>0</v>
      </c>
      <c r="L211">
        <f>SUM(D211:G211)</f>
        <v>390.234852</v>
      </c>
    </row>
    <row r="212">
      <c r="B212" t="str">
        <v>Cor beton</v>
      </c>
      <c r="C212" t="str">
        <v>m3</v>
      </c>
      <c r="D212">
        <f>(D183*D184*D185)*D186</f>
        <v>1.4157</v>
      </c>
      <c r="E212">
        <f>(E183*E184*E185)*E186</f>
        <v>0.0726</v>
      </c>
      <c r="F212">
        <f>(F183*F184*F185)*F186</f>
        <v>0</v>
      </c>
      <c r="G212">
        <f>(G183*G184*G185)*G186</f>
        <v>0</v>
      </c>
      <c r="L212">
        <f>SUM(D212:G212)</f>
        <v>1.4883</v>
      </c>
    </row>
    <row r="216">
      <c r="A216" t="str">
        <v>VOLUME PEKERJAAN RINGBALK</v>
      </c>
    </row>
    <row r="217">
      <c r="A217" t="str">
        <v>NO</v>
      </c>
      <c r="B217" t="str">
        <v>URAIAN PEKERJAAN</v>
      </c>
      <c r="C217" t="str">
        <v>SAT</v>
      </c>
      <c r="D217" t="str">
        <v>RUMAH</v>
      </c>
      <c r="E217" t="str">
        <v>AMPIQ</v>
      </c>
      <c r="F217" t="str">
        <v>B.SP.D</v>
      </c>
      <c r="G217" t="str">
        <v>B.SP.B</v>
      </c>
      <c r="H217" t="str">
        <v>B.BLK</v>
      </c>
    </row>
    <row r="219">
      <c r="A219">
        <v>1</v>
      </c>
      <c r="B219" t="str">
        <v>UKURAN</v>
      </c>
    </row>
    <row r="220">
      <c r="B220" t="str">
        <v>Lebar</v>
      </c>
      <c r="C220" t="str">
        <v>m</v>
      </c>
      <c r="D220">
        <v>0.15</v>
      </c>
      <c r="E220">
        <v>0.15</v>
      </c>
      <c r="F220">
        <v>0.15</v>
      </c>
      <c r="G220">
        <v>0.15</v>
      </c>
      <c r="H220">
        <v>0.15</v>
      </c>
    </row>
    <row r="221">
      <c r="B221" t="str">
        <v>Tebal</v>
      </c>
      <c r="C221" t="str">
        <v>m</v>
      </c>
      <c r="D221">
        <v>0.15</v>
      </c>
      <c r="E221">
        <v>0.15</v>
      </c>
      <c r="F221">
        <v>0.15</v>
      </c>
      <c r="G221">
        <v>0.15</v>
      </c>
      <c r="H221">
        <v>0.15</v>
      </c>
    </row>
    <row r="222">
      <c r="B222" t="str">
        <v>Panjang</v>
      </c>
      <c r="C222" t="str">
        <v>m'</v>
      </c>
      <c r="D222">
        <f>'B-QTY'!B60</f>
        <v>99.10000000000001</v>
      </c>
      <c r="E222">
        <f>(2*3)+(1.3*4)+(1*6)+(8*1)+(10*3)+(13.9*1)+(6.5*1)</f>
        <v>75.60000000000001</v>
      </c>
      <c r="F222">
        <f>'B-QTY'!J60</f>
        <v>8.15</v>
      </c>
      <c r="G222">
        <f>'B-QTY'!N60</f>
        <v>0</v>
      </c>
      <c r="H222">
        <f>'B-QTY'!R60</f>
        <v>5</v>
      </c>
    </row>
    <row r="223">
      <c r="B223" t="str">
        <v xml:space="preserve">Banyaknya </v>
      </c>
      <c r="C223" t="str">
        <v>bh</v>
      </c>
      <c r="D223">
        <v>1</v>
      </c>
      <c r="E223">
        <v>1</v>
      </c>
      <c r="F223">
        <v>1</v>
      </c>
      <c r="G223">
        <v>1</v>
      </c>
      <c r="H223">
        <v>1</v>
      </c>
    </row>
    <row r="225">
      <c r="A225">
        <v>2</v>
      </c>
      <c r="B225" t="str">
        <v>TULANGAN MENERUS</v>
      </c>
    </row>
    <row r="226">
      <c r="B226" t="str">
        <v>Diameter</v>
      </c>
      <c r="C226" t="str">
        <v>mm</v>
      </c>
      <c r="D226">
        <v>10</v>
      </c>
      <c r="E226">
        <v>10</v>
      </c>
      <c r="F226">
        <v>10</v>
      </c>
      <c r="G226">
        <v>10</v>
      </c>
      <c r="H226">
        <v>10</v>
      </c>
    </row>
    <row r="227">
      <c r="B227" t="str">
        <v>Berat</v>
      </c>
      <c r="C227" t="str">
        <v>kg/m</v>
      </c>
      <c r="D227">
        <f>VLOOKUP(D226,$C$113:$D$123,2)</f>
        <v>0.62</v>
      </c>
      <c r="E227">
        <f>VLOOKUP(E226,$C$113:$D$123,2)</f>
        <v>0.62</v>
      </c>
      <c r="F227">
        <f>VLOOKUP(F226,$C$113:$D$123,2)</f>
        <v>0.62</v>
      </c>
      <c r="G227">
        <f>VLOOKUP(G226,$C$113:$D$123,2)</f>
        <v>0.62</v>
      </c>
      <c r="H227">
        <f>VLOOKUP(H226,$C$113:$D$123,2)</f>
        <v>0.62</v>
      </c>
    </row>
    <row r="228">
      <c r="B228" t="str">
        <v>Sambungan</v>
      </c>
      <c r="C228" t="str">
        <v>%</v>
      </c>
      <c r="D228">
        <v>0.05</v>
      </c>
      <c r="E228">
        <v>0.05</v>
      </c>
      <c r="F228">
        <v>0.05</v>
      </c>
      <c r="G228">
        <v>0.05</v>
      </c>
      <c r="H228">
        <v>0.05</v>
      </c>
    </row>
    <row r="229">
      <c r="B229" t="str">
        <v>Panjang tulangan</v>
      </c>
      <c r="C229" t="str">
        <v>m</v>
      </c>
      <c r="D229">
        <f>(D222*D228)+D222</f>
        <v>104.055</v>
      </c>
      <c r="E229">
        <f>(E222*E228)+E222</f>
        <v>79.38000000000001</v>
      </c>
      <c r="F229">
        <f>(F222*F228)+F222</f>
        <v>8.557500000000001</v>
      </c>
      <c r="G229">
        <f>(G222*G228)+G222</f>
        <v>0</v>
      </c>
      <c r="H229">
        <f>(H222*H228)+H222</f>
        <v>5.25</v>
      </c>
    </row>
    <row r="230">
      <c r="B230" t="str">
        <v xml:space="preserve">Jumlah tulangan </v>
      </c>
      <c r="C230" t="str">
        <v>bh</v>
      </c>
      <c r="D230">
        <v>4</v>
      </c>
      <c r="E230">
        <v>4</v>
      </c>
      <c r="F230">
        <v>4</v>
      </c>
      <c r="G230">
        <v>4</v>
      </c>
      <c r="H230">
        <v>4</v>
      </c>
    </row>
    <row r="231">
      <c r="B231" t="str">
        <v>Jumlah berat</v>
      </c>
      <c r="C231" t="str">
        <v>kg</v>
      </c>
      <c r="D231">
        <f>D223*D227*D229*D230</f>
        <v>258.0564</v>
      </c>
      <c r="E231">
        <f>E223*E227*E229*E230</f>
        <v>196.86240000000004</v>
      </c>
      <c r="F231">
        <f>F223*F227*F229*F230</f>
        <v>21.222600000000003</v>
      </c>
      <c r="G231">
        <f>G223*G227*G229*G230</f>
        <v>0</v>
      </c>
      <c r="H231">
        <f>H223*H227*H229*H230</f>
        <v>13.02</v>
      </c>
    </row>
    <row r="232">
      <c r="B232" t="str">
        <v>Jumlah batang</v>
      </c>
      <c r="C232" t="str">
        <v>bt</v>
      </c>
      <c r="D232">
        <f>D231/(D227*12)</f>
        <v>34.685</v>
      </c>
      <c r="E232">
        <f>E231/(E227*12)</f>
        <v>26.460000000000008</v>
      </c>
      <c r="F232">
        <f>F231/(F227*12)</f>
        <v>2.8525000000000005</v>
      </c>
      <c r="G232">
        <f>G231/(G227*12)</f>
        <v>0</v>
      </c>
      <c r="H232">
        <f>H231/(H227*12)</f>
        <v>1.75</v>
      </c>
    </row>
    <row r="234">
      <c r="A234">
        <v>3</v>
      </c>
      <c r="B234" t="str">
        <v>TULANGAN TUMPUAN</v>
      </c>
    </row>
    <row r="235">
      <c r="B235" t="str">
        <v>Diameter</v>
      </c>
      <c r="C235" t="str">
        <v>mm</v>
      </c>
      <c r="D235">
        <v>10</v>
      </c>
      <c r="E235">
        <v>10</v>
      </c>
      <c r="F235">
        <v>10</v>
      </c>
      <c r="G235">
        <v>10</v>
      </c>
      <c r="H235">
        <v>10</v>
      </c>
    </row>
    <row r="236">
      <c r="B236" t="str">
        <v>Berat</v>
      </c>
      <c r="C236" t="str">
        <v>kg/m</v>
      </c>
      <c r="D236">
        <f>VLOOKUP(D235,$C$113:$D$123,2)</f>
        <v>0.62</v>
      </c>
      <c r="E236">
        <f>VLOOKUP(E235,$C$113:$D$123,2)</f>
        <v>0.62</v>
      </c>
      <c r="F236">
        <f>VLOOKUP(F235,$C$113:$D$123,2)</f>
        <v>0.62</v>
      </c>
      <c r="G236">
        <f>VLOOKUP(G235,$C$113:$D$123,2)</f>
        <v>0.62</v>
      </c>
      <c r="H236">
        <f>VLOOKUP(H235,$C$113:$D$123,2)</f>
        <v>0.62</v>
      </c>
    </row>
    <row r="237">
      <c r="B237" t="str">
        <v>Sambungan</v>
      </c>
      <c r="C237" t="str">
        <v>%</v>
      </c>
      <c r="D237">
        <v>0.05</v>
      </c>
      <c r="E237">
        <v>0.05</v>
      </c>
      <c r="F237">
        <v>0.05</v>
      </c>
      <c r="G237">
        <v>0.05</v>
      </c>
      <c r="H237">
        <v>0.05</v>
      </c>
    </row>
    <row r="238">
      <c r="B238" t="str">
        <v>Panjang tulangan</v>
      </c>
      <c r="C238" t="str">
        <v>m</v>
      </c>
      <c r="D238">
        <f>((D221+(D222*0.25))*D237)+((D221+(D222*0.25)))</f>
        <v>26.17125</v>
      </c>
      <c r="E238">
        <f>((E221+(E222*0.25))*E237)+((E221+(E222*0.25)))</f>
        <v>20.0025</v>
      </c>
      <c r="F238">
        <f>((F221+(F222*0.25))*F237)+((F221+(F222*0.25)))</f>
        <v>2.296875</v>
      </c>
      <c r="G238">
        <f>((G221+(G222*0.25))*G237)+((G221+(G222*0.25)))</f>
        <v>0.1575</v>
      </c>
      <c r="H238">
        <f>((H221+(H222*0.25))*H237)+((H221+(H222*0.25)))</f>
        <v>1.47</v>
      </c>
    </row>
    <row r="239">
      <c r="B239" t="str">
        <v xml:space="preserve">Jumlah tulangan </v>
      </c>
      <c r="C239" t="str">
        <v>bh</v>
      </c>
    </row>
    <row r="240">
      <c r="B240" t="str">
        <v>Jumlah berat</v>
      </c>
      <c r="C240" t="str">
        <v>kg</v>
      </c>
      <c r="D240">
        <f>D223*D236*D238*D239</f>
        <v>0</v>
      </c>
      <c r="E240">
        <f>E223*E236*E238*E239</f>
        <v>0</v>
      </c>
      <c r="F240">
        <f>F223*F236*F238*F239</f>
        <v>0</v>
      </c>
      <c r="G240">
        <f>G223*G236*G238*G239</f>
        <v>0</v>
      </c>
      <c r="H240">
        <f>H223*H236*H238*H239</f>
        <v>0</v>
      </c>
    </row>
    <row r="241">
      <c r="B241" t="str">
        <v>Jumlah batang</v>
      </c>
      <c r="C241" t="str">
        <v>bt</v>
      </c>
      <c r="D241">
        <f>D240/(D236*12)</f>
        <v>0</v>
      </c>
      <c r="E241">
        <f>E240/(E236*12)</f>
        <v>0</v>
      </c>
      <c r="F241">
        <f>F240/(F236*12)</f>
        <v>0</v>
      </c>
      <c r="G241">
        <f>G240/(G236*12)</f>
        <v>0</v>
      </c>
      <c r="H241">
        <f>H240/(H236*12)</f>
        <v>0</v>
      </c>
    </row>
    <row r="243">
      <c r="A243">
        <v>4</v>
      </c>
      <c r="B243" t="str">
        <v>TULANGAN LAPANGAN</v>
      </c>
    </row>
    <row r="244">
      <c r="B244" t="str">
        <v>Diameter</v>
      </c>
      <c r="C244" t="str">
        <v>mm</v>
      </c>
      <c r="D244">
        <v>10</v>
      </c>
      <c r="E244">
        <v>10</v>
      </c>
      <c r="F244">
        <v>10</v>
      </c>
      <c r="G244">
        <v>10</v>
      </c>
      <c r="H244">
        <v>10</v>
      </c>
    </row>
    <row r="245">
      <c r="B245" t="str">
        <v>Berat</v>
      </c>
      <c r="C245" t="str">
        <v>kg/m</v>
      </c>
      <c r="D245">
        <f>VLOOKUP(D244,$C$113:$D$123,2)</f>
        <v>0.62</v>
      </c>
      <c r="E245">
        <f>VLOOKUP(E244,$C$113:$D$123,2)</f>
        <v>0.62</v>
      </c>
      <c r="F245">
        <f>VLOOKUP(F244,$C$113:$D$123,2)</f>
        <v>0.62</v>
      </c>
      <c r="G245">
        <f>VLOOKUP(G244,$C$113:$D$123,2)</f>
        <v>0.62</v>
      </c>
      <c r="H245">
        <f>VLOOKUP(H244,$C$113:$D$123,2)</f>
        <v>0.62</v>
      </c>
    </row>
    <row r="246">
      <c r="B246" t="str">
        <v>Sambungan</v>
      </c>
      <c r="C246" t="str">
        <v>%</v>
      </c>
      <c r="D246">
        <v>0.05</v>
      </c>
      <c r="E246">
        <v>0.05</v>
      </c>
      <c r="F246">
        <v>0.05</v>
      </c>
      <c r="G246">
        <v>0.05</v>
      </c>
      <c r="H246">
        <v>0.05</v>
      </c>
    </row>
    <row r="247">
      <c r="B247" t="str">
        <v>Panjang tulangan</v>
      </c>
      <c r="C247" t="str">
        <v>m</v>
      </c>
      <c r="D247">
        <f>((D222*0.6*D246)+(D222*0.6))</f>
        <v>62.433</v>
      </c>
      <c r="E247">
        <f>((E222*0.6*E246)+(E222*0.6))</f>
        <v>47.62800000000001</v>
      </c>
      <c r="F247">
        <f>((F222*0.6*F246)+(F222*0.6))</f>
        <v>5.1345</v>
      </c>
      <c r="G247">
        <f>((G222*0.6*G246)+(G222*0.6))</f>
        <v>0</v>
      </c>
      <c r="H247">
        <f>((H222*0.6*H246)+(H222*0.6))</f>
        <v>3.15</v>
      </c>
    </row>
    <row r="248">
      <c r="B248" t="str">
        <v xml:space="preserve">Jumlah tulangan </v>
      </c>
      <c r="C248" t="str">
        <v>bh</v>
      </c>
    </row>
    <row r="249">
      <c r="B249" t="str">
        <v>Jumlah berat</v>
      </c>
      <c r="C249" t="str">
        <v>kg</v>
      </c>
      <c r="D249">
        <f>D223*D245*D247*D248</f>
        <v>0</v>
      </c>
      <c r="E249">
        <f>E223*E245*E247*E248</f>
        <v>0</v>
      </c>
      <c r="F249">
        <f>F223*F245*F247*F248</f>
        <v>0</v>
      </c>
      <c r="G249">
        <f>G223*G245*G247*G248</f>
        <v>0</v>
      </c>
      <c r="H249">
        <f>H223*H245*H247*H248</f>
        <v>0</v>
      </c>
    </row>
    <row r="250">
      <c r="B250" t="str">
        <v>Jumlah batang</v>
      </c>
      <c r="C250" t="str">
        <v>bt</v>
      </c>
      <c r="D250">
        <f>D249/(D245*12)</f>
        <v>0</v>
      </c>
      <c r="E250">
        <f>E249/(E245*12)</f>
        <v>0</v>
      </c>
      <c r="F250">
        <f>F249/(F245*12)</f>
        <v>0</v>
      </c>
      <c r="G250">
        <f>G249/(G245*12)</f>
        <v>0</v>
      </c>
      <c r="H250">
        <f>H249/(H245*12)</f>
        <v>0</v>
      </c>
    </row>
    <row r="252">
      <c r="A252">
        <v>6</v>
      </c>
      <c r="B252" t="str">
        <v>TULANGAN SENGKANG</v>
      </c>
    </row>
    <row r="253">
      <c r="B253" t="str">
        <v>Diameter</v>
      </c>
      <c r="C253" t="str">
        <v>mm</v>
      </c>
      <c r="D253">
        <v>8</v>
      </c>
      <c r="E253">
        <v>8</v>
      </c>
      <c r="F253">
        <v>8</v>
      </c>
      <c r="G253">
        <v>8</v>
      </c>
      <c r="H253">
        <v>8</v>
      </c>
    </row>
    <row r="254">
      <c r="B254" t="str">
        <v>Berat</v>
      </c>
      <c r="C254" t="str">
        <v>kg/m</v>
      </c>
      <c r="D254">
        <f>VLOOKUP(D253,$C$113:$D$123,2)</f>
        <v>0.393</v>
      </c>
      <c r="E254">
        <f>VLOOKUP(E253,$C$113:$D$123,2)</f>
        <v>0.393</v>
      </c>
      <c r="F254">
        <f>VLOOKUP(F253,$C$113:$D$123,2)</f>
        <v>0.393</v>
      </c>
      <c r="G254">
        <f>VLOOKUP(G253,$C$113:$D$123,2)</f>
        <v>0.393</v>
      </c>
      <c r="H254">
        <f>VLOOKUP(H253,$C$113:$D$123,2)</f>
        <v>0.393</v>
      </c>
    </row>
    <row r="255">
      <c r="B255" t="str">
        <v>Sambungan</v>
      </c>
      <c r="C255" t="str">
        <v>%</v>
      </c>
      <c r="D255">
        <v>0.05</v>
      </c>
      <c r="E255">
        <v>0.05</v>
      </c>
      <c r="F255">
        <v>0.05</v>
      </c>
      <c r="G255">
        <v>0.05</v>
      </c>
      <c r="H255">
        <v>0.05</v>
      </c>
    </row>
    <row r="256">
      <c r="B256" t="str">
        <v>Jarak sengkang</v>
      </c>
      <c r="C256" t="str">
        <v>m</v>
      </c>
      <c r="D256">
        <v>0.2</v>
      </c>
      <c r="E256">
        <v>0.2</v>
      </c>
      <c r="F256">
        <v>0.2</v>
      </c>
      <c r="G256">
        <v>0.2</v>
      </c>
      <c r="H256">
        <v>0.2</v>
      </c>
    </row>
    <row r="257">
      <c r="B257" t="str">
        <v>Panjang sengkang</v>
      </c>
      <c r="C257" t="str">
        <v>m'</v>
      </c>
      <c r="D257">
        <f>(((D220+D221)*2)*D255)+((D220+D221)*2)</f>
        <v>0.63</v>
      </c>
      <c r="E257">
        <f>(((E220+E221)*2)*E255)+((E220+E221)*2)</f>
        <v>0.63</v>
      </c>
      <c r="F257">
        <f>(((F220+F221)*2)*F255)+((F220+F221)*2)</f>
        <v>0.63</v>
      </c>
      <c r="G257">
        <f>(((G220+G221)*2)*G255)+((G220+G221)*2)</f>
        <v>0.63</v>
      </c>
      <c r="H257">
        <f>(((H220+H221)*2)*H255)+((H220+H221)*2)</f>
        <v>0.63</v>
      </c>
    </row>
    <row r="258">
      <c r="B258" t="str">
        <v>Jumlah sengkang</v>
      </c>
      <c r="C258" t="str">
        <v>bh</v>
      </c>
      <c r="D258">
        <f>INT((D222/D256)+1)</f>
        <v>496</v>
      </c>
      <c r="E258">
        <f>INT((E222/E256)+1)</f>
        <v>379</v>
      </c>
      <c r="F258">
        <f>INT((F222/F256)+1)</f>
        <v>41</v>
      </c>
      <c r="G258">
        <f>INT((G222/G256)+1)</f>
        <v>1</v>
      </c>
      <c r="H258">
        <f>INT((H222/H256)+1)</f>
        <v>26</v>
      </c>
    </row>
    <row r="259">
      <c r="B259" t="str">
        <v>Jumlah berat</v>
      </c>
      <c r="C259" t="str">
        <v>kg</v>
      </c>
      <c r="D259">
        <f>D223*D254*D257*D258</f>
        <v>122.80464</v>
      </c>
      <c r="E259">
        <f>E223*E254*E257*E258</f>
        <v>93.83661000000001</v>
      </c>
      <c r="F259">
        <f>F223*F254*F257*F258</f>
        <v>10.15119</v>
      </c>
      <c r="G259">
        <f>G223*G254*G257*G258</f>
        <v>0.24759</v>
      </c>
      <c r="H259">
        <f>H223*H254*H257*H258</f>
        <v>6.43734</v>
      </c>
    </row>
    <row r="260">
      <c r="B260" t="str">
        <v>Jumlah batang</v>
      </c>
      <c r="C260" t="str">
        <v>bt</v>
      </c>
      <c r="D260">
        <f>D259/(D254*12)</f>
        <v>26.04</v>
      </c>
      <c r="E260">
        <f>E259/(E254*12)</f>
        <v>19.8975</v>
      </c>
      <c r="F260">
        <f>F259/(F254*12)</f>
        <v>2.1525</v>
      </c>
      <c r="G260">
        <f>G259/(G254*12)</f>
        <v>0.0525</v>
      </c>
      <c r="H260">
        <f>H259/(H254*12)</f>
        <v>1.365</v>
      </c>
    </row>
    <row r="262">
      <c r="A262">
        <v>7</v>
      </c>
      <c r="B262" t="str">
        <v>JUMLAH VOLUME</v>
      </c>
      <c r="D262" t="str">
        <f>D217</f>
        <v>RUMAH</v>
      </c>
      <c r="E262" t="str">
        <f>E217</f>
        <v>AMPIQ</v>
      </c>
      <c r="F262" t="str">
        <f>F217</f>
        <v>B.SP.D</v>
      </c>
      <c r="G262" t="str">
        <f>G217</f>
        <v>B.SP.B</v>
      </c>
      <c r="H262" t="str">
        <f>H217</f>
        <v>B.BLK</v>
      </c>
    </row>
    <row r="263">
      <c r="B263" t="str">
        <v>Tulangan</v>
      </c>
      <c r="C263" t="str">
        <v>kg</v>
      </c>
      <c r="D263">
        <f>D231+D240+D249+D259</f>
        <v>380.86104</v>
      </c>
      <c r="E263">
        <f>E231+E240+E249+E259</f>
        <v>290.69901000000004</v>
      </c>
      <c r="F263">
        <f>F231+F240+F249+F259</f>
        <v>31.373790000000003</v>
      </c>
      <c r="G263">
        <f>G231+G240+G249+G259</f>
        <v>0.24759</v>
      </c>
      <c r="H263">
        <f>H231+H240+H249+H259</f>
        <v>19.45734</v>
      </c>
    </row>
    <row r="264">
      <c r="B264" t="str">
        <v>Begisting</v>
      </c>
      <c r="C264" t="str">
        <v>m2</v>
      </c>
      <c r="D264">
        <f>(D221*2)*D222*D223</f>
        <v>29.73</v>
      </c>
      <c r="E264">
        <f>(E221*2)*E222*E223</f>
        <v>22.680000000000003</v>
      </c>
      <c r="F264">
        <f>(F221*2)*F222*F223</f>
        <v>2.445</v>
      </c>
      <c r="G264">
        <f>(G221*2)*G222*G223</f>
        <v>0</v>
      </c>
      <c r="H264">
        <f>(H221*2)*H222*H223</f>
        <v>1.5</v>
      </c>
    </row>
    <row r="265">
      <c r="B265" t="str">
        <v>Cor beton</v>
      </c>
      <c r="C265" t="str">
        <v>m3</v>
      </c>
      <c r="D265">
        <f>D220*D221*D222*D223</f>
        <v>2.22975</v>
      </c>
      <c r="E265">
        <f>E220*E221*E222*E223</f>
        <v>1.701</v>
      </c>
      <c r="F265">
        <f>F220*F221*F222*F223</f>
        <v>0.183375</v>
      </c>
      <c r="G265">
        <f>G220*G221*G222*G223</f>
        <v>0</v>
      </c>
      <c r="H265">
        <f>H220*H221*H222*H223</f>
        <v>0.11249999999999999</v>
      </c>
    </row>
    <row r="269">
      <c r="A269" t="str">
        <v>VOLUME PEKERJAAN PLAT BETON</v>
      </c>
    </row>
    <row r="270">
      <c r="A270" t="str">
        <v>NO</v>
      </c>
      <c r="C270" t="str">
        <v>SAT</v>
      </c>
      <c r="D270" t="str">
        <v>Dak</v>
      </c>
      <c r="E270" t="str">
        <v>Dak</v>
      </c>
      <c r="F270" t="str">
        <v>Canopy</v>
      </c>
      <c r="G270" t="str">
        <v>Meja</v>
      </c>
    </row>
    <row r="272">
      <c r="A272" t="str">
        <v>A.</v>
      </c>
      <c r="B272" t="str">
        <v>TELAPAK</v>
      </c>
    </row>
    <row r="274">
      <c r="A274">
        <v>1</v>
      </c>
      <c r="B274" t="str">
        <v>UKURAN</v>
      </c>
    </row>
    <row r="275">
      <c r="B275" t="str">
        <v>Lebar</v>
      </c>
      <c r="C275" t="str">
        <v>m'</v>
      </c>
      <c r="D275">
        <v>2</v>
      </c>
      <c r="E275">
        <v>1.8</v>
      </c>
      <c r="F275">
        <v>0.6</v>
      </c>
      <c r="G275">
        <v>0.6</v>
      </c>
    </row>
    <row r="276">
      <c r="B276" t="str">
        <v>Panjang</v>
      </c>
      <c r="C276" t="str">
        <v>m'</v>
      </c>
      <c r="D276">
        <v>2</v>
      </c>
      <c r="E276">
        <v>5</v>
      </c>
      <c r="F276">
        <v>6.5</v>
      </c>
      <c r="G276">
        <v>1.8</v>
      </c>
    </row>
    <row r="277">
      <c r="B277" t="str">
        <v>Tinggi</v>
      </c>
      <c r="C277" t="str">
        <v>m'</v>
      </c>
      <c r="D277">
        <v>0.1</v>
      </c>
      <c r="E277">
        <v>0.1</v>
      </c>
      <c r="F277">
        <v>0.1</v>
      </c>
      <c r="G277">
        <v>0.1</v>
      </c>
    </row>
    <row r="278">
      <c r="B278" t="str">
        <v>Banyaknya</v>
      </c>
      <c r="C278" t="str">
        <v>bh</v>
      </c>
      <c r="D278">
        <v>1</v>
      </c>
      <c r="E278">
        <v>1</v>
      </c>
      <c r="F278">
        <v>1</v>
      </c>
      <c r="G278">
        <v>1</v>
      </c>
    </row>
    <row r="280">
      <c r="A280">
        <v>2</v>
      </c>
      <c r="B280" t="str">
        <v>TULANGAN LEBAR</v>
      </c>
    </row>
    <row r="281">
      <c r="B281" t="str">
        <v>Diameter</v>
      </c>
      <c r="C281" t="str">
        <v>mm</v>
      </c>
      <c r="D281">
        <v>8</v>
      </c>
      <c r="E281">
        <v>8</v>
      </c>
      <c r="F281">
        <v>8</v>
      </c>
      <c r="G281">
        <v>8</v>
      </c>
    </row>
    <row r="282">
      <c r="B282" t="str">
        <v>Berat</v>
      </c>
      <c r="C282" t="str">
        <v>kg/m'</v>
      </c>
      <c r="D282">
        <f>VLOOKUP(D281,$C$113:$D$123,2)</f>
        <v>0.393</v>
      </c>
      <c r="E282">
        <f>VLOOKUP(E281,$C$113:$D$123,2)</f>
        <v>0.393</v>
      </c>
      <c r="F282">
        <f>VLOOKUP(F281,$C$113:$D$123,2)</f>
        <v>0.393</v>
      </c>
      <c r="G282">
        <f>VLOOKUP(G281,$C$113:$D$123,2)</f>
        <v>0.393</v>
      </c>
    </row>
    <row r="283">
      <c r="B283" t="str">
        <v>Sambungan</v>
      </c>
      <c r="C283" t="str">
        <v>%</v>
      </c>
      <c r="D283">
        <v>0.05</v>
      </c>
      <c r="E283">
        <v>0.05</v>
      </c>
      <c r="F283">
        <v>0.05</v>
      </c>
      <c r="G283">
        <v>0.05</v>
      </c>
    </row>
    <row r="284">
      <c r="B284" t="str">
        <v>Jarak sengkang</v>
      </c>
      <c r="C284" t="str">
        <v>m</v>
      </c>
      <c r="D284">
        <v>0.2</v>
      </c>
      <c r="E284">
        <v>0.2</v>
      </c>
      <c r="F284">
        <v>0.2</v>
      </c>
      <c r="G284">
        <v>0.2</v>
      </c>
    </row>
    <row r="285">
      <c r="B285" t="str">
        <v>Panjang tulangan</v>
      </c>
      <c r="C285" t="str">
        <v>m'</v>
      </c>
      <c r="D285">
        <f>(((D276+D277)*2)*D283)+(D276+D277)*2</f>
        <v>4.41</v>
      </c>
      <c r="E285">
        <f>(((E276+E277)*2)*E283)+(E276+E277)*2</f>
        <v>10.709999999999999</v>
      </c>
      <c r="F285">
        <f>(((F276+F277)*2)*F283)+(F276+F277)*2</f>
        <v>13.86</v>
      </c>
      <c r="G285">
        <f>(((G276+G277)*2)*G283)+(G276+G277)*2</f>
        <v>3.99</v>
      </c>
    </row>
    <row r="286">
      <c r="B286" t="str">
        <v xml:space="preserve">Jumlah tulangan </v>
      </c>
      <c r="C286" t="str">
        <v>bh</v>
      </c>
      <c r="D286">
        <f>INT((D275/D284)+1)</f>
        <v>11</v>
      </c>
      <c r="E286">
        <f>INT((E275/E284)+1)</f>
        <v>10</v>
      </c>
      <c r="F286">
        <f>INT((F275/F284)+1)</f>
        <v>4</v>
      </c>
      <c r="G286">
        <f>INT((G275/G284)+1)</f>
        <v>4</v>
      </c>
    </row>
    <row r="287">
      <c r="B287" t="str">
        <v>Jumlah berat</v>
      </c>
      <c r="C287" t="str">
        <v>kg</v>
      </c>
      <c r="D287">
        <f>D278*D282*D285*D286</f>
        <v>19.06443</v>
      </c>
      <c r="E287">
        <f>E278*E282*E285*E286</f>
        <v>42.09029999999999</v>
      </c>
      <c r="F287">
        <f>F278*F282*F285*F286</f>
        <v>21.78792</v>
      </c>
      <c r="G287">
        <f>G278*G282*G285*G286</f>
        <v>6.27228</v>
      </c>
    </row>
    <row r="288">
      <c r="B288" t="str">
        <v>Jumlah batang</v>
      </c>
      <c r="C288" t="str">
        <v>bt</v>
      </c>
      <c r="D288">
        <f>D287/(D282*12)</f>
        <v>4.0425</v>
      </c>
      <c r="E288">
        <f>E287/(E282*12)</f>
        <v>8.924999999999997</v>
      </c>
      <c r="F288">
        <f>F287/(F282*12)</f>
        <v>4.62</v>
      </c>
      <c r="G288">
        <f>G287/(G282*12)</f>
        <v>1.33</v>
      </c>
    </row>
    <row r="290">
      <c r="A290">
        <v>3</v>
      </c>
      <c r="B290" t="str">
        <v>TULANGAN PANJANG</v>
      </c>
    </row>
    <row r="291">
      <c r="B291" t="str">
        <v>Diameter</v>
      </c>
      <c r="C291" t="str">
        <v>mm</v>
      </c>
      <c r="D291">
        <v>8</v>
      </c>
      <c r="E291">
        <v>8</v>
      </c>
      <c r="F291">
        <v>8</v>
      </c>
      <c r="G291">
        <v>8</v>
      </c>
    </row>
    <row r="292">
      <c r="B292" t="str">
        <v>Berat</v>
      </c>
      <c r="C292" t="str">
        <v>kg/m'</v>
      </c>
      <c r="D292">
        <f>VLOOKUP(D291,$C$113:$D$123,2)</f>
        <v>0.393</v>
      </c>
      <c r="E292">
        <f>VLOOKUP(E291,$C$113:$D$123,2)</f>
        <v>0.393</v>
      </c>
      <c r="F292">
        <f>VLOOKUP(F291,$C$113:$D$123,2)</f>
        <v>0.393</v>
      </c>
      <c r="G292">
        <f>VLOOKUP(G291,$C$113:$D$123,2)</f>
        <v>0.393</v>
      </c>
    </row>
    <row r="293">
      <c r="B293" t="str">
        <v>Sambungan</v>
      </c>
      <c r="C293" t="str">
        <v>%</v>
      </c>
      <c r="D293">
        <v>0.05</v>
      </c>
      <c r="E293">
        <v>0.05</v>
      </c>
      <c r="F293">
        <v>0.05</v>
      </c>
      <c r="G293">
        <v>0.05</v>
      </c>
    </row>
    <row r="294">
      <c r="B294" t="str">
        <v>Jarak sengkang</v>
      </c>
      <c r="C294" t="str">
        <v>m</v>
      </c>
      <c r="D294">
        <v>0.2</v>
      </c>
      <c r="E294">
        <v>0.2</v>
      </c>
      <c r="F294">
        <v>0.2</v>
      </c>
      <c r="G294">
        <v>0.2</v>
      </c>
    </row>
    <row r="295">
      <c r="B295" t="str">
        <v>Panjang tulangan</v>
      </c>
      <c r="C295" t="str">
        <v>m'</v>
      </c>
      <c r="D295">
        <f>(((D275+D277)*2)*D293)+(D275+D277)*2</f>
        <v>4.41</v>
      </c>
      <c r="E295">
        <f>(((E275+E277)*2)*E293)+(E275+E277)*2</f>
        <v>3.99</v>
      </c>
      <c r="F295">
        <f>(((F275+F277)*2)*F293)+(F275+F277)*2</f>
        <v>1.47</v>
      </c>
      <c r="G295">
        <f>(((G275+G277)*2)*G293)+(G275+G277)*2</f>
        <v>1.47</v>
      </c>
    </row>
    <row r="296">
      <c r="B296" t="str">
        <v xml:space="preserve">Jumlah tulangan </v>
      </c>
      <c r="C296" t="str">
        <v>bh</v>
      </c>
      <c r="D296">
        <f>INT((D276/D294)+1)</f>
        <v>11</v>
      </c>
      <c r="E296">
        <f>INT((E276/E294)+1)</f>
        <v>26</v>
      </c>
      <c r="F296">
        <f>INT((F276/F294)+1)</f>
        <v>33</v>
      </c>
      <c r="G296">
        <f>INT((G276/G294)+1)</f>
        <v>10</v>
      </c>
    </row>
    <row r="297">
      <c r="B297" t="str">
        <v>Jumlah berat</v>
      </c>
      <c r="C297" t="str">
        <v>kg</v>
      </c>
      <c r="D297">
        <f>D278*D292*D295*D296</f>
        <v>19.06443</v>
      </c>
      <c r="E297">
        <f>E278*E292*E295*E296</f>
        <v>40.76982</v>
      </c>
      <c r="F297">
        <f>F278*F292*F295*F296</f>
        <v>19.06443</v>
      </c>
      <c r="G297">
        <f>G278*G292*G295*G296</f>
        <v>5.777100000000001</v>
      </c>
    </row>
    <row r="298">
      <c r="B298" t="str">
        <v>Jumlah batang</v>
      </c>
      <c r="C298" t="str">
        <v>bt</v>
      </c>
      <c r="D298">
        <f>D297/(D292*12)</f>
        <v>4.0425</v>
      </c>
      <c r="E298">
        <f>E297/(E292*12)</f>
        <v>8.645</v>
      </c>
      <c r="F298">
        <f>F297/(F292*12)</f>
        <v>4.0425</v>
      </c>
      <c r="G298">
        <f>G297/(G292*12)</f>
        <v>1.225</v>
      </c>
    </row>
    <row r="301">
      <c r="A301">
        <v>4</v>
      </c>
      <c r="B301" t="str">
        <v>JUMLAH VOLUME</v>
      </c>
      <c r="D301" t="str">
        <f>D270</f>
        <v>Dak</v>
      </c>
      <c r="E301" t="str">
        <f>E270</f>
        <v>Dak</v>
      </c>
      <c r="F301" t="str">
        <f>F270</f>
        <v>Canopy</v>
      </c>
      <c r="G301" t="str">
        <f>G270</f>
        <v>Meja</v>
      </c>
    </row>
    <row r="302">
      <c r="B302" t="str">
        <v>Stoot werk</v>
      </c>
      <c r="C302" t="str">
        <v>m2</v>
      </c>
      <c r="D302">
        <f>D275*D276*D278</f>
        <v>4</v>
      </c>
      <c r="E302">
        <f>E275*E276*E278</f>
        <v>9</v>
      </c>
      <c r="F302">
        <f>F275*F276*F278</f>
        <v>3.9</v>
      </c>
      <c r="G302">
        <f>G275*G276*G278</f>
        <v>1.08</v>
      </c>
    </row>
    <row r="303">
      <c r="B303" t="str">
        <v>Begisting</v>
      </c>
      <c r="C303" t="str">
        <v>m2</v>
      </c>
      <c r="D303">
        <f>((D275+D277)*(D276+D277))*D278</f>
        <v>4.41</v>
      </c>
      <c r="E303">
        <f>((E275+E277)*(E276+E277))*E278</f>
        <v>9.69</v>
      </c>
      <c r="F303">
        <f>((F275+F277)*(F276+F277))*F278</f>
        <v>4.619999999999999</v>
      </c>
      <c r="G303">
        <f>((G275+G277)*(G276+G277))*G278</f>
        <v>1.33</v>
      </c>
    </row>
    <row r="304">
      <c r="B304" t="str">
        <v>Tulangan</v>
      </c>
      <c r="C304" t="str">
        <v>kg</v>
      </c>
      <c r="D304">
        <f>D287+D297</f>
        <v>38.12886</v>
      </c>
      <c r="E304">
        <f>E287+E297</f>
        <v>82.86012</v>
      </c>
      <c r="F304">
        <f>F287+F297</f>
        <v>40.85235</v>
      </c>
      <c r="G304">
        <f>G287+G297</f>
        <v>12.049380000000001</v>
      </c>
    </row>
    <row r="305">
      <c r="B305" t="str">
        <v>Cor beton</v>
      </c>
      <c r="C305" t="str">
        <v>m3</v>
      </c>
      <c r="D305">
        <f>((D275*D276*D277))*D278</f>
        <v>0.4</v>
      </c>
      <c r="E305">
        <f>((E275*E276*E277))*E278</f>
        <v>0.9</v>
      </c>
      <c r="F305">
        <f>((F275*F276*F277))*F278</f>
        <v>0.39</v>
      </c>
      <c r="G305">
        <f>((G275*G276*G277))*G278</f>
        <v>0.10800000000000001</v>
      </c>
    </row>
    <row r="309">
      <c r="A309" t="str">
        <v>VOLUME PINTU &amp; JENDELA</v>
      </c>
    </row>
    <row r="310">
      <c r="A310" t="str">
        <v>NO</v>
      </c>
      <c r="B310" t="str">
        <v>URAIAN PEKERJAAN</v>
      </c>
      <c r="C310" t="str">
        <v>SATUAN</v>
      </c>
      <c r="D310" t="str">
        <v>PJ</v>
      </c>
      <c r="G310" t="str">
        <v>P.1</v>
      </c>
      <c r="J310" t="str">
        <v>P.2</v>
      </c>
      <c r="M310" t="str">
        <v>P.3</v>
      </c>
      <c r="P310" t="str">
        <v>J.1</v>
      </c>
    </row>
    <row r="311">
      <c r="D311" t="str">
        <v>VOLUME</v>
      </c>
      <c r="E311" t="str">
        <v>BANYAK</v>
      </c>
      <c r="F311" t="str">
        <v>JUMLAH</v>
      </c>
      <c r="G311" t="str">
        <v>VOLUME</v>
      </c>
      <c r="H311" t="str">
        <v>BANYAK</v>
      </c>
      <c r="I311" t="str">
        <v>JUMLAH</v>
      </c>
      <c r="J311" t="str">
        <v>VOLUME</v>
      </c>
      <c r="K311" t="str">
        <v>BANYAK</v>
      </c>
      <c r="L311" t="str">
        <v>JUMLAH</v>
      </c>
      <c r="M311" t="str">
        <v>VOLUME</v>
      </c>
      <c r="N311" t="str">
        <v>BANYAK</v>
      </c>
      <c r="O311" t="str">
        <v>JUMLAH</v>
      </c>
      <c r="P311" t="str">
        <v>VOLUME</v>
      </c>
      <c r="Q311" t="str">
        <v>BANYAK</v>
      </c>
      <c r="R311" t="str">
        <v>JUMLAH</v>
      </c>
      <c r="S311" t="str">
        <v>TOTAL</v>
      </c>
    </row>
    <row r="313">
      <c r="A313">
        <v>1</v>
      </c>
      <c r="B313" t="str">
        <v>Luas</v>
      </c>
      <c r="C313" t="str">
        <v>m2</v>
      </c>
      <c r="D313">
        <f>(2.1*0.9)+(1.8*0.55)</f>
        <v>2.8800000000000003</v>
      </c>
      <c r="E313">
        <v>2</v>
      </c>
      <c r="F313">
        <f>D313*E313</f>
        <v>5.760000000000001</v>
      </c>
      <c r="G313">
        <f>(2.1*0.9)</f>
        <v>1.8900000000000001</v>
      </c>
      <c r="H313">
        <v>6</v>
      </c>
      <c r="I313">
        <f>G313*H313</f>
        <v>11.34</v>
      </c>
      <c r="J313">
        <f>(2.1*0.8)</f>
        <v>1.6800000000000002</v>
      </c>
      <c r="K313">
        <v>2</v>
      </c>
      <c r="L313">
        <f>J313*K313</f>
        <v>3.3600000000000003</v>
      </c>
      <c r="M313">
        <f>(2.1*2.1)</f>
        <v>4.41</v>
      </c>
      <c r="N313">
        <v>1</v>
      </c>
      <c r="O313">
        <f>M313*N313</f>
        <v>4.41</v>
      </c>
      <c r="P313">
        <f>(1.3*1.15)</f>
        <v>1.4949999999999999</v>
      </c>
      <c r="Q313">
        <v>3</v>
      </c>
      <c r="R313">
        <f>P313*Q313</f>
        <v>4.484999999999999</v>
      </c>
      <c r="S313">
        <f>F313+I313+L313+O313+R313</f>
        <v>29.355</v>
      </c>
    </row>
    <row r="314">
      <c r="A314">
        <v>2</v>
      </c>
      <c r="B314" t="str">
        <v>Tali air/skoneng</v>
      </c>
      <c r="C314" t="str">
        <v>m</v>
      </c>
      <c r="D314">
        <f>(2.1+2.1+1.45+0.55)*2</f>
        <v>12.4</v>
      </c>
      <c r="E314">
        <v>2</v>
      </c>
      <c r="F314">
        <f>D314*E314</f>
        <v>24.8</v>
      </c>
      <c r="G314">
        <f>(2.1+2.1+0.9)*2</f>
        <v>10.200000000000001</v>
      </c>
      <c r="H314">
        <v>6</v>
      </c>
      <c r="I314">
        <f>G314*H314</f>
        <v>61.2</v>
      </c>
      <c r="J314">
        <f>(2.1+2.1+0.8)*2</f>
        <v>10</v>
      </c>
      <c r="K314">
        <v>2</v>
      </c>
      <c r="L314">
        <f>J314*K314</f>
        <v>20</v>
      </c>
      <c r="M314">
        <f>(2.1+2.1+2.1)*2</f>
        <v>12.600000000000001</v>
      </c>
      <c r="N314">
        <v>1</v>
      </c>
      <c r="O314">
        <f>M314*N314</f>
        <v>12.600000000000001</v>
      </c>
      <c r="P314">
        <f>(1.3+1.3+1.15+1.15)*2</f>
        <v>9.8</v>
      </c>
      <c r="Q314">
        <v>3</v>
      </c>
      <c r="R314">
        <f>P314*Q314</f>
        <v>29.400000000000002</v>
      </c>
      <c r="S314">
        <f>F314+I314+L314+O314+R314</f>
        <v>148</v>
      </c>
    </row>
    <row r="315">
      <c r="A315">
        <v>3</v>
      </c>
      <c r="B315" t="str">
        <v>Sepatu kusen</v>
      </c>
      <c r="C315" t="str">
        <v>bh</v>
      </c>
      <c r="D315">
        <v>2</v>
      </c>
      <c r="E315">
        <v>2</v>
      </c>
      <c r="F315">
        <f>D315*E315</f>
        <v>4</v>
      </c>
      <c r="G315">
        <v>2</v>
      </c>
      <c r="H315">
        <v>6</v>
      </c>
      <c r="I315">
        <f>G315*H315</f>
        <v>12</v>
      </c>
      <c r="J315">
        <v>2</v>
      </c>
      <c r="K315">
        <v>2</v>
      </c>
      <c r="L315">
        <f>J315*K315</f>
        <v>4</v>
      </c>
      <c r="M315">
        <v>2</v>
      </c>
      <c r="N315">
        <v>1</v>
      </c>
      <c r="O315">
        <f>M315*N315</f>
        <v>2</v>
      </c>
      <c r="S315">
        <f>F315+I315+L315+O315+R315</f>
        <v>22</v>
      </c>
    </row>
    <row r="316">
      <c r="A316">
        <v>4</v>
      </c>
      <c r="B316" t="str">
        <v>Anker</v>
      </c>
      <c r="C316" t="str">
        <v>bh</v>
      </c>
      <c r="D316">
        <v>4</v>
      </c>
      <c r="E316">
        <v>2</v>
      </c>
      <c r="F316">
        <f>D316*E316</f>
        <v>8</v>
      </c>
      <c r="G316">
        <v>4</v>
      </c>
      <c r="H316">
        <v>6</v>
      </c>
      <c r="I316">
        <f>G316*H316</f>
        <v>24</v>
      </c>
      <c r="J316">
        <v>4</v>
      </c>
      <c r="K316">
        <v>2</v>
      </c>
      <c r="L316">
        <f>J316*K316</f>
        <v>8</v>
      </c>
      <c r="M316">
        <v>6</v>
      </c>
      <c r="N316">
        <v>1</v>
      </c>
      <c r="O316">
        <f>M316*N316</f>
        <v>6</v>
      </c>
      <c r="P316">
        <v>4</v>
      </c>
      <c r="Q316">
        <v>3</v>
      </c>
      <c r="R316">
        <f>P316*Q316</f>
        <v>12</v>
      </c>
      <c r="S316">
        <f>F316+I316+L316+O316+R316</f>
        <v>58</v>
      </c>
    </row>
    <row r="317">
      <c r="A317">
        <v>5</v>
      </c>
      <c r="B317" t="str">
        <v>Kusen</v>
      </c>
      <c r="C317" t="str">
        <v>m3</v>
      </c>
      <c r="D317">
        <f>(2.1+2.1+1.8+1.45+0.55)*0.06*0.15</f>
        <v>0.072</v>
      </c>
      <c r="E317">
        <v>2</v>
      </c>
      <c r="F317">
        <f>D317*E317</f>
        <v>0.144</v>
      </c>
      <c r="G317">
        <f>(2.1+2.1+0.9)*0.06*0.15</f>
        <v>0.045899999999999996</v>
      </c>
      <c r="H317">
        <v>6</v>
      </c>
      <c r="I317">
        <f>G317*H317</f>
        <v>0.2754</v>
      </c>
      <c r="J317">
        <f>(2.1+2.1+0.8)*0.06*0.15</f>
        <v>0.045</v>
      </c>
      <c r="K317">
        <v>2</v>
      </c>
      <c r="L317">
        <f>J317*K317</f>
        <v>0.09</v>
      </c>
      <c r="M317">
        <f>(2.1+2.1+2.1)*0.06*0.15</f>
        <v>0.0567</v>
      </c>
      <c r="N317">
        <v>1</v>
      </c>
      <c r="O317">
        <f>M317*N317</f>
        <v>0.0567</v>
      </c>
      <c r="P317">
        <f>(1.3+1.3+1.15+1.15)*0.06*0.15</f>
        <v>0.04409999999999999</v>
      </c>
      <c r="Q317">
        <v>3</v>
      </c>
      <c r="R317">
        <f>P317*Q317</f>
        <v>0.13229999999999997</v>
      </c>
      <c r="S317">
        <f>F317+I317+L317+O317+R317</f>
        <v>0.6983999999999999</v>
      </c>
    </row>
    <row r="318">
      <c r="A318">
        <v>6</v>
      </c>
      <c r="B318" t="str">
        <v>Finish kusen</v>
      </c>
      <c r="C318" t="str">
        <v>m</v>
      </c>
      <c r="D318">
        <f>(2.1+2.1+1.8+1.45+0.55)</f>
        <v>8</v>
      </c>
      <c r="E318">
        <v>2</v>
      </c>
      <c r="F318">
        <f>D318*E318</f>
        <v>16</v>
      </c>
      <c r="G318">
        <f>(2.1+2.1+0.9)</f>
        <v>5.1000000000000005</v>
      </c>
      <c r="H318">
        <v>6</v>
      </c>
      <c r="I318">
        <f>G318*H318</f>
        <v>30.6</v>
      </c>
      <c r="J318">
        <f>(2.1+2.1+0.8)</f>
        <v>5</v>
      </c>
      <c r="K318">
        <v>2</v>
      </c>
      <c r="L318">
        <f>J318*K318</f>
        <v>10</v>
      </c>
      <c r="M318">
        <f>(2.1+2.1+2.1)</f>
        <v>6.300000000000001</v>
      </c>
      <c r="N318">
        <v>1</v>
      </c>
      <c r="O318">
        <f>M318*N318</f>
        <v>6.300000000000001</v>
      </c>
      <c r="P318">
        <f>(1.3+1.3+1.15+1.15)</f>
        <v>4.9</v>
      </c>
      <c r="Q318">
        <v>3</v>
      </c>
      <c r="R318">
        <f>P318*Q318</f>
        <v>14.700000000000001</v>
      </c>
      <c r="S318">
        <f>F318+I318+L318+O318+R318</f>
        <v>77.60000000000001</v>
      </c>
    </row>
    <row r="319">
      <c r="S319">
        <f>F319+I319+L319+O319+R319</f>
        <v>0</v>
      </c>
    </row>
    <row r="320">
      <c r="A320">
        <v>1</v>
      </c>
      <c r="B320" t="str">
        <v>Pintu panel</v>
      </c>
      <c r="C320" t="str">
        <v>bh</v>
      </c>
      <c r="D320">
        <v>1</v>
      </c>
      <c r="E320">
        <v>2</v>
      </c>
      <c r="F320">
        <f>D320*E320</f>
        <v>2</v>
      </c>
      <c r="S320">
        <f>F320+I320+L320+O320+R320</f>
        <v>2</v>
      </c>
    </row>
    <row r="321">
      <c r="A321">
        <v>2</v>
      </c>
      <c r="B321" t="str">
        <v>Pintu double triplek</v>
      </c>
      <c r="C321" t="str">
        <v>bh</v>
      </c>
      <c r="G321">
        <v>1</v>
      </c>
      <c r="H321">
        <v>6</v>
      </c>
      <c r="I321">
        <f>G321*H321</f>
        <v>6</v>
      </c>
      <c r="S321">
        <f>F321+I321+L321+O321+R321</f>
        <v>6</v>
      </c>
    </row>
    <row r="322">
      <c r="A322">
        <v>3</v>
      </c>
      <c r="B322" t="str">
        <v>Pintu triplek+fomika</v>
      </c>
      <c r="C322" t="str">
        <v>bh</v>
      </c>
      <c r="J322">
        <v>1</v>
      </c>
      <c r="K322">
        <v>2</v>
      </c>
      <c r="L322">
        <f>J322*K322</f>
        <v>2</v>
      </c>
      <c r="S322">
        <f>F322+I322+L322+O322+R322</f>
        <v>2</v>
      </c>
    </row>
    <row r="323">
      <c r="A323">
        <v>4</v>
      </c>
      <c r="B323" t="str">
        <v>Pintu kaca</v>
      </c>
      <c r="C323" t="str">
        <v>bh</v>
      </c>
      <c r="M323">
        <v>4</v>
      </c>
      <c r="N323">
        <v>1</v>
      </c>
      <c r="O323">
        <f>M323*N323</f>
        <v>4</v>
      </c>
      <c r="S323">
        <f>F323+I323+L323+O323+R323</f>
        <v>4</v>
      </c>
    </row>
    <row r="324">
      <c r="A324">
        <v>5</v>
      </c>
      <c r="B324" t="str">
        <v>Engsel</v>
      </c>
      <c r="C324" t="str">
        <v>bh</v>
      </c>
      <c r="D324">
        <v>3</v>
      </c>
      <c r="E324">
        <v>2</v>
      </c>
      <c r="F324">
        <f>D324*E324</f>
        <v>6</v>
      </c>
      <c r="G324">
        <v>3</v>
      </c>
      <c r="H324">
        <v>6</v>
      </c>
      <c r="I324">
        <f>G324*H324</f>
        <v>18</v>
      </c>
      <c r="J324">
        <v>3</v>
      </c>
      <c r="K324">
        <v>2</v>
      </c>
      <c r="L324">
        <f>J324*K324</f>
        <v>6</v>
      </c>
      <c r="M324">
        <v>12</v>
      </c>
      <c r="N324">
        <v>1</v>
      </c>
      <c r="O324">
        <f>M324*N324</f>
        <v>12</v>
      </c>
      <c r="S324">
        <f>F324+I324+L324+O324+R324</f>
        <v>42</v>
      </c>
    </row>
    <row r="325">
      <c r="A325">
        <v>6</v>
      </c>
      <c r="B325" t="str">
        <v>Kunci pintu utama</v>
      </c>
      <c r="C325" t="str">
        <v>bh</v>
      </c>
      <c r="D325">
        <v>1</v>
      </c>
      <c r="E325">
        <v>2</v>
      </c>
      <c r="F325">
        <f>D325*E325</f>
        <v>2</v>
      </c>
      <c r="S325">
        <f>F325+I325+L325+O325+R325</f>
        <v>2</v>
      </c>
    </row>
    <row r="326">
      <c r="A326">
        <v>7</v>
      </c>
      <c r="B326" t="str">
        <v>Kunci pintu kamar</v>
      </c>
      <c r="C326" t="str">
        <v>bh</v>
      </c>
      <c r="G326">
        <v>1</v>
      </c>
      <c r="H326">
        <v>6</v>
      </c>
      <c r="I326">
        <f>G326*H326</f>
        <v>6</v>
      </c>
      <c r="M326">
        <v>1</v>
      </c>
      <c r="N326">
        <v>1</v>
      </c>
      <c r="O326">
        <f>M326*N326</f>
        <v>1</v>
      </c>
      <c r="S326">
        <f>F326+I326+L326+O326+R326</f>
        <v>7</v>
      </c>
    </row>
    <row r="327">
      <c r="A327">
        <v>8</v>
      </c>
      <c r="B327" t="str">
        <v>Kunci pintu kamar mandi</v>
      </c>
      <c r="C327" t="str">
        <v>bh</v>
      </c>
      <c r="J327">
        <v>1</v>
      </c>
      <c r="K327">
        <v>2</v>
      </c>
      <c r="L327">
        <f>J327*K327</f>
        <v>2</v>
      </c>
      <c r="S327">
        <f>F327+I327+L327+O327+R327</f>
        <v>2</v>
      </c>
    </row>
    <row r="328">
      <c r="A328">
        <v>9</v>
      </c>
      <c r="B328" t="str">
        <v>Slot tanam</v>
      </c>
      <c r="C328" t="str">
        <v>bh</v>
      </c>
      <c r="M328">
        <v>3</v>
      </c>
      <c r="N328">
        <v>1</v>
      </c>
      <c r="O328">
        <f>M328*N328</f>
        <v>3</v>
      </c>
      <c r="S328">
        <f>F328+I328+L328+O328+R328</f>
        <v>3</v>
      </c>
    </row>
    <row r="329">
      <c r="A329">
        <v>10</v>
      </c>
      <c r="B329" t="str">
        <v>Finish pintu</v>
      </c>
      <c r="C329" t="str">
        <v>m2</v>
      </c>
      <c r="D329">
        <f>(0.86*2.1)*2</f>
        <v>3.612</v>
      </c>
      <c r="E329">
        <v>2</v>
      </c>
      <c r="F329">
        <f>D329*E329</f>
        <v>7.224</v>
      </c>
      <c r="G329">
        <f>(0.86*2.1)*2</f>
        <v>3.612</v>
      </c>
      <c r="H329">
        <v>6</v>
      </c>
      <c r="I329">
        <f>G329*H329</f>
        <v>21.672</v>
      </c>
      <c r="J329">
        <f>(0.76*2.1)</f>
        <v>1.596</v>
      </c>
      <c r="K329">
        <v>2</v>
      </c>
      <c r="L329">
        <f>J329*K329</f>
        <v>3.192</v>
      </c>
      <c r="M329">
        <f>(0.76*2.1)</f>
        <v>1.596</v>
      </c>
      <c r="N329">
        <v>1</v>
      </c>
      <c r="O329">
        <f>M329*N329</f>
        <v>1.596</v>
      </c>
      <c r="S329">
        <f>F329+I329+L329+O329+R329</f>
        <v>33.684</v>
      </c>
    </row>
    <row r="330">
      <c r="A330">
        <v>11</v>
      </c>
      <c r="B330" t="str">
        <v>Finish pintu kaca</v>
      </c>
      <c r="C330" t="str">
        <v>m</v>
      </c>
      <c r="M330">
        <f>((2.06+0.5)*2)*4</f>
        <v>20.48</v>
      </c>
      <c r="N330">
        <v>1</v>
      </c>
      <c r="O330">
        <f>M330*N330</f>
        <v>20.48</v>
      </c>
      <c r="S330">
        <f>F330+I330+L330+O330+R330</f>
        <v>20.48</v>
      </c>
    </row>
    <row r="331">
      <c r="S331">
        <f>F331+I331+L331+O331+R331</f>
        <v>0</v>
      </c>
    </row>
    <row r="332">
      <c r="A332">
        <v>1</v>
      </c>
      <c r="B332" t="str">
        <v>Jendela</v>
      </c>
      <c r="C332" t="str">
        <v>bh</v>
      </c>
      <c r="D332">
        <v>1</v>
      </c>
      <c r="E332">
        <v>2</v>
      </c>
      <c r="F332">
        <f>D332*E332</f>
        <v>2</v>
      </c>
      <c r="S332">
        <f>F332+I332+L332+O332+R332</f>
        <v>2</v>
      </c>
    </row>
    <row r="333">
      <c r="A333">
        <v>2</v>
      </c>
      <c r="B333" t="str">
        <v>Jendela</v>
      </c>
      <c r="P333">
        <v>2</v>
      </c>
      <c r="Q333">
        <v>3</v>
      </c>
      <c r="R333">
        <f>P333*Q333</f>
        <v>6</v>
      </c>
      <c r="S333">
        <f>F333+I333+L333+O333+R333</f>
        <v>6</v>
      </c>
    </row>
    <row r="334">
      <c r="A334">
        <v>3</v>
      </c>
      <c r="B334" t="str">
        <v>Ensel jendela</v>
      </c>
      <c r="C334" t="str">
        <v>bh</v>
      </c>
      <c r="D334">
        <v>2</v>
      </c>
      <c r="E334">
        <v>2</v>
      </c>
      <c r="F334">
        <f>D334*E334</f>
        <v>4</v>
      </c>
      <c r="P334">
        <v>4</v>
      </c>
      <c r="Q334">
        <v>3</v>
      </c>
      <c r="R334">
        <f>P334*Q334</f>
        <v>12</v>
      </c>
      <c r="S334">
        <f>F334+I334+L334+O334+R334</f>
        <v>16</v>
      </c>
    </row>
    <row r="335">
      <c r="A335">
        <v>4</v>
      </c>
      <c r="B335" t="str">
        <v>Slot jendela</v>
      </c>
      <c r="C335" t="str">
        <v>bh</v>
      </c>
      <c r="D335">
        <v>2</v>
      </c>
      <c r="E335">
        <v>2</v>
      </c>
      <c r="F335">
        <f>D335*E335</f>
        <v>4</v>
      </c>
      <c r="P335">
        <v>4</v>
      </c>
      <c r="Q335">
        <v>3</v>
      </c>
      <c r="R335">
        <f>P335*Q335</f>
        <v>12</v>
      </c>
      <c r="S335">
        <f>F335+I335+L335+O335+R335</f>
        <v>16</v>
      </c>
    </row>
    <row r="336">
      <c r="A336">
        <v>5</v>
      </c>
      <c r="B336" t="str">
        <v>Ram skar</v>
      </c>
      <c r="C336" t="str">
        <v>bh</v>
      </c>
      <c r="D336">
        <v>1</v>
      </c>
      <c r="E336">
        <v>2</v>
      </c>
      <c r="F336">
        <f>D336*E336</f>
        <v>2</v>
      </c>
      <c r="P336">
        <v>2</v>
      </c>
      <c r="Q336">
        <v>3</v>
      </c>
      <c r="R336">
        <f>P336*Q336</f>
        <v>6</v>
      </c>
      <c r="S336">
        <f>F336+I336+L336+O336+R336</f>
        <v>8</v>
      </c>
    </row>
    <row r="337">
      <c r="A337">
        <v>6</v>
      </c>
      <c r="B337" t="str">
        <v>Kaca</v>
      </c>
      <c r="C337" t="str">
        <v>m2</v>
      </c>
      <c r="D337">
        <f>0.36*1.56</f>
        <v>0.5616</v>
      </c>
      <c r="E337">
        <v>2</v>
      </c>
      <c r="F337">
        <f>D337*E337</f>
        <v>1.1232</v>
      </c>
      <c r="M337">
        <f>0.36*1.88*4</f>
        <v>2.7072</v>
      </c>
      <c r="N337">
        <v>1</v>
      </c>
      <c r="O337">
        <f>M337*N337</f>
        <v>2.7072</v>
      </c>
      <c r="P337">
        <f>0.36*1.08*2</f>
        <v>0.7776000000000001</v>
      </c>
      <c r="Q337">
        <v>3</v>
      </c>
      <c r="R337">
        <f>P337*Q337</f>
        <v>2.3328</v>
      </c>
      <c r="S337">
        <f>F337+I337+L337+O337+R337</f>
        <v>6.1632</v>
      </c>
    </row>
    <row r="338">
      <c r="A338">
        <v>7</v>
      </c>
      <c r="B338" t="str">
        <v>Finish jendela</v>
      </c>
      <c r="C338" t="str">
        <v>m</v>
      </c>
      <c r="D338">
        <f>(0.52+1.22)*2</f>
        <v>3.48</v>
      </c>
      <c r="E338">
        <v>2</v>
      </c>
      <c r="F338">
        <f>D338*E338</f>
        <v>6.96</v>
      </c>
      <c r="P338">
        <f>(0.52+1.22+0.52+1.22)*2</f>
        <v>6.959999999999999</v>
      </c>
      <c r="Q338">
        <v>3</v>
      </c>
      <c r="R338">
        <f>P338*Q338</f>
        <v>20.879999999999995</v>
      </c>
      <c r="S338">
        <f>F338+I338+L338+O338+R338</f>
        <v>27.839999999999996</v>
      </c>
    </row>
    <row r="343">
      <c r="A343" t="str">
        <v>PEKERJAAN KUSEN PINTU,JENDELA DAN ACCESSORIES</v>
      </c>
    </row>
    <row r="345">
      <c r="A345" t="str">
        <v>I.</v>
      </c>
      <c r="B345" t="str">
        <v>KUSEN,PINTU &amp; JENDELA</v>
      </c>
    </row>
    <row r="346">
      <c r="A346">
        <v>1</v>
      </c>
      <c r="B346" t="str">
        <v>Kusen (terpasang)</v>
      </c>
      <c r="C346" t="str">
        <v>m3</v>
      </c>
      <c r="D346">
        <f>'B-QTY'!S317</f>
        <v>0.6983999999999999</v>
      </c>
    </row>
    <row r="347">
      <c r="A347">
        <v>2</v>
      </c>
      <c r="B347" t="str">
        <v>Pintu panel depan 71 x 206 cm</v>
      </c>
      <c r="C347" t="str">
        <v>m2</v>
      </c>
      <c r="D347">
        <f>'B-QTY'!S320*0.71*2.06</f>
        <v>2.9252</v>
      </c>
    </row>
    <row r="348">
      <c r="A348">
        <v>3</v>
      </c>
      <c r="B348" t="str">
        <v>Pintu panel kamar tidur 81 x 206 cm</v>
      </c>
      <c r="C348" t="str">
        <v>m2</v>
      </c>
      <c r="D348">
        <f>'B-QTY'!S321*0.81*2.06</f>
        <v>10.011600000000001</v>
      </c>
    </row>
    <row r="349">
      <c r="A349">
        <v>4</v>
      </c>
      <c r="B349" t="str">
        <v>Pintu panel kamar mandi 71 x 206 cm</v>
      </c>
      <c r="C349" t="str">
        <v>m2</v>
      </c>
      <c r="D349">
        <f>'B-QTY'!S322*0.71*2.06</f>
        <v>2.9252</v>
      </c>
    </row>
    <row r="350">
      <c r="A350">
        <v>5</v>
      </c>
      <c r="B350" t="str">
        <v>Pintu kaca 50 x 206 cm</v>
      </c>
      <c r="C350" t="str">
        <v>m2</v>
      </c>
      <c r="D350">
        <f>'B-QTY'!S323*0.5*2.06</f>
        <v>4.12</v>
      </c>
    </row>
    <row r="351">
      <c r="A351">
        <v>6</v>
      </c>
      <c r="B351" t="str">
        <v>Jendela kaca 52 x 122 cm</v>
      </c>
      <c r="C351" t="str">
        <v>m2</v>
      </c>
      <c r="D351">
        <f>'B-QTY'!S333*0.52*1.22</f>
        <v>3.8064</v>
      </c>
    </row>
    <row r="352">
      <c r="A352">
        <v>7</v>
      </c>
      <c r="B352" t="str">
        <v>Jendela kaca 52 x 182 cm</v>
      </c>
      <c r="C352" t="str">
        <v>m2</v>
      </c>
      <c r="D352">
        <f>'B-QTY'!S332*0.52*1.82</f>
        <v>1.8928</v>
      </c>
    </row>
    <row r="354">
      <c r="A354" t="str">
        <v>II.</v>
      </c>
      <c r="B354" t="str">
        <v>ACCESSORIES</v>
      </c>
    </row>
    <row r="355">
      <c r="A355">
        <v>1</v>
      </c>
      <c r="B355" t="str">
        <v>Kaca polos 5 mm</v>
      </c>
      <c r="C355" t="str">
        <v>m2</v>
      </c>
      <c r="D355">
        <f>'B-QTY'!S337</f>
        <v>6.1632</v>
      </c>
    </row>
    <row r="356">
      <c r="A356">
        <v>2</v>
      </c>
      <c r="B356" t="str">
        <v>Engsel pintu</v>
      </c>
      <c r="C356" t="str">
        <v>bh</v>
      </c>
      <c r="D356">
        <f>'B-QTY'!S324</f>
        <v>42</v>
      </c>
    </row>
    <row r="357">
      <c r="A357">
        <v>3</v>
      </c>
      <c r="B357" t="str">
        <v>Engsel jendela</v>
      </c>
      <c r="C357" t="str">
        <v>bh</v>
      </c>
      <c r="D357">
        <f>'B-QTY'!S334</f>
        <v>16</v>
      </c>
    </row>
    <row r="358">
      <c r="A358">
        <v>4</v>
      </c>
      <c r="B358" t="str">
        <v>Kunci pintu utama</v>
      </c>
      <c r="C358" t="str">
        <v>bh</v>
      </c>
      <c r="D358">
        <f>'B-QTY'!S325</f>
        <v>2</v>
      </c>
    </row>
    <row r="359">
      <c r="A359">
        <v>5</v>
      </c>
      <c r="B359" t="str">
        <v xml:space="preserve">Kunci pintu kamar </v>
      </c>
      <c r="C359" t="str">
        <v>bh</v>
      </c>
      <c r="D359">
        <f>'B-QTY'!S326</f>
        <v>7</v>
      </c>
    </row>
    <row r="360">
      <c r="A360">
        <v>6</v>
      </c>
      <c r="B360" t="str">
        <v>Kunci pintu kamar mandi</v>
      </c>
      <c r="C360" t="str">
        <v>bh</v>
      </c>
      <c r="D360">
        <f>'B-QTY'!S327</f>
        <v>2</v>
      </c>
    </row>
    <row r="361">
      <c r="A361">
        <v>7</v>
      </c>
      <c r="B361" t="str">
        <v>Slot tanam</v>
      </c>
      <c r="C361" t="str">
        <v>ps</v>
      </c>
      <c r="D361">
        <f>'B-QTY'!S328</f>
        <v>3</v>
      </c>
    </row>
    <row r="362">
      <c r="A362">
        <v>8</v>
      </c>
      <c r="B362" t="str">
        <v>Kait angin</v>
      </c>
      <c r="C362" t="str">
        <v>bh</v>
      </c>
      <c r="D362">
        <f>'B-QTY'!S336</f>
        <v>8</v>
      </c>
    </row>
    <row r="363">
      <c r="A363">
        <v>9</v>
      </c>
      <c r="B363" t="str">
        <v>Slot jendela</v>
      </c>
      <c r="C363" t="str">
        <v>bh</v>
      </c>
      <c r="D363">
        <f>'B-QTY'!S335</f>
        <v>16</v>
      </c>
    </row>
    <row r="365">
      <c r="A365" t="str">
        <v>III.</v>
      </c>
      <c r="B365" t="str">
        <v>FINSHING KUSEN,PINTU DAN JENDELA</v>
      </c>
    </row>
    <row r="366">
      <c r="A366">
        <v>1</v>
      </c>
      <c r="B366" t="str">
        <v>Cat kusen</v>
      </c>
      <c r="C366" t="str">
        <v>m2</v>
      </c>
      <c r="D366">
        <f>'B-QTY'!S318*(0.05+0.15+0.05)</f>
        <v>19.400000000000002</v>
      </c>
    </row>
    <row r="367">
      <c r="A367">
        <v>2</v>
      </c>
      <c r="B367" t="str">
        <v xml:space="preserve">Cat pintu </v>
      </c>
      <c r="C367" t="str">
        <v>m2</v>
      </c>
      <c r="D367">
        <f>'B-QTY'!S329*2</f>
        <v>67.368</v>
      </c>
    </row>
    <row r="368">
      <c r="A368">
        <v>3</v>
      </c>
      <c r="B368" t="str">
        <v>Cat pintu kaca</v>
      </c>
      <c r="C368" t="str">
        <v>m2</v>
      </c>
      <c r="D368">
        <f>'B-QTY'!S330*(0.04+0.12+0.04+0.12)</f>
        <v>6.5536</v>
      </c>
    </row>
    <row r="369">
      <c r="A369">
        <v>4</v>
      </c>
      <c r="B369" t="str">
        <v>Cat jendela</v>
      </c>
      <c r="C369" t="str">
        <v>m2</v>
      </c>
      <c r="D369">
        <f>'B-QTY'!S338*(0.04+0.1+0.04+0.1)</f>
        <v>7.7951999999999995</v>
      </c>
    </row>
    <row r="371">
      <c r="B371" t="str">
        <v xml:space="preserve">                       </v>
      </c>
    </row>
    <row r="373">
      <c r="A373" t="str">
        <v>VOLUME FINISHING</v>
      </c>
    </row>
    <row r="375">
      <c r="A375" t="str">
        <v>I.</v>
      </c>
      <c r="B375" t="str">
        <v xml:space="preserve">TERAS DEPAN </v>
      </c>
    </row>
    <row r="376">
      <c r="A376">
        <v>1</v>
      </c>
      <c r="B376" t="str">
        <v>Finishing fasade</v>
      </c>
      <c r="C376" t="str">
        <v>m2</v>
      </c>
      <c r="D376">
        <f>4*5</f>
        <v>20</v>
      </c>
    </row>
    <row r="377">
      <c r="A377">
        <v>2</v>
      </c>
      <c r="B377" t="str">
        <v>Finishing lantai</v>
      </c>
      <c r="C377" t="str">
        <v>m2</v>
      </c>
      <c r="D377">
        <f>'B-QTY'!E24</f>
        <v>4</v>
      </c>
    </row>
    <row r="378">
      <c r="A378">
        <v>3</v>
      </c>
      <c r="B378" t="str">
        <v>Plint lantai + tali air</v>
      </c>
      <c r="C378" t="str">
        <v>m'</v>
      </c>
      <c r="D378">
        <f>0.6+2+2</f>
        <v>4.6</v>
      </c>
    </row>
    <row r="379">
      <c r="A379">
        <v>4</v>
      </c>
      <c r="B379" t="str">
        <v>Finishing plafond</v>
      </c>
      <c r="C379" t="str">
        <v>m2</v>
      </c>
      <c r="D379">
        <f>D377</f>
        <v>4</v>
      </c>
    </row>
    <row r="380">
      <c r="A380">
        <v>5</v>
      </c>
      <c r="B380" t="str">
        <v>Cat plafond</v>
      </c>
      <c r="C380" t="str">
        <v>m2</v>
      </c>
      <c r="D380">
        <f>D379</f>
        <v>4</v>
      </c>
    </row>
    <row r="381">
      <c r="A381">
        <v>6</v>
      </c>
      <c r="B381" t="str">
        <v>List plafond</v>
      </c>
      <c r="C381" t="str">
        <v>m'</v>
      </c>
      <c r="D381">
        <f>(2+2)*2</f>
        <v>8</v>
      </c>
    </row>
    <row r="383">
      <c r="A383" t="str">
        <v>II.</v>
      </c>
      <c r="B383" t="str">
        <v>RUANG KELUARGA,DAPUR &amp; R.SETRIKA</v>
      </c>
    </row>
    <row r="384">
      <c r="A384">
        <v>1</v>
      </c>
      <c r="B384" t="str">
        <v>Finishing dinding</v>
      </c>
      <c r="C384" t="str">
        <v>m2</v>
      </c>
      <c r="D384">
        <f>(50.925*3.3)-((0.9*2.1*7)+(0.8*2.1*2)+(2.1*2.1)+(2.1*0.9*2)+(1.8*0.55*2)+(1.3*1.15*2))</f>
        <v>138.30249999999998</v>
      </c>
    </row>
    <row r="385">
      <c r="A385">
        <v>2</v>
      </c>
      <c r="B385" t="str">
        <v>Finishing lantai</v>
      </c>
      <c r="C385" t="str">
        <v>m2</v>
      </c>
      <c r="D385">
        <f>'B-QTY'!E12+'B-QTY'!E13+'B-QTY'!E14+'B-QTY'!E21</f>
        <v>57.01375</v>
      </c>
    </row>
    <row r="386">
      <c r="A386">
        <v>3</v>
      </c>
      <c r="B386" t="str">
        <v>Plint lantai</v>
      </c>
      <c r="C386" t="str">
        <v>m'</v>
      </c>
      <c r="D386">
        <f>(50.925*1)-((0.9*7)+(0.8*2)+(2.1*1)+(0.9*2))</f>
        <v>39.125</v>
      </c>
    </row>
    <row r="387">
      <c r="A387">
        <v>4</v>
      </c>
      <c r="B387" t="str">
        <v>Finishing plafond</v>
      </c>
      <c r="C387" t="str">
        <v>m2</v>
      </c>
      <c r="D387">
        <f>D385</f>
        <v>57.01375</v>
      </c>
    </row>
    <row r="388">
      <c r="A388">
        <v>5</v>
      </c>
      <c r="B388" t="str">
        <v>Cat plafond</v>
      </c>
      <c r="C388" t="str">
        <v>m2</v>
      </c>
      <c r="D388">
        <f>D387</f>
        <v>57.01375</v>
      </c>
    </row>
    <row r="389">
      <c r="A389">
        <v>6</v>
      </c>
      <c r="B389" t="str">
        <v>List plafond</v>
      </c>
      <c r="C389" t="str">
        <v>m'</v>
      </c>
      <c r="D389">
        <v>50.925</v>
      </c>
    </row>
    <row r="391">
      <c r="A391" t="str">
        <v>III.</v>
      </c>
      <c r="B391" t="str">
        <v>KAMAR TIDUR UTAMA</v>
      </c>
    </row>
    <row r="392">
      <c r="A392">
        <v>1</v>
      </c>
      <c r="B392" t="str">
        <v>Finishing dinding</v>
      </c>
      <c r="C392" t="str">
        <v>m2</v>
      </c>
      <c r="D392">
        <f>(((3.05+3.075)*2)*3)-((0.9*2.1*1)+(1.3*1.15*1))</f>
        <v>33.365</v>
      </c>
    </row>
    <row r="393">
      <c r="A393">
        <v>2</v>
      </c>
      <c r="B393" t="str">
        <v>Finishing lantai</v>
      </c>
      <c r="C393" t="str">
        <v>m2</v>
      </c>
      <c r="D393">
        <f>'B-QTY'!E15</f>
        <v>9.37875</v>
      </c>
    </row>
    <row r="394">
      <c r="A394">
        <v>3</v>
      </c>
      <c r="B394" t="str">
        <v>Plint lantai</v>
      </c>
      <c r="C394" t="str">
        <v>m'</v>
      </c>
      <c r="D394">
        <f>((3.05+3.075)*2)-(0.9*1)</f>
        <v>11.35</v>
      </c>
    </row>
    <row r="395">
      <c r="A395">
        <v>4</v>
      </c>
      <c r="B395" t="str">
        <v>Finishing plafond</v>
      </c>
      <c r="C395" t="str">
        <v>m2</v>
      </c>
      <c r="D395">
        <f>D393</f>
        <v>9.37875</v>
      </c>
    </row>
    <row r="396">
      <c r="A396">
        <v>5</v>
      </c>
      <c r="B396" t="str">
        <v>Cat plafond</v>
      </c>
      <c r="C396" t="str">
        <v>m2</v>
      </c>
      <c r="D396">
        <f>D395</f>
        <v>9.37875</v>
      </c>
    </row>
    <row r="397">
      <c r="A397">
        <v>6</v>
      </c>
      <c r="B397" t="str">
        <v>List plafond</v>
      </c>
      <c r="C397" t="str">
        <v>m'</v>
      </c>
      <c r="D397">
        <f>((3.05+3.075)*2)</f>
        <v>12.25</v>
      </c>
    </row>
    <row r="399">
      <c r="A399" t="str">
        <v>V.</v>
      </c>
      <c r="B399" t="str">
        <v>KAMAR TIDUR.ANAK</v>
      </c>
    </row>
    <row r="400">
      <c r="A400">
        <v>1</v>
      </c>
      <c r="B400" t="str">
        <v>Finishing dinding</v>
      </c>
      <c r="C400" t="str">
        <v>m2</v>
      </c>
      <c r="D400">
        <f>(33.9*3)-((0.9*2.1*3)+(1.3*1.15*2))</f>
        <v>93.03999999999999</v>
      </c>
    </row>
    <row r="401">
      <c r="A401">
        <v>2</v>
      </c>
      <c r="B401" t="str">
        <v>Finishing lantai</v>
      </c>
      <c r="C401" t="str">
        <v>m2</v>
      </c>
      <c r="D401">
        <f>'B-QTY'!E16+'B-QTY'!E17+'B-QTY'!E18</f>
        <v>25.17875</v>
      </c>
    </row>
    <row r="402">
      <c r="A402">
        <v>3</v>
      </c>
      <c r="B402" t="str">
        <v>Plint lantai</v>
      </c>
      <c r="C402" t="str">
        <v>m'</v>
      </c>
      <c r="D402">
        <f>(33.9*1)-(0.9*3)</f>
        <v>31.2</v>
      </c>
    </row>
    <row r="403">
      <c r="A403">
        <v>4</v>
      </c>
      <c r="B403" t="str">
        <v>Finishing plafond</v>
      </c>
      <c r="C403" t="str">
        <v>m2</v>
      </c>
      <c r="D403">
        <f>D401</f>
        <v>25.17875</v>
      </c>
    </row>
    <row r="404">
      <c r="A404">
        <v>6</v>
      </c>
      <c r="B404" t="str">
        <v>Cat plafond</v>
      </c>
      <c r="C404" t="str">
        <v>m2</v>
      </c>
      <c r="D404">
        <f>D403</f>
        <v>25.17875</v>
      </c>
    </row>
    <row r="405">
      <c r="A405">
        <v>7</v>
      </c>
      <c r="B405" t="str">
        <v>List plafond</v>
      </c>
      <c r="C405" t="str">
        <v>m'</v>
      </c>
      <c r="D405">
        <f>25.9</f>
        <v>25.9</v>
      </c>
    </row>
    <row r="407">
      <c r="A407" t="str">
        <v>VI.</v>
      </c>
      <c r="B407" t="str">
        <v>KAMAR MANDI</v>
      </c>
    </row>
    <row r="408">
      <c r="A408">
        <v>1</v>
      </c>
      <c r="B408" t="str">
        <v>Finishing dinding</v>
      </c>
      <c r="C408" t="str">
        <v>m2</v>
      </c>
      <c r="D408">
        <f>(((2+2.25)*2)*2.7)-(0.8*2.1)</f>
        <v>21.270000000000003</v>
      </c>
    </row>
    <row r="409">
      <c r="A409">
        <v>2</v>
      </c>
      <c r="B409" t="str">
        <v>Finishing lantai</v>
      </c>
      <c r="C409" t="str">
        <v>m2</v>
      </c>
      <c r="D409">
        <f>'B-QTY'!E19</f>
        <v>4.5</v>
      </c>
    </row>
    <row r="410">
      <c r="A410">
        <v>3</v>
      </c>
      <c r="B410" t="str">
        <v>Finishing plafond</v>
      </c>
      <c r="C410" t="str">
        <v>m2</v>
      </c>
      <c r="D410">
        <f>D409</f>
        <v>4.5</v>
      </c>
    </row>
    <row r="411">
      <c r="A411">
        <v>4</v>
      </c>
      <c r="B411" t="str">
        <v>Cat plafond</v>
      </c>
      <c r="C411" t="str">
        <v>m2</v>
      </c>
      <c r="D411">
        <f>D410</f>
        <v>4.5</v>
      </c>
    </row>
    <row r="412">
      <c r="A412">
        <v>5</v>
      </c>
      <c r="B412" t="str">
        <v>List plafond</v>
      </c>
      <c r="C412" t="str">
        <v>m'</v>
      </c>
      <c r="D412">
        <f>((2+1.875)*2)</f>
        <v>7.75</v>
      </c>
    </row>
    <row r="413">
      <c r="A413">
        <v>6</v>
      </c>
      <c r="B413" t="str">
        <v>Washtafel</v>
      </c>
      <c r="C413" t="str">
        <v>bh</v>
      </c>
      <c r="D413">
        <v>1</v>
      </c>
    </row>
    <row r="414">
      <c r="A414">
        <v>7</v>
      </c>
      <c r="B414" t="str">
        <v xml:space="preserve">Kran washtafel </v>
      </c>
      <c r="C414" t="str">
        <v>bh</v>
      </c>
      <c r="D414">
        <v>1</v>
      </c>
    </row>
    <row r="415">
      <c r="A415">
        <v>8</v>
      </c>
      <c r="B415" t="str">
        <v>Closet duduk</v>
      </c>
      <c r="C415" t="str">
        <v>bh</v>
      </c>
      <c r="D415">
        <v>1</v>
      </c>
    </row>
    <row r="416">
      <c r="A416">
        <v>9</v>
      </c>
      <c r="B416" t="str">
        <v>Shower spray (kran bilas)</v>
      </c>
      <c r="C416" t="str">
        <v>bh</v>
      </c>
      <c r="D416">
        <v>1</v>
      </c>
    </row>
    <row r="417">
      <c r="A417">
        <v>10</v>
      </c>
      <c r="B417" t="str">
        <v>Wall shower</v>
      </c>
      <c r="C417" t="str">
        <v>bh</v>
      </c>
      <c r="D417">
        <v>1</v>
      </c>
    </row>
    <row r="418">
      <c r="A418">
        <v>11</v>
      </c>
      <c r="B418" t="str">
        <v>Shower valve</v>
      </c>
      <c r="C418" t="str">
        <v>bh</v>
      </c>
      <c r="D418">
        <v>1</v>
      </c>
    </row>
    <row r="419">
      <c r="A419">
        <v>12</v>
      </c>
      <c r="B419" t="str">
        <v>Floor drain</v>
      </c>
      <c r="C419" t="str">
        <v>bh</v>
      </c>
      <c r="D419">
        <v>1</v>
      </c>
    </row>
    <row r="420">
      <c r="A420">
        <v>13</v>
      </c>
      <c r="B420" t="str">
        <v>Soap holder</v>
      </c>
      <c r="C420" t="str">
        <v>bh</v>
      </c>
      <c r="D420">
        <v>1</v>
      </c>
    </row>
    <row r="422">
      <c r="A422" t="str">
        <v>IX.</v>
      </c>
      <c r="B422" t="str">
        <v>DAPUR</v>
      </c>
    </row>
    <row r="423">
      <c r="A423">
        <v>1</v>
      </c>
      <c r="B423" t="str">
        <v>Finishing dinding &amp; meja dapur</v>
      </c>
      <c r="C423" t="str">
        <v>m2</v>
      </c>
      <c r="D423">
        <f>(0.6+1.8+1.8)*0.6</f>
        <v>2.52</v>
      </c>
    </row>
    <row r="424">
      <c r="A424">
        <v>2</v>
      </c>
      <c r="B424" t="str">
        <v xml:space="preserve">Sink </v>
      </c>
      <c r="C424" t="str">
        <v>bh</v>
      </c>
      <c r="D424">
        <v>1</v>
      </c>
    </row>
    <row r="425">
      <c r="A425">
        <v>3</v>
      </c>
      <c r="B425" t="str">
        <v>Kran sink</v>
      </c>
      <c r="C425" t="str">
        <v>bh</v>
      </c>
      <c r="D425">
        <v>1</v>
      </c>
    </row>
    <row r="427">
      <c r="A427" t="str">
        <v>XI.</v>
      </c>
      <c r="B427" t="str">
        <v>TERAS BELAKANG</v>
      </c>
    </row>
    <row r="428">
      <c r="A428">
        <v>1</v>
      </c>
      <c r="B428" t="str">
        <v>Finishing lantai</v>
      </c>
      <c r="C428" t="str">
        <v>m2</v>
      </c>
      <c r="D428">
        <f>'B-QTY'!E25</f>
        <v>9</v>
      </c>
    </row>
    <row r="429">
      <c r="A429">
        <v>2</v>
      </c>
      <c r="B429" t="str">
        <v>Plint lantai</v>
      </c>
      <c r="C429" t="str">
        <v>m2</v>
      </c>
      <c r="D429">
        <f>1.8+1.8+0.6</f>
        <v>4.2</v>
      </c>
    </row>
    <row r="431">
      <c r="A431" t="str">
        <v>XII.</v>
      </c>
      <c r="B431" t="str">
        <v>CARPORT</v>
      </c>
    </row>
    <row r="432">
      <c r="A432">
        <v>1</v>
      </c>
      <c r="B432" t="str">
        <v>Finishing lantai</v>
      </c>
      <c r="C432" t="str">
        <v>m2</v>
      </c>
      <c r="D432">
        <f>'B-QTY'!E28</f>
        <v>37.5</v>
      </c>
    </row>
    <row r="433">
      <c r="A433">
        <v>2</v>
      </c>
      <c r="B433" t="str">
        <v>Kran tembok</v>
      </c>
      <c r="C433" t="str">
        <v>bh</v>
      </c>
      <c r="D433">
        <v>1</v>
      </c>
    </row>
    <row r="435">
      <c r="A435" t="str">
        <v>XIII.</v>
      </c>
      <c r="B435" t="str">
        <v>FINISHING BAGIAN LUAR</v>
      </c>
    </row>
    <row r="436">
      <c r="A436">
        <v>1</v>
      </c>
      <c r="B436" t="str">
        <v>Cat dinding luar</v>
      </c>
      <c r="C436" t="str">
        <v>m2</v>
      </c>
      <c r="D436">
        <f>('B-QTY'!D63+'B-QTY'!H60)-(D384+D392+D400+D408+D423)</f>
        <v>554.3925</v>
      </c>
    </row>
    <row r="437">
      <c r="A437">
        <v>2</v>
      </c>
      <c r="B437" t="str">
        <v>Finishing plafond luar</v>
      </c>
      <c r="C437" t="str">
        <v>m2</v>
      </c>
      <c r="D437">
        <f>(12.2*1)+(5*1.8)+(8*1)+(10*0.6)</f>
        <v>35.2</v>
      </c>
    </row>
    <row r="438">
      <c r="A438">
        <v>3</v>
      </c>
      <c r="B438" t="str">
        <v>Cat plafond</v>
      </c>
      <c r="C438" t="str">
        <v>m2</v>
      </c>
      <c r="D438">
        <f>D437</f>
        <v>35.2</v>
      </c>
    </row>
    <row r="440">
      <c r="A440" t="str">
        <v>XIV.</v>
      </c>
      <c r="B440" t="str">
        <v>FINISHING ATAP</v>
      </c>
    </row>
    <row r="441">
      <c r="A441">
        <v>1</v>
      </c>
      <c r="B441" t="str">
        <v>Pengecatan listplank</v>
      </c>
      <c r="C441" t="str">
        <v>m2</v>
      </c>
      <c r="D441">
        <f>(24.4+10+7)*(0.04+0.2+0.04+0.2)</f>
        <v>19.872</v>
      </c>
    </row>
    <row r="442">
      <c r="A442">
        <v>2</v>
      </c>
      <c r="B442" t="str">
        <v>Pengecatan wuwung</v>
      </c>
      <c r="C442" t="str">
        <v>m'</v>
      </c>
      <c r="D442">
        <v>12.8</v>
      </c>
    </row>
    <row r="443">
      <c r="A443">
        <v>3</v>
      </c>
      <c r="B443" t="str">
        <v>Water profing dak beton</v>
      </c>
      <c r="C443" t="str">
        <v>m2</v>
      </c>
      <c r="D443">
        <f>(2*2)+(6.55*1.8)</f>
        <v>15.79</v>
      </c>
    </row>
    <row r="444">
      <c r="A444">
        <v>4</v>
      </c>
      <c r="B444" t="str">
        <v>Finishing lantai dak beton</v>
      </c>
      <c r="C444" t="str">
        <v>m2</v>
      </c>
      <c r="D444">
        <f>D443</f>
        <v>15.79</v>
      </c>
    </row>
    <row r="445">
      <c r="A445">
        <v>5</v>
      </c>
      <c r="B445" t="str">
        <v xml:space="preserve">Roof drain </v>
      </c>
      <c r="C445" t="str">
        <v>bh</v>
      </c>
      <c r="D445">
        <v>2</v>
      </c>
    </row>
  </sheetData>
  <mergeCells count="11">
    <mergeCell ref="P310:R310"/>
    <mergeCell ref="Q40:T40"/>
    <mergeCell ref="M40:P40"/>
    <mergeCell ref="E40:H40"/>
    <mergeCell ref="D310:F310"/>
    <mergeCell ref="G310:I310"/>
    <mergeCell ref="J310:L310"/>
    <mergeCell ref="M310:O310"/>
    <mergeCell ref="A40:D40"/>
    <mergeCell ref="I40:L40"/>
    <mergeCell ref="A126:G126"/>
  </mergeCells>
  <hyperlinks>
    <hyperlink ref="A1" location="MENU!A1" tooltip="menu"/>
  </hyperlinks>
  <pageMargins left="0.99" right="0.19" top="0.1" bottom="0.46" header="0.51" footer="0.17"/>
  <ignoredErrors>
    <ignoredError numberStoredAsText="1" sqref="A1:T445"/>
  </ignoredErrors>
</worksheet>
</file>

<file path=xl/worksheets/sheet22.xml><?xml version="1.0" encoding="utf-8"?>
<worksheet xmlns="http://schemas.openxmlformats.org/spreadsheetml/2006/main" xmlns:r="http://schemas.openxmlformats.org/officeDocument/2006/relationships">
  <dimension ref="A1:AM377"/>
  <sheetViews>
    <sheetView workbookViewId="0" rightToLeft="0"/>
  </sheetViews>
  <sheetData>
    <row r="1">
      <c r="A1" t="str">
        <v>menu</v>
      </c>
    </row>
    <row r="2">
      <c r="A2" t="str">
        <v>TAKING OFF</v>
      </c>
    </row>
    <row r="3">
      <c r="A3" t="str">
        <v>PERHITUNGAN VOLUME</v>
      </c>
    </row>
    <row r="4">
      <c r="A4" t="str">
        <v>RUMAH NEGARA TYPE  C</v>
      </c>
    </row>
    <row r="5">
      <c r="A5" t="str">
        <v>LUAS BANGUNGAN TYPE C ( 70 M2)</v>
      </c>
    </row>
    <row r="7">
      <c r="B7" t="str">
        <v>TAKING OFF FINISHING</v>
      </c>
    </row>
    <row r="9">
      <c r="S9" t="str">
        <v>Wall finish</v>
      </c>
      <c r="AB9" t="str">
        <v>Floor finish</v>
      </c>
      <c r="AJ9" t="str">
        <v>Ceiling Finish</v>
      </c>
    </row>
    <row r="10">
      <c r="H10" t="str">
        <v>Parimeter finish wall</v>
      </c>
      <c r="K10" t="str">
        <v>DDT Opening</v>
      </c>
      <c r="S10" t="str">
        <v>Background</v>
      </c>
      <c r="W10" t="str">
        <v>Finishing</v>
      </c>
      <c r="AJ10" t="str">
        <v>dry area</v>
      </c>
      <c r="AK10" t="str">
        <v>wet area</v>
      </c>
    </row>
    <row r="11">
      <c r="B11" t="str">
        <v>No</v>
      </c>
      <c r="C11" t="str">
        <v>Room</v>
      </c>
      <c r="D11" t="str">
        <v>W</v>
      </c>
      <c r="E11" t="str">
        <v>L</v>
      </c>
      <c r="F11" t="str">
        <v>unit</v>
      </c>
      <c r="G11" t="str">
        <v>Area</v>
      </c>
      <c r="J11" t="str">
        <v>Height</v>
      </c>
      <c r="S11" t="str">
        <v>Plaster</v>
      </c>
      <c r="T11" t="str">
        <v>Plaster</v>
      </c>
      <c r="U11" t="str">
        <v>Plaster</v>
      </c>
      <c r="V11" t="str">
        <v>Batu Tempel</v>
      </c>
      <c r="W11" t="str">
        <v>Keramik</v>
      </c>
      <c r="X11" t="str">
        <v>Painting</v>
      </c>
      <c r="AB11" t="str">
        <v>Sand Bed</v>
      </c>
      <c r="AC11" t="str">
        <v>Lean concreate</v>
      </c>
      <c r="AD11" t="str">
        <v>Keramik</v>
      </c>
      <c r="AE11" t="str">
        <v>Keramik</v>
      </c>
      <c r="AF11" t="str">
        <v>Screed</v>
      </c>
      <c r="AJ11" t="str">
        <v>Gypsumboard</v>
      </c>
      <c r="AK11" t="str">
        <v>Gypsumboard</v>
      </c>
      <c r="AL11" t="str">
        <v>Painting</v>
      </c>
      <c r="AM11" t="str">
        <v>Painting</v>
      </c>
    </row>
    <row r="12">
      <c r="H12" t="str">
        <v>Internal</v>
      </c>
      <c r="I12" t="str">
        <v>External</v>
      </c>
      <c r="J12" t="str">
        <v>Wall</v>
      </c>
      <c r="K12" t="str">
        <v>type</v>
      </c>
      <c r="L12" t="str">
        <v>H</v>
      </c>
      <c r="M12" t="str">
        <v>W</v>
      </c>
      <c r="N12" t="str">
        <v>unit</v>
      </c>
      <c r="O12" t="str">
        <v>area</v>
      </c>
      <c r="Q12" t="str">
        <v>BG</v>
      </c>
      <c r="R12" t="str">
        <v>Fin</v>
      </c>
      <c r="S12" t="str">
        <v>Int. 1:5</v>
      </c>
      <c r="T12" t="str">
        <v>Int. 1:3</v>
      </c>
      <c r="U12" t="str">
        <v>Int. 1:5</v>
      </c>
      <c r="W12" t="str">
        <v>20/20; T.1,6</v>
      </c>
      <c r="X12" t="str">
        <v>Interior</v>
      </c>
      <c r="Y12" t="str">
        <v>Exterior</v>
      </c>
      <c r="AA12" t="str">
        <v>Fin</v>
      </c>
      <c r="AB12" t="str">
        <v>t. 10 cm</v>
      </c>
      <c r="AC12" t="str">
        <v>t. 5 cm</v>
      </c>
      <c r="AD12" t="str">
        <v>30/30</v>
      </c>
      <c r="AE12" t="str">
        <v>20/20</v>
      </c>
      <c r="AH12" t="str">
        <v>BG</v>
      </c>
      <c r="AI12" t="str">
        <v>Fin</v>
      </c>
      <c r="AJ12" t="str">
        <v>t. 9 mm</v>
      </c>
      <c r="AK12" t="str">
        <v>t. 9 mm</v>
      </c>
      <c r="AL12" t="str">
        <v>dry area</v>
      </c>
      <c r="AM12" t="str">
        <v>wet area</v>
      </c>
    </row>
    <row r="13">
      <c r="J13" t="str">
        <v>Finish</v>
      </c>
      <c r="S13" t="str">
        <v>1A</v>
      </c>
      <c r="T13" t="str">
        <v>1B</v>
      </c>
      <c r="U13" t="str">
        <v>1C</v>
      </c>
      <c r="V13">
        <v>1</v>
      </c>
      <c r="W13">
        <v>2</v>
      </c>
      <c r="X13">
        <v>3</v>
      </c>
      <c r="Y13">
        <v>4</v>
      </c>
      <c r="AB13">
        <v>1</v>
      </c>
      <c r="AC13">
        <v>2</v>
      </c>
      <c r="AD13">
        <v>3</v>
      </c>
      <c r="AE13">
        <v>4</v>
      </c>
      <c r="AF13">
        <v>5</v>
      </c>
      <c r="AJ13">
        <v>1</v>
      </c>
      <c r="AK13">
        <v>2</v>
      </c>
      <c r="AL13">
        <v>3</v>
      </c>
      <c r="AM13">
        <v>4</v>
      </c>
    </row>
    <row r="14">
      <c r="D14" t="str">
        <v>m</v>
      </c>
      <c r="E14" t="str">
        <v>m</v>
      </c>
      <c r="G14" t="str">
        <v>m2</v>
      </c>
      <c r="H14" t="str">
        <v>m'</v>
      </c>
      <c r="I14" t="str">
        <v>m'</v>
      </c>
      <c r="J14" t="str">
        <v>m'</v>
      </c>
      <c r="L14" t="str">
        <v>m'</v>
      </c>
      <c r="M14" t="str">
        <v>m'</v>
      </c>
      <c r="N14" t="str">
        <v>no</v>
      </c>
      <c r="O14" t="str">
        <v>m2</v>
      </c>
      <c r="S14" t="str">
        <v>m2</v>
      </c>
      <c r="T14" t="str">
        <v>m3</v>
      </c>
      <c r="U14" t="str">
        <v>m2</v>
      </c>
      <c r="V14" t="str">
        <v>m2</v>
      </c>
      <c r="W14" t="str">
        <v>m2</v>
      </c>
      <c r="X14" t="str">
        <v>m2</v>
      </c>
      <c r="Y14" t="str">
        <v>m2</v>
      </c>
      <c r="AB14" t="str">
        <v>m3</v>
      </c>
      <c r="AC14" t="str">
        <v>m2</v>
      </c>
      <c r="AD14" t="str">
        <v>m2</v>
      </c>
      <c r="AE14" t="str">
        <v>m2</v>
      </c>
      <c r="AF14" t="str">
        <v>m2</v>
      </c>
      <c r="AJ14" t="str">
        <v>m2</v>
      </c>
      <c r="AK14" t="str">
        <v>m2</v>
      </c>
      <c r="AL14" t="str">
        <v>m2</v>
      </c>
      <c r="AM14" t="str">
        <v>m2</v>
      </c>
    </row>
    <row r="15">
      <c r="W15">
        <v>2</v>
      </c>
      <c r="AB15">
        <v>0.1</v>
      </c>
    </row>
    <row r="16">
      <c r="C16" t="str">
        <v>Summary</v>
      </c>
      <c r="G16">
        <f>SUM(G18:G40)+SUM(G41:G45)/2</f>
        <v>71.4825</v>
      </c>
      <c r="S16">
        <f>SUM(S18:S51)</f>
        <v>172.83499999999998</v>
      </c>
      <c r="T16">
        <f>SUM(T18:T51)</f>
        <v>10.32</v>
      </c>
      <c r="U16">
        <f>SUM(U18:U51)</f>
        <v>153.38</v>
      </c>
      <c r="V16">
        <f>SUM(V18:V51)</f>
        <v>10.090999999999998</v>
      </c>
      <c r="W16">
        <f>SUM(W18:W51)</f>
        <v>12.184999999999999</v>
      </c>
      <c r="X16">
        <f>SUM(X18:X51)</f>
        <v>183.155</v>
      </c>
      <c r="Y16">
        <f>SUM(Y18:Y51)</f>
        <v>153.38</v>
      </c>
      <c r="AB16">
        <f>SUM(AB18:AB51)</f>
        <v>7.605500000000001</v>
      </c>
      <c r="AC16">
        <f>SUM(AC18:AC51)</f>
        <v>76.05499999999999</v>
      </c>
      <c r="AD16">
        <f>SUM(AD18:AD51)</f>
        <v>71.7875</v>
      </c>
      <c r="AE16">
        <f>SUM(AE18:AE51)</f>
        <v>4.2675</v>
      </c>
      <c r="AF16">
        <f>SUM(AF18:AF51)</f>
        <v>0</v>
      </c>
      <c r="AJ16">
        <f>SUM(AJ18:AJ51)</f>
        <v>65.95</v>
      </c>
      <c r="AK16">
        <f>SUM(AK18:AK51)</f>
        <v>10.105</v>
      </c>
      <c r="AL16">
        <f>SUM(AL18:AL51)</f>
        <v>65.95</v>
      </c>
      <c r="AM16">
        <f>SUM(AM18:AM51)</f>
        <v>10.105</v>
      </c>
    </row>
    <row r="18">
      <c r="B18">
        <v>1</v>
      </c>
      <c r="C18" t="str">
        <v>Kitcen, Dining room</v>
      </c>
      <c r="D18">
        <v>3.2</v>
      </c>
      <c r="E18">
        <v>2.525</v>
      </c>
      <c r="F18">
        <v>1</v>
      </c>
      <c r="G18">
        <f>D18*E18*F18</f>
        <v>8.08</v>
      </c>
      <c r="H18">
        <f>(D18+E18+2.1)*F18</f>
        <v>7.824999999999999</v>
      </c>
      <c r="J18">
        <v>2.8</v>
      </c>
      <c r="K18" t="str">
        <v>PJ3</v>
      </c>
      <c r="L18">
        <v>2.2</v>
      </c>
      <c r="M18">
        <v>1.75</v>
      </c>
      <c r="N18">
        <v>1</v>
      </c>
      <c r="O18">
        <f>L18*M18*N18</f>
        <v>3.8500000000000005</v>
      </c>
      <c r="Q18" t="str">
        <v>1A</v>
      </c>
      <c r="R18">
        <v>3</v>
      </c>
      <c r="S18">
        <f>IF($Q18=S$13,(($H18*$J18)-($O18)),0)</f>
        <v>18.059999999999995</v>
      </c>
      <c r="V18">
        <f>IF($R18=V$13,$S18,0)</f>
        <v>0</v>
      </c>
      <c r="X18">
        <f>IF($R18=X$13,$S18,0)</f>
        <v>18.059999999999995</v>
      </c>
      <c r="Y18">
        <f>IF($R18=Y$13,$U18,0)</f>
        <v>0</v>
      </c>
      <c r="AA18">
        <v>3</v>
      </c>
      <c r="AB18">
        <f>G18*AB$15</f>
        <v>0.808</v>
      </c>
      <c r="AC18">
        <f>G18</f>
        <v>8.08</v>
      </c>
      <c r="AD18">
        <f>IF($AA18=AD$13,$G18,0)</f>
        <v>8.08</v>
      </c>
      <c r="AE18">
        <f>IF($AA18=AE$13,$G18,0)</f>
        <v>0</v>
      </c>
      <c r="AF18">
        <f>IF($AA18=AF$13,$G18,0)</f>
        <v>0</v>
      </c>
      <c r="AH18">
        <v>1</v>
      </c>
      <c r="AI18">
        <v>3</v>
      </c>
      <c r="AJ18">
        <f>IF($AH18=AJ$13,$G18,0)</f>
        <v>8.08</v>
      </c>
      <c r="AK18">
        <f>IF($AH18=AK$13,$G18,0)</f>
        <v>0</v>
      </c>
      <c r="AL18">
        <f>IF($AI18=AL$13,$G18,0)</f>
        <v>8.08</v>
      </c>
      <c r="AM18">
        <f>IF($AI18=AM$13,$G18,0)</f>
        <v>0</v>
      </c>
    </row>
    <row r="19">
      <c r="I19">
        <f>D18+E18</f>
        <v>5.725</v>
      </c>
      <c r="J19">
        <v>2.8</v>
      </c>
      <c r="Q19" t="str">
        <v>1C</v>
      </c>
      <c r="R19">
        <v>4</v>
      </c>
      <c r="U19">
        <f>IF($Q19=U$13,(($I19*$J19)-$O18),0)</f>
        <v>12.179999999999996</v>
      </c>
      <c r="V19">
        <f>IF($R19=V$13,$S19,0)</f>
        <v>0</v>
      </c>
      <c r="Y19">
        <f>IF($R19=Y$13,$U19,0)</f>
        <v>12.179999999999996</v>
      </c>
      <c r="AB19">
        <f>G19*AB$15</f>
        <v>0</v>
      </c>
      <c r="AC19">
        <f>G19</f>
        <v>0</v>
      </c>
      <c r="AD19">
        <f>IF($AA19=AD$13,$G19,0)</f>
        <v>0</v>
      </c>
      <c r="AE19">
        <f>IF($AA19=AE$13,$G19,0)</f>
        <v>0</v>
      </c>
      <c r="AF19">
        <f>IF($AA19=AF$13,$G19,0)</f>
        <v>0</v>
      </c>
      <c r="AJ19">
        <f>IF($AH19=AJ$13,$G19,0)</f>
        <v>0</v>
      </c>
      <c r="AK19">
        <f>IF($AH19=AK$13,$G19,0)</f>
        <v>0</v>
      </c>
      <c r="AL19">
        <f>IF($AI19=AL$13,$G19,0)</f>
        <v>0</v>
      </c>
      <c r="AM19">
        <f>IF($AI19=AM$13,$G19,0)</f>
        <v>0</v>
      </c>
    </row>
    <row r="20">
      <c r="C20" t="str">
        <v>median room</v>
      </c>
      <c r="D20">
        <v>3.2</v>
      </c>
      <c r="E20">
        <v>2.4</v>
      </c>
      <c r="F20">
        <v>1</v>
      </c>
      <c r="G20">
        <f>D20*E20*F20</f>
        <v>7.68</v>
      </c>
      <c r="H20">
        <f>D20+E20+2.1+1</f>
        <v>8.7</v>
      </c>
      <c r="J20">
        <v>2.8</v>
      </c>
      <c r="K20" t="str">
        <v>PJ2</v>
      </c>
      <c r="L20">
        <v>2.2</v>
      </c>
      <c r="M20">
        <v>2.25</v>
      </c>
      <c r="N20">
        <v>1</v>
      </c>
      <c r="O20">
        <f>L20*M20*N20</f>
        <v>4.95</v>
      </c>
      <c r="Q20" t="str">
        <v>1A</v>
      </c>
      <c r="R20">
        <v>3</v>
      </c>
      <c r="S20">
        <f>IF($Q20=S$13,(($H20*$J20)-($O20)),0)</f>
        <v>19.409999999999997</v>
      </c>
      <c r="V20">
        <f>IF($R20=V$13,$S20,0)</f>
        <v>0</v>
      </c>
      <c r="X20">
        <f>IF($R20=X$13,$S20,0)</f>
        <v>19.409999999999997</v>
      </c>
      <c r="Y20">
        <f>IF($R20=Y$13,$U20,0)</f>
        <v>0</v>
      </c>
      <c r="AA20">
        <v>3</v>
      </c>
      <c r="AB20">
        <f>G20*AB$15</f>
        <v>0.768</v>
      </c>
      <c r="AC20">
        <f>G20</f>
        <v>7.68</v>
      </c>
      <c r="AD20">
        <f>IF($AA20=AD$13,$G20,0)</f>
        <v>7.68</v>
      </c>
      <c r="AE20">
        <f>IF($AA20=AE$13,$G20,0)</f>
        <v>0</v>
      </c>
      <c r="AF20">
        <f>IF($AA20=AF$13,$G20,0)</f>
        <v>0</v>
      </c>
      <c r="AH20">
        <v>1</v>
      </c>
      <c r="AI20">
        <v>3</v>
      </c>
      <c r="AJ20">
        <f>IF($AH20=AJ$13,$G20,0)</f>
        <v>7.68</v>
      </c>
      <c r="AK20">
        <f>IF($AH20=AK$13,$G20,0)</f>
        <v>0</v>
      </c>
      <c r="AL20">
        <f>IF($AI20=AL$13,$G20,0)</f>
        <v>7.68</v>
      </c>
      <c r="AM20">
        <f>IF($AI20=AM$13,$G20,0)</f>
        <v>0</v>
      </c>
    </row>
    <row r="21">
      <c r="I21">
        <f>E20</f>
        <v>2.4</v>
      </c>
      <c r="J21">
        <v>2.8</v>
      </c>
      <c r="Q21" t="str">
        <v>1C</v>
      </c>
      <c r="R21">
        <v>4</v>
      </c>
      <c r="U21">
        <f>IF($Q21=U$13,(($I21*$J21)-$O20),0)</f>
        <v>1.7699999999999996</v>
      </c>
      <c r="V21">
        <f>IF($R21=V$13,$S21,0)</f>
        <v>0</v>
      </c>
      <c r="Y21">
        <f>IF($R21=Y$13,$U21,0)</f>
        <v>1.7699999999999996</v>
      </c>
      <c r="AB21">
        <f>G21*AB$15</f>
        <v>0</v>
      </c>
      <c r="AC21">
        <f>G21</f>
        <v>0</v>
      </c>
      <c r="AD21">
        <f>IF($AA21=AD$13,$G21,0)</f>
        <v>0</v>
      </c>
      <c r="AE21">
        <f>IF($AA21=AE$13,$G21,0)</f>
        <v>0</v>
      </c>
      <c r="AF21">
        <f>IF($AA21=AF$13,$G21,0)</f>
        <v>0</v>
      </c>
      <c r="AJ21">
        <f>IF($AH21=AJ$13,$G21,0)</f>
        <v>0</v>
      </c>
      <c r="AK21">
        <f>IF($AH21=AK$13,$G21,0)</f>
        <v>0</v>
      </c>
      <c r="AL21">
        <f>IF($AI21=AL$13,$G21,0)</f>
        <v>0</v>
      </c>
      <c r="AM21">
        <f>IF($AI21=AM$13,$G21,0)</f>
        <v>0</v>
      </c>
    </row>
    <row r="22">
      <c r="C22" t="str">
        <v>Living room</v>
      </c>
      <c r="D22">
        <v>2.25</v>
      </c>
      <c r="E22">
        <v>5.9</v>
      </c>
      <c r="F22">
        <v>1</v>
      </c>
      <c r="G22">
        <f>D22*E22*F22</f>
        <v>13.275</v>
      </c>
      <c r="H22">
        <f>D22*2+2.05+E22</f>
        <v>12.45</v>
      </c>
      <c r="J22">
        <v>2.8</v>
      </c>
      <c r="K22" t="str">
        <v>PB2</v>
      </c>
      <c r="L22">
        <v>2.2</v>
      </c>
      <c r="M22">
        <v>0.9</v>
      </c>
      <c r="N22">
        <v>2</v>
      </c>
      <c r="O22">
        <f>L22*M22*N22</f>
        <v>3.9600000000000004</v>
      </c>
      <c r="Q22" t="str">
        <v>1A</v>
      </c>
      <c r="R22">
        <v>3</v>
      </c>
      <c r="S22">
        <f>IF($Q22=S$13,(($H22*$J22)-($O22+$O23+O24+O25+O27)),0)</f>
        <v>23.00999999999999</v>
      </c>
      <c r="V22">
        <f>IF($R22=V$13,$S22,0)</f>
        <v>0</v>
      </c>
      <c r="X22">
        <f>IF($R22=X$13,$S22,0)</f>
        <v>23.00999999999999</v>
      </c>
      <c r="Y22">
        <f>IF($R22=Y$13,$U22,0)</f>
        <v>0</v>
      </c>
      <c r="AA22">
        <v>3</v>
      </c>
      <c r="AB22">
        <f>G22*AB$15</f>
        <v>1.3275000000000001</v>
      </c>
      <c r="AC22">
        <f>G22</f>
        <v>13.275</v>
      </c>
      <c r="AD22">
        <f>IF($AA22=AD$13,$G22,0)</f>
        <v>13.275</v>
      </c>
      <c r="AE22">
        <f>IF($AA22=AE$13,$G22,0)</f>
        <v>0</v>
      </c>
      <c r="AF22">
        <f>IF($AA22=AF$13,$G22,0)</f>
        <v>0</v>
      </c>
      <c r="AH22">
        <v>1</v>
      </c>
      <c r="AI22">
        <v>3</v>
      </c>
      <c r="AJ22">
        <f>IF($AH22=AJ$13,$G22,0)</f>
        <v>13.275</v>
      </c>
      <c r="AK22">
        <f>IF($AH22=AK$13,$G22,0)</f>
        <v>0</v>
      </c>
      <c r="AL22">
        <f>IF($AI22=AL$13,$G22,0)</f>
        <v>13.275</v>
      </c>
      <c r="AM22">
        <f>IF($AI22=AM$13,$G22,0)</f>
        <v>0</v>
      </c>
    </row>
    <row r="23">
      <c r="I23">
        <f>D22+3.85</f>
        <v>6.1</v>
      </c>
      <c r="J23">
        <v>2.8</v>
      </c>
      <c r="K23" t="str">
        <v>PJ1</v>
      </c>
      <c r="L23">
        <v>2.2</v>
      </c>
      <c r="M23">
        <v>1.775</v>
      </c>
      <c r="N23">
        <v>1</v>
      </c>
      <c r="O23">
        <f>L23*M23*N23</f>
        <v>3.9050000000000002</v>
      </c>
      <c r="Q23" t="str">
        <v>1C</v>
      </c>
      <c r="R23">
        <v>4</v>
      </c>
      <c r="U23">
        <f>IF($Q23=U$13,(($I23*$J23)-$O23),0)</f>
        <v>13.174999999999997</v>
      </c>
      <c r="V23">
        <f>IF($R23=V$13,$S23,0)</f>
        <v>0</v>
      </c>
      <c r="X23">
        <f>IF($R23=X$13,$S23,0)</f>
        <v>0</v>
      </c>
      <c r="Y23">
        <f>IF($R23=Y$13,$U23,0)</f>
        <v>13.174999999999997</v>
      </c>
      <c r="AB23">
        <f>G23*AB$15</f>
        <v>0</v>
      </c>
      <c r="AC23">
        <f>G23</f>
        <v>0</v>
      </c>
      <c r="AD23">
        <f>IF($AA23=AD$13,$G23,0)</f>
        <v>0</v>
      </c>
      <c r="AE23">
        <f>IF($AA23=AE$13,$G23,0)</f>
        <v>0</v>
      </c>
      <c r="AF23">
        <f>IF($AA23=AF$13,$G23,0)</f>
        <v>0</v>
      </c>
      <c r="AJ23">
        <f>IF($AH23=AJ$13,$G23,0)</f>
        <v>0</v>
      </c>
      <c r="AK23">
        <f>IF($AH23=AK$13,$G23,0)</f>
        <v>0</v>
      </c>
      <c r="AL23">
        <f>IF($AI23=AL$13,$G23,0)</f>
        <v>0</v>
      </c>
      <c r="AM23">
        <f>IF($AI23=AM$13,$G23,0)</f>
        <v>0</v>
      </c>
    </row>
    <row r="24">
      <c r="D24">
        <v>3.05</v>
      </c>
      <c r="E24">
        <v>1</v>
      </c>
      <c r="F24">
        <v>1</v>
      </c>
      <c r="G24">
        <f>D24*E24*F24</f>
        <v>3.05</v>
      </c>
      <c r="H24">
        <f>D24*2+E24</f>
        <v>7.1</v>
      </c>
      <c r="J24">
        <v>2.8</v>
      </c>
      <c r="K24" t="str">
        <v>PT2</v>
      </c>
      <c r="L24">
        <v>2.25</v>
      </c>
      <c r="M24">
        <v>0.7</v>
      </c>
      <c r="N24">
        <v>1</v>
      </c>
      <c r="O24">
        <f>L24*M24*N24</f>
        <v>1.575</v>
      </c>
      <c r="Q24" t="str">
        <v>1A</v>
      </c>
      <c r="R24">
        <v>3</v>
      </c>
      <c r="S24">
        <f>IF($Q24=S$13,(($H24*$J24)-($O22/2+O26)),0)</f>
        <v>12.969999999999999</v>
      </c>
      <c r="U24">
        <f>IF($Q24=U$13,(($I24*$J24)-$O24),0)</f>
        <v>0</v>
      </c>
      <c r="V24">
        <f>IF($R24=V$13,$S24,0)</f>
        <v>0</v>
      </c>
      <c r="X24">
        <f>IF($R24=X$13,$S24,0)</f>
        <v>12.969999999999999</v>
      </c>
      <c r="Y24">
        <f>IF($R24=Y$13,$U24,0)</f>
        <v>0</v>
      </c>
      <c r="AA24">
        <v>3</v>
      </c>
      <c r="AB24">
        <f>G24*AB$15</f>
        <v>0.305</v>
      </c>
      <c r="AC24">
        <f>G24</f>
        <v>3.05</v>
      </c>
      <c r="AD24">
        <f>IF($AA24=AD$13,$G24,0)</f>
        <v>3.05</v>
      </c>
      <c r="AE24">
        <f>IF($AA24=AE$13,$G24,0)</f>
        <v>0</v>
      </c>
      <c r="AF24">
        <f>IF($AA24=AF$13,$G24,0)</f>
        <v>0</v>
      </c>
      <c r="AH24">
        <v>1</v>
      </c>
      <c r="AI24">
        <v>3</v>
      </c>
      <c r="AJ24">
        <f>IF($AH24=AJ$13,$G24,0)</f>
        <v>3.05</v>
      </c>
      <c r="AK24">
        <f>IF($AH24=AK$13,$G24,0)</f>
        <v>0</v>
      </c>
      <c r="AL24">
        <f>IF($AI24=AL$13,$G24,0)</f>
        <v>3.05</v>
      </c>
      <c r="AM24">
        <f>IF($AI24=AM$13,$G24,0)</f>
        <v>0</v>
      </c>
    </row>
    <row r="25">
      <c r="I25">
        <f>D24</f>
        <v>3.05</v>
      </c>
      <c r="J25">
        <v>2.8</v>
      </c>
      <c r="K25" t="str">
        <v>PT3</v>
      </c>
      <c r="L25">
        <v>1</v>
      </c>
      <c r="M25">
        <v>0.65</v>
      </c>
      <c r="N25">
        <v>1</v>
      </c>
      <c r="O25">
        <f>L25*M25*N25</f>
        <v>0.65</v>
      </c>
      <c r="Q25" t="str">
        <v>1C</v>
      </c>
      <c r="R25">
        <v>4</v>
      </c>
      <c r="U25">
        <f>IF($Q25=U$13,(($I25*$J25)-$O26),0)</f>
        <v>3.6099999999999994</v>
      </c>
      <c r="V25">
        <f>IF($R25=V$13,$S25,0)</f>
        <v>0</v>
      </c>
      <c r="X25">
        <f>IF($R25=X$13,$S25,0)</f>
        <v>0</v>
      </c>
      <c r="Y25">
        <f>IF($R25=Y$13,$U25,0)</f>
        <v>3.6099999999999994</v>
      </c>
      <c r="AB25">
        <f>G25*AB$15</f>
        <v>0</v>
      </c>
      <c r="AC25">
        <f>G25</f>
        <v>0</v>
      </c>
      <c r="AD25">
        <f>IF($AA25=AD$13,$G25,0)</f>
        <v>0</v>
      </c>
      <c r="AE25">
        <f>IF($AA25=AE$13,$G25,0)</f>
        <v>0</v>
      </c>
      <c r="AF25">
        <f>IF($AA25=AF$13,$G25,0)</f>
        <v>0</v>
      </c>
      <c r="AJ25">
        <f>IF($AH25=AJ$13,$G25,0)</f>
        <v>0</v>
      </c>
      <c r="AK25">
        <f>IF($AH25=AK$13,$G25,0)</f>
        <v>0</v>
      </c>
      <c r="AL25">
        <f>IF($AI25=AL$13,$G25,0)</f>
        <v>0</v>
      </c>
      <c r="AM25">
        <f>IF($AI25=AM$13,$G25,0)</f>
        <v>0</v>
      </c>
    </row>
    <row r="26">
      <c r="K26" t="str">
        <v>J1</v>
      </c>
      <c r="L26">
        <v>1.7</v>
      </c>
      <c r="M26">
        <v>2.9</v>
      </c>
      <c r="N26">
        <v>1</v>
      </c>
      <c r="O26">
        <f>L26*M26*N26</f>
        <v>4.93</v>
      </c>
      <c r="AB26">
        <f>G26*AB$15</f>
        <v>0</v>
      </c>
      <c r="AC26">
        <f>G26</f>
        <v>0</v>
      </c>
      <c r="AD26">
        <f>IF($AA26=AD$13,$G26,0)</f>
        <v>0</v>
      </c>
      <c r="AE26">
        <f>IF($AA26=AE$13,$G26,0)</f>
        <v>0</v>
      </c>
      <c r="AF26">
        <f>IF($AA26=AF$13,$G26,0)</f>
        <v>0</v>
      </c>
      <c r="AJ26">
        <f>IF($AH26=AJ$13,$G26,0)</f>
        <v>0</v>
      </c>
      <c r="AK26">
        <f>IF($AH26=AK$13,$G26,0)</f>
        <v>0</v>
      </c>
      <c r="AL26">
        <f>IF($AI26=AL$13,$G26,0)</f>
        <v>0</v>
      </c>
      <c r="AM26">
        <f>IF($AI26=AM$13,$G26,0)</f>
        <v>0</v>
      </c>
    </row>
    <row r="27">
      <c r="K27" t="str">
        <v>Opening</v>
      </c>
      <c r="L27">
        <v>2.2</v>
      </c>
      <c r="M27">
        <v>0.8</v>
      </c>
      <c r="N27">
        <v>1</v>
      </c>
      <c r="O27">
        <f>L27*M27*N27</f>
        <v>1.7600000000000002</v>
      </c>
      <c r="U27">
        <f>IF($Q27=U$13,(($I27*$J27)-$O25),0)</f>
        <v>0</v>
      </c>
      <c r="V27">
        <f>IF($R27=V$13,$S27,0)</f>
        <v>0</v>
      </c>
      <c r="X27">
        <f>IF($R27=X$13,$S27,0)</f>
        <v>0</v>
      </c>
      <c r="Y27">
        <f>IF($R27=Y$13,$U27,0)</f>
        <v>0</v>
      </c>
      <c r="AB27">
        <f>G27*AB$15</f>
        <v>0</v>
      </c>
      <c r="AC27">
        <f>G27</f>
        <v>0</v>
      </c>
      <c r="AD27">
        <f>IF($AA27=AD$13,$G27,0)</f>
        <v>0</v>
      </c>
      <c r="AE27">
        <f>IF($AA27=AE$13,$G27,0)</f>
        <v>0</v>
      </c>
      <c r="AF27">
        <f>IF($AA27=AF$13,$G27,0)</f>
        <v>0</v>
      </c>
      <c r="AJ27">
        <f>IF($AH27=AJ$13,$G27,0)</f>
        <v>0</v>
      </c>
      <c r="AK27">
        <f>IF($AH27=AK$13,$G27,0)</f>
        <v>0</v>
      </c>
      <c r="AL27">
        <f>IF($AI27=AL$13,$G27,0)</f>
        <v>0</v>
      </c>
      <c r="AM27">
        <f>IF($AI27=AM$13,$G27,0)</f>
        <v>0</v>
      </c>
    </row>
    <row r="28">
      <c r="B28">
        <v>2</v>
      </c>
      <c r="C28" t="str">
        <v>Bedroom 1 depan</v>
      </c>
      <c r="D28">
        <v>3.05</v>
      </c>
      <c r="E28">
        <v>3.075</v>
      </c>
      <c r="F28">
        <v>1</v>
      </c>
      <c r="G28">
        <f>D28*E28*F28</f>
        <v>9.37875</v>
      </c>
      <c r="H28">
        <f>(D28*2+E28*2)*F28</f>
        <v>12.25</v>
      </c>
      <c r="J28">
        <v>2.8</v>
      </c>
      <c r="K28" t="str">
        <v>PB2</v>
      </c>
      <c r="L28">
        <v>2.2</v>
      </c>
      <c r="M28">
        <v>0.9</v>
      </c>
      <c r="N28">
        <v>1</v>
      </c>
      <c r="O28">
        <f>L28*M28*N28</f>
        <v>1.9800000000000002</v>
      </c>
      <c r="Q28" t="str">
        <v>1A</v>
      </c>
      <c r="R28">
        <v>3</v>
      </c>
      <c r="S28">
        <f>IF($Q28=S$13,(($H28*$J28)-($O28+$O29)),0)</f>
        <v>29.174999999999997</v>
      </c>
      <c r="V28">
        <f>IF($R28=V$13,$S28,0)</f>
        <v>0</v>
      </c>
      <c r="X28">
        <f>IF($R28=X$13,$S28,0)</f>
        <v>29.174999999999997</v>
      </c>
      <c r="Y28">
        <f>IF($R28=Y$13,$U28,0)</f>
        <v>0</v>
      </c>
      <c r="AA28">
        <v>3</v>
      </c>
      <c r="AB28">
        <f>G28*AB$15</f>
        <v>0.937875</v>
      </c>
      <c r="AC28">
        <f>G28</f>
        <v>9.37875</v>
      </c>
      <c r="AD28">
        <f>IF($AA28=AD$13,$G28,0)</f>
        <v>9.37875</v>
      </c>
      <c r="AE28">
        <f>IF($AA28=AE$13,$G28,0)</f>
        <v>0</v>
      </c>
      <c r="AF28">
        <f>IF($AA28=AF$13,$G28,0)</f>
        <v>0</v>
      </c>
      <c r="AH28">
        <v>1</v>
      </c>
      <c r="AI28">
        <v>3</v>
      </c>
      <c r="AJ28">
        <f>IF($AH28=AJ$13,$G28,0)</f>
        <v>9.37875</v>
      </c>
      <c r="AK28">
        <f>IF($AH28=AK$13,$G28,0)</f>
        <v>0</v>
      </c>
      <c r="AL28">
        <f>IF($AI28=AL$13,$G28,0)</f>
        <v>9.37875</v>
      </c>
      <c r="AM28">
        <f>IF($AI28=AM$13,$G28,0)</f>
        <v>0</v>
      </c>
    </row>
    <row r="29">
      <c r="I29">
        <f>(D28+E28)*F28</f>
        <v>6.125</v>
      </c>
      <c r="J29">
        <v>2.8</v>
      </c>
      <c r="K29" t="str">
        <v>J4</v>
      </c>
      <c r="L29">
        <v>1.7</v>
      </c>
      <c r="M29">
        <v>1.85</v>
      </c>
      <c r="N29">
        <v>1</v>
      </c>
      <c r="O29">
        <f>L29*M29*N29</f>
        <v>3.145</v>
      </c>
      <c r="Q29" t="str">
        <v>1C</v>
      </c>
      <c r="R29">
        <v>4</v>
      </c>
      <c r="U29">
        <f>IF($Q29=U$13,(($I29*$J29)-$O29),0)</f>
        <v>14.004999999999999</v>
      </c>
      <c r="V29">
        <f>IF($R29=V$13,$S29,0)</f>
        <v>0</v>
      </c>
      <c r="X29">
        <f>IF($R29=X$13,$S29,0)</f>
        <v>0</v>
      </c>
      <c r="Y29">
        <f>IF($R29=Y$13,$U29,0)</f>
        <v>14.004999999999999</v>
      </c>
      <c r="AB29">
        <f>G29*AB$15</f>
        <v>0</v>
      </c>
      <c r="AC29">
        <f>G29</f>
        <v>0</v>
      </c>
      <c r="AD29">
        <f>IF($AA29=AD$13,$G29,0)</f>
        <v>0</v>
      </c>
      <c r="AE29">
        <f>IF($AA29=AE$13,$G29,0)</f>
        <v>0</v>
      </c>
      <c r="AF29">
        <f>IF($AA29=AF$13,$G29,0)</f>
        <v>0</v>
      </c>
      <c r="AJ29">
        <f>IF($AH29=AJ$13,$G29,0)</f>
        <v>0</v>
      </c>
      <c r="AK29">
        <f>IF($AH29=AK$13,$G29,0)</f>
        <v>0</v>
      </c>
      <c r="AL29">
        <f>IF($AI29=AL$13,$G29,0)</f>
        <v>0</v>
      </c>
      <c r="AM29">
        <f>IF($AI29=AM$13,$G29,0)</f>
        <v>0</v>
      </c>
    </row>
    <row r="30">
      <c r="B30">
        <v>3</v>
      </c>
      <c r="C30" t="str">
        <v>Bedroom 2 tengah</v>
      </c>
      <c r="D30">
        <v>3.05</v>
      </c>
      <c r="E30">
        <v>3.075</v>
      </c>
      <c r="F30">
        <v>1</v>
      </c>
      <c r="G30">
        <f>D30*E30*F30</f>
        <v>9.37875</v>
      </c>
      <c r="H30">
        <f>(D30*2+E30*2)*F30</f>
        <v>12.25</v>
      </c>
      <c r="J30">
        <v>2.8</v>
      </c>
      <c r="K30" t="str">
        <v>PB2</v>
      </c>
      <c r="L30">
        <v>2.2</v>
      </c>
      <c r="M30">
        <v>0.9</v>
      </c>
      <c r="N30">
        <v>1</v>
      </c>
      <c r="O30">
        <f>L30*M30*N30</f>
        <v>1.9800000000000002</v>
      </c>
      <c r="Q30" t="str">
        <v>1A</v>
      </c>
      <c r="R30">
        <v>3</v>
      </c>
      <c r="S30">
        <f>IF($Q30=S$13,(($H30*$J30)-($O30+$O31)),0)</f>
        <v>29.174999999999997</v>
      </c>
      <c r="V30">
        <f>IF($R30=V$13,$S30,0)</f>
        <v>0</v>
      </c>
      <c r="X30">
        <f>IF($R30=X$13,$S30,0)</f>
        <v>29.174999999999997</v>
      </c>
      <c r="Y30">
        <f>IF($R30=Y$13,$U30,0)</f>
        <v>0</v>
      </c>
      <c r="AA30">
        <v>3</v>
      </c>
      <c r="AB30">
        <f>G30*AB$15</f>
        <v>0.937875</v>
      </c>
      <c r="AC30">
        <f>G30</f>
        <v>9.37875</v>
      </c>
      <c r="AD30">
        <f>IF($AA30=AD$13,$G30,0)</f>
        <v>9.37875</v>
      </c>
      <c r="AE30">
        <f>IF($AA30=AE$13,$G30,0)</f>
        <v>0</v>
      </c>
      <c r="AF30">
        <f>IF($AA30=AF$13,$G30,0)</f>
        <v>0</v>
      </c>
      <c r="AH30">
        <v>1</v>
      </c>
      <c r="AI30">
        <v>3</v>
      </c>
      <c r="AJ30">
        <f>IF($AH30=AJ$13,$G30,0)</f>
        <v>9.37875</v>
      </c>
      <c r="AK30">
        <f>IF($AH30=AK$13,$G30,0)</f>
        <v>0</v>
      </c>
      <c r="AL30">
        <f>IF($AI30=AL$13,$G30,0)</f>
        <v>9.37875</v>
      </c>
      <c r="AM30">
        <f>IF($AI30=AM$13,$G30,0)</f>
        <v>0</v>
      </c>
    </row>
    <row r="31">
      <c r="I31">
        <f>D30</f>
        <v>3.05</v>
      </c>
      <c r="J31">
        <v>2.8</v>
      </c>
      <c r="K31" t="str">
        <v>J4</v>
      </c>
      <c r="L31">
        <v>1.7</v>
      </c>
      <c r="M31">
        <v>1.85</v>
      </c>
      <c r="N31">
        <v>1</v>
      </c>
      <c r="O31">
        <f>L31*M31*N31</f>
        <v>3.145</v>
      </c>
      <c r="Q31" t="str">
        <v>1C</v>
      </c>
      <c r="R31">
        <v>4</v>
      </c>
      <c r="U31">
        <f>IF($Q31=U$13,(($I31*$J31)-$O31),0)</f>
        <v>5.395</v>
      </c>
      <c r="V31">
        <f>IF($R31=V$13,$S31,0)</f>
        <v>0</v>
      </c>
      <c r="X31">
        <f>IF($R31=X$13,$S31,0)</f>
        <v>0</v>
      </c>
      <c r="Y31">
        <f>IF($R31=Y$13,$U31,0)</f>
        <v>5.395</v>
      </c>
      <c r="AB31">
        <f>G31*AB$15</f>
        <v>0</v>
      </c>
      <c r="AC31">
        <f>G31</f>
        <v>0</v>
      </c>
      <c r="AD31">
        <f>IF($AA31=AD$13,$G31,0)</f>
        <v>0</v>
      </c>
      <c r="AE31">
        <f>IF($AA31=AE$13,$G31,0)</f>
        <v>0</v>
      </c>
      <c r="AF31">
        <f>IF($AA31=AF$13,$G31,0)</f>
        <v>0</v>
      </c>
      <c r="AJ31">
        <f>IF($AH31=AJ$13,$G31,0)</f>
        <v>0</v>
      </c>
      <c r="AK31">
        <f>IF($AH31=AK$13,$G31,0)</f>
        <v>0</v>
      </c>
      <c r="AL31">
        <f>IF($AI31=AL$13,$G31,0)</f>
        <v>0</v>
      </c>
      <c r="AM31">
        <f>IF($AI31=AM$13,$G31,0)</f>
        <v>0</v>
      </c>
    </row>
    <row r="32">
      <c r="B32">
        <v>4</v>
      </c>
      <c r="C32" t="str">
        <v>Bedroom 3 belakang</v>
      </c>
      <c r="D32">
        <v>2.95</v>
      </c>
      <c r="E32">
        <v>4</v>
      </c>
      <c r="F32">
        <v>1</v>
      </c>
      <c r="G32">
        <f>D32*E32*F32</f>
        <v>11.8</v>
      </c>
      <c r="H32">
        <f>(D32*2+E32*2)*F32</f>
        <v>13.9</v>
      </c>
      <c r="J32">
        <v>2.8</v>
      </c>
      <c r="K32" t="str">
        <v>PB2</v>
      </c>
      <c r="L32">
        <v>2.2</v>
      </c>
      <c r="M32">
        <v>0.9</v>
      </c>
      <c r="N32">
        <v>1</v>
      </c>
      <c r="O32">
        <f>L32*M32*N32</f>
        <v>1.9800000000000002</v>
      </c>
      <c r="Q32" t="str">
        <v>1A</v>
      </c>
      <c r="R32">
        <v>3</v>
      </c>
      <c r="S32">
        <f>IF($Q32=S$13,(($H32*$J32)-($O32+$O33)),0)</f>
        <v>33.795</v>
      </c>
      <c r="V32">
        <f>IF($R32=V$13,$S32,0)</f>
        <v>0</v>
      </c>
      <c r="X32">
        <f>IF($R32=X$13,$S32,0)</f>
        <v>33.795</v>
      </c>
      <c r="Y32">
        <f>IF($R32=Y$13,$U32,0)</f>
        <v>0</v>
      </c>
      <c r="AA32">
        <v>3</v>
      </c>
      <c r="AB32">
        <f>G32*AB$15</f>
        <v>1.1800000000000002</v>
      </c>
      <c r="AC32">
        <f>G32</f>
        <v>11.8</v>
      </c>
      <c r="AD32">
        <f>IF($AA32=AD$13,$G32,0)</f>
        <v>11.8</v>
      </c>
      <c r="AE32">
        <f>IF($AA32=AE$13,$G32,0)</f>
        <v>0</v>
      </c>
      <c r="AF32">
        <f>IF($AA32=AF$13,$G32,0)</f>
        <v>0</v>
      </c>
      <c r="AH32">
        <v>1</v>
      </c>
      <c r="AI32">
        <v>3</v>
      </c>
      <c r="AJ32">
        <f>IF($AH32=AJ$13,$G32,0)</f>
        <v>11.8</v>
      </c>
      <c r="AK32">
        <f>IF($AH32=AK$13,$G32,0)</f>
        <v>0</v>
      </c>
      <c r="AL32">
        <f>IF($AI32=AL$13,$G32,0)</f>
        <v>11.8</v>
      </c>
      <c r="AM32">
        <f>IF($AI32=AM$13,$G32,0)</f>
        <v>0</v>
      </c>
    </row>
    <row r="33">
      <c r="I33">
        <f>(D32*2+E32)*F32</f>
        <v>9.9</v>
      </c>
      <c r="J33">
        <v>2.8</v>
      </c>
      <c r="K33" t="str">
        <v>J4</v>
      </c>
      <c r="L33">
        <v>1.7</v>
      </c>
      <c r="M33">
        <v>1.85</v>
      </c>
      <c r="N33">
        <v>1</v>
      </c>
      <c r="O33">
        <f>L33*M33*N33</f>
        <v>3.145</v>
      </c>
      <c r="Q33" t="str">
        <v>1C</v>
      </c>
      <c r="R33">
        <v>4</v>
      </c>
      <c r="U33">
        <f>IF($Q33=U$13,(($I33*$J33)-$O33),0)</f>
        <v>24.575</v>
      </c>
      <c r="V33">
        <f>IF($R33=V$13,$S33,0)</f>
        <v>0</v>
      </c>
      <c r="X33">
        <f>IF($R33=X$13,$S33,0)</f>
        <v>0</v>
      </c>
      <c r="Y33">
        <f>IF($R33=Y$13,$U33,0)</f>
        <v>24.575</v>
      </c>
      <c r="AB33">
        <f>G33*AB$15</f>
        <v>0</v>
      </c>
      <c r="AC33">
        <f>G33</f>
        <v>0</v>
      </c>
      <c r="AD33">
        <f>IF($AA33=AD$13,$G33,0)</f>
        <v>0</v>
      </c>
      <c r="AE33">
        <f>IF($AA33=AE$13,$G33,0)</f>
        <v>0</v>
      </c>
      <c r="AF33">
        <f>IF($AA33=AF$13,$G33,0)</f>
        <v>0</v>
      </c>
      <c r="AJ33">
        <f>IF($AH33=AJ$13,$G33,0)</f>
        <v>0</v>
      </c>
      <c r="AK33">
        <f>IF($AH33=AK$13,$G33,0)</f>
        <v>0</v>
      </c>
      <c r="AL33">
        <f>IF($AI33=AL$13,$G33,0)</f>
        <v>0</v>
      </c>
      <c r="AM33">
        <f>IF($AI33=AM$13,$G33,0)</f>
        <v>0</v>
      </c>
    </row>
    <row r="34">
      <c r="B34">
        <v>5</v>
      </c>
      <c r="C34" t="str">
        <v>Bathroom 1</v>
      </c>
      <c r="D34">
        <v>1.45</v>
      </c>
      <c r="E34">
        <v>1.95</v>
      </c>
      <c r="F34">
        <v>1</v>
      </c>
      <c r="G34">
        <f>D34*E34*F34</f>
        <v>2.8274999999999997</v>
      </c>
      <c r="H34">
        <f>(D34*2+E34+0.95)*F34</f>
        <v>5.8</v>
      </c>
      <c r="J34">
        <v>1.6</v>
      </c>
      <c r="K34" t="str">
        <v>PT2</v>
      </c>
      <c r="L34">
        <v>2.25</v>
      </c>
      <c r="M34">
        <v>0.7</v>
      </c>
      <c r="N34">
        <v>1</v>
      </c>
      <c r="O34">
        <f>L34*M34*N34</f>
        <v>1.575</v>
      </c>
      <c r="Q34" t="str">
        <v>NF</v>
      </c>
      <c r="R34">
        <v>2</v>
      </c>
      <c r="S34">
        <f>IF($Q34=S$13,(($H34*$J34)-$O34),0)</f>
        <v>0</v>
      </c>
      <c r="V34">
        <f>IF($R34=V$13,$S34,0)</f>
        <v>0</v>
      </c>
      <c r="W34">
        <f>IF($R34=W$13,(($H34*$J34)-$O34),0)</f>
        <v>7.704999999999999</v>
      </c>
      <c r="X34">
        <f>IF($R34=X$13,$S34,0)</f>
        <v>0</v>
      </c>
      <c r="Y34">
        <f>IF($R34=Y$13,$U34,0)</f>
        <v>0</v>
      </c>
      <c r="AA34">
        <v>4</v>
      </c>
      <c r="AB34">
        <f>G34*AB$15</f>
        <v>0.28275</v>
      </c>
      <c r="AC34">
        <f>G34</f>
        <v>2.8274999999999997</v>
      </c>
      <c r="AD34">
        <f>IF($AA34=AD$13,$G34,0)</f>
        <v>0</v>
      </c>
      <c r="AE34">
        <f>IF($AA34=AE$13,$G34,0)</f>
        <v>2.8274999999999997</v>
      </c>
      <c r="AF34">
        <f>IF($AA34=AF$13,$G34,0)</f>
        <v>0</v>
      </c>
      <c r="AH34">
        <v>1</v>
      </c>
      <c r="AI34">
        <v>3</v>
      </c>
      <c r="AJ34">
        <f>IF($AH34=AJ$13,$G34,0)</f>
        <v>2.8274999999999997</v>
      </c>
      <c r="AK34">
        <f>IF($AH34=AK$13,$G34,0)</f>
        <v>0</v>
      </c>
      <c r="AL34">
        <f>IF($AI34=AL$13,$G34,0)</f>
        <v>2.8274999999999997</v>
      </c>
      <c r="AM34">
        <f>IF($AI34=AM$13,$G34,0)</f>
        <v>0</v>
      </c>
    </row>
    <row r="35">
      <c r="H35">
        <f>H34</f>
        <v>5.8</v>
      </c>
      <c r="J35">
        <v>1.2</v>
      </c>
      <c r="Q35" t="str">
        <v>1B</v>
      </c>
      <c r="R35">
        <v>3</v>
      </c>
      <c r="T35">
        <f>IF($Q35=T$13,(($H35*$J35)-$O35),0)</f>
        <v>6.96</v>
      </c>
      <c r="V35">
        <f>IF($R35=V$13,$S35,0)</f>
        <v>0</v>
      </c>
      <c r="X35">
        <f>IF($R35=X$13,$T35,0)</f>
        <v>6.96</v>
      </c>
      <c r="Y35">
        <f>IF($R35=Y$13,$U35,0)</f>
        <v>0</v>
      </c>
      <c r="AB35">
        <f>G35*AB$15</f>
        <v>0</v>
      </c>
      <c r="AC35">
        <f>G35</f>
        <v>0</v>
      </c>
      <c r="AD35">
        <f>IF($AA35=AD$13,$G35,0)</f>
        <v>0</v>
      </c>
      <c r="AE35">
        <f>IF($AA35=AE$13,$G35,0)</f>
        <v>0</v>
      </c>
      <c r="AF35">
        <f>IF($AA35=AF$13,$G35,0)</f>
        <v>0</v>
      </c>
      <c r="AJ35">
        <f>IF($AH35=AJ$13,$G35,0)</f>
        <v>0</v>
      </c>
      <c r="AK35">
        <f>IF($AH35=AK$13,$G35,0)</f>
        <v>0</v>
      </c>
      <c r="AL35">
        <f>IF($AI35=AL$13,$G35,0)</f>
        <v>0</v>
      </c>
      <c r="AM35">
        <f>IF($AI35=AM$13,$G35,0)</f>
        <v>0</v>
      </c>
    </row>
    <row r="36">
      <c r="I36">
        <f>D34</f>
        <v>1.45</v>
      </c>
      <c r="J36">
        <v>2.8</v>
      </c>
      <c r="Q36" t="str">
        <v>1C</v>
      </c>
      <c r="R36">
        <v>4</v>
      </c>
      <c r="U36">
        <f>IF($Q36=U$13,(($I36*$J36)),0)</f>
        <v>4.06</v>
      </c>
      <c r="V36">
        <f>IF($R36=V$13,$S36,0)</f>
        <v>0</v>
      </c>
      <c r="X36">
        <f>IF($R36=X$13,$S36,0)</f>
        <v>0</v>
      </c>
      <c r="Y36">
        <f>IF($R36=Y$13,$U36,0)</f>
        <v>4.06</v>
      </c>
      <c r="AB36">
        <f>G36*AB$15</f>
        <v>0</v>
      </c>
      <c r="AC36">
        <f>G36</f>
        <v>0</v>
      </c>
      <c r="AD36">
        <f>IF($AA36=AD$13,$G36,0)</f>
        <v>0</v>
      </c>
      <c r="AE36">
        <f>IF($AA36=AE$13,$G36,0)</f>
        <v>0</v>
      </c>
      <c r="AF36">
        <f>IF($AA36=AF$13,$G36,0)</f>
        <v>0</v>
      </c>
      <c r="AJ36">
        <f>IF($AH36=AJ$13,$G36,0)</f>
        <v>0</v>
      </c>
      <c r="AK36">
        <f>IF($AH36=AK$13,$G36,0)</f>
        <v>0</v>
      </c>
      <c r="AL36">
        <f>IF($AI36=AL$13,$G36,0)</f>
        <v>0</v>
      </c>
      <c r="AM36">
        <f>IF($AI36=AM$13,$G36,0)</f>
        <v>0</v>
      </c>
    </row>
    <row r="37">
      <c r="D37">
        <v>0.8</v>
      </c>
      <c r="E37">
        <v>1.2</v>
      </c>
      <c r="F37">
        <v>1</v>
      </c>
      <c r="G37">
        <f>D37*E37*F37</f>
        <v>0.96</v>
      </c>
      <c r="H37">
        <f>D37*2+E37</f>
        <v>2.8</v>
      </c>
      <c r="J37">
        <v>1.6</v>
      </c>
      <c r="Q37" t="str">
        <v>NF</v>
      </c>
      <c r="R37">
        <v>2</v>
      </c>
      <c r="S37">
        <f>IF($Q37=S$13,(($H37*$J37)-$O37),0)</f>
        <v>0</v>
      </c>
      <c r="V37">
        <f>IF($R37=V$13,$S37,0)</f>
        <v>0</v>
      </c>
      <c r="W37">
        <f>IF($R37=W$13,(($H37*$J37)-$O37),0)</f>
        <v>4.4799999999999995</v>
      </c>
      <c r="X37">
        <f>IF($R37=X$13,$S37,0)</f>
        <v>0</v>
      </c>
      <c r="Y37">
        <f>IF($R37=Y$13,$U37,0)</f>
        <v>0</v>
      </c>
      <c r="AA37">
        <v>4</v>
      </c>
      <c r="AB37">
        <f>G37*AB$15</f>
        <v>0.096</v>
      </c>
      <c r="AC37">
        <f>G37</f>
        <v>0.96</v>
      </c>
      <c r="AD37">
        <f>IF($AA37=AD$13,$G37,0)</f>
        <v>0</v>
      </c>
      <c r="AE37">
        <f>IF($AA37=AE$13,$G37,0)</f>
        <v>0.96</v>
      </c>
      <c r="AF37">
        <f>IF($AA37=AF$13,$G37,0)</f>
        <v>0</v>
      </c>
      <c r="AH37">
        <v>2</v>
      </c>
      <c r="AI37">
        <v>4</v>
      </c>
      <c r="AJ37">
        <f>IF($AH37=AJ$13,$G37,0)</f>
        <v>0</v>
      </c>
      <c r="AK37">
        <f>IF($AH37=AK$13,$G37,0)</f>
        <v>0.96</v>
      </c>
      <c r="AL37">
        <f>IF($AI37=AL$13,$G37,0)</f>
        <v>0</v>
      </c>
      <c r="AM37">
        <f>IF($AI37=AM$13,$G37,0)</f>
        <v>0.96</v>
      </c>
    </row>
    <row r="38">
      <c r="H38">
        <f>H37</f>
        <v>2.8</v>
      </c>
      <c r="J38">
        <v>1.2</v>
      </c>
      <c r="Q38" t="str">
        <v>1B</v>
      </c>
      <c r="R38">
        <v>3</v>
      </c>
      <c r="T38">
        <f>IF($Q38=T$13,(($H38*$J38)-$O38),0)</f>
        <v>3.36</v>
      </c>
      <c r="V38">
        <f>IF($R38=V$13,$S38,0)</f>
        <v>0</v>
      </c>
      <c r="X38">
        <f>IF($R38=X$13,$T38,0)</f>
        <v>3.36</v>
      </c>
      <c r="Y38">
        <f>IF($R38=Y$13,$U38,0)</f>
        <v>0</v>
      </c>
      <c r="AB38">
        <f>G38*AB$15</f>
        <v>0</v>
      </c>
      <c r="AC38">
        <f>G38</f>
        <v>0</v>
      </c>
      <c r="AD38">
        <f>IF($AA38=AD$13,$G38,0)</f>
        <v>0</v>
      </c>
      <c r="AE38">
        <f>IF($AA38=AE$13,$G38,0)</f>
        <v>0</v>
      </c>
      <c r="AF38">
        <f>IF($AA38=AF$13,$G38,0)</f>
        <v>0</v>
      </c>
      <c r="AJ38">
        <f>IF($AH38=AJ$13,$G38,0)</f>
        <v>0</v>
      </c>
      <c r="AK38">
        <f>IF($AH38=AK$13,$G38,0)</f>
        <v>0</v>
      </c>
      <c r="AL38">
        <f>IF($AI38=AL$13,$G38,0)</f>
        <v>0</v>
      </c>
      <c r="AM38">
        <f>IF($AI38=AM$13,$G38,0)</f>
        <v>0</v>
      </c>
    </row>
    <row r="39">
      <c r="I39">
        <f>D37</f>
        <v>0.8</v>
      </c>
      <c r="J39">
        <v>2.8</v>
      </c>
      <c r="Q39" t="str">
        <v>1C</v>
      </c>
      <c r="R39">
        <v>4</v>
      </c>
      <c r="U39">
        <f>IF($Q39=U$13,(($I39*$J39)),0)</f>
        <v>2.2399999999999998</v>
      </c>
      <c r="V39">
        <f>IF($R39=V$13,$S39,0)</f>
        <v>0</v>
      </c>
      <c r="X39">
        <f>IF($R39=X$13,$S39,0)</f>
        <v>0</v>
      </c>
      <c r="Y39">
        <f>IF($R39=Y$13,$U39,0)</f>
        <v>2.2399999999999998</v>
      </c>
      <c r="AB39">
        <f>G39*AB$15</f>
        <v>0</v>
      </c>
      <c r="AC39">
        <f>G39</f>
        <v>0</v>
      </c>
      <c r="AD39">
        <f>IF($AA39=AD$13,$G39,0)</f>
        <v>0</v>
      </c>
      <c r="AE39">
        <f>IF($AA39=AE$13,$G39,0)</f>
        <v>0</v>
      </c>
      <c r="AF39">
        <f>IF($AA39=AF$13,$G39,0)</f>
        <v>0</v>
      </c>
      <c r="AJ39">
        <f>IF($AH39=AJ$13,$G39,0)</f>
        <v>0</v>
      </c>
      <c r="AK39">
        <f>IF($AH39=AK$13,$G39,0)</f>
        <v>0</v>
      </c>
      <c r="AL39">
        <f>IF($AI39=AL$13,$G39,0)</f>
        <v>0</v>
      </c>
      <c r="AM39">
        <f>IF($AI39=AM$13,$G39,0)</f>
        <v>0</v>
      </c>
    </row>
    <row r="40">
      <c r="B40">
        <v>6</v>
      </c>
      <c r="C40" t="str">
        <v>Gudang</v>
      </c>
      <c r="D40">
        <v>0.8</v>
      </c>
      <c r="E40">
        <v>0.6</v>
      </c>
      <c r="F40">
        <v>1</v>
      </c>
      <c r="G40">
        <f>D40*E40*F40</f>
        <v>0.48</v>
      </c>
      <c r="H40">
        <f>(D40*2+E40*2)*F40</f>
        <v>2.8</v>
      </c>
      <c r="J40">
        <v>2.8</v>
      </c>
      <c r="K40" t="str">
        <v>PT3</v>
      </c>
      <c r="L40">
        <v>1</v>
      </c>
      <c r="M40">
        <v>0.6</v>
      </c>
      <c r="N40">
        <v>1</v>
      </c>
      <c r="O40">
        <f>L40*M40*N40</f>
        <v>0.6</v>
      </c>
      <c r="Q40" t="str">
        <v>1A</v>
      </c>
      <c r="R40">
        <v>3</v>
      </c>
      <c r="S40">
        <f>IF($Q40=S$13,(($H40*$J40)-$O40),0)</f>
        <v>7.239999999999999</v>
      </c>
      <c r="V40">
        <f>IF($R40=V$13,$S40,0)</f>
        <v>0</v>
      </c>
      <c r="W40">
        <f>IF($R40=W$13,(($H40*$J40)-$O40),0)</f>
        <v>0</v>
      </c>
      <c r="X40">
        <f>IF($R40=X$13,$S40,0)</f>
        <v>7.239999999999999</v>
      </c>
      <c r="Y40">
        <f>IF($R40=Y$13,$U40,0)</f>
        <v>0</v>
      </c>
      <c r="AA40">
        <v>4</v>
      </c>
      <c r="AB40">
        <f>G40*AB$15</f>
        <v>0.048</v>
      </c>
      <c r="AC40">
        <f>G40</f>
        <v>0.48</v>
      </c>
      <c r="AD40">
        <f>IF($AA40=AD$13,$G40,0)</f>
        <v>0</v>
      </c>
      <c r="AE40">
        <f>IF($AA40=AE$13,$G40,0)</f>
        <v>0.48</v>
      </c>
      <c r="AF40">
        <f>IF($AA40=AF$13,$G40,0)</f>
        <v>0</v>
      </c>
      <c r="AH40">
        <v>1</v>
      </c>
      <c r="AI40">
        <v>3</v>
      </c>
      <c r="AJ40">
        <f>IF($AH40=AJ$13,$G40,0)</f>
        <v>0.48</v>
      </c>
      <c r="AK40">
        <f>IF($AH40=AK$13,$G40,0)</f>
        <v>0</v>
      </c>
      <c r="AL40">
        <f>IF($AI40=AL$13,$G40,0)</f>
        <v>0.48</v>
      </c>
      <c r="AM40">
        <f>IF($AI40=AM$13,$G40,0)</f>
        <v>0</v>
      </c>
    </row>
    <row r="41">
      <c r="B41">
        <v>7</v>
      </c>
      <c r="C41" t="str">
        <v>Teras depan</v>
      </c>
      <c r="D41">
        <v>1.85</v>
      </c>
      <c r="E41">
        <v>1.7</v>
      </c>
      <c r="F41">
        <v>1</v>
      </c>
      <c r="G41">
        <f>D41*E41*F41</f>
        <v>3.145</v>
      </c>
      <c r="V41">
        <f>IF($R41=V$13,$S41,0)</f>
        <v>0</v>
      </c>
      <c r="Y41">
        <f>IF($R41=Y$13,$U41,0)</f>
        <v>0</v>
      </c>
      <c r="AA41">
        <v>3</v>
      </c>
      <c r="AB41">
        <f>G41*AB$15</f>
        <v>0.3145</v>
      </c>
      <c r="AC41">
        <f>G41</f>
        <v>3.145</v>
      </c>
      <c r="AD41">
        <f>IF($AA41=AD$13,$G41,0)</f>
        <v>3.145</v>
      </c>
      <c r="AE41">
        <f>IF($AA41=AE$13,$G41,0)</f>
        <v>0</v>
      </c>
      <c r="AF41">
        <f>IF($AA41=AF$13,$G41,0)</f>
        <v>0</v>
      </c>
      <c r="AH41">
        <v>2</v>
      </c>
      <c r="AI41">
        <v>4</v>
      </c>
      <c r="AJ41">
        <f>IF($AH41=AJ$13,$G41,0)</f>
        <v>0</v>
      </c>
      <c r="AK41">
        <f>IF($AH41=AK$13,$G41,0)</f>
        <v>3.145</v>
      </c>
      <c r="AL41">
        <f>IF($AI41=AL$13,$G41,0)</f>
        <v>0</v>
      </c>
      <c r="AM41">
        <f>IF($AI41=AM$13,$G41,0)</f>
        <v>3.145</v>
      </c>
    </row>
    <row r="42">
      <c r="I42">
        <f>D41+E41</f>
        <v>3.55</v>
      </c>
      <c r="J42">
        <v>2.8</v>
      </c>
      <c r="K42" t="str">
        <v>opening</v>
      </c>
      <c r="L42">
        <v>1.1</v>
      </c>
      <c r="M42">
        <v>1.9</v>
      </c>
      <c r="N42">
        <v>1</v>
      </c>
      <c r="O42">
        <f>L42*M42*N42</f>
        <v>2.09</v>
      </c>
      <c r="Q42" t="str">
        <v>1C</v>
      </c>
      <c r="R42">
        <v>4</v>
      </c>
      <c r="S42">
        <f>IF($Q42=S$13,(($H42*$J42)-($O42)),0)</f>
        <v>0</v>
      </c>
      <c r="T42">
        <f>IF($Q42=T$13,(($H42*$J42)-$O42),0)</f>
        <v>0</v>
      </c>
      <c r="U42">
        <f>IF($Q42=U$13,(($I42*$J42)-($O42+O43)),0)</f>
        <v>6.47</v>
      </c>
      <c r="V42">
        <f>IF($R42=V$13,(($I42*$J42)-$O42),0)</f>
        <v>0</v>
      </c>
      <c r="W42">
        <f>IF($R42=W$13,(($H42*$J42)-$O42),0)</f>
        <v>0</v>
      </c>
      <c r="X42">
        <f>IF($R42=X$13,$S42,0)</f>
        <v>0</v>
      </c>
      <c r="Y42">
        <f>IF($R42=Y$13,$U42,0)</f>
        <v>6.47</v>
      </c>
      <c r="AB42">
        <f>G42*AB$15</f>
        <v>0</v>
      </c>
      <c r="AC42">
        <f>G42</f>
        <v>0</v>
      </c>
      <c r="AD42">
        <f>IF($AA42=AD$13,$G42,0)</f>
        <v>0</v>
      </c>
      <c r="AE42">
        <f>IF($AA42=AE$13,$G42,0)</f>
        <v>0</v>
      </c>
      <c r="AF42">
        <f>IF($AA42=AF$13,$G42,0)</f>
        <v>0</v>
      </c>
      <c r="AG42">
        <f>IF($AA42=AG$13,$G42,0)</f>
        <v>0</v>
      </c>
      <c r="AL42">
        <f>IF($AI42=AL$13,$G42,0)</f>
        <v>0</v>
      </c>
    </row>
    <row r="43">
      <c r="I43">
        <f>I42</f>
        <v>3.55</v>
      </c>
      <c r="J43">
        <v>3.82</v>
      </c>
      <c r="K43" t="str">
        <v>opening</v>
      </c>
      <c r="L43">
        <v>2.3</v>
      </c>
      <c r="M43">
        <v>0.6</v>
      </c>
      <c r="N43">
        <v>1</v>
      </c>
      <c r="O43">
        <f>L43*M43*N43</f>
        <v>1.38</v>
      </c>
      <c r="Q43" t="str">
        <v>NF</v>
      </c>
      <c r="R43">
        <v>1</v>
      </c>
      <c r="S43">
        <f>IF($Q43=S$13,(($H43*$J43)-($O43)),0)</f>
        <v>0</v>
      </c>
      <c r="T43">
        <f>IF($Q43=T$13,(($H43*$J43)-$O43),0)</f>
        <v>0</v>
      </c>
      <c r="U43">
        <f>IF($Q43=U$13,(($I43*$J43)-$O43),0)</f>
        <v>0</v>
      </c>
      <c r="V43">
        <f>IF($R43=V$13,(($I43*$J43)-($O42+O43)),0)</f>
        <v>10.090999999999998</v>
      </c>
      <c r="W43">
        <f>IF($R43=W$13,(($H43*$J43)-$O43),0)</f>
        <v>0</v>
      </c>
      <c r="X43">
        <f>IF($R43=X$13,$S43,0)</f>
        <v>0</v>
      </c>
      <c r="Y43">
        <f>IF($R43=Y$13,$U43,0)</f>
        <v>0</v>
      </c>
      <c r="AB43">
        <f>G43*AB$15</f>
        <v>0</v>
      </c>
      <c r="AC43">
        <f>G43</f>
        <v>0</v>
      </c>
      <c r="AD43">
        <f>IF($AA43=AD$13,$G43,0)</f>
        <v>0</v>
      </c>
      <c r="AE43">
        <f>IF($AA43=AE$13,$G43,0)</f>
        <v>0</v>
      </c>
      <c r="AF43">
        <f>IF($AA43=AF$13,$G43,0)</f>
        <v>0</v>
      </c>
      <c r="AG43">
        <f>IF($AA43=AG$13,$G43,0)</f>
        <v>0</v>
      </c>
      <c r="AL43">
        <f>IF($AI43=AL$13,$G43,0)</f>
        <v>0</v>
      </c>
    </row>
    <row r="44">
      <c r="I44">
        <f>2.95*2</f>
        <v>5.9</v>
      </c>
      <c r="J44">
        <v>1</v>
      </c>
      <c r="Q44" t="str">
        <v>1C</v>
      </c>
      <c r="R44">
        <v>4</v>
      </c>
      <c r="S44">
        <f>IF($Q44=S$13,(($H44*$J44)-($O44)),0)</f>
        <v>0</v>
      </c>
      <c r="T44">
        <f>IF($Q44=T$13,(($H44*$J44)-$O44),0)</f>
        <v>0</v>
      </c>
      <c r="U44">
        <f>IF($Q44=U$13,(($I44*$J44)-$O44),0)</f>
        <v>5.9</v>
      </c>
      <c r="V44">
        <f>IF($R44=V$13,(($H44*$J44)-$O44),0)</f>
        <v>0</v>
      </c>
      <c r="W44">
        <f>IF($R44=W$13,(($H44*$J44)-$O44),0)</f>
        <v>0</v>
      </c>
      <c r="X44">
        <f>IF($R44=X$13,$S44,0)</f>
        <v>0</v>
      </c>
      <c r="Y44">
        <f>IF($R44=Y$13,$U44,0)</f>
        <v>5.9</v>
      </c>
      <c r="AB44">
        <f>G44*AB$15</f>
        <v>0</v>
      </c>
      <c r="AC44">
        <f>G44</f>
        <v>0</v>
      </c>
      <c r="AD44">
        <f>IF($AA44=AD$13,$G44,0)</f>
        <v>0</v>
      </c>
      <c r="AE44">
        <f>IF($AA44=AE$13,$G44,0)</f>
        <v>0</v>
      </c>
      <c r="AF44">
        <f>IF($AA44=AF$13,$G44,0)</f>
        <v>0</v>
      </c>
      <c r="AG44">
        <f>IF($AA44=AG$13,$G44,0)</f>
        <v>0</v>
      </c>
      <c r="AL44">
        <f>IF($AI44=AL$13,$G44,0)</f>
        <v>0</v>
      </c>
    </row>
    <row r="45">
      <c r="B45">
        <v>8</v>
      </c>
      <c r="C45" t="str">
        <v>Teras belakang</v>
      </c>
      <c r="D45">
        <v>1.5</v>
      </c>
      <c r="E45">
        <v>4</v>
      </c>
      <c r="F45">
        <v>1</v>
      </c>
      <c r="G45">
        <f>D45*E45*F45</f>
        <v>6</v>
      </c>
      <c r="H45">
        <f>(D45*2+E45*2)*F45</f>
        <v>11</v>
      </c>
      <c r="V45">
        <f>IF($R45=V$13,$S45,0)</f>
        <v>0</v>
      </c>
      <c r="Y45">
        <f>IF($R45=Y$13,$U45,0)</f>
        <v>0</v>
      </c>
      <c r="AA45">
        <v>3</v>
      </c>
      <c r="AB45">
        <f>G45*AB$15</f>
        <v>0.6000000000000001</v>
      </c>
      <c r="AC45">
        <f>G45</f>
        <v>6</v>
      </c>
      <c r="AD45">
        <f>IF($AA45=AD$13,$G45,0)</f>
        <v>6</v>
      </c>
      <c r="AE45">
        <f>IF($AA45=AE$13,$G45,0)</f>
        <v>0</v>
      </c>
      <c r="AF45">
        <f>IF($AA45=AF$13,$G45,0)</f>
        <v>0</v>
      </c>
      <c r="AH45">
        <v>2</v>
      </c>
      <c r="AI45">
        <v>4</v>
      </c>
      <c r="AJ45">
        <f>IF($AH45=AJ$13,$G45,0)</f>
        <v>0</v>
      </c>
      <c r="AK45">
        <f>IF($AH45=AK$13,$G45,0)</f>
        <v>6</v>
      </c>
      <c r="AL45">
        <f>IF($AI45=AL$13,$G45,0)</f>
        <v>0</v>
      </c>
      <c r="AM45">
        <f>IF($AI45=AM$13,$G45,0)</f>
        <v>6</v>
      </c>
    </row>
    <row r="46">
      <c r="I46">
        <f>(6+4)*2</f>
        <v>20</v>
      </c>
      <c r="J46">
        <v>3</v>
      </c>
      <c r="Q46" t="str">
        <v>1C</v>
      </c>
      <c r="R46">
        <v>4</v>
      </c>
      <c r="S46">
        <f>IF($Q46=S$13,(($H46*$J46)-($O46)),0)</f>
        <v>0</v>
      </c>
      <c r="T46">
        <f>IF($Q46=T$13,(($H46*$J46)-$O46),0)</f>
        <v>0</v>
      </c>
      <c r="U46">
        <f>IF($Q46=U$13,(($I46*$J46)-($O46+O51)),0)</f>
        <v>60</v>
      </c>
      <c r="V46">
        <f>IF($R46=V$13,(($I46*$J46)-$O46),0)</f>
        <v>0</v>
      </c>
      <c r="W46">
        <f>IF($R46=W$13,(($H46*$J46)-$O46),0)</f>
        <v>0</v>
      </c>
      <c r="X46">
        <f>IF($R46=X$13,$S46,0)</f>
        <v>0</v>
      </c>
      <c r="Y46">
        <f>IF($R46=Y$13,$U46,0)</f>
        <v>60</v>
      </c>
      <c r="AB46">
        <f>G46*AB$15</f>
        <v>0</v>
      </c>
      <c r="AC46">
        <f>G46</f>
        <v>0</v>
      </c>
      <c r="AD46">
        <f>IF($AA46=AD$13,$G46,0)</f>
        <v>0</v>
      </c>
      <c r="AE46">
        <f>IF($AA46=AE$13,$G46,0)</f>
        <v>0</v>
      </c>
      <c r="AF46">
        <f>IF($AA46=AF$13,$G46,0)</f>
        <v>0</v>
      </c>
      <c r="AG46">
        <f>IF($AA46=AG$13,$G46,0)</f>
        <v>0</v>
      </c>
      <c r="AL46">
        <f>IF($AI46=AL$13,$G46,0)</f>
        <v>0</v>
      </c>
    </row>
    <row r="54">
      <c r="B54" t="str">
        <v>TAKING OFF WALL</v>
      </c>
    </row>
    <row r="56">
      <c r="H56" t="str">
        <v>DDT Opening</v>
      </c>
    </row>
    <row r="57">
      <c r="Q57" t="str">
        <v>Sum</v>
      </c>
    </row>
    <row r="58">
      <c r="B58" t="str">
        <v>No</v>
      </c>
      <c r="C58" t="str">
        <v>Grid</v>
      </c>
      <c r="D58" t="str">
        <v>L</v>
      </c>
      <c r="E58" t="str">
        <v>H</v>
      </c>
      <c r="F58" t="str">
        <v>AREA</v>
      </c>
      <c r="H58" t="str">
        <v>90X220</v>
      </c>
      <c r="I58" t="str">
        <v>178X220</v>
      </c>
      <c r="J58" t="str">
        <v>225X220</v>
      </c>
      <c r="K58" t="str">
        <v>175X220</v>
      </c>
      <c r="L58" t="str">
        <v>70X225</v>
      </c>
      <c r="M58" t="str">
        <v>65X100</v>
      </c>
      <c r="N58" t="str">
        <v>290X170</v>
      </c>
      <c r="O58" t="str">
        <v>185X170</v>
      </c>
      <c r="P58" t="str">
        <v>opening</v>
      </c>
    </row>
    <row r="59">
      <c r="H59" t="str">
        <v>PB2</v>
      </c>
      <c r="I59" t="str">
        <v>PJ1</v>
      </c>
      <c r="J59" t="str">
        <v>PJ2</v>
      </c>
      <c r="K59" t="str">
        <v>PJ3</v>
      </c>
      <c r="L59" t="str">
        <v>PT2</v>
      </c>
      <c r="M59" t="str">
        <v>PT3</v>
      </c>
      <c r="N59" t="str">
        <v>J1</v>
      </c>
      <c r="O59" t="str">
        <v>J4</v>
      </c>
    </row>
    <row r="60">
      <c r="D60" t="str">
        <v>m</v>
      </c>
      <c r="E60" t="str">
        <v>m</v>
      </c>
      <c r="F60" t="str">
        <v>m2</v>
      </c>
      <c r="H60" t="str">
        <v>m2</v>
      </c>
      <c r="I60" t="str">
        <v>m2</v>
      </c>
      <c r="J60" t="str">
        <v>m2</v>
      </c>
      <c r="K60" t="str">
        <v>m2</v>
      </c>
      <c r="L60" t="str">
        <v>m2</v>
      </c>
      <c r="M60" t="str">
        <v>m2</v>
      </c>
      <c r="N60" t="str">
        <v>m2</v>
      </c>
      <c r="O60" t="str">
        <v>m2</v>
      </c>
    </row>
    <row r="61">
      <c r="H61">
        <f>0.9*2.2</f>
        <v>1.9800000000000002</v>
      </c>
      <c r="I61">
        <f>1.775*2.2</f>
        <v>3.9050000000000002</v>
      </c>
      <c r="J61">
        <f>2.25*2.2</f>
        <v>4.95</v>
      </c>
      <c r="K61">
        <f>1.75*2.2</f>
        <v>3.8500000000000005</v>
      </c>
      <c r="L61">
        <f>0.7*2.25</f>
        <v>1.575</v>
      </c>
      <c r="M61">
        <f>0.65*1</f>
        <v>0.65</v>
      </c>
      <c r="N61">
        <f>2.9*1.7</f>
        <v>4.93</v>
      </c>
      <c r="O61">
        <f>1.85*1.7</f>
        <v>3.145</v>
      </c>
    </row>
    <row r="62">
      <c r="D62">
        <f>SUM(D64:D81)</f>
        <v>64.75</v>
      </c>
      <c r="Q62">
        <f>SUM(Q63:Q80)</f>
        <v>169.98625</v>
      </c>
    </row>
    <row r="64">
      <c r="C64" t="str">
        <v>AS 1</v>
      </c>
      <c r="D64">
        <f>D47+D18+D22</f>
        <v>5.45</v>
      </c>
      <c r="E64">
        <f>(3+3.75)/2</f>
        <v>3.375</v>
      </c>
      <c r="F64">
        <f>D64*E64</f>
        <v>18.39375</v>
      </c>
      <c r="Q64">
        <f>F64-SUM(H64:P64)</f>
        <v>18.39375</v>
      </c>
    </row>
    <row r="65">
      <c r="C65" t="str">
        <v>AS 2</v>
      </c>
      <c r="D65">
        <v>2.1</v>
      </c>
      <c r="E65">
        <v>3</v>
      </c>
      <c r="F65">
        <f>D65*E65</f>
        <v>6.300000000000001</v>
      </c>
      <c r="Q65">
        <f>F65-SUM(H65:P65)</f>
        <v>6.300000000000001</v>
      </c>
    </row>
    <row r="67">
      <c r="C67" t="str">
        <v>AS 3</v>
      </c>
      <c r="D67">
        <f>D32+D24</f>
        <v>6</v>
      </c>
      <c r="E67">
        <v>3</v>
      </c>
      <c r="F67">
        <f>D67*E67</f>
        <v>18</v>
      </c>
      <c r="G67" t="str">
        <v>J4,J1</v>
      </c>
      <c r="N67">
        <f>N61</f>
        <v>4.93</v>
      </c>
      <c r="O67">
        <f>O61</f>
        <v>3.145</v>
      </c>
      <c r="Q67">
        <f>F67-SUM(H67:P67)</f>
        <v>9.925</v>
      </c>
    </row>
    <row r="68">
      <c r="C68" t="str">
        <v>AS 4</v>
      </c>
      <c r="D68">
        <f>D28+D30</f>
        <v>6.1</v>
      </c>
      <c r="E68">
        <v>3</v>
      </c>
      <c r="F68">
        <f>D68*E68</f>
        <v>18.299999999999997</v>
      </c>
      <c r="Q68">
        <f>F68-SUM(H68:P68)</f>
        <v>18.299999999999997</v>
      </c>
    </row>
    <row r="69">
      <c r="C69" t="str">
        <v>AS 4'</v>
      </c>
      <c r="D69">
        <f>D41</f>
        <v>1.85</v>
      </c>
      <c r="E69">
        <v>3.1</v>
      </c>
      <c r="F69">
        <f>D69*E69</f>
        <v>5.735</v>
      </c>
      <c r="G69" t="str">
        <v>opening</v>
      </c>
      <c r="P69">
        <f>O43</f>
        <v>1.38</v>
      </c>
      <c r="Q69">
        <f>F69-SUM(H69:P69)</f>
        <v>4.355</v>
      </c>
    </row>
    <row r="70">
      <c r="C70" t="str">
        <v>AS 5</v>
      </c>
      <c r="D70">
        <f>D34+D40</f>
        <v>2.25</v>
      </c>
      <c r="E70">
        <v>3</v>
      </c>
      <c r="F70">
        <f>D70*E70</f>
        <v>6.75</v>
      </c>
      <c r="G70" t="str">
        <v>PT2,PT3</v>
      </c>
      <c r="L70">
        <f>L61</f>
        <v>1.575</v>
      </c>
      <c r="M70">
        <f>M61</f>
        <v>0.65</v>
      </c>
      <c r="Q70">
        <f>F70-SUM(H70:P70)</f>
        <v>4.525</v>
      </c>
    </row>
    <row r="71">
      <c r="C71" t="str">
        <v>AS 6</v>
      </c>
      <c r="D71">
        <f>D40</f>
        <v>0.8</v>
      </c>
      <c r="E71">
        <v>3</v>
      </c>
      <c r="F71">
        <f>D71*E71</f>
        <v>2.4000000000000004</v>
      </c>
      <c r="Q71">
        <f>F71-SUM(H71:P71)</f>
        <v>2.4000000000000004</v>
      </c>
    </row>
    <row r="72">
      <c r="C72" t="str">
        <v>AS 7</v>
      </c>
      <c r="D72">
        <f>D47+D34+D37+D32+D30+D28</f>
        <v>11.3</v>
      </c>
      <c r="E72">
        <f>(3+3.75)/2</f>
        <v>3.375</v>
      </c>
      <c r="F72">
        <f>D72*E72</f>
        <v>38.1375</v>
      </c>
      <c r="Q72">
        <f>F72-SUM(H72:P72)</f>
        <v>38.1375</v>
      </c>
    </row>
    <row r="73">
      <c r="Q73">
        <f>F73-SUM(H73:P73)</f>
        <v>0</v>
      </c>
    </row>
    <row r="75">
      <c r="C75" t="str">
        <v>AS A</v>
      </c>
      <c r="D75">
        <f>E18+E20+E28</f>
        <v>8</v>
      </c>
      <c r="E75">
        <f>(3+3.75)/2</f>
        <v>3.375</v>
      </c>
      <c r="F75">
        <f>D75*E75</f>
        <v>27</v>
      </c>
      <c r="G75" t="str">
        <v>PJ2,PJ3,J4</v>
      </c>
      <c r="J75">
        <f>J61</f>
        <v>4.95</v>
      </c>
      <c r="K75">
        <f>K61</f>
        <v>3.8500000000000005</v>
      </c>
      <c r="O75">
        <f>O61</f>
        <v>3.145</v>
      </c>
      <c r="Q75">
        <f>F75-SUM(H75:P75)</f>
        <v>15.055</v>
      </c>
    </row>
    <row r="76">
      <c r="C76" t="str">
        <v>AS B</v>
      </c>
      <c r="D76">
        <f>E28+1.15</f>
        <v>4.225</v>
      </c>
      <c r="E76">
        <v>3</v>
      </c>
      <c r="F76">
        <f>D76*E76</f>
        <v>12.674999999999999</v>
      </c>
      <c r="G76" t="str">
        <v>PB2</v>
      </c>
      <c r="H76">
        <f>H61</f>
        <v>1.9800000000000002</v>
      </c>
      <c r="Q76">
        <f>F76-SUM(H76:P76)</f>
        <v>10.694999999999999</v>
      </c>
    </row>
    <row r="77">
      <c r="C77" t="str">
        <v>AS C</v>
      </c>
      <c r="D77">
        <f>E40</f>
        <v>0.6</v>
      </c>
      <c r="E77">
        <v>3</v>
      </c>
      <c r="F77">
        <f>D77*E77</f>
        <v>1.7999999999999998</v>
      </c>
      <c r="Q77">
        <f>F77-SUM(H77:P77)</f>
        <v>1.7999999999999998</v>
      </c>
    </row>
    <row r="78">
      <c r="C78" t="str">
        <v>AS D</v>
      </c>
      <c r="D78">
        <f>E22+E30-0.9</f>
        <v>8.075000000000001</v>
      </c>
      <c r="E78">
        <v>3</v>
      </c>
      <c r="F78">
        <f>D78*E78</f>
        <v>24.225</v>
      </c>
      <c r="G78" t="str">
        <v>PJ1,PB2,opening</v>
      </c>
      <c r="H78">
        <f>H61</f>
        <v>1.9800000000000002</v>
      </c>
      <c r="I78">
        <f>I61</f>
        <v>3.9050000000000002</v>
      </c>
      <c r="P78">
        <f>O27</f>
        <v>1.7600000000000002</v>
      </c>
      <c r="Q78">
        <f>F78-SUM(H78:P78)</f>
        <v>16.58</v>
      </c>
    </row>
    <row r="79">
      <c r="C79" t="str">
        <v>AS E</v>
      </c>
      <c r="D79">
        <f>E32</f>
        <v>4</v>
      </c>
      <c r="E79">
        <v>3</v>
      </c>
      <c r="F79">
        <f>D79*E79</f>
        <v>12</v>
      </c>
      <c r="G79" t="str">
        <v>PB2</v>
      </c>
      <c r="H79">
        <f>H61</f>
        <v>1.9800000000000002</v>
      </c>
      <c r="Q79">
        <f>F79-SUM(H79:P79)</f>
        <v>10.02</v>
      </c>
    </row>
    <row r="80">
      <c r="C80" t="str">
        <v>AS F</v>
      </c>
      <c r="D80">
        <f>E32</f>
        <v>4</v>
      </c>
      <c r="E80">
        <f>(3+3.75)/2</f>
        <v>3.375</v>
      </c>
      <c r="F80">
        <f>D80*E80</f>
        <v>13.5</v>
      </c>
      <c r="Q80">
        <f>F80-SUM(H80:P80)</f>
        <v>13.5</v>
      </c>
    </row>
    <row r="81">
      <c r="H81">
        <v>3</v>
      </c>
      <c r="I81">
        <v>1</v>
      </c>
      <c r="J81">
        <v>1</v>
      </c>
      <c r="K81">
        <v>1</v>
      </c>
      <c r="L81">
        <v>1</v>
      </c>
      <c r="M81">
        <v>1</v>
      </c>
      <c r="N81">
        <v>1</v>
      </c>
      <c r="O81">
        <v>2</v>
      </c>
    </row>
    <row r="83">
      <c r="B83" t="str">
        <v>VOLUME PINTU &amp; JENDELA</v>
      </c>
    </row>
    <row r="84">
      <c r="B84" t="str">
        <v>NO</v>
      </c>
      <c r="C84" t="str">
        <v>URAIAN PEKERJAAN</v>
      </c>
      <c r="D84" t="str">
        <v>SATUAN</v>
      </c>
      <c r="E84" t="str">
        <v>PJ</v>
      </c>
      <c r="H84" t="str">
        <v>P.1</v>
      </c>
      <c r="K84" t="str">
        <v>P.2</v>
      </c>
      <c r="Q84" t="str">
        <v>J.1</v>
      </c>
    </row>
    <row r="85">
      <c r="E85" t="str">
        <v>VOLUME</v>
      </c>
      <c r="F85" t="str">
        <v>BANYAK</v>
      </c>
      <c r="G85" t="str">
        <v>JUMLAH</v>
      </c>
      <c r="H85" t="str">
        <v>VOLUME</v>
      </c>
      <c r="I85" t="str">
        <v>BANYAK</v>
      </c>
      <c r="J85" t="str">
        <v>JUMLAH</v>
      </c>
      <c r="K85" t="str">
        <v>VOLUME</v>
      </c>
      <c r="L85" t="str">
        <v>BANYAK</v>
      </c>
      <c r="M85" t="str">
        <v>JUMLAH</v>
      </c>
      <c r="N85" t="str">
        <v>VOLUME</v>
      </c>
      <c r="O85" t="str">
        <v>BANYAK</v>
      </c>
      <c r="P85" t="str">
        <v>JUMLAH</v>
      </c>
      <c r="Q85" t="str">
        <v>VOLUME</v>
      </c>
      <c r="R85" t="str">
        <v>BANYAK</v>
      </c>
      <c r="S85" t="str">
        <v>JUMLAH</v>
      </c>
      <c r="T85" t="str">
        <v>TOTAL</v>
      </c>
    </row>
    <row r="87">
      <c r="B87">
        <v>1</v>
      </c>
      <c r="C87" t="str">
        <v>Luas</v>
      </c>
      <c r="D87" t="str">
        <v>m2</v>
      </c>
      <c r="E87">
        <f>(2.1*0.9)+(1.8*0.55)</f>
        <v>2.8800000000000003</v>
      </c>
      <c r="F87">
        <v>3</v>
      </c>
      <c r="G87">
        <f>E87*F87</f>
        <v>8.64</v>
      </c>
      <c r="H87">
        <f>(2.1*0.9)</f>
        <v>1.8900000000000001</v>
      </c>
      <c r="I87">
        <v>3</v>
      </c>
      <c r="J87">
        <f>H87*I87</f>
        <v>5.67</v>
      </c>
      <c r="K87">
        <f>(2.1*0.8)</f>
        <v>1.6800000000000002</v>
      </c>
      <c r="L87">
        <f>L81+M81</f>
        <v>2</v>
      </c>
      <c r="M87">
        <f>K87*L87</f>
        <v>3.3600000000000003</v>
      </c>
      <c r="N87">
        <f>(2.1*2.1)</f>
        <v>4.41</v>
      </c>
      <c r="P87">
        <f>N87*O87</f>
        <v>0</v>
      </c>
      <c r="Q87">
        <f>(1.3*1.15)</f>
        <v>1.4949999999999999</v>
      </c>
      <c r="R87">
        <v>3</v>
      </c>
      <c r="S87">
        <f>Q87*R87</f>
        <v>4.484999999999999</v>
      </c>
      <c r="T87">
        <f>G87+J87+M87+P87+S87</f>
        <v>22.155</v>
      </c>
    </row>
    <row r="88">
      <c r="B88">
        <v>2</v>
      </c>
      <c r="C88" t="str">
        <v>Tali air/skoneng</v>
      </c>
      <c r="D88" t="str">
        <v>m</v>
      </c>
      <c r="E88">
        <f>(2.1+2.1+1.45+0.55)*2</f>
        <v>12.4</v>
      </c>
      <c r="F88">
        <f>F87</f>
        <v>3</v>
      </c>
      <c r="G88">
        <f>E88*F88</f>
        <v>37.2</v>
      </c>
      <c r="H88">
        <f>(2.1+2.1+0.9)*2</f>
        <v>10.200000000000001</v>
      </c>
      <c r="I88">
        <f>I87</f>
        <v>3</v>
      </c>
      <c r="J88">
        <f>H88*I88</f>
        <v>30.6</v>
      </c>
      <c r="K88">
        <f>(2.1+2.1+0.8)*2</f>
        <v>10</v>
      </c>
      <c r="L88">
        <f>L87</f>
        <v>2</v>
      </c>
      <c r="M88">
        <f>K88*L88</f>
        <v>20</v>
      </c>
      <c r="N88">
        <f>(2.1+2.1+2.1)*2</f>
        <v>12.600000000000001</v>
      </c>
      <c r="P88">
        <f>N88*O88</f>
        <v>0</v>
      </c>
      <c r="Q88">
        <f>(1.3+1.3+1.15+1.15)*2</f>
        <v>9.8</v>
      </c>
      <c r="R88">
        <v>3</v>
      </c>
      <c r="S88">
        <f>Q88*R88</f>
        <v>29.400000000000002</v>
      </c>
      <c r="T88">
        <f>G88+J88+M88+P88+S88</f>
        <v>117.20000000000002</v>
      </c>
    </row>
    <row r="89">
      <c r="B89">
        <v>3</v>
      </c>
      <c r="C89" t="str">
        <v>Sepatu kusen</v>
      </c>
      <c r="D89" t="str">
        <v>bh</v>
      </c>
      <c r="E89">
        <v>2</v>
      </c>
      <c r="F89">
        <f>F88</f>
        <v>3</v>
      </c>
      <c r="G89">
        <f>E89*F89</f>
        <v>6</v>
      </c>
      <c r="H89">
        <v>2</v>
      </c>
      <c r="I89">
        <f>I88</f>
        <v>3</v>
      </c>
      <c r="J89">
        <f>H89*I89</f>
        <v>6</v>
      </c>
      <c r="K89">
        <v>2</v>
      </c>
      <c r="L89">
        <f>L88</f>
        <v>2</v>
      </c>
      <c r="M89">
        <f>K89*L89</f>
        <v>4</v>
      </c>
      <c r="N89">
        <v>2</v>
      </c>
      <c r="P89">
        <f>N89*O89</f>
        <v>0</v>
      </c>
      <c r="T89">
        <f>G89+J89+M89+P89+S89</f>
        <v>16</v>
      </c>
    </row>
    <row r="90">
      <c r="B90">
        <v>4</v>
      </c>
      <c r="C90" t="str">
        <v>Anker</v>
      </c>
      <c r="D90" t="str">
        <v>bh</v>
      </c>
      <c r="E90">
        <v>4</v>
      </c>
      <c r="F90">
        <f>F89</f>
        <v>3</v>
      </c>
      <c r="G90">
        <f>E90*F90</f>
        <v>12</v>
      </c>
      <c r="H90">
        <v>4</v>
      </c>
      <c r="I90">
        <f>I89</f>
        <v>3</v>
      </c>
      <c r="J90">
        <f>H90*I90</f>
        <v>12</v>
      </c>
      <c r="K90">
        <v>4</v>
      </c>
      <c r="L90">
        <f>L89</f>
        <v>2</v>
      </c>
      <c r="M90">
        <f>K90*L90</f>
        <v>8</v>
      </c>
      <c r="N90">
        <v>6</v>
      </c>
      <c r="P90">
        <f>N90*O90</f>
        <v>0</v>
      </c>
      <c r="Q90">
        <v>4</v>
      </c>
      <c r="R90">
        <v>3</v>
      </c>
      <c r="S90">
        <f>Q90*R90</f>
        <v>12</v>
      </c>
      <c r="T90">
        <f>G90+J90+M90+P90+S90</f>
        <v>44</v>
      </c>
    </row>
    <row r="91">
      <c r="B91">
        <v>5</v>
      </c>
      <c r="C91" t="str">
        <v>Kusen</v>
      </c>
      <c r="D91" t="str">
        <v>m3</v>
      </c>
      <c r="E91">
        <f>(2.1+2.1+1.8+1.45+0.55)*0.06*0.15</f>
        <v>0.072</v>
      </c>
      <c r="F91">
        <f>F90</f>
        <v>3</v>
      </c>
      <c r="G91">
        <f>E91*F91</f>
        <v>0.21599999999999997</v>
      </c>
      <c r="H91">
        <f>(2.1+2.1+0.9)*0.06*0.15</f>
        <v>0.045899999999999996</v>
      </c>
      <c r="I91">
        <f>I90</f>
        <v>3</v>
      </c>
      <c r="J91">
        <f>H91*I91</f>
        <v>0.1377</v>
      </c>
      <c r="K91">
        <f>(2.1+2.1+0.8)*0.06*0.15</f>
        <v>0.045</v>
      </c>
      <c r="L91">
        <f>L90</f>
        <v>2</v>
      </c>
      <c r="M91">
        <f>K91*L91</f>
        <v>0.09</v>
      </c>
      <c r="N91">
        <f>(2.1+2.1+2.1)*0.06*0.15</f>
        <v>0.0567</v>
      </c>
      <c r="P91">
        <f>N91*O91</f>
        <v>0</v>
      </c>
      <c r="Q91">
        <f>(1.3+1.3+1.15+1.15)*0.06*0.15</f>
        <v>0.04409999999999999</v>
      </c>
      <c r="R91">
        <v>3</v>
      </c>
      <c r="S91">
        <f>Q91*R91</f>
        <v>0.13229999999999997</v>
      </c>
      <c r="T91">
        <f>G91+J91+M91+P91+S91</f>
        <v>0.576</v>
      </c>
    </row>
    <row r="92">
      <c r="B92">
        <v>6</v>
      </c>
      <c r="C92" t="str">
        <v>Finish kusen</v>
      </c>
      <c r="D92" t="str">
        <v>m</v>
      </c>
      <c r="E92">
        <f>(2.1+2.1+1.8+1.45+0.55)</f>
        <v>8</v>
      </c>
      <c r="F92">
        <f>F91</f>
        <v>3</v>
      </c>
      <c r="G92">
        <f>E92*F92</f>
        <v>24</v>
      </c>
      <c r="H92">
        <f>(2.1+2.1+0.9)</f>
        <v>5.1000000000000005</v>
      </c>
      <c r="I92">
        <f>I91</f>
        <v>3</v>
      </c>
      <c r="J92">
        <f>H92*I92</f>
        <v>15.3</v>
      </c>
      <c r="K92">
        <f>(2.1+2.1+0.8)</f>
        <v>5</v>
      </c>
      <c r="L92">
        <f>L91</f>
        <v>2</v>
      </c>
      <c r="M92">
        <f>K92*L92</f>
        <v>10</v>
      </c>
      <c r="N92">
        <f>(2.1+2.1+2.1)</f>
        <v>6.300000000000001</v>
      </c>
      <c r="P92">
        <f>N92*O92</f>
        <v>0</v>
      </c>
      <c r="Q92">
        <f>(1.3+1.3+1.15+1.15)</f>
        <v>4.9</v>
      </c>
      <c r="R92">
        <v>3</v>
      </c>
      <c r="S92">
        <f>Q92*R92</f>
        <v>14.700000000000001</v>
      </c>
      <c r="T92">
        <f>G92+J92+M92+P92+S92</f>
        <v>64</v>
      </c>
    </row>
    <row r="93">
      <c r="T93">
        <f>G93+J93+M93+P93+S93</f>
        <v>0</v>
      </c>
    </row>
    <row r="94">
      <c r="B94">
        <v>1</v>
      </c>
      <c r="C94" t="str">
        <v>Pintu panel</v>
      </c>
      <c r="D94" t="str">
        <v>bh</v>
      </c>
      <c r="E94">
        <v>1</v>
      </c>
      <c r="F94">
        <v>1</v>
      </c>
      <c r="G94">
        <f>E94*F94</f>
        <v>1</v>
      </c>
      <c r="T94">
        <f>G94+J94+M94+P94+S94</f>
        <v>1</v>
      </c>
    </row>
    <row r="95">
      <c r="B95">
        <v>2</v>
      </c>
      <c r="C95" t="str">
        <v>Pintu double triplek</v>
      </c>
      <c r="D95" t="str">
        <v>bh</v>
      </c>
      <c r="E95">
        <v>1</v>
      </c>
      <c r="F95">
        <f>F92-F94</f>
        <v>2</v>
      </c>
      <c r="H95">
        <v>1</v>
      </c>
      <c r="I95">
        <f>I92</f>
        <v>3</v>
      </c>
      <c r="J95">
        <f>H95*I95</f>
        <v>3</v>
      </c>
      <c r="T95">
        <f>G95+J95+M95+P95+S95</f>
        <v>3</v>
      </c>
    </row>
    <row r="96">
      <c r="B96">
        <v>3</v>
      </c>
      <c r="C96" t="str">
        <v>Pintu triplek+fomika</v>
      </c>
      <c r="D96" t="str">
        <v>bh</v>
      </c>
      <c r="K96">
        <v>1</v>
      </c>
      <c r="L96">
        <f>L92</f>
        <v>2</v>
      </c>
      <c r="M96">
        <f>K96*L96</f>
        <v>2</v>
      </c>
      <c r="T96">
        <f>G96+J96+M96+P96+S96</f>
        <v>2</v>
      </c>
    </row>
    <row r="97">
      <c r="B97">
        <v>4</v>
      </c>
      <c r="C97" t="str">
        <v>Pintu kaca</v>
      </c>
      <c r="D97" t="str">
        <v>bh</v>
      </c>
      <c r="N97">
        <v>4</v>
      </c>
      <c r="P97">
        <f>N97*O97</f>
        <v>0</v>
      </c>
      <c r="T97">
        <f>G97+J97+M97+P97+S97</f>
        <v>0</v>
      </c>
    </row>
    <row r="98">
      <c r="B98">
        <v>5</v>
      </c>
      <c r="C98" t="str">
        <v>Engsel</v>
      </c>
      <c r="D98" t="str">
        <v>bh</v>
      </c>
      <c r="E98">
        <v>3</v>
      </c>
      <c r="F98">
        <f>F92</f>
        <v>3</v>
      </c>
      <c r="G98">
        <f>E98*F98</f>
        <v>9</v>
      </c>
      <c r="H98">
        <v>3</v>
      </c>
      <c r="I98">
        <f>I95</f>
        <v>3</v>
      </c>
      <c r="J98">
        <f>H98*I98</f>
        <v>9</v>
      </c>
      <c r="K98">
        <v>3</v>
      </c>
      <c r="L98">
        <f>L96</f>
        <v>2</v>
      </c>
      <c r="M98">
        <f>K98*L98</f>
        <v>6</v>
      </c>
      <c r="N98">
        <v>12</v>
      </c>
      <c r="P98">
        <f>N98*O98</f>
        <v>0</v>
      </c>
      <c r="T98">
        <f>G98+J98+M98+P98+S98</f>
        <v>24</v>
      </c>
    </row>
    <row r="99">
      <c r="B99">
        <v>6</v>
      </c>
      <c r="C99" t="str">
        <v>Kunci pintu utama</v>
      </c>
      <c r="D99" t="str">
        <v>bh</v>
      </c>
      <c r="E99">
        <v>1</v>
      </c>
      <c r="F99">
        <f>F94</f>
        <v>1</v>
      </c>
      <c r="G99">
        <f>E99*F99</f>
        <v>1</v>
      </c>
      <c r="T99">
        <f>G99+J99+M99+P99+S99</f>
        <v>1</v>
      </c>
    </row>
    <row r="100">
      <c r="B100">
        <v>7</v>
      </c>
      <c r="C100" t="str">
        <v>Kunci pintu kamar</v>
      </c>
      <c r="D100" t="str">
        <v>bh</v>
      </c>
      <c r="E100">
        <v>1</v>
      </c>
      <c r="F100">
        <f>F95</f>
        <v>2</v>
      </c>
      <c r="G100">
        <f>E100*F100</f>
        <v>2</v>
      </c>
      <c r="H100">
        <v>1</v>
      </c>
      <c r="I100">
        <f>I98</f>
        <v>3</v>
      </c>
      <c r="J100">
        <f>H100*I100</f>
        <v>3</v>
      </c>
      <c r="N100">
        <v>1</v>
      </c>
      <c r="P100">
        <f>N100*O100</f>
        <v>0</v>
      </c>
      <c r="T100">
        <f>G100+J100+M100+P100+S100</f>
        <v>5</v>
      </c>
    </row>
    <row r="101">
      <c r="B101">
        <v>8</v>
      </c>
      <c r="C101" t="str">
        <v>Kunci pintu kamar mandi</v>
      </c>
      <c r="D101" t="str">
        <v>bh</v>
      </c>
      <c r="K101">
        <v>1</v>
      </c>
      <c r="L101">
        <f>L98</f>
        <v>2</v>
      </c>
      <c r="M101">
        <f>K101*L101</f>
        <v>2</v>
      </c>
      <c r="T101">
        <f>IF(YEAR(NOW())=YEAR(NOW()),G101+J101+M101+P101+S101,a)</f>
        <v>2</v>
      </c>
    </row>
    <row r="102">
      <c r="B102">
        <v>9</v>
      </c>
      <c r="C102" t="str">
        <v>Slot tanam</v>
      </c>
      <c r="D102" t="str">
        <v>bh</v>
      </c>
      <c r="N102">
        <v>3</v>
      </c>
      <c r="P102">
        <f>N102*O102</f>
        <v>0</v>
      </c>
      <c r="T102">
        <f>G102+J102+M102+P102+S102</f>
        <v>0</v>
      </c>
    </row>
    <row r="103">
      <c r="B103">
        <v>10</v>
      </c>
      <c r="C103" t="str">
        <v>Finish pintu</v>
      </c>
      <c r="D103" t="str">
        <v>m2</v>
      </c>
      <c r="E103">
        <f>(0.86*2.1)*2</f>
        <v>3.612</v>
      </c>
      <c r="F103">
        <f>F99</f>
        <v>1</v>
      </c>
      <c r="G103">
        <f>E103*F103</f>
        <v>3.612</v>
      </c>
      <c r="H103">
        <f>(0.86*2.1)*2</f>
        <v>3.612</v>
      </c>
      <c r="I103">
        <f>I100</f>
        <v>3</v>
      </c>
      <c r="J103">
        <f>H103*I103</f>
        <v>10.836</v>
      </c>
      <c r="K103">
        <f>(0.76*2.1)</f>
        <v>1.596</v>
      </c>
      <c r="L103">
        <f>L101</f>
        <v>2</v>
      </c>
      <c r="M103">
        <f>K103*L103</f>
        <v>3.192</v>
      </c>
      <c r="N103">
        <f>(0.76*2.1)</f>
        <v>1.596</v>
      </c>
      <c r="P103">
        <f>N103*O103</f>
        <v>0</v>
      </c>
      <c r="T103">
        <f>G103+J103+M103+P103+S103</f>
        <v>17.64</v>
      </c>
    </row>
    <row r="104">
      <c r="B104">
        <v>11</v>
      </c>
      <c r="C104" t="str">
        <v>Finish pintu kaca</v>
      </c>
      <c r="D104" t="str">
        <v>m</v>
      </c>
      <c r="N104">
        <f>((2.06+0.5)*2)*4</f>
        <v>20.48</v>
      </c>
      <c r="P104">
        <f>N104*O104</f>
        <v>0</v>
      </c>
      <c r="T104">
        <f>G104+J104+M104+P104+S104</f>
        <v>0</v>
      </c>
    </row>
    <row r="105">
      <c r="T105">
        <f>G105+J105+M105+P105+S105</f>
        <v>0</v>
      </c>
    </row>
    <row r="106">
      <c r="B106">
        <v>1</v>
      </c>
      <c r="C106" t="str">
        <v>Jendela</v>
      </c>
      <c r="D106" t="str">
        <v>bh</v>
      </c>
      <c r="E106">
        <v>1</v>
      </c>
      <c r="F106">
        <f>F103</f>
        <v>1</v>
      </c>
      <c r="G106">
        <f>E106*F106</f>
        <v>1</v>
      </c>
      <c r="T106">
        <f>G106+J106+M106+P106+S106</f>
        <v>1</v>
      </c>
    </row>
    <row r="107">
      <c r="B107">
        <v>2</v>
      </c>
      <c r="C107" t="str">
        <v>Jendela</v>
      </c>
      <c r="Q107">
        <v>2</v>
      </c>
      <c r="R107">
        <v>3</v>
      </c>
      <c r="S107">
        <f>Q107*R107</f>
        <v>6</v>
      </c>
      <c r="T107">
        <f>G107+J107+M107+P107+S107</f>
        <v>6</v>
      </c>
    </row>
    <row r="108">
      <c r="B108">
        <v>3</v>
      </c>
      <c r="C108" t="str">
        <v>Ensel jendela</v>
      </c>
      <c r="D108" t="str">
        <v>bh</v>
      </c>
      <c r="E108">
        <v>2</v>
      </c>
      <c r="F108">
        <f>F106</f>
        <v>1</v>
      </c>
      <c r="G108">
        <f>E108*F108</f>
        <v>2</v>
      </c>
      <c r="Q108">
        <v>4</v>
      </c>
      <c r="R108">
        <v>3</v>
      </c>
      <c r="S108">
        <f>Q108*R108</f>
        <v>12</v>
      </c>
      <c r="T108">
        <f>G108+J108+M108+P108+S108</f>
        <v>14</v>
      </c>
    </row>
    <row r="109">
      <c r="B109">
        <v>4</v>
      </c>
      <c r="C109" t="str">
        <v>Slot jendela</v>
      </c>
      <c r="D109" t="str">
        <v>bh</v>
      </c>
      <c r="E109">
        <v>2</v>
      </c>
      <c r="F109">
        <f>F108</f>
        <v>1</v>
      </c>
      <c r="G109">
        <f>E109*F109</f>
        <v>2</v>
      </c>
      <c r="Q109">
        <v>4</v>
      </c>
      <c r="R109">
        <v>3</v>
      </c>
      <c r="S109">
        <f>Q109*R109</f>
        <v>12</v>
      </c>
      <c r="T109">
        <f>G109+J109+M109+P109+S109</f>
        <v>14</v>
      </c>
    </row>
    <row r="110">
      <c r="B110">
        <v>5</v>
      </c>
      <c r="C110" t="str">
        <v>Kait angin</v>
      </c>
      <c r="D110" t="str">
        <v>bh</v>
      </c>
      <c r="E110">
        <v>1</v>
      </c>
      <c r="F110">
        <f>F109</f>
        <v>1</v>
      </c>
      <c r="G110">
        <f>E110*F110</f>
        <v>1</v>
      </c>
      <c r="Q110">
        <v>2</v>
      </c>
      <c r="R110">
        <v>3</v>
      </c>
      <c r="S110">
        <f>Q110*R110</f>
        <v>6</v>
      </c>
      <c r="T110">
        <f>G110+J110+M110+P110+S110</f>
        <v>7</v>
      </c>
    </row>
    <row r="111">
      <c r="B111">
        <v>6</v>
      </c>
      <c r="C111" t="str">
        <v>Kaca</v>
      </c>
      <c r="D111" t="str">
        <v>m2</v>
      </c>
      <c r="E111">
        <f>0.36*1.56</f>
        <v>0.5616</v>
      </c>
      <c r="F111">
        <f>F110</f>
        <v>1</v>
      </c>
      <c r="G111">
        <f>E111*F111</f>
        <v>0.5616</v>
      </c>
      <c r="N111">
        <f>0.36*1.88*4</f>
        <v>2.7072</v>
      </c>
      <c r="P111">
        <f>N111*O111</f>
        <v>0</v>
      </c>
      <c r="Q111">
        <f>0.36*1.08*2</f>
        <v>0.7776000000000001</v>
      </c>
      <c r="R111">
        <v>3</v>
      </c>
      <c r="S111">
        <f>Q111*R111</f>
        <v>2.3328</v>
      </c>
      <c r="T111">
        <f>G111+J111+M111+P111+S111</f>
        <v>2.8944</v>
      </c>
    </row>
    <row r="112">
      <c r="B112">
        <v>7</v>
      </c>
      <c r="C112" t="str">
        <v>Finish jendela</v>
      </c>
      <c r="D112" t="str">
        <v>m</v>
      </c>
      <c r="E112">
        <f>(0.52+1.22)*2</f>
        <v>3.48</v>
      </c>
      <c r="F112">
        <f>F111</f>
        <v>1</v>
      </c>
      <c r="G112">
        <f>E112*F112</f>
        <v>3.48</v>
      </c>
      <c r="Q112">
        <f>(0.52+1.22+0.52+1.22)*2</f>
        <v>6.959999999999999</v>
      </c>
      <c r="R112">
        <v>3</v>
      </c>
      <c r="S112">
        <f>Q112*R112</f>
        <v>20.879999999999995</v>
      </c>
      <c r="T112">
        <f>G112+J112+M112+P112+S112</f>
        <v>24.359999999999996</v>
      </c>
    </row>
    <row r="117">
      <c r="B117" t="str">
        <v>PEKERJAAN KUSEN PINTU,JENDELA DAN ACCESSORIES</v>
      </c>
    </row>
    <row r="119">
      <c r="B119" t="str">
        <v>I.</v>
      </c>
      <c r="C119" t="str">
        <v>KUSEN,PINTU &amp; JENDELA</v>
      </c>
    </row>
    <row r="120">
      <c r="B120">
        <v>1</v>
      </c>
      <c r="C120" t="str">
        <v>Kusen (terpasang)</v>
      </c>
      <c r="D120" t="str">
        <v>m3</v>
      </c>
      <c r="E120">
        <f>T91</f>
        <v>0.576</v>
      </c>
    </row>
    <row r="121">
      <c r="B121">
        <v>2</v>
      </c>
      <c r="C121" t="str">
        <v>Pintu panel depan 71 x 206 cm</v>
      </c>
      <c r="D121" t="str">
        <v>m2</v>
      </c>
      <c r="E121">
        <f>T94*0.71*2.06</f>
        <v>1.4626</v>
      </c>
    </row>
    <row r="122">
      <c r="B122">
        <v>3</v>
      </c>
      <c r="C122" t="str">
        <v>Pintu doble triplex kamar tidur 81 x 206 cm</v>
      </c>
      <c r="D122" t="str">
        <v>m2</v>
      </c>
      <c r="E122">
        <f>T95*0.81*2.06</f>
        <v>5.005800000000001</v>
      </c>
    </row>
    <row r="123">
      <c r="B123">
        <v>4</v>
      </c>
      <c r="C123" t="str">
        <v>Pintu panel kamar mandi 71 x 206 cm</v>
      </c>
      <c r="D123" t="str">
        <v>m2</v>
      </c>
      <c r="E123">
        <f>T101*0.71*2.06</f>
        <v>2.9252</v>
      </c>
    </row>
    <row r="124">
      <c r="B124">
        <v>5</v>
      </c>
      <c r="C124" t="str">
        <v>Pintu kaca 50 x 206 cm</v>
      </c>
      <c r="D124" t="str">
        <v>m2</v>
      </c>
      <c r="E124">
        <f>T104*0.5*2.06</f>
        <v>0</v>
      </c>
    </row>
    <row r="125">
      <c r="B125">
        <v>6</v>
      </c>
      <c r="C125" t="str">
        <v>Jendela kaca 52 x 122 cm</v>
      </c>
      <c r="D125" t="str">
        <v>m2</v>
      </c>
      <c r="E125">
        <f>T106*0.52*1.22</f>
        <v>0.6344</v>
      </c>
    </row>
    <row r="126">
      <c r="B126">
        <v>7</v>
      </c>
      <c r="C126" t="str">
        <v>Jendela kaca 52 x 182 cm</v>
      </c>
      <c r="D126" t="str">
        <v>m2</v>
      </c>
      <c r="E126">
        <f>T107*0.52*1.82</f>
        <v>5.678400000000001</v>
      </c>
    </row>
    <row r="128">
      <c r="B128" t="str">
        <v>II.</v>
      </c>
      <c r="C128" t="str">
        <v>ACCESSORIES</v>
      </c>
    </row>
    <row r="129">
      <c r="B129">
        <v>1</v>
      </c>
      <c r="C129" t="str">
        <v>Kaca polos 5 mm</v>
      </c>
      <c r="D129" t="str">
        <v>m2</v>
      </c>
      <c r="E129">
        <f>T111</f>
        <v>2.8944</v>
      </c>
    </row>
    <row r="130">
      <c r="B130">
        <v>2</v>
      </c>
      <c r="C130" t="str">
        <v>Engsel pintu</v>
      </c>
      <c r="D130" t="str">
        <v>bh</v>
      </c>
      <c r="E130">
        <f>T98</f>
        <v>24</v>
      </c>
    </row>
    <row r="131">
      <c r="B131">
        <v>3</v>
      </c>
      <c r="C131" t="str">
        <v>Engsel jendela</v>
      </c>
      <c r="D131" t="str">
        <v>bh</v>
      </c>
      <c r="E131">
        <f>T108</f>
        <v>14</v>
      </c>
    </row>
    <row r="132">
      <c r="B132">
        <v>4</v>
      </c>
      <c r="C132" t="str">
        <v>Kunci pintu utama</v>
      </c>
      <c r="D132" t="str">
        <v>bh</v>
      </c>
      <c r="E132">
        <f>T99</f>
        <v>1</v>
      </c>
    </row>
    <row r="133">
      <c r="B133">
        <v>5</v>
      </c>
      <c r="C133" t="str">
        <v xml:space="preserve">Kunci pintu kamar </v>
      </c>
      <c r="D133" t="str">
        <v>bh</v>
      </c>
      <c r="E133">
        <f>T100</f>
        <v>5</v>
      </c>
    </row>
    <row r="134">
      <c r="B134">
        <v>6</v>
      </c>
      <c r="C134" t="str">
        <v>Kunci pintu kamar mandi</v>
      </c>
      <c r="D134" t="str">
        <v>bh</v>
      </c>
      <c r="E134">
        <f>T101</f>
        <v>2</v>
      </c>
    </row>
    <row r="135">
      <c r="B135">
        <v>7</v>
      </c>
      <c r="C135" t="str">
        <v>Slot tanam</v>
      </c>
      <c r="D135" t="str">
        <v>ps</v>
      </c>
      <c r="E135">
        <f>T102</f>
        <v>0</v>
      </c>
    </row>
    <row r="136">
      <c r="B136">
        <v>8</v>
      </c>
      <c r="C136" t="str">
        <v>Kait angin</v>
      </c>
      <c r="D136" t="str">
        <v>bh</v>
      </c>
      <c r="E136">
        <f>T110</f>
        <v>7</v>
      </c>
    </row>
    <row r="137">
      <c r="B137">
        <v>9</v>
      </c>
      <c r="C137" t="str">
        <v>Slot jendela</v>
      </c>
      <c r="D137" t="str">
        <v>bh</v>
      </c>
      <c r="E137">
        <f>T109</f>
        <v>14</v>
      </c>
    </row>
    <row r="139">
      <c r="B139" t="str">
        <v>III.</v>
      </c>
      <c r="C139" t="str">
        <v>FINSHING KUSEN,PINTU DAN JENDELA</v>
      </c>
    </row>
    <row r="140">
      <c r="B140">
        <v>1</v>
      </c>
      <c r="C140" t="str">
        <v>Cat kusen</v>
      </c>
      <c r="D140" t="str">
        <v>m2</v>
      </c>
      <c r="E140">
        <f>T92*(0.05+0.15+0.05)</f>
        <v>16</v>
      </c>
    </row>
    <row r="141">
      <c r="B141">
        <v>2</v>
      </c>
      <c r="C141" t="str">
        <v xml:space="preserve">Cat pintu </v>
      </c>
      <c r="D141" t="str">
        <v>m2</v>
      </c>
      <c r="E141">
        <f>T103*2</f>
        <v>35.28</v>
      </c>
    </row>
    <row r="142">
      <c r="B142">
        <v>3</v>
      </c>
      <c r="C142" t="str">
        <v>Cat pintu kaca</v>
      </c>
      <c r="D142" t="str">
        <v>m2</v>
      </c>
      <c r="E142">
        <f>T104*(0.04+0.12+0.04+0.12)</f>
        <v>0</v>
      </c>
    </row>
    <row r="143">
      <c r="B143">
        <v>4</v>
      </c>
      <c r="C143" t="str">
        <v>Cat jendela</v>
      </c>
      <c r="D143" t="str">
        <v>m2</v>
      </c>
      <c r="E143">
        <f>T112*(0.04+0.1+0.04+0.1)</f>
        <v>6.820799999999999</v>
      </c>
    </row>
    <row r="145">
      <c r="B145" t="str">
        <v>TAKING OFF PONDASI</v>
      </c>
    </row>
    <row r="147">
      <c r="D147" t="str">
        <v>Pondasi Batukali</v>
      </c>
      <c r="G147" t="str">
        <v>Jumlah</v>
      </c>
    </row>
    <row r="149">
      <c r="B149" t="str">
        <v>Type</v>
      </c>
    </row>
    <row r="150">
      <c r="B150" t="str">
        <v>Jumlah</v>
      </c>
      <c r="D150">
        <v>1</v>
      </c>
    </row>
    <row r="152">
      <c r="B152" t="str">
        <v>Tebal Urugan Pasir</v>
      </c>
      <c r="D152">
        <v>0.1</v>
      </c>
    </row>
    <row r="153">
      <c r="B153" t="str">
        <v xml:space="preserve">Tebal Anstamping </v>
      </c>
      <c r="D153">
        <v>0.15</v>
      </c>
    </row>
    <row r="154">
      <c r="B154" t="str">
        <v>Pondasi Batukali :</v>
      </c>
    </row>
    <row r="155">
      <c r="B155" t="str">
        <v xml:space="preserve">    - Panjang</v>
      </c>
      <c r="D155">
        <f>D62</f>
        <v>64.75</v>
      </c>
    </row>
    <row r="156">
      <c r="B156" t="str">
        <v xml:space="preserve">    - Lebar Atas  ( L - 1 )</v>
      </c>
      <c r="D156">
        <v>0.25</v>
      </c>
    </row>
    <row r="157">
      <c r="B157" t="str">
        <v xml:space="preserve">    - Lebar Bawah ( L - 2 )</v>
      </c>
      <c r="D157">
        <v>0.6</v>
      </c>
    </row>
    <row r="158">
      <c r="B158" t="str">
        <v xml:space="preserve">    - Tinggi</v>
      </c>
      <c r="D158">
        <v>0.6</v>
      </c>
    </row>
    <row r="159">
      <c r="B159" t="str">
        <v>Galian :</v>
      </c>
    </row>
    <row r="160">
      <c r="B160" t="str">
        <v xml:space="preserve">    - Panjang</v>
      </c>
      <c r="D160">
        <f>D155</f>
        <v>64.75</v>
      </c>
    </row>
    <row r="161">
      <c r="B161" t="str">
        <v xml:space="preserve">    - Lebar Atas  ( L - 1 )</v>
      </c>
    </row>
    <row r="162">
      <c r="B162" t="str">
        <v xml:space="preserve">    - Lebar Bawah ( L - 2 )</v>
      </c>
      <c r="D162">
        <v>0.6</v>
      </c>
    </row>
    <row r="163">
      <c r="B163" t="str">
        <v xml:space="preserve">    - Tinggi</v>
      </c>
      <c r="D163">
        <f>D152+D153+D158</f>
        <v>0.85</v>
      </c>
    </row>
    <row r="166">
      <c r="B166" t="str">
        <v>Vol. Galian Tanah</v>
      </c>
      <c r="D166">
        <f>D160*D162*D163*D150</f>
        <v>33.0225</v>
      </c>
      <c r="G166">
        <f>SUM(D166:F166)</f>
        <v>33.0225</v>
      </c>
    </row>
    <row r="167">
      <c r="B167" t="str">
        <v>Vol. Urugan Pasir</v>
      </c>
      <c r="D167">
        <f>D162*D152*D155*D150</f>
        <v>3.885</v>
      </c>
      <c r="G167">
        <f>SUM(D167:F167)</f>
        <v>3.885</v>
      </c>
    </row>
    <row r="168">
      <c r="B168" t="str">
        <v>Vol. Aanstamping</v>
      </c>
      <c r="D168">
        <f>D162*D153*D155*D150</f>
        <v>5.8275</v>
      </c>
      <c r="G168">
        <f>SUM(D168:F168)</f>
        <v>5.8275</v>
      </c>
    </row>
    <row r="169">
      <c r="B169" t="str">
        <v>Vol. Pondasi Batukali</v>
      </c>
      <c r="D169">
        <f>D155*(D156+D157)*0.5*D158*D150</f>
        <v>16.51125</v>
      </c>
      <c r="G169">
        <f>SUM(D169:F169)</f>
        <v>16.51125</v>
      </c>
    </row>
    <row r="170">
      <c r="B170" t="str">
        <v>Vol. Urugan Tanah sisi galian</v>
      </c>
      <c r="D170">
        <f>D166-D171</f>
        <v>6.798750000000002</v>
      </c>
      <c r="G170">
        <f>SUM(D170:F170)</f>
        <v>6.798750000000002</v>
      </c>
    </row>
    <row r="171">
      <c r="B171" t="str">
        <v>Vol. Buang Tanah</v>
      </c>
      <c r="D171">
        <f>SUM(D167:D169)</f>
        <v>26.22375</v>
      </c>
      <c r="G171">
        <f>SUM(D171:F171)</f>
        <v>26.22375</v>
      </c>
    </row>
    <row r="172">
      <c r="B172" t="str">
        <v>Total Berat Besi / kg</v>
      </c>
      <c r="G172">
        <f>SUM(D172:F172)</f>
        <v>0</v>
      </c>
    </row>
    <row r="173">
      <c r="B173" t="str">
        <v>Dia. 12 mm</v>
      </c>
      <c r="D173">
        <f>D188</f>
        <v>0</v>
      </c>
      <c r="G173">
        <f>SUM(D173:F173)</f>
        <v>0</v>
      </c>
    </row>
    <row r="174">
      <c r="G174">
        <f>SUM(D174:F174)</f>
        <v>0</v>
      </c>
    </row>
    <row r="176">
      <c r="B176" t="str">
        <v>Pembesian /Tulangan :</v>
      </c>
    </row>
    <row r="177">
      <c r="B177" t="str">
        <v>Angkur</v>
      </c>
    </row>
    <row r="178">
      <c r="B178" t="str">
        <v>- Juml.Pondasi</v>
      </c>
      <c r="D178">
        <f>D150</f>
        <v>1</v>
      </c>
    </row>
    <row r="179">
      <c r="B179" t="str">
        <v>- Jenis Besi</v>
      </c>
      <c r="D179" t="str">
        <v>U-24</v>
      </c>
    </row>
    <row r="180">
      <c r="B180" t="str">
        <v>- Jarak Pemasangan</v>
      </c>
      <c r="D180">
        <v>0.5</v>
      </c>
    </row>
    <row r="181">
      <c r="B181" t="str">
        <v>- Diameter</v>
      </c>
      <c r="D181">
        <v>12</v>
      </c>
    </row>
    <row r="182">
      <c r="D182">
        <f>D181*0.001</f>
        <v>0.012</v>
      </c>
    </row>
    <row r="183">
      <c r="B183" t="str">
        <v>- Berat/m'</v>
      </c>
      <c r="D183">
        <v>0.89</v>
      </c>
    </row>
    <row r="184">
      <c r="B184" t="str">
        <v>- Panjang bentang</v>
      </c>
      <c r="D184">
        <f>D155</f>
        <v>64.75</v>
      </c>
    </row>
    <row r="185">
      <c r="B185" t="str">
        <v>- Panjang tulangan</v>
      </c>
      <c r="D185">
        <v>0.3</v>
      </c>
    </row>
    <row r="186">
      <c r="B186" t="str">
        <v>- Tul.Overlap</v>
      </c>
      <c r="D186">
        <f>5*D182*2</f>
        <v>0.12</v>
      </c>
    </row>
    <row r="187">
      <c r="B187" t="str">
        <v>- Juml.Besi dlm 1 Pot.</v>
      </c>
      <c r="D187">
        <v>0</v>
      </c>
    </row>
    <row r="188">
      <c r="B188" t="str">
        <v>- Jumlah Berat Besi</v>
      </c>
      <c r="D188">
        <f>(D185+D186)*D187*D183</f>
        <v>0</v>
      </c>
    </row>
    <row r="190">
      <c r="B190" t="str">
        <v>TAKING OFF SLOOF</v>
      </c>
    </row>
    <row r="192">
      <c r="D192" t="str">
        <v>Sloof 150 / 200</v>
      </c>
      <c r="G192" t="str">
        <v>Jumlah</v>
      </c>
    </row>
    <row r="194">
      <c r="B194" t="str">
        <v>Tebal Pasir urug</v>
      </c>
    </row>
    <row r="195">
      <c r="B195" t="str">
        <v>Tebal Lantai kerja</v>
      </c>
    </row>
    <row r="196">
      <c r="B196" t="str">
        <v>Panjang Bentang</v>
      </c>
      <c r="D196">
        <f>D62</f>
        <v>64.75</v>
      </c>
    </row>
    <row r="197">
      <c r="B197" t="str">
        <v>Jumlah Bentang</v>
      </c>
      <c r="D197">
        <v>1</v>
      </c>
    </row>
    <row r="198">
      <c r="B198" t="str">
        <v>Dimensi Balok beton:</v>
      </c>
    </row>
    <row r="199">
      <c r="B199" t="str">
        <v xml:space="preserve">    - Lebar</v>
      </c>
      <c r="D199">
        <v>0.15</v>
      </c>
    </row>
    <row r="200">
      <c r="B200" t="str">
        <v xml:space="preserve">    - Tinggi</v>
      </c>
      <c r="D200">
        <v>0.2</v>
      </c>
    </row>
    <row r="202">
      <c r="B202" t="str">
        <v>Vol. Galian Tanah / m3</v>
      </c>
      <c r="D202">
        <f>(D199+0.2)*(D200+D194+D195)*D196*D197</f>
        <v>4.5325</v>
      </c>
    </row>
    <row r="203">
      <c r="B203" t="str">
        <v>Vol. Urugan Tanah sisi galian / m3</v>
      </c>
      <c r="D203">
        <f>D202-D204</f>
        <v>2.59</v>
      </c>
    </row>
    <row r="204">
      <c r="B204" t="str">
        <v>Vol. Buang Tanah / m3</v>
      </c>
      <c r="D204">
        <f>D206+(D207*D195)+D208</f>
        <v>1.9425000000000001</v>
      </c>
    </row>
    <row r="206">
      <c r="B206" t="str">
        <v>Vol.Pasir / m3</v>
      </c>
      <c r="D206">
        <f>D196*D197*D199*D194</f>
        <v>0</v>
      </c>
    </row>
    <row r="207">
      <c r="B207" t="str">
        <v>Vol.Lantai kerja / m2</v>
      </c>
    </row>
    <row r="208">
      <c r="B208" t="str">
        <v>Vol.Beton / m3</v>
      </c>
      <c r="D208">
        <f>D196*D197*D199*D200</f>
        <v>1.9425000000000001</v>
      </c>
    </row>
    <row r="209">
      <c r="B209" t="str">
        <v>Vol.Begisting / m2</v>
      </c>
      <c r="D209">
        <f>D196*D197*(2*D200)</f>
        <v>25.900000000000002</v>
      </c>
    </row>
    <row r="210">
      <c r="B210" t="str">
        <v>Vol.Stoot Werk / m2</v>
      </c>
    </row>
    <row r="211">
      <c r="B211" t="str">
        <v>Total Berat Besi / kg</v>
      </c>
    </row>
    <row r="212">
      <c r="B212" t="str">
        <v>Dia. 10 mm</v>
      </c>
      <c r="D212">
        <f>D226</f>
        <v>231.3644</v>
      </c>
    </row>
    <row r="213">
      <c r="B213" t="str">
        <v>Dia.8 mm</v>
      </c>
      <c r="D213">
        <f>D239</f>
        <v>89.7078</v>
      </c>
    </row>
    <row r="216">
      <c r="B216" t="str">
        <v>Pembesian /Tulangan :</v>
      </c>
      <c r="D216">
        <f>SUM(D212:D214)/D208</f>
        <v>165.28813384813384</v>
      </c>
    </row>
    <row r="217">
      <c r="B217" t="str">
        <v>Tulangan Menerus / Utama</v>
      </c>
    </row>
    <row r="218">
      <c r="B218" t="str">
        <v>- Juml.Bentang</v>
      </c>
      <c r="D218">
        <f>D196</f>
        <v>64.75</v>
      </c>
    </row>
    <row r="219">
      <c r="B219" t="str">
        <v>- Jenis Besi</v>
      </c>
      <c r="D219" t="str">
        <v>U-24</v>
      </c>
    </row>
    <row r="220">
      <c r="B220" t="str">
        <v>- Diameter</v>
      </c>
      <c r="D220">
        <v>12</v>
      </c>
    </row>
    <row r="221">
      <c r="D221">
        <v>0.012</v>
      </c>
    </row>
    <row r="222">
      <c r="B222" t="str">
        <v>- Berat/m'</v>
      </c>
      <c r="D222">
        <v>0.89</v>
      </c>
    </row>
    <row r="223">
      <c r="B223" t="str">
        <v>- Panjang tulangan</v>
      </c>
      <c r="D223">
        <f>D196</f>
        <v>64.75</v>
      </c>
    </row>
    <row r="224">
      <c r="B224" t="str">
        <v>- Tul.Overlap</v>
      </c>
      <c r="D224">
        <f>10*D221*2</f>
        <v>0.24</v>
      </c>
    </row>
    <row r="225">
      <c r="B225" t="str">
        <v>- Juml.Besi dlm 1 Pot.</v>
      </c>
      <c r="D225">
        <v>4</v>
      </c>
    </row>
    <row r="226">
      <c r="B226" t="str">
        <v>- Jumlah Berat Besi</v>
      </c>
      <c r="D226">
        <f>(D223+D224)*D222*D225</f>
        <v>231.3644</v>
      </c>
    </row>
    <row r="228">
      <c r="B228" t="str">
        <v xml:space="preserve">Tulangan sengkang </v>
      </c>
    </row>
    <row r="229">
      <c r="B229" t="str">
        <v>- Juml.Bentang</v>
      </c>
      <c r="D229">
        <f>D196</f>
        <v>64.75</v>
      </c>
    </row>
    <row r="230">
      <c r="B230" t="str">
        <v>- Jenis Besi</v>
      </c>
      <c r="D230" t="str">
        <v>U-24</v>
      </c>
    </row>
    <row r="231">
      <c r="B231" t="str">
        <v>- Jarak Pemasangan</v>
      </c>
      <c r="D231">
        <v>0.175</v>
      </c>
    </row>
    <row r="232">
      <c r="B232" t="str">
        <v>- Diameter</v>
      </c>
      <c r="D232">
        <v>8</v>
      </c>
    </row>
    <row r="233">
      <c r="D233">
        <f>D232*0.001</f>
        <v>0.008</v>
      </c>
    </row>
    <row r="234">
      <c r="B234" t="str">
        <v>- Berat/m'</v>
      </c>
      <c r="D234">
        <v>0.39</v>
      </c>
    </row>
    <row r="235">
      <c r="B235" t="str">
        <v>- Panjang tulangan</v>
      </c>
      <c r="D235">
        <f>D196</f>
        <v>64.75</v>
      </c>
    </row>
    <row r="236">
      <c r="B236" t="str">
        <v>- Panjang Begel</v>
      </c>
      <c r="D236">
        <f>(2*(D199-0.02*2)+2*(D200-0.02*2))</f>
        <v>0.54</v>
      </c>
    </row>
    <row r="237">
      <c r="B237" t="str">
        <v>- Bengkokan</v>
      </c>
      <c r="D237">
        <f>(5*D233*2)</f>
        <v>0.08</v>
      </c>
    </row>
    <row r="238">
      <c r="B238" t="str">
        <v xml:space="preserve">- Jml Begel </v>
      </c>
      <c r="D238">
        <f>(INT(D235/D231)+1)</f>
        <v>371</v>
      </c>
    </row>
    <row r="239">
      <c r="B239" t="str">
        <v>- Jumlah Berat Besi</v>
      </c>
      <c r="D239">
        <f>(D236+D237)*D238*D234</f>
        <v>89.7078</v>
      </c>
    </row>
    <row r="242">
      <c r="B242" t="str">
        <v>TAKING OFF KOLOM</v>
      </c>
    </row>
    <row r="244">
      <c r="D244" t="str">
        <v>Kolom 150 /150</v>
      </c>
    </row>
    <row r="246">
      <c r="B246" t="str">
        <v>Jumlah Kolom</v>
      </c>
      <c r="D246">
        <v>21</v>
      </c>
      <c r="E246">
        <v>2</v>
      </c>
      <c r="G246" t="str">
        <v>21*3+1,75*2</v>
      </c>
    </row>
    <row r="247">
      <c r="B247" t="str">
        <v>Panjang / Tinggi Kolom</v>
      </c>
      <c r="D247">
        <v>3</v>
      </c>
      <c r="E247">
        <v>1.75</v>
      </c>
    </row>
    <row r="248">
      <c r="B248" t="str">
        <v>Panjang / Tinggi Pedestal</v>
      </c>
      <c r="D248">
        <v>0</v>
      </c>
    </row>
    <row r="249">
      <c r="B249" t="str">
        <v>Tinggi poor</v>
      </c>
      <c r="D249">
        <v>0</v>
      </c>
    </row>
    <row r="250">
      <c r="B250" t="str">
        <v>Dimensi Kolom  beton:</v>
      </c>
    </row>
    <row r="251">
      <c r="B251" t="str">
        <v xml:space="preserve">    - Lebar (d)</v>
      </c>
      <c r="D251">
        <v>0.15</v>
      </c>
      <c r="E251">
        <v>0.15</v>
      </c>
    </row>
    <row r="252">
      <c r="B252" t="str">
        <v xml:space="preserve">    - Panjang ( h )</v>
      </c>
      <c r="D252">
        <v>0.15</v>
      </c>
      <c r="E252">
        <v>0.15</v>
      </c>
    </row>
    <row r="254">
      <c r="B254" t="str">
        <v>Vol.Beton</v>
      </c>
      <c r="D254">
        <f>D251*D252*(D248+D247)*D246</f>
        <v>1.4175</v>
      </c>
      <c r="E254">
        <f>E251*E252*(E248+E247)*E246</f>
        <v>0.07875</v>
      </c>
      <c r="F254">
        <f>SUM(D254:E254)</f>
        <v>1.49625</v>
      </c>
    </row>
    <row r="255">
      <c r="B255" t="str">
        <v>Vol.Begisting</v>
      </c>
      <c r="D255">
        <f>(2*D251+2*D252)*(D247+D248)*D246</f>
        <v>37.8</v>
      </c>
      <c r="E255">
        <f>(2*E251+2*E252)*(E247+E248)*E246</f>
        <v>2.1</v>
      </c>
      <c r="F255">
        <f>SUM(D255:E255)</f>
        <v>39.9</v>
      </c>
    </row>
    <row r="256">
      <c r="B256" t="str">
        <v>Vol.Stoot Werk</v>
      </c>
      <c r="D256">
        <f>(D255*0.6)</f>
        <v>22.679999999999996</v>
      </c>
      <c r="E256">
        <f>(E255*0.6)</f>
        <v>1.26</v>
      </c>
      <c r="F256">
        <f>SUM(D256:E256)</f>
        <v>23.939999999999998</v>
      </c>
    </row>
    <row r="257">
      <c r="B257" t="str">
        <v>Total Berat Besi</v>
      </c>
      <c r="F257">
        <f>SUM(D257:E257)</f>
        <v>0</v>
      </c>
    </row>
    <row r="258">
      <c r="B258" t="str">
        <v>Dia. 10 mm</v>
      </c>
      <c r="D258">
        <f>D272</f>
        <v>166.656</v>
      </c>
      <c r="E258">
        <f>E272</f>
        <v>9.672</v>
      </c>
      <c r="F258">
        <f>SUM(D258:E258)</f>
        <v>176.328</v>
      </c>
    </row>
    <row r="259">
      <c r="B259" t="str">
        <v>Dia. 12 mm</v>
      </c>
      <c r="F259">
        <f>SUM(D259:E259)</f>
        <v>0</v>
      </c>
    </row>
    <row r="260">
      <c r="B260" t="str">
        <v>Dia.8 mm</v>
      </c>
      <c r="D260">
        <f>D285</f>
        <v>62.8992</v>
      </c>
      <c r="E260">
        <f>E285</f>
        <v>3.3696</v>
      </c>
      <c r="F260">
        <f>SUM(D260:E260)</f>
        <v>66.2688</v>
      </c>
    </row>
    <row r="262">
      <c r="B262" t="str">
        <v>Pembesian /Tulangan :</v>
      </c>
      <c r="D262">
        <f>SUM(D258:D260)/D254</f>
        <v>161.9437037037037</v>
      </c>
      <c r="E262">
        <f>SUM(E258:E260)/E254</f>
        <v>165.60761904761907</v>
      </c>
    </row>
    <row r="263">
      <c r="B263" t="str">
        <v>Tulangan Utama</v>
      </c>
    </row>
    <row r="264">
      <c r="B264" t="str">
        <v>Juml.Kolom</v>
      </c>
      <c r="D264">
        <f>D246</f>
        <v>21</v>
      </c>
      <c r="E264">
        <f>E246</f>
        <v>2</v>
      </c>
    </row>
    <row r="265">
      <c r="B265" t="str">
        <v>Jenis Besi</v>
      </c>
      <c r="D265" t="str">
        <v>U-24</v>
      </c>
      <c r="E265" t="str">
        <v>U-24</v>
      </c>
    </row>
    <row r="266">
      <c r="B266" t="str">
        <v>Diameter</v>
      </c>
      <c r="D266">
        <v>10</v>
      </c>
      <c r="E266">
        <v>10</v>
      </c>
    </row>
    <row r="267">
      <c r="D267">
        <v>0.01</v>
      </c>
      <c r="E267">
        <v>0.01</v>
      </c>
    </row>
    <row r="268">
      <c r="B268" t="str">
        <v>Berat/m'</v>
      </c>
      <c r="D268">
        <v>0.62</v>
      </c>
      <c r="E268">
        <v>0.62</v>
      </c>
    </row>
    <row r="269">
      <c r="B269" t="str">
        <v>Panjang Tulangan</v>
      </c>
      <c r="D269">
        <f>D247+D248</f>
        <v>3</v>
      </c>
      <c r="E269">
        <f>E247+E248</f>
        <v>1.75</v>
      </c>
    </row>
    <row r="270">
      <c r="B270" t="str">
        <v>Panjang Tul. Overlap</v>
      </c>
      <c r="D270">
        <f>(20*D267)+D249</f>
        <v>0.2</v>
      </c>
      <c r="E270">
        <f>(20*E267)+E249</f>
        <v>0.2</v>
      </c>
    </row>
    <row r="271">
      <c r="B271" t="str">
        <v>Juml.Besi dlm 1 Pot.</v>
      </c>
      <c r="D271">
        <v>4</v>
      </c>
      <c r="E271">
        <v>4</v>
      </c>
    </row>
    <row r="272">
      <c r="B272" t="str">
        <v>Jumlah Berat Besi</v>
      </c>
      <c r="D272">
        <f>(D269+D270)*D268*D271*D264</f>
        <v>166.656</v>
      </c>
      <c r="E272">
        <f>(E269+E270)*E268*E271*E264</f>
        <v>9.672</v>
      </c>
    </row>
    <row r="274">
      <c r="B274" t="str">
        <v xml:space="preserve">Tulangan sengkang </v>
      </c>
    </row>
    <row r="275">
      <c r="B275" t="str">
        <v>Jml Kolom</v>
      </c>
      <c r="D275">
        <f>D246</f>
        <v>21</v>
      </c>
      <c r="E275">
        <f>E246</f>
        <v>2</v>
      </c>
    </row>
    <row r="276">
      <c r="B276" t="str">
        <v>Jenis Besi</v>
      </c>
      <c r="D276" t="str">
        <v>U-24</v>
      </c>
      <c r="E276" t="str">
        <v>U-24</v>
      </c>
    </row>
    <row r="277">
      <c r="B277" t="str">
        <v>Jarak Pemasangan</v>
      </c>
      <c r="D277">
        <f>(0.15+0.25)/2</f>
        <v>0.2</v>
      </c>
      <c r="E277">
        <f>(0.15+0.25)/2</f>
        <v>0.2</v>
      </c>
    </row>
    <row r="278">
      <c r="B278" t="str">
        <v>Diameter</v>
      </c>
      <c r="D278">
        <v>8</v>
      </c>
      <c r="E278">
        <v>8</v>
      </c>
    </row>
    <row r="279">
      <c r="D279">
        <f>D278*0.001</f>
        <v>0.008</v>
      </c>
      <c r="E279">
        <f>E278*0.001</f>
        <v>0.008</v>
      </c>
    </row>
    <row r="280">
      <c r="B280" t="str">
        <v>Berat/m'</v>
      </c>
      <c r="D280">
        <v>0.39</v>
      </c>
      <c r="E280">
        <v>0.39</v>
      </c>
    </row>
    <row r="281">
      <c r="B281" t="str">
        <v>Panjang Begel</v>
      </c>
      <c r="D281">
        <f>2*(D251-0.025*2)+2*(D252-0.025*2)</f>
        <v>0.39999999999999997</v>
      </c>
      <c r="E281">
        <f>2*(E251-0.025*2)+2*(E252-0.025*2)</f>
        <v>0.39999999999999997</v>
      </c>
    </row>
    <row r="282">
      <c r="B282" t="str">
        <v>Panjang Tul Overlap</v>
      </c>
      <c r="D282">
        <f>(5*D279)*2</f>
        <v>0.08</v>
      </c>
      <c r="E282">
        <f>(5*E279)*2</f>
        <v>0.08</v>
      </c>
    </row>
    <row r="283">
      <c r="B283" t="str">
        <v>Panjang/ Tinggi Kolom</v>
      </c>
      <c r="D283">
        <f>D247+D248</f>
        <v>3</v>
      </c>
      <c r="E283">
        <f>E247+E248</f>
        <v>1.75</v>
      </c>
    </row>
    <row r="284">
      <c r="B284" t="str">
        <v>Jml Begel dlm 1 Kolom</v>
      </c>
      <c r="D284">
        <f>INT(D283/D277)+1</f>
        <v>16</v>
      </c>
      <c r="E284">
        <f>INT(E283/E277)+1</f>
        <v>9</v>
      </c>
    </row>
    <row r="285">
      <c r="B285" t="str">
        <v>Jumlah Berat</v>
      </c>
      <c r="D285">
        <f>(D281+D282)*D284*D280*D275</f>
        <v>62.8992</v>
      </c>
      <c r="E285">
        <f>(E281+E282)*E284*E280*E275</f>
        <v>3.3696</v>
      </c>
    </row>
    <row r="288">
      <c r="B288" t="str">
        <v>TAKING OFF BALOK</v>
      </c>
    </row>
    <row r="290">
      <c r="D290" t="str">
        <v>Balok 150 /150</v>
      </c>
    </row>
    <row r="292">
      <c r="B292" t="str">
        <v>Panjang Bentang</v>
      </c>
      <c r="D292">
        <v>8.5</v>
      </c>
      <c r="E292">
        <v>8.5</v>
      </c>
      <c r="F292">
        <f>'C-QTY'!D62+(5.5*4)</f>
        <v>86.75</v>
      </c>
    </row>
    <row r="293">
      <c r="B293" t="str">
        <v>Banyaknya Bentang</v>
      </c>
      <c r="D293">
        <v>2</v>
      </c>
      <c r="E293">
        <v>3</v>
      </c>
      <c r="F293">
        <v>1</v>
      </c>
    </row>
    <row r="294">
      <c r="B294" t="str">
        <v>Tebal plat</v>
      </c>
    </row>
    <row r="295">
      <c r="B295" t="str">
        <v>Dimensi Balok beton:</v>
      </c>
    </row>
    <row r="296">
      <c r="B296" t="str">
        <v xml:space="preserve">    - Lebar</v>
      </c>
      <c r="D296">
        <v>0.15</v>
      </c>
      <c r="E296">
        <v>0.15</v>
      </c>
      <c r="F296">
        <v>0.15</v>
      </c>
    </row>
    <row r="297">
      <c r="B297" t="str">
        <v xml:space="preserve">    - Tinggi</v>
      </c>
      <c r="D297">
        <v>0.15</v>
      </c>
      <c r="E297">
        <v>0.15</v>
      </c>
      <c r="F297">
        <v>0.15</v>
      </c>
    </row>
    <row r="299">
      <c r="B299" t="str">
        <v>Vol.Beton</v>
      </c>
      <c r="D299">
        <f>D292*D293*D296*(D297-D294)</f>
        <v>0.38249999999999995</v>
      </c>
      <c r="E299">
        <f>E292*E293*E296*(E297-E294)</f>
        <v>0.57375</v>
      </c>
      <c r="F299">
        <f>F292*F293*F296*(F297-F294)</f>
        <v>1.9518749999999998</v>
      </c>
      <c r="G299">
        <f>SUM(D299:F299)</f>
        <v>2.9081249999999996</v>
      </c>
    </row>
    <row r="300">
      <c r="B300" t="str">
        <v>Vol.Begisting</v>
      </c>
      <c r="D300">
        <f>D292*D293*(2*D297+D296)</f>
        <v>7.6499999999999995</v>
      </c>
      <c r="E300">
        <f>E292*E293*(2*E297+E296)</f>
        <v>11.475</v>
      </c>
      <c r="F300">
        <f>F292*F293*(2*F297+F296)</f>
        <v>39.037499999999994</v>
      </c>
      <c r="G300">
        <f>SUM(D300:F300)</f>
        <v>58.162499999999994</v>
      </c>
    </row>
    <row r="301">
      <c r="B301" t="str">
        <v>Vol.Stoot Werk</v>
      </c>
      <c r="D301">
        <f>D292*D293*(D296+0.2+0.2)</f>
        <v>9.350000000000001</v>
      </c>
      <c r="E301">
        <f>E292*E293*(E296+0.2+0.2)</f>
        <v>14.025</v>
      </c>
      <c r="F301">
        <f>F292*F293*(F296+0.2+0.2)</f>
        <v>47.712500000000006</v>
      </c>
      <c r="G301">
        <f>SUM(D301:F301)</f>
        <v>71.0875</v>
      </c>
    </row>
    <row r="302">
      <c r="B302" t="str">
        <v>Total Berat Besi</v>
      </c>
      <c r="G302">
        <f>SUM(D302:F302)</f>
        <v>0</v>
      </c>
    </row>
    <row r="303">
      <c r="B303" t="str">
        <v>Dia. 10 mm</v>
      </c>
      <c r="D303">
        <f>D318</f>
        <v>43.151999999999994</v>
      </c>
      <c r="E303">
        <f>E318</f>
        <v>64.728</v>
      </c>
      <c r="F303">
        <f>F318</f>
        <v>215.636</v>
      </c>
      <c r="G303">
        <f>SUM(D303:F303)</f>
        <v>323.51599999999996</v>
      </c>
    </row>
    <row r="304">
      <c r="B304" t="str">
        <v>Dia. 12 mm</v>
      </c>
      <c r="G304">
        <f>SUM(D304:F304)</f>
        <v>0</v>
      </c>
    </row>
    <row r="305">
      <c r="B305" t="str">
        <v>Dia. 8 mm</v>
      </c>
      <c r="D305">
        <f>D331</f>
        <v>18.3456</v>
      </c>
      <c r="E305">
        <f>E331</f>
        <v>27.518400000000003</v>
      </c>
      <c r="F305">
        <f>F331</f>
        <v>92.85119999999999</v>
      </c>
      <c r="G305">
        <f>SUM(D305:F305)</f>
        <v>138.71519999999998</v>
      </c>
    </row>
    <row r="307">
      <c r="B307" t="str">
        <v>Pembesian /Tulangan :</v>
      </c>
      <c r="D307">
        <f>SUM(D303:D305)/D299</f>
        <v>160.77803921568628</v>
      </c>
      <c r="E307">
        <f>SUM(E303:E305)/E299</f>
        <v>160.77803921568628</v>
      </c>
      <c r="F307">
        <f>SUM(F303:F305)/F299</f>
        <v>158.0465962215818</v>
      </c>
    </row>
    <row r="309">
      <c r="B309" t="str">
        <v>Tulangan Menerus / Utama</v>
      </c>
    </row>
    <row r="310">
      <c r="B310" t="str">
        <v>- Juml.Bentang</v>
      </c>
      <c r="D310">
        <f>D293</f>
        <v>2</v>
      </c>
      <c r="E310">
        <f>E293</f>
        <v>3</v>
      </c>
      <c r="F310">
        <f>F293</f>
        <v>1</v>
      </c>
    </row>
    <row r="311">
      <c r="B311" t="str">
        <v>- Jenis Besi</v>
      </c>
      <c r="D311" t="str">
        <v>U-24</v>
      </c>
      <c r="E311" t="str">
        <v>U-24</v>
      </c>
      <c r="F311" t="str">
        <v>U-24</v>
      </c>
    </row>
    <row r="312">
      <c r="B312" t="str">
        <v>- Diameter</v>
      </c>
      <c r="D312">
        <v>10</v>
      </c>
      <c r="E312">
        <v>10</v>
      </c>
      <c r="F312">
        <v>10</v>
      </c>
    </row>
    <row r="313">
      <c r="D313">
        <v>0.01</v>
      </c>
      <c r="E313">
        <v>0.01</v>
      </c>
      <c r="F313">
        <v>0.01</v>
      </c>
    </row>
    <row r="314">
      <c r="B314" t="str">
        <v>- Berat/m'</v>
      </c>
      <c r="D314">
        <v>0.62</v>
      </c>
      <c r="E314">
        <v>0.62</v>
      </c>
      <c r="F314">
        <v>0.62</v>
      </c>
    </row>
    <row r="315">
      <c r="B315" t="str">
        <v>- Panjang tulangan</v>
      </c>
      <c r="D315">
        <f>D292</f>
        <v>8.5</v>
      </c>
      <c r="E315">
        <f>E292</f>
        <v>8.5</v>
      </c>
      <c r="F315">
        <f>F292</f>
        <v>86.75</v>
      </c>
    </row>
    <row r="316">
      <c r="B316" t="str">
        <v>- Tul.Overlap</v>
      </c>
      <c r="D316">
        <f>10*D313*2</f>
        <v>0.2</v>
      </c>
      <c r="E316">
        <f>10*E313*2</f>
        <v>0.2</v>
      </c>
      <c r="F316">
        <f>10*F313*2</f>
        <v>0.2</v>
      </c>
    </row>
    <row r="317">
      <c r="B317" t="str">
        <v>- Juml.Besi dlm 1 Pot.</v>
      </c>
      <c r="D317">
        <v>4</v>
      </c>
      <c r="E317">
        <v>4</v>
      </c>
      <c r="F317">
        <v>4</v>
      </c>
    </row>
    <row r="318">
      <c r="B318" t="str">
        <v>- Jumlah Berat Besi</v>
      </c>
      <c r="D318">
        <f>(D315+D316)*D314*D317*D310</f>
        <v>43.151999999999994</v>
      </c>
      <c r="E318">
        <f>(E315+E316)*E314*E317*E310</f>
        <v>64.728</v>
      </c>
      <c r="F318">
        <f>(F315+F316)*F314*F317*F310</f>
        <v>215.636</v>
      </c>
    </row>
    <row r="320">
      <c r="B320" t="str">
        <v xml:space="preserve">Tulangan Sengkang </v>
      </c>
    </row>
    <row r="321">
      <c r="B321" t="str">
        <v>- Jml.Bentang</v>
      </c>
      <c r="D321">
        <f>D293</f>
        <v>2</v>
      </c>
      <c r="E321">
        <f>E293</f>
        <v>3</v>
      </c>
      <c r="F321">
        <f>F293</f>
        <v>1</v>
      </c>
    </row>
    <row r="322">
      <c r="B322" t="str">
        <v>- Jenis Besi</v>
      </c>
      <c r="D322" t="str">
        <v>U-24</v>
      </c>
      <c r="E322" t="str">
        <v>U-24</v>
      </c>
      <c r="F322" t="str">
        <v>U-24</v>
      </c>
    </row>
    <row r="323">
      <c r="B323" t="str">
        <v>- Jarak Pemasangan</v>
      </c>
      <c r="D323">
        <v>0.175</v>
      </c>
      <c r="E323">
        <v>0.175</v>
      </c>
      <c r="F323">
        <v>0.175</v>
      </c>
    </row>
    <row r="324">
      <c r="B324" t="str">
        <v>- Diameter</v>
      </c>
      <c r="D324">
        <v>8</v>
      </c>
      <c r="E324">
        <v>8</v>
      </c>
      <c r="F324">
        <v>8</v>
      </c>
    </row>
    <row r="325">
      <c r="D325">
        <v>0.008</v>
      </c>
      <c r="E325">
        <v>0.008</v>
      </c>
      <c r="F325">
        <v>0.008</v>
      </c>
    </row>
    <row r="326">
      <c r="B326" t="str">
        <v>- Berat/m'</v>
      </c>
      <c r="D326">
        <v>0.39</v>
      </c>
      <c r="E326">
        <v>0.39</v>
      </c>
      <c r="F326">
        <v>0.39</v>
      </c>
    </row>
    <row r="327">
      <c r="B327" t="str">
        <v>- Panjang Bentang</v>
      </c>
      <c r="D327">
        <f>D292</f>
        <v>8.5</v>
      </c>
      <c r="E327">
        <f>E292</f>
        <v>8.5</v>
      </c>
      <c r="F327">
        <f>F292</f>
        <v>86.75</v>
      </c>
    </row>
    <row r="328">
      <c r="B328" t="str">
        <v>- Panjang Begel</v>
      </c>
      <c r="D328">
        <f>(2*(D296-2*0.025)+2*(D297-2*0.025))</f>
        <v>0.39999999999999997</v>
      </c>
      <c r="E328">
        <f>(2*(E296-2*0.025)+2*(E297-2*0.025))</f>
        <v>0.39999999999999997</v>
      </c>
      <c r="F328">
        <f>(2*(F296-2*0.025)+2*(F297-2*0.025))</f>
        <v>0.39999999999999997</v>
      </c>
    </row>
    <row r="329">
      <c r="B329" t="str">
        <v>- Bengkokan</v>
      </c>
      <c r="D329">
        <f>(5*D325*2)</f>
        <v>0.08</v>
      </c>
      <c r="E329">
        <f>(5*E325*2)</f>
        <v>0.08</v>
      </c>
      <c r="F329">
        <f>(5*F325*2)</f>
        <v>0.08</v>
      </c>
    </row>
    <row r="330">
      <c r="B330" t="str">
        <v>- Jml Begel dlm 1 bentang</v>
      </c>
      <c r="D330">
        <f>INT(D327/D323)+1</f>
        <v>49</v>
      </c>
      <c r="E330">
        <f>INT(E327/E323)+1</f>
        <v>49</v>
      </c>
      <c r="F330">
        <f>INT(F327/F323)+1</f>
        <v>496</v>
      </c>
    </row>
    <row r="331">
      <c r="B331" t="str">
        <v>- Jumlah Berat Besi</v>
      </c>
      <c r="D331">
        <f>(D328+D329)*D330*D321*D326</f>
        <v>18.3456</v>
      </c>
      <c r="E331">
        <f>(E328+E329)*E330*E321*E326</f>
        <v>27.518400000000003</v>
      </c>
      <c r="F331">
        <f>(F328+F329)*F330*F321*F326</f>
        <v>92.85119999999999</v>
      </c>
    </row>
    <row r="334">
      <c r="B334" t="str">
        <v>TAKING OFF KANOPI</v>
      </c>
    </row>
    <row r="336">
      <c r="D336" t="str">
        <v>Kanopi Beton</v>
      </c>
    </row>
    <row r="338">
      <c r="B338" t="str">
        <v>Panjang Bentang</v>
      </c>
      <c r="D338">
        <v>3</v>
      </c>
      <c r="E338">
        <v>1.85</v>
      </c>
      <c r="F338">
        <v>3.775</v>
      </c>
      <c r="G338">
        <v>2.9</v>
      </c>
    </row>
    <row r="339">
      <c r="B339" t="str">
        <v>Banyaknya Bentang</v>
      </c>
      <c r="D339">
        <v>1</v>
      </c>
      <c r="E339">
        <v>2</v>
      </c>
      <c r="F339">
        <v>1</v>
      </c>
      <c r="G339">
        <v>1</v>
      </c>
    </row>
    <row r="340">
      <c r="B340" t="str">
        <v>Tebal plat</v>
      </c>
    </row>
    <row r="341">
      <c r="B341" t="str">
        <v>Dimensi Balok beton:</v>
      </c>
    </row>
    <row r="342">
      <c r="B342" t="str">
        <v xml:space="preserve">    - Lebar</v>
      </c>
      <c r="D342">
        <v>0.3</v>
      </c>
      <c r="E342">
        <v>0.3</v>
      </c>
      <c r="F342">
        <v>0.3</v>
      </c>
      <c r="G342">
        <v>0.3</v>
      </c>
    </row>
    <row r="343">
      <c r="B343" t="str">
        <v xml:space="preserve">    - Tinggi</v>
      </c>
      <c r="C343" t="str">
        <v>Tebal</v>
      </c>
      <c r="D343">
        <v>0.08</v>
      </c>
      <c r="E343">
        <v>0.08</v>
      </c>
      <c r="F343">
        <v>0.08</v>
      </c>
      <c r="G343">
        <v>0.08</v>
      </c>
    </row>
    <row r="345">
      <c r="B345" t="str">
        <v>Vol.Beton</v>
      </c>
      <c r="D345">
        <f>D343*D342*D338*D339</f>
        <v>0.07200000000000001</v>
      </c>
      <c r="E345">
        <f>E343*E342*E338*E339</f>
        <v>0.0888</v>
      </c>
      <c r="F345">
        <f>F343*F342*F338*F339</f>
        <v>0.0906</v>
      </c>
      <c r="G345">
        <f>G343*G342*G338*G339</f>
        <v>0.0696</v>
      </c>
      <c r="H345">
        <f>SUM(D345:G345)</f>
        <v>0.321</v>
      </c>
    </row>
    <row r="346">
      <c r="B346" t="str">
        <v>Vol.Begisting</v>
      </c>
      <c r="D346">
        <f>(D338*D342+(D338+D342*2)*D343)*D339</f>
        <v>1.188</v>
      </c>
      <c r="E346">
        <f>(E338*E342+(E338+E342*2)*E343)*E339</f>
        <v>1.5020000000000002</v>
      </c>
      <c r="F346">
        <f>(F338*F342+(F338+F342*2)*F343)*F339</f>
        <v>1.4825</v>
      </c>
      <c r="G346">
        <f>(G338*G342+(G338+G342*2)*G343)*G339</f>
        <v>1.15</v>
      </c>
      <c r="H346">
        <f>SUM(D346:G346)</f>
        <v>5.3225</v>
      </c>
    </row>
    <row r="347">
      <c r="B347" t="str">
        <v>Vol.Stoot Werk</v>
      </c>
      <c r="D347">
        <f>D342*D338*D339</f>
        <v>0.8999999999999999</v>
      </c>
      <c r="E347">
        <f>E342*E338*E339</f>
        <v>1.11</v>
      </c>
      <c r="F347">
        <f>F342*F338*F339</f>
        <v>1.1324999999999998</v>
      </c>
      <c r="G347">
        <f>G342*G338*G339</f>
        <v>0.87</v>
      </c>
      <c r="H347">
        <f>SUM(D347:G347)</f>
        <v>4.012499999999999</v>
      </c>
    </row>
    <row r="348">
      <c r="B348" t="str">
        <v>Total Berat Besi</v>
      </c>
      <c r="H348">
        <f>SUM(D348:G348)</f>
        <v>0</v>
      </c>
    </row>
    <row r="349">
      <c r="B349" t="str">
        <v>Dia. 10 mm</v>
      </c>
      <c r="H349">
        <f>SUM(D349:G349)</f>
        <v>0</v>
      </c>
    </row>
    <row r="350">
      <c r="B350" t="str">
        <v>Dia. 12 mm</v>
      </c>
      <c r="H350">
        <f>SUM(D350:G350)</f>
        <v>0</v>
      </c>
    </row>
    <row r="351">
      <c r="B351" t="str">
        <v>Dia. 8 mm</v>
      </c>
      <c r="D351">
        <f>D377+D365</f>
        <v>7.464600000000001</v>
      </c>
      <c r="E351">
        <f>E377+E365</f>
        <v>9.367800000000003</v>
      </c>
      <c r="F351">
        <f>F377+F365</f>
        <v>9.268350000000002</v>
      </c>
      <c r="G351">
        <f>G377+G365</f>
        <v>7.168200000000001</v>
      </c>
      <c r="H351">
        <f>SUM(D351:G351)</f>
        <v>33.268950000000004</v>
      </c>
    </row>
    <row r="353">
      <c r="B353" t="str">
        <v>Pembesian /Tulangan :</v>
      </c>
      <c r="D353">
        <f>SUM(D349:D351)/D345</f>
        <v>103.675</v>
      </c>
      <c r="E353">
        <f>SUM(E349:E351)/E345</f>
        <v>105.49324324324327</v>
      </c>
      <c r="F353">
        <f>SUM(F349:F351)/F345</f>
        <v>102.2996688741722</v>
      </c>
      <c r="G353">
        <f>SUM(G349:G351)/G345</f>
        <v>102.99137931034484</v>
      </c>
    </row>
    <row r="355">
      <c r="B355" t="str">
        <v>Tulangan Menerus Horisontal</v>
      </c>
    </row>
    <row r="356">
      <c r="B356" t="str">
        <v>- Juml.Bentang</v>
      </c>
      <c r="D356">
        <f>D339</f>
        <v>1</v>
      </c>
      <c r="E356">
        <f>E339</f>
        <v>2</v>
      </c>
      <c r="F356">
        <f>F339</f>
        <v>1</v>
      </c>
      <c r="G356">
        <f>G339</f>
        <v>1</v>
      </c>
    </row>
    <row r="357">
      <c r="B357" t="str">
        <v>- Jenis Besi</v>
      </c>
      <c r="D357" t="str">
        <v>U-24</v>
      </c>
      <c r="E357" t="str">
        <v>U-24</v>
      </c>
      <c r="F357" t="str">
        <v>U-24</v>
      </c>
      <c r="G357" t="str">
        <v>U-24</v>
      </c>
    </row>
    <row r="358">
      <c r="B358" t="str">
        <v>- Jarak Pemasangan</v>
      </c>
      <c r="D358">
        <v>0.15</v>
      </c>
      <c r="E358">
        <v>0.15</v>
      </c>
      <c r="F358">
        <v>0.15</v>
      </c>
      <c r="G358">
        <v>0.15</v>
      </c>
    </row>
    <row r="359">
      <c r="B359" t="str">
        <v>- Diameter</v>
      </c>
      <c r="D359">
        <v>8</v>
      </c>
      <c r="E359">
        <v>8</v>
      </c>
      <c r="F359">
        <v>8</v>
      </c>
      <c r="G359">
        <v>8</v>
      </c>
    </row>
    <row r="360">
      <c r="D360">
        <v>0.008</v>
      </c>
      <c r="E360">
        <v>0.008</v>
      </c>
      <c r="F360">
        <v>0.008</v>
      </c>
      <c r="G360">
        <v>0.008</v>
      </c>
    </row>
    <row r="361">
      <c r="B361" t="str">
        <v>- Berat/m'</v>
      </c>
      <c r="D361">
        <v>0.39</v>
      </c>
      <c r="E361">
        <v>0.39</v>
      </c>
      <c r="F361">
        <v>0.39</v>
      </c>
      <c r="G361">
        <v>0.39</v>
      </c>
    </row>
    <row r="362">
      <c r="B362" t="str">
        <v>- Panjang tulangan</v>
      </c>
      <c r="D362">
        <f>D338</f>
        <v>3</v>
      </c>
      <c r="E362">
        <f>E338</f>
        <v>1.85</v>
      </c>
      <c r="F362">
        <f>F338</f>
        <v>3.775</v>
      </c>
      <c r="G362">
        <f>G338</f>
        <v>2.9</v>
      </c>
    </row>
    <row r="363">
      <c r="B363" t="str">
        <v>- Tul.Overlap</v>
      </c>
      <c r="D363">
        <f>10*D360*2</f>
        <v>0.16</v>
      </c>
      <c r="E363">
        <f>10*E360*2</f>
        <v>0.16</v>
      </c>
      <c r="F363">
        <f>10*F360*2</f>
        <v>0.16</v>
      </c>
      <c r="G363">
        <f>10*G360*2</f>
        <v>0.16</v>
      </c>
    </row>
    <row r="364">
      <c r="B364" t="str">
        <v>- Juml.Besi dlm 1 Pot.</v>
      </c>
      <c r="D364">
        <f>ROUND(D342/D358,0)+1</f>
        <v>3</v>
      </c>
      <c r="E364">
        <f>ROUND(E342/E358,0)+1</f>
        <v>3</v>
      </c>
      <c r="F364">
        <f>ROUND(F342/F358,0)+1</f>
        <v>3</v>
      </c>
      <c r="G364">
        <f>ROUND(G342/G358,0)+1</f>
        <v>3</v>
      </c>
    </row>
    <row r="365">
      <c r="B365" t="str">
        <v>- Jumlah Berat Besi</v>
      </c>
      <c r="D365">
        <f>(D362+D363)*D361*D364*D356</f>
        <v>3.6972000000000005</v>
      </c>
      <c r="E365">
        <f>(E362+E363)*E361*E364*E356</f>
        <v>4.703400000000001</v>
      </c>
      <c r="F365">
        <f>(F362+F363)*F361*F364*F356</f>
        <v>4.60395</v>
      </c>
      <c r="G365">
        <f>(G362+G363)*G361*G364*G356</f>
        <v>3.5802</v>
      </c>
    </row>
    <row r="367">
      <c r="B367" t="str">
        <v>Tulangan Menerus Vertikal</v>
      </c>
    </row>
    <row r="368">
      <c r="B368" t="str">
        <v>- Jml.Bentang</v>
      </c>
      <c r="D368">
        <f>D339</f>
        <v>1</v>
      </c>
      <c r="E368">
        <f>E339</f>
        <v>2</v>
      </c>
      <c r="F368">
        <f>F339</f>
        <v>1</v>
      </c>
      <c r="G368">
        <f>G339</f>
        <v>1</v>
      </c>
    </row>
    <row r="369">
      <c r="B369" t="str">
        <v>- Jenis Besi</v>
      </c>
      <c r="D369" t="str">
        <v>U-24</v>
      </c>
      <c r="E369" t="str">
        <v>U-24</v>
      </c>
      <c r="F369" t="str">
        <v>U-24</v>
      </c>
      <c r="G369" t="str">
        <v>U-24</v>
      </c>
    </row>
    <row r="370">
      <c r="B370" t="str">
        <v>- Jarak Pemasangan</v>
      </c>
      <c r="D370">
        <v>0.15</v>
      </c>
      <c r="E370">
        <v>0.15</v>
      </c>
      <c r="F370">
        <v>0.15</v>
      </c>
      <c r="G370">
        <v>0.15</v>
      </c>
    </row>
    <row r="371">
      <c r="B371" t="str">
        <v>- Diameter</v>
      </c>
      <c r="D371">
        <v>8</v>
      </c>
      <c r="E371">
        <v>8</v>
      </c>
      <c r="F371">
        <v>8</v>
      </c>
      <c r="G371">
        <v>8</v>
      </c>
    </row>
    <row r="372">
      <c r="D372">
        <v>0.008</v>
      </c>
      <c r="E372">
        <v>0.008</v>
      </c>
      <c r="F372">
        <v>0.008</v>
      </c>
      <c r="G372">
        <v>0.008</v>
      </c>
    </row>
    <row r="373">
      <c r="B373" t="str">
        <v>- Berat/m'</v>
      </c>
      <c r="D373">
        <v>0.39</v>
      </c>
      <c r="E373">
        <v>0.39</v>
      </c>
      <c r="F373">
        <v>0.39</v>
      </c>
      <c r="G373">
        <v>0.39</v>
      </c>
    </row>
    <row r="374">
      <c r="B374" t="str">
        <v>- Panjang tulangan</v>
      </c>
      <c r="D374">
        <f>D342</f>
        <v>0.3</v>
      </c>
      <c r="E374">
        <f>E342</f>
        <v>0.3</v>
      </c>
      <c r="F374">
        <f>F342</f>
        <v>0.3</v>
      </c>
      <c r="G374">
        <f>G342</f>
        <v>0.3</v>
      </c>
    </row>
    <row r="375">
      <c r="B375" t="str">
        <v>- Tul.Overlap</v>
      </c>
      <c r="D375">
        <f>10*D372*2</f>
        <v>0.16</v>
      </c>
      <c r="E375">
        <f>10*E372*2</f>
        <v>0.16</v>
      </c>
      <c r="F375">
        <f>10*F372*2</f>
        <v>0.16</v>
      </c>
      <c r="G375">
        <f>10*G372*2</f>
        <v>0.16</v>
      </c>
    </row>
    <row r="376">
      <c r="B376" t="str">
        <v>- Juml.Besi dlm 1 Pot.</v>
      </c>
      <c r="D376">
        <f>INT(D338/D370)+1</f>
        <v>21</v>
      </c>
      <c r="E376">
        <f>INT(E338/E370)+1</f>
        <v>13</v>
      </c>
      <c r="F376">
        <f>INT(F338/F370)+1</f>
        <v>26</v>
      </c>
      <c r="G376">
        <f>INT(G338/G370)+1</f>
        <v>20</v>
      </c>
    </row>
    <row r="377">
      <c r="B377" t="str">
        <v>- Jumlah Berat Besi</v>
      </c>
      <c r="D377">
        <f>(D374+D375)*D373*D376*D368</f>
        <v>3.7674000000000003</v>
      </c>
      <c r="E377">
        <f>(E374+E375)*E373*E376*E368</f>
        <v>4.6644000000000005</v>
      </c>
      <c r="F377">
        <f>(F374+F375)*F373*F376*F368</f>
        <v>4.6644000000000005</v>
      </c>
      <c r="G377">
        <f>(G374+G375)*G373*G376*G368</f>
        <v>3.588</v>
      </c>
    </row>
  </sheetData>
  <mergeCells count="9">
    <mergeCell ref="D336:G336"/>
    <mergeCell ref="D147:F147"/>
    <mergeCell ref="S9:Y9"/>
    <mergeCell ref="AJ9:AM9"/>
    <mergeCell ref="H10:I11"/>
    <mergeCell ref="K10:O11"/>
    <mergeCell ref="S10:U10"/>
    <mergeCell ref="W10:Y10"/>
    <mergeCell ref="X11:Y11"/>
  </mergeCells>
  <hyperlinks>
    <hyperlink ref="A1" location="MENU!A1" tooltip="menu"/>
  </hyperlinks>
  <pageMargins left="0.75" right="0.75" top="1" bottom="1" header="0.5" footer="0.5"/>
  <ignoredErrors>
    <ignoredError numberStoredAsText="1" sqref="A1:AM377"/>
  </ignoredErrors>
</worksheet>
</file>

<file path=xl/worksheets/sheet23.xml><?xml version="1.0" encoding="utf-8"?>
<worksheet xmlns="http://schemas.openxmlformats.org/spreadsheetml/2006/main" xmlns:r="http://schemas.openxmlformats.org/officeDocument/2006/relationships">
  <dimension ref="A1:I144"/>
  <sheetViews>
    <sheetView workbookViewId="0" rightToLeft="0"/>
  </sheetViews>
  <sheetData>
    <row r="1">
      <c r="I1" t="str">
        <v>menu</v>
      </c>
    </row>
    <row r="2">
      <c r="A2" t="str">
        <v>REKAPITULASI BIAYA STANDAR RUMAH NEGARA TYPE C, D, E</v>
      </c>
      <c r="I2" t="str">
        <v>HSBGN</v>
      </c>
    </row>
    <row r="4">
      <c r="A4" t="str">
        <f>A30</f>
        <v>A.</v>
      </c>
      <c r="B4" t="str">
        <f>B30</f>
        <v>PEKERJAAN STRUKTUR</v>
      </c>
      <c r="I4">
        <f>SUM(I5:I6)</f>
        <v>0</v>
      </c>
    </row>
    <row r="5">
      <c r="A5" t="str">
        <f>A31</f>
        <v>A.1</v>
      </c>
      <c r="B5" t="str">
        <f>B31</f>
        <v xml:space="preserve">Pekerjaan Pondasi </v>
      </c>
      <c r="H5">
        <f>H36</f>
        <v>0</v>
      </c>
      <c r="I5">
        <f>H5/$H$18</f>
        <v>0</v>
      </c>
    </row>
    <row r="6">
      <c r="A6" t="str">
        <f>A37</f>
        <v>A.2</v>
      </c>
      <c r="B6" t="str">
        <f>B37</f>
        <v>Pekerjaan Struktur</v>
      </c>
      <c r="H6">
        <f>H55</f>
        <v>0</v>
      </c>
      <c r="I6">
        <f>H6/$H$18</f>
        <v>0</v>
      </c>
    </row>
    <row r="7">
      <c r="A7" t="str">
        <v>B.</v>
      </c>
      <c r="B7" t="str">
        <v>PEKERJAAN ARSITEKTUR</v>
      </c>
      <c r="I7">
        <f>SUM(I8:I12)</f>
        <v>0.9363763682356943</v>
      </c>
    </row>
    <row r="8">
      <c r="A8" t="str">
        <v>B.1</v>
      </c>
      <c r="B8" t="str">
        <v>Pekerjaan Lantai</v>
      </c>
      <c r="H8">
        <f>H63</f>
        <v>0</v>
      </c>
      <c r="I8">
        <f>H8/$H$18</f>
        <v>0</v>
      </c>
    </row>
    <row r="9">
      <c r="A9" t="str">
        <v>B.2</v>
      </c>
      <c r="B9" t="str">
        <v>Pekerjaan Dinding</v>
      </c>
      <c r="H9">
        <f>H68</f>
        <v>888603121.8750001</v>
      </c>
      <c r="I9">
        <f>H9/$H$18</f>
        <v>0.9363763682356943</v>
      </c>
    </row>
    <row r="10">
      <c r="A10" t="str">
        <v>B.3</v>
      </c>
      <c r="B10" t="str">
        <v>Pekerjaan Plafond</v>
      </c>
      <c r="H10">
        <f>H72</f>
        <v>0</v>
      </c>
      <c r="I10">
        <f>H10/$H$18</f>
        <v>0</v>
      </c>
    </row>
    <row r="11">
      <c r="A11" t="str">
        <v>B.4</v>
      </c>
      <c r="B11" t="str">
        <v>Pekerjaan Atap</v>
      </c>
      <c r="H11">
        <f>H80</f>
        <v>0</v>
      </c>
      <c r="I11">
        <f>H11/$H$18</f>
        <v>0</v>
      </c>
    </row>
    <row r="12">
      <c r="A12" t="str">
        <v>B.5</v>
      </c>
      <c r="B12" t="str">
        <v>Pekerjaan Kusen</v>
      </c>
      <c r="H12">
        <f>H97</f>
        <v>0</v>
      </c>
      <c r="I12">
        <f>H12/$H$18</f>
        <v>0</v>
      </c>
    </row>
    <row r="13">
      <c r="A13" t="str">
        <v>C.</v>
      </c>
      <c r="B13" t="str">
        <v>PEKERJAAN UTILITAS</v>
      </c>
      <c r="I13">
        <f>SUM(I14:I15)</f>
        <v>0.06362363176430569</v>
      </c>
    </row>
    <row r="14">
      <c r="A14" t="str">
        <v>C.1</v>
      </c>
      <c r="B14" t="str">
        <v>Pekerjaan Plumbing</v>
      </c>
      <c r="H14">
        <f>H124</f>
        <v>60377600</v>
      </c>
      <c r="I14">
        <f>H14/$H$18</f>
        <v>0.06362363176430569</v>
      </c>
    </row>
    <row r="15">
      <c r="A15" t="str">
        <v>C.2</v>
      </c>
      <c r="B15" t="str">
        <v>Pekerjaan Elektrikal</v>
      </c>
      <c r="H15">
        <f>H136</f>
        <v>0</v>
      </c>
      <c r="I15">
        <f>H15/$H$18</f>
        <v>0</v>
      </c>
    </row>
    <row r="16">
      <c r="A16" t="str">
        <v>D.</v>
      </c>
      <c r="B16" t="str">
        <v>PEKERJAAN FINISHING</v>
      </c>
      <c r="H16">
        <f>H144</f>
        <v>0</v>
      </c>
      <c r="I16">
        <f>H16/$H$18</f>
        <v>0</v>
      </c>
    </row>
    <row r="18">
      <c r="G18" t="str">
        <v>Jumlah Biaya Pekerjaan Standar ( a ) … Rp.</v>
      </c>
      <c r="H18">
        <f>SUM(H4:H16)</f>
        <v>948980721.8750001</v>
      </c>
      <c r="I18">
        <f>SUM(I4,I7,I13,I16)</f>
        <v>1</v>
      </c>
    </row>
    <row r="19">
      <c r="G19" t="str">
        <v>PPN 10% ( b ) … Rp.</v>
      </c>
      <c r="H19">
        <f>0.1*H18</f>
        <v>94898072.18750001</v>
      </c>
    </row>
    <row r="20">
      <c r="G20" t="str">
        <v xml:space="preserve"> '( c ) = ( a ) + ( b ) … Rp.</v>
      </c>
      <c r="H20">
        <f>H18+H19</f>
        <v>1043878794.0625001</v>
      </c>
    </row>
    <row r="21">
      <c r="G21" t="str">
        <v>Luas bangunan ( d ) … m2.</v>
      </c>
      <c r="H21">
        <v>70</v>
      </c>
    </row>
    <row r="22">
      <c r="G22" t="str">
        <v>Harga bangunan untuk pekerjaan standar /m2 ( e ) = ( c ) / ( d ) … Rp.</v>
      </c>
      <c r="H22">
        <f>H20/H21</f>
        <v>14912554.200892858</v>
      </c>
    </row>
    <row r="23">
      <c r="G23" t="str">
        <v>Ijin Mendirikan Bangunan /m2 ( f ) … Rp.</v>
      </c>
      <c r="H23">
        <f>'Isi Data'!E171</f>
        <v>0</v>
      </c>
    </row>
    <row r="24">
      <c r="G24" t="str">
        <v>(e) + (f) Dibulatkan... Rp.</v>
      </c>
      <c r="H24">
        <f>ROUND(H22+H23,-4)</f>
        <v>14910000</v>
      </c>
    </row>
    <row r="27">
      <c r="A27" t="str">
        <v>RINCIAN BIAYA STANDAR RUMAH NEGARA TYPE C, D, E</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 xml:space="preserve">Pekerjaan Pondasi </v>
      </c>
    </row>
    <row r="32">
      <c r="A32">
        <v>1</v>
      </c>
      <c r="B32" t="str">
        <v>Galian tanah, dalam  s/d 1 m</v>
      </c>
      <c r="C32" t="str">
        <v>Termasuk urugan sisi pondasi &amp; buang tanah sekitar lokasi pekerjaan</v>
      </c>
      <c r="D32" t="str">
        <v>m3</v>
      </c>
      <c r="E32">
        <f>'C-QTY'!G166</f>
        <v>33.0225</v>
      </c>
      <c r="F32">
        <f>SUMIF(SNI!C$1:C$65536,'RAB - RumahC'!B$1:B$65536,SNI!L$1:L$65536)</f>
        <v>0</v>
      </c>
      <c r="G32">
        <f>E32*F32</f>
        <v>0</v>
      </c>
    </row>
    <row r="33">
      <c r="A33">
        <f>A32+1</f>
        <v>2</v>
      </c>
      <c r="B33" t="str">
        <v>Pas. Urugan pasir</v>
      </c>
      <c r="C33" t="str">
        <v>t. 10 cm</v>
      </c>
      <c r="D33" t="str">
        <v>m3</v>
      </c>
      <c r="E33">
        <f>'C-QTY'!G167</f>
        <v>3.885</v>
      </c>
      <c r="F33">
        <f>SUMIF(SNI!C$1:C$65536,'RAB - RumahC'!B$1:B$65536,SNI!L$1:L$65536)</f>
        <v>0</v>
      </c>
      <c r="G33">
        <f>E33*F33</f>
        <v>0</v>
      </c>
    </row>
    <row r="34">
      <c r="A34">
        <f>A33+1</f>
        <v>3</v>
      </c>
      <c r="B34" t="str">
        <v>Aanstamping batu kali</v>
      </c>
      <c r="C34" t="str">
        <v>t. 15 cm</v>
      </c>
      <c r="D34" t="str">
        <v>m3</v>
      </c>
      <c r="E34">
        <f>'C-QTY'!G168</f>
        <v>5.8275</v>
      </c>
      <c r="F34">
        <f>SUMIF(SNI!C$1:C$65536,'RAB - RumahC'!B$1:B$65536,SNI!L$1:L$65536)</f>
        <v>0</v>
      </c>
      <c r="G34">
        <f>E34*F34</f>
        <v>0</v>
      </c>
    </row>
    <row r="35">
      <c r="A35">
        <f>A34+1</f>
        <v>4</v>
      </c>
      <c r="B35" t="str">
        <v>Pas. pondasi batu kali 1:4</v>
      </c>
      <c r="D35" t="str">
        <v>m3</v>
      </c>
      <c r="E35">
        <f>'C-QTY'!G169</f>
        <v>16.51125</v>
      </c>
      <c r="F35">
        <f>SUMIF(SNI!C$1:C$65536,'RAB - RumahC'!B$1:B$65536,SNI!L$1:L$65536)</f>
        <v>0</v>
      </c>
      <c r="G35">
        <f>E35*F35</f>
        <v>0</v>
      </c>
      <c r="H35">
        <f>SUM(G32:G35)</f>
        <v>0</v>
      </c>
    </row>
    <row r="36">
      <c r="G36" t="str">
        <v>Jumlah A.1 .... Rp</v>
      </c>
      <c r="H36">
        <f>SUM(G32:G35)</f>
        <v>0</v>
      </c>
    </row>
    <row r="37">
      <c r="A37" t="str">
        <v>A.2</v>
      </c>
      <c r="B37" t="str">
        <v>Pekerjaan Struktur</v>
      </c>
    </row>
    <row r="38">
      <c r="A38" t="str">
        <v>A.2.1</v>
      </c>
      <c r="B38" t="str">
        <v>Pekerjaan Sloof</v>
      </c>
    </row>
    <row r="39">
      <c r="A39">
        <v>1</v>
      </c>
      <c r="B39" t="str">
        <v>Bekisting sloof beton</v>
      </c>
      <c r="C39" t="str">
        <v>Kayu klas IV</v>
      </c>
      <c r="D39" t="str">
        <v>m2</v>
      </c>
      <c r="E39">
        <f>'C-QTY'!D209</f>
        <v>25.900000000000002</v>
      </c>
      <c r="F39">
        <f>SUMIF(SNI!C$1:C$65536,'RAB - RumahC'!B$1:B$65536,SNI!L$1:L$65536)</f>
        <v>0</v>
      </c>
      <c r="G39">
        <f>E39*F39</f>
        <v>0</v>
      </c>
    </row>
    <row r="40">
      <c r="A40">
        <v>2</v>
      </c>
      <c r="B40" t="str">
        <v>Tulangan besi beton U-24</v>
      </c>
      <c r="D40" t="str">
        <v>kg</v>
      </c>
      <c r="E40">
        <f>'C-QTY'!D212+'C-QTY'!D213</f>
        <v>321.0722</v>
      </c>
      <c r="F40">
        <f>SUMIF(SNI!C$1:C$65536,'RAB - RumahC'!B$1:B$65536,SNI!L$1:L$65536)</f>
        <v>0</v>
      </c>
      <c r="G40">
        <f>E40*F40</f>
        <v>0</v>
      </c>
    </row>
    <row r="41">
      <c r="A41">
        <v>3</v>
      </c>
      <c r="B41" t="str">
        <v>Beton K - 175</v>
      </c>
      <c r="C41" t="str">
        <v>uk. 15/20; Sitemix</v>
      </c>
      <c r="D41" t="str">
        <v>m3</v>
      </c>
      <c r="E41">
        <f>'C-QTY'!D208</f>
        <v>1.9425000000000001</v>
      </c>
      <c r="F41">
        <f>SUMIF(SNI!C$1:C$65536,'RAB - RumahC'!B$1:B$65536,SNI!L$1:L$65536)</f>
        <v>0</v>
      </c>
      <c r="G41">
        <f>E41*F41</f>
        <v>0</v>
      </c>
      <c r="H41">
        <f>SUM(G39:G41)</f>
        <v>0</v>
      </c>
    </row>
    <row r="42">
      <c r="A42" t="str">
        <v>A.2.1</v>
      </c>
      <c r="B42" t="str">
        <v>Pekerjaan Kolom Praktis</v>
      </c>
      <c r="F42">
        <f>SUMIF(SNI!C$1:C$65536,'RAB - RumahC'!B$1:B$65536,SNI!L$1:L$65536)</f>
        <v>0</v>
      </c>
      <c r="G42">
        <f>E42*F42</f>
        <v>0</v>
      </c>
    </row>
    <row r="43">
      <c r="A43">
        <v>1</v>
      </c>
      <c r="B43" t="str">
        <v>Bekisting Praktis beton</v>
      </c>
      <c r="C43" t="str">
        <v>Kayu klas IV</v>
      </c>
      <c r="D43" t="str">
        <v>m2</v>
      </c>
      <c r="E43">
        <f>'C-QTY'!F255</f>
        <v>39.9</v>
      </c>
      <c r="F43">
        <f>SUMIF(SNI!C$1:C$65536,'RAB - RumahC'!B$1:B$65536,SNI!L$1:L$65536)</f>
        <v>0</v>
      </c>
      <c r="G43">
        <f>E43*F43</f>
        <v>0</v>
      </c>
    </row>
    <row r="44">
      <c r="A44">
        <v>2</v>
      </c>
      <c r="B44" t="str">
        <v>Tulangan besi beton U-24</v>
      </c>
      <c r="D44" t="str">
        <v>kg</v>
      </c>
      <c r="E44">
        <f>'C-QTY'!F258+'C-QTY'!F260</f>
        <v>242.5968</v>
      </c>
      <c r="F44">
        <f>SUMIF(SNI!C$1:C$65536,'RAB - RumahC'!B$1:B$65536,SNI!L$1:L$65536)</f>
        <v>0</v>
      </c>
      <c r="G44">
        <f>E44*F44</f>
        <v>0</v>
      </c>
    </row>
    <row r="45">
      <c r="A45">
        <v>3</v>
      </c>
      <c r="B45" t="str">
        <v>Beton K - 175</v>
      </c>
      <c r="C45" t="str">
        <v>uk. 15/15; Sitemix</v>
      </c>
      <c r="D45" t="str">
        <v>m3</v>
      </c>
      <c r="E45">
        <f>'C-QTY'!F254</f>
        <v>1.49625</v>
      </c>
      <c r="F45">
        <f>SUMIF(SNI!C$1:C$65536,'RAB - RumahC'!B$1:B$65536,SNI!L$1:L$65536)</f>
        <v>0</v>
      </c>
      <c r="G45">
        <f>E45*F45</f>
        <v>0</v>
      </c>
      <c r="H45">
        <f>SUM(G43:G45)</f>
        <v>0</v>
      </c>
    </row>
    <row r="46">
      <c r="A46" t="str">
        <v>A.2.1</v>
      </c>
      <c r="B46" t="str">
        <v>Pekerjaan Ringbalk</v>
      </c>
      <c r="F46">
        <f>SUMIF(SNI!C$1:C$65536,'RAB - RumahC'!B$1:B$65536,SNI!L$1:L$65536)</f>
        <v>0</v>
      </c>
      <c r="G46">
        <f>E46*F46</f>
        <v>0</v>
      </c>
    </row>
    <row r="47">
      <c r="A47">
        <v>1</v>
      </c>
      <c r="B47" t="str">
        <v>Bekisting Praktis beton</v>
      </c>
      <c r="C47" t="str">
        <v>Kayu klas IV</v>
      </c>
      <c r="D47" t="str">
        <v>m2</v>
      </c>
      <c r="E47">
        <f>'C-QTY'!G300</f>
        <v>58.162499999999994</v>
      </c>
      <c r="F47">
        <f>SUMIF(SNI!C$1:C$65536,'RAB - RumahC'!B$1:B$65536,SNI!L$1:L$65536)</f>
        <v>0</v>
      </c>
      <c r="G47">
        <f>E47*F47</f>
        <v>0</v>
      </c>
    </row>
    <row r="48">
      <c r="A48">
        <v>2</v>
      </c>
      <c r="B48" t="str">
        <v>Tulangan besi beton U-24</v>
      </c>
      <c r="D48" t="str">
        <v>kg</v>
      </c>
      <c r="E48">
        <f>'C-QTY'!G303+'C-QTY'!G305</f>
        <v>462.23119999999994</v>
      </c>
      <c r="F48">
        <f>SUMIF(SNI!C$1:C$65536,'RAB - RumahC'!B$1:B$65536,SNI!L$1:L$65536)</f>
        <v>0</v>
      </c>
      <c r="G48">
        <f>E48*F48</f>
        <v>0</v>
      </c>
    </row>
    <row r="49">
      <c r="A49">
        <v>3</v>
      </c>
      <c r="B49" t="str">
        <v>Beton K - 175</v>
      </c>
      <c r="C49" t="str">
        <v>uk. 15/15; Sitemix</v>
      </c>
      <c r="D49" t="str">
        <v>m3</v>
      </c>
      <c r="E49">
        <f>'C-QTY'!G299</f>
        <v>2.9081249999999996</v>
      </c>
      <c r="F49">
        <f>SUMIF(SNI!C$1:C$65536,'RAB - RumahC'!B$1:B$65536,SNI!L$1:L$65536)</f>
        <v>0</v>
      </c>
      <c r="G49">
        <f>E49*F49</f>
        <v>0</v>
      </c>
      <c r="H49">
        <f>SUM(G47:G49)</f>
        <v>0</v>
      </c>
    </row>
    <row r="50">
      <c r="A50" t="str">
        <v>A.2.1</v>
      </c>
      <c r="B50" t="str">
        <v>Pekerjaan Canopi</v>
      </c>
      <c r="F50">
        <f>SUMIF(SNI!C$1:C$65536,'RAB - RumahC'!B$1:B$65536,SNI!L$1:L$65536)</f>
        <v>0</v>
      </c>
      <c r="G50">
        <f>E50*F50</f>
        <v>0</v>
      </c>
    </row>
    <row r="51">
      <c r="A51">
        <v>1</v>
      </c>
      <c r="B51" t="str">
        <v>Bekisting beton plat lantai</v>
      </c>
      <c r="C51" t="str">
        <v>Kayu klas IV</v>
      </c>
      <c r="D51" t="str">
        <v>m2</v>
      </c>
      <c r="E51">
        <f>'C-QTY'!H346</f>
        <v>5.3225</v>
      </c>
      <c r="F51">
        <f>SUMIF(SNI!C$1:C$65536,'RAB - RumahC'!B$1:B$65536,SNI!L$1:L$65536)</f>
        <v>0</v>
      </c>
      <c r="G51">
        <f>E51*F51</f>
        <v>0</v>
      </c>
    </row>
    <row r="52">
      <c r="A52">
        <v>2</v>
      </c>
      <c r="B52" t="str">
        <v>Tulangan besi beton U-24</v>
      </c>
      <c r="D52" t="str">
        <v>kg</v>
      </c>
      <c r="E52">
        <f>'C-QTY'!H351</f>
        <v>33.268950000000004</v>
      </c>
      <c r="F52">
        <f>SUMIF(SNI!C$1:C$65536,'RAB - RumahC'!B$1:B$65536,SNI!L$1:L$65536)</f>
        <v>0</v>
      </c>
      <c r="G52">
        <f>E52*F52</f>
        <v>0</v>
      </c>
    </row>
    <row r="53">
      <c r="A53">
        <v>3</v>
      </c>
      <c r="B53" t="str">
        <v>Beton K - 175</v>
      </c>
      <c r="C53" t="str">
        <v>uk.15/15; Sitemix</v>
      </c>
      <c r="D53" t="str">
        <v>m3</v>
      </c>
      <c r="E53">
        <f>'C-QTY'!H345</f>
        <v>0.321</v>
      </c>
      <c r="F53">
        <f>SUMIF(SNI!C$1:C$65536,'RAB - RumahC'!B$1:B$65536,SNI!L$1:L$65536)</f>
        <v>0</v>
      </c>
      <c r="G53">
        <f>E53*F53</f>
        <v>0</v>
      </c>
      <c r="H53">
        <f>SUM(G51:G53)</f>
        <v>0</v>
      </c>
    </row>
    <row r="54">
      <c r="G54">
        <f>E54*F54</f>
        <v>0</v>
      </c>
    </row>
    <row r="55">
      <c r="G55" t="str">
        <v>Jumlah A.2 .... Rp</v>
      </c>
      <c r="H55">
        <f>SUM(G39:G54)</f>
        <v>0</v>
      </c>
    </row>
    <row r="57">
      <c r="A57" t="str">
        <v>B.</v>
      </c>
      <c r="B57" t="str">
        <v xml:space="preserve">PEKERJAAN ARSITEKTUR </v>
      </c>
    </row>
    <row r="58">
      <c r="A58" t="str">
        <v>B.1</v>
      </c>
      <c r="B58" t="str">
        <v>Pekerjaan Lantai</v>
      </c>
      <c r="F58">
        <f>SUMIF(SNI!C$1:C$65536,'RAB - RumahC'!B$1:B$65536,SNI!L$1:L$65536)</f>
        <v>0</v>
      </c>
      <c r="G58">
        <f>E58*F58</f>
        <v>0</v>
      </c>
    </row>
    <row r="59">
      <c r="A59">
        <v>1</v>
      </c>
      <c r="B59" t="str">
        <v>Pas. Urugan pasir</v>
      </c>
      <c r="C59" t="str">
        <v>t. 10 cm</v>
      </c>
      <c r="D59" t="str">
        <v>m3</v>
      </c>
      <c r="E59">
        <f>'C-QTY'!AB16</f>
        <v>7.605500000000001</v>
      </c>
      <c r="F59">
        <f>SUMIF(SNI!C$1:C$65536,'RAB - RumahC'!B$1:B$65536,SNI!L$1:L$65536)</f>
        <v>0</v>
      </c>
      <c r="G59">
        <f>E59*F59</f>
        <v>0</v>
      </c>
    </row>
    <row r="60">
      <c r="A60">
        <v>2</v>
      </c>
      <c r="B60" t="str">
        <v>Pas. Lantai kerja beton tumbuk 1:3:5</v>
      </c>
      <c r="C60" t="str">
        <v>t. 5 cm</v>
      </c>
      <c r="D60" t="str">
        <v>m2</v>
      </c>
      <c r="E60">
        <f>'C-QTY'!AC16</f>
        <v>76.05499999999999</v>
      </c>
      <c r="F60">
        <f>SUMIF(SNI!C$1:C$65536,'RAB - RumahC'!B$1:B$65536,SNI!L$1:L$65536)</f>
        <v>0</v>
      </c>
      <c r="G60">
        <f>E60*F60</f>
        <v>0</v>
      </c>
    </row>
    <row r="61">
      <c r="A61">
        <v>3</v>
      </c>
      <c r="B61" t="str">
        <v>Pas. Lantai Keramik 300x300</v>
      </c>
      <c r="C61" t="str">
        <v>ex Masterina</v>
      </c>
      <c r="D61" t="str">
        <v>m2</v>
      </c>
      <c r="E61">
        <f>'C-QTY'!AD16+'C-QTY'!AE16</f>
        <v>76.05499999999999</v>
      </c>
      <c r="F61">
        <f>SUMIF(SNI!C$1:C$65536,'RAB - RumahC'!B$1:B$65536,SNI!L$1:L$65536)</f>
        <v>0</v>
      </c>
      <c r="G61">
        <f>E61*F61</f>
        <v>0</v>
      </c>
    </row>
    <row r="62">
      <c r="A62">
        <v>4</v>
      </c>
      <c r="B62" t="str">
        <v>Pas. Rabat beton; finish acian</v>
      </c>
      <c r="C62" t="str">
        <v>Beton 1:3:5</v>
      </c>
      <c r="D62" t="str">
        <v>m2</v>
      </c>
      <c r="E62">
        <f>'C-QTY'!AD41+'C-QTY'!AD45</f>
        <v>9.145</v>
      </c>
      <c r="F62">
        <f>SUMIF(SNI!C$1:C$65536,'RAB - RumahC'!B$1:B$65536,SNI!L$1:L$65536)</f>
        <v>0</v>
      </c>
      <c r="G62">
        <f>E62*F62</f>
        <v>0</v>
      </c>
    </row>
    <row r="63">
      <c r="G63" t="str">
        <v>Jumlah B.1 .... Rp</v>
      </c>
      <c r="H63">
        <f>SUM(G59:G62)</f>
        <v>0</v>
      </c>
    </row>
    <row r="64">
      <c r="A64" t="str">
        <v>B.2</v>
      </c>
      <c r="B64" t="str">
        <v>Pekerjaan Dinding</v>
      </c>
      <c r="G64">
        <f>E64*F64</f>
        <v>0</v>
      </c>
    </row>
    <row r="65">
      <c r="A65">
        <v>1</v>
      </c>
      <c r="B65" t="str">
        <v>Pas. Dinding batu bata; ad 1:4</v>
      </c>
      <c r="C65" t="str">
        <v>Batu bata merah</v>
      </c>
      <c r="D65" t="str">
        <v>m2</v>
      </c>
      <c r="E65">
        <f>'C-QTY'!Q62</f>
        <v>169.98625</v>
      </c>
      <c r="F65">
        <f>SUMIF(SNI!C$1:C$65536,'RAB - RumahC'!B$1:B$65536,SNI!L$1:L$65536)</f>
        <v>5227500</v>
      </c>
      <c r="G65">
        <f>E65*F65</f>
        <v>888603121.8750001</v>
      </c>
    </row>
    <row r="66">
      <c r="A66">
        <v>2</v>
      </c>
      <c r="B66" t="str">
        <v>Pas. Plester acian; ad. 1:2</v>
      </c>
      <c r="C66" t="str">
        <v>t. 15 mm; tanpa acian; interior</v>
      </c>
      <c r="D66" t="str">
        <v>m2</v>
      </c>
      <c r="E66">
        <f>'C-QTY'!T16</f>
        <v>10.32</v>
      </c>
      <c r="F66">
        <f>SUMIF(SNI!C$1:C$65536,'RAB - RumahC'!B$1:B$65536,SNI!L$1:L$65536)</f>
        <v>0</v>
      </c>
      <c r="G66">
        <f>E66*F66</f>
        <v>0</v>
      </c>
    </row>
    <row r="67">
      <c r="A67">
        <v>3</v>
      </c>
      <c r="B67" t="str">
        <v>Pas. Plester acian; ad. 1:4</v>
      </c>
      <c r="C67" t="str">
        <v>t. 15 mm; tanpa acian; eksterior</v>
      </c>
      <c r="D67" t="str">
        <v>m2</v>
      </c>
      <c r="E67">
        <f>'C-QTY'!S16+'C-QTY'!U16</f>
        <v>326.215</v>
      </c>
      <c r="F67">
        <f>SUMIF(SNI!C$1:C$65536,'RAB - RumahC'!B$1:B$65536,SNI!L$1:L$65536)</f>
        <v>0</v>
      </c>
      <c r="G67">
        <f>E67*F67</f>
        <v>0</v>
      </c>
    </row>
    <row r="68">
      <c r="G68" t="str">
        <v>Jumlah B.2 .... Rp</v>
      </c>
      <c r="H68">
        <f>SUM(G65:G67)</f>
        <v>888603121.8750001</v>
      </c>
    </row>
    <row r="69">
      <c r="A69" t="str">
        <v>B.3</v>
      </c>
      <c r="B69" t="str">
        <v>Pekerjaan Plafond</v>
      </c>
      <c r="F69">
        <f>SUMIF(SNI!C$1:C$65536,'RAB - RumahC'!B$1:B$65536,SNI!L$1:L$65536)</f>
        <v>0</v>
      </c>
      <c r="G69">
        <f>E69*F69</f>
        <v>0</v>
      </c>
    </row>
    <row r="70">
      <c r="A70">
        <v>1</v>
      </c>
      <c r="B70" t="str">
        <v>Pas. Rangka Plafond Kayu</v>
      </c>
      <c r="C70" t="str">
        <v>Kayu klas III</v>
      </c>
      <c r="D70" t="str">
        <v>m2</v>
      </c>
      <c r="E70">
        <f>'C-QTY'!AJ16</f>
        <v>65.95</v>
      </c>
      <c r="F70">
        <f>SUMIF(SNI!C$1:C$65536,'RAB - RumahC'!B$1:B$65536,SNI!L$1:L$65536)</f>
        <v>0</v>
      </c>
      <c r="G70">
        <f>E70*F70</f>
        <v>0</v>
      </c>
    </row>
    <row r="71">
      <c r="A71">
        <v>2</v>
      </c>
      <c r="B71" t="str">
        <v>Pas. Penutup Plafond Gypsumboard t. 9 mm</v>
      </c>
      <c r="D71" t="str">
        <v>m2</v>
      </c>
      <c r="E71">
        <f>E70</f>
        <v>65.95</v>
      </c>
      <c r="F71">
        <f>SUMIF(SNI!C$1:C$65536,'RAB - RumahC'!B$1:B$65536,SNI!L$1:L$65536)</f>
        <v>0</v>
      </c>
      <c r="G71">
        <f>E71*F71</f>
        <v>0</v>
      </c>
    </row>
    <row r="72">
      <c r="G72" t="str">
        <v>Jumlah B.3 .... Rp</v>
      </c>
      <c r="H72">
        <f>SUM(G70:G71)</f>
        <v>0</v>
      </c>
    </row>
    <row r="73">
      <c r="A73" t="str">
        <v>B.4</v>
      </c>
      <c r="B73" t="str">
        <v>Pekerjaan Atap</v>
      </c>
      <c r="F73">
        <f>SUMIF(SNI!C$1:C$65536,'RAB - RumahC'!B$1:B$65536,SNI!L$1:L$65536)</f>
        <v>0</v>
      </c>
      <c r="G73">
        <f>E73*F73</f>
        <v>0</v>
      </c>
    </row>
    <row r="74">
      <c r="A74">
        <v>1</v>
      </c>
      <c r="B74" t="str">
        <v xml:space="preserve">Pas. Kuda kuda Kayu </v>
      </c>
      <c r="C74" t="str">
        <v>Kayu klas III</v>
      </c>
      <c r="D74" t="str">
        <v>m3</v>
      </c>
      <c r="E74">
        <f>5*9.5*2*0.015</f>
        <v>1.425</v>
      </c>
      <c r="F74">
        <f>SUMIF(SNI!C$1:C$65536,'RAB - RumahC'!B$1:B$65536,SNI!L$1:L$65536)</f>
        <v>0</v>
      </c>
      <c r="G74">
        <f>E74*F74</f>
        <v>0</v>
      </c>
    </row>
    <row r="75">
      <c r="A75">
        <v>2</v>
      </c>
      <c r="B75" t="str">
        <v>Rangka Atap kayu</v>
      </c>
      <c r="D75" t="str">
        <v>m2</v>
      </c>
      <c r="E75">
        <f>E76</f>
        <v>70</v>
      </c>
      <c r="F75">
        <f>SUMIF(SNI!C$1:C$65536,'RAB - RumahC'!B$1:B$65536,SNI!L$1:L$65536)</f>
        <v>0</v>
      </c>
      <c r="G75">
        <f>E75*F75</f>
        <v>0</v>
      </c>
    </row>
    <row r="76">
      <c r="A76">
        <v>3</v>
      </c>
      <c r="B76" t="str">
        <v xml:space="preserve">Penutup atap Genteng Keramik </v>
      </c>
      <c r="C76" t="str">
        <v>ex Jatiwangi</v>
      </c>
      <c r="D76" t="str">
        <v>m2</v>
      </c>
      <c r="E76">
        <v>70</v>
      </c>
      <c r="F76">
        <f>SUMIF(SNI!C$1:C$65536,'RAB - RumahC'!B$1:B$65536,SNI!L$1:L$65536)</f>
        <v>0</v>
      </c>
      <c r="G76">
        <f>E76*F76</f>
        <v>0</v>
      </c>
    </row>
    <row r="77">
      <c r="A77">
        <v>4</v>
      </c>
      <c r="B77" t="str">
        <v>Bubungan Genteng Keramik</v>
      </c>
      <c r="C77" t="str">
        <v>ex Jatiwangi</v>
      </c>
      <c r="D77" t="str">
        <v>m'</v>
      </c>
      <c r="E77">
        <v>9.5</v>
      </c>
      <c r="F77">
        <f>SUMIF(SNI!C$1:C$65536,'RAB - RumahC'!B$1:B$65536,SNI!L$1:L$65536)</f>
        <v>0</v>
      </c>
      <c r="G77">
        <f>E77*F77</f>
        <v>0</v>
      </c>
    </row>
    <row r="78">
      <c r="A78">
        <v>5</v>
      </c>
      <c r="B78" t="str">
        <v>Pas. Lisplank Kayu 3/20 mm</v>
      </c>
      <c r="C78" t="str">
        <v>Kayu kamper medan</v>
      </c>
      <c r="D78" t="str">
        <v>m'</v>
      </c>
      <c r="E78">
        <f>7.5+4.25*4</f>
        <v>24.5</v>
      </c>
      <c r="F78">
        <f>SUMIF(SNI!C$1:C$65536,'RAB - RumahC'!B$1:B$65536,SNI!L$1:L$65536)</f>
        <v>0</v>
      </c>
      <c r="G78">
        <f>E78*F78</f>
        <v>0</v>
      </c>
    </row>
    <row r="79">
      <c r="A79">
        <v>6</v>
      </c>
      <c r="B79" t="str">
        <v>Pas. Fleshing seng plat</v>
      </c>
      <c r="C79" t="str">
        <v>Seng bjls 35</v>
      </c>
      <c r="D79" t="str">
        <v>m'</v>
      </c>
      <c r="E79">
        <f>8.5*2+(4.75*4)</f>
        <v>36</v>
      </c>
      <c r="F79">
        <f>SUMIF(SNI!C$1:C$65536,'RAB - RumahC'!B$1:B$65536,SNI!L$1:L$65536)</f>
        <v>0</v>
      </c>
      <c r="G79">
        <f>E79*F79</f>
        <v>0</v>
      </c>
    </row>
    <row r="80">
      <c r="G80" t="str">
        <v>Jumlah B.4 .... Rp</v>
      </c>
      <c r="H80">
        <f>SUM(G74:G79)</f>
        <v>0</v>
      </c>
    </row>
    <row r="81">
      <c r="A81" t="str">
        <v>B.5</v>
      </c>
      <c r="B81" t="str">
        <v>Pekerjaan Kusen</v>
      </c>
      <c r="F81">
        <f>SUMIF(SNI!C$1:C$65536,'RAB - RumahC'!B$1:B$65536,SNI!L$1:L$65536)</f>
        <v>0</v>
      </c>
      <c r="G81">
        <f>E81*F81</f>
        <v>0</v>
      </c>
    </row>
    <row r="82">
      <c r="A82">
        <v>1</v>
      </c>
      <c r="B82" t="str">
        <v>Kusen Pintu dan Jendela Kayu KW.III</v>
      </c>
      <c r="C82" t="str">
        <v>Kayu Kamper Singkil</v>
      </c>
      <c r="D82" t="str">
        <v>m3</v>
      </c>
      <c r="E82">
        <f>'C-QTY'!E120</f>
        <v>0.576</v>
      </c>
      <c r="F82">
        <f>SUMIF(SNI!C$1:C$65536,'RAB - RumahC'!B$1:B$65536,SNI!L$1:L$65536)</f>
        <v>0</v>
      </c>
      <c r="G82">
        <f>E82*F82</f>
        <v>0</v>
      </c>
    </row>
    <row r="83">
      <c r="A83">
        <v>2</v>
      </c>
      <c r="B83" t="str">
        <v>Pintu panel kayu KW.III; 82 x 206 cm; R. Tamu</v>
      </c>
      <c r="C83" t="str">
        <v>Kayu Kamper Singkil</v>
      </c>
      <c r="D83" t="str">
        <v>m2</v>
      </c>
      <c r="E83">
        <f>'C-QTY'!E121</f>
        <v>1.4626</v>
      </c>
      <c r="F83">
        <f>SNI!L757</f>
        <v>0</v>
      </c>
      <c r="G83">
        <f>E83*F83</f>
        <v>0</v>
      </c>
    </row>
    <row r="84">
      <c r="A84">
        <v>3</v>
      </c>
      <c r="B84" t="str">
        <v>Pintu doble triplex 82 x 206 cm; K. Tidur</v>
      </c>
      <c r="C84" t="str">
        <v>Rangka Kayu Kamper Singkil</v>
      </c>
      <c r="D84" t="str">
        <v>m2</v>
      </c>
      <c r="E84">
        <f>'C-QTY'!E122</f>
        <v>5.005800000000001</v>
      </c>
      <c r="F84">
        <f>SNI!L775</f>
        <v>0</v>
      </c>
      <c r="G84">
        <f>E84*F84</f>
        <v>0</v>
      </c>
    </row>
    <row r="85">
      <c r="A85">
        <v>4</v>
      </c>
      <c r="B85" t="str">
        <v>Pintu doble triplex 72 x 206 cm; K. Mandi</v>
      </c>
      <c r="C85" t="str">
        <v>Rangka Kayu Kamper Singkil</v>
      </c>
      <c r="D85" t="str">
        <v>m2</v>
      </c>
      <c r="E85">
        <f>'C-QTY'!E123</f>
        <v>2.9252</v>
      </c>
      <c r="F85">
        <f>F84</f>
        <v>0</v>
      </c>
      <c r="G85">
        <f>E85*F85</f>
        <v>0</v>
      </c>
    </row>
    <row r="86">
      <c r="A86">
        <v>5</v>
      </c>
      <c r="B86" t="str">
        <v>Jendela kaca kayu KW.III; 52 x 122 cm</v>
      </c>
      <c r="C86" t="str">
        <v>Rangka Kayu Kamper Singkil</v>
      </c>
      <c r="D86" t="str">
        <v>m2</v>
      </c>
      <c r="E86">
        <f>'C-QTY'!E125</f>
        <v>0.6344</v>
      </c>
      <c r="F86">
        <f>SNI!L733</f>
        <v>0</v>
      </c>
      <c r="G86">
        <f>E86*F86</f>
        <v>0</v>
      </c>
    </row>
    <row r="87">
      <c r="A87">
        <v>6</v>
      </c>
      <c r="B87" t="str">
        <v>Jendela kaca kayu KW.III; 52 x 182 cm</v>
      </c>
      <c r="C87" t="str">
        <v>Rangka Kayu Kamper Singkil</v>
      </c>
      <c r="D87" t="str">
        <v>m2</v>
      </c>
      <c r="E87">
        <f>'C-QTY'!E126</f>
        <v>5.678400000000001</v>
      </c>
      <c r="F87">
        <f>F86</f>
        <v>0</v>
      </c>
      <c r="G87">
        <f>E87*F87</f>
        <v>0</v>
      </c>
    </row>
    <row r="88">
      <c r="A88">
        <v>7</v>
      </c>
      <c r="B88" t="str">
        <v>Pas. Kaca polos 3 mm</v>
      </c>
      <c r="C88" t="str">
        <v>ex Asahi</v>
      </c>
      <c r="D88" t="str">
        <v>m2</v>
      </c>
      <c r="E88">
        <f>'C-QTY'!E129</f>
        <v>2.8944</v>
      </c>
      <c r="F88">
        <f>SUMIF(SNI!C$1:C$65536,'RAB - RumahC'!B$1:B$65536,SNI!L$1:L$65536)</f>
        <v>0</v>
      </c>
      <c r="G88">
        <f>E88*F88</f>
        <v>0</v>
      </c>
    </row>
    <row r="89">
      <c r="A89">
        <v>8</v>
      </c>
      <c r="B89" t="str">
        <v xml:space="preserve">Cat kayu synthetic </v>
      </c>
      <c r="C89" t="str">
        <v>ex Seiv</v>
      </c>
      <c r="D89" t="str">
        <v>m2</v>
      </c>
      <c r="E89">
        <f>'C-QTY'!E129</f>
        <v>2.8944</v>
      </c>
      <c r="F89">
        <f>SUMIF(SNI!C$1:C$65536,'RAB - RumahC'!B$1:B$65536,SNI!L$1:L$65536)</f>
        <v>0</v>
      </c>
      <c r="G89">
        <f>E89*F89</f>
        <v>0</v>
      </c>
    </row>
    <row r="90">
      <c r="A90">
        <v>9</v>
      </c>
      <c r="B90" t="str">
        <v xml:space="preserve">Cat besi synthetic </v>
      </c>
      <c r="C90" t="str">
        <v>ex Seiv</v>
      </c>
      <c r="D90" t="str">
        <v>m2</v>
      </c>
      <c r="E90">
        <f>'C-QTY'!E130</f>
        <v>24</v>
      </c>
      <c r="F90">
        <f>SUMIF(SNI!C$1:C$65536,'RAB - RumahC'!B$1:B$65536,SNI!L$1:L$65536)</f>
        <v>0</v>
      </c>
      <c r="G90">
        <f>E90*F90</f>
        <v>0</v>
      </c>
    </row>
    <row r="91">
      <c r="A91">
        <v>10</v>
      </c>
      <c r="B91" t="str">
        <v>Pas. Engsel pintu</v>
      </c>
      <c r="C91" t="str">
        <v>ex Solid</v>
      </c>
      <c r="D91" t="str">
        <v>bh</v>
      </c>
      <c r="E91">
        <f>'C-QTY'!E130</f>
        <v>24</v>
      </c>
      <c r="F91">
        <f>SUMIF(SNI!C$1:C$65536,'RAB - RumahC'!B$1:B$65536,SNI!L$1:L$65536)</f>
        <v>0</v>
      </c>
      <c r="G91">
        <f>E91*F91</f>
        <v>0</v>
      </c>
    </row>
    <row r="92">
      <c r="A92">
        <v>11</v>
      </c>
      <c r="B92" t="str">
        <v>Pas. Engsel jendela</v>
      </c>
      <c r="C92" t="str">
        <v>ex Solid</v>
      </c>
      <c r="D92" t="str">
        <v>bh</v>
      </c>
      <c r="E92">
        <f>'C-QTY'!E131</f>
        <v>14</v>
      </c>
      <c r="F92">
        <f>SUMIF(SNI!C$1:C$65536,'RAB - RumahC'!B$1:B$65536,SNI!L$1:L$65536)</f>
        <v>0</v>
      </c>
      <c r="G92">
        <f>E92*F92</f>
        <v>0</v>
      </c>
    </row>
    <row r="93">
      <c r="A93">
        <v>12</v>
      </c>
      <c r="B93" t="str">
        <v>Pas. Kunci pintu ruangan</v>
      </c>
      <c r="C93" t="str">
        <v>ex Solid</v>
      </c>
      <c r="D93" t="str">
        <v>bh</v>
      </c>
      <c r="E93">
        <f>'C-QTY'!E132+'C-QTY'!E133</f>
        <v>6</v>
      </c>
      <c r="F93">
        <f>SUMIF(SNI!C$1:C$65536,'RAB - RumahC'!B$1:B$65536,SNI!L$1:L$65536)</f>
        <v>0</v>
      </c>
      <c r="G93">
        <f>E93*F93</f>
        <v>0</v>
      </c>
    </row>
    <row r="94">
      <c r="A94">
        <v>13</v>
      </c>
      <c r="B94" t="str">
        <v>Pas. Kunci knob pintu kamar mandi</v>
      </c>
      <c r="C94" t="str">
        <v>ex Alpha</v>
      </c>
      <c r="D94" t="str">
        <v>bh</v>
      </c>
      <c r="E94">
        <f>'C-QTY'!E134</f>
        <v>2</v>
      </c>
      <c r="F94">
        <f>SUMIF(SNI!C$1:C$65536,'RAB - RumahC'!B$1:B$65536,SNI!L$1:L$65536)</f>
        <v>0</v>
      </c>
      <c r="G94">
        <f>E94*F94</f>
        <v>0</v>
      </c>
    </row>
    <row r="95">
      <c r="A95">
        <v>14</v>
      </c>
      <c r="B95" t="str">
        <v>Pas. Kait angin jendela</v>
      </c>
      <c r="C95" t="str">
        <v>ex Solid</v>
      </c>
      <c r="D95" t="str">
        <v>bh</v>
      </c>
      <c r="E95">
        <f>'C-QTY'!E136</f>
        <v>7</v>
      </c>
      <c r="F95">
        <f>SUMIF(SNI!C$1:C$65536,'RAB - RumahC'!B$1:B$65536,SNI!L$1:L$65536)</f>
        <v>0</v>
      </c>
      <c r="G95">
        <f>E95*F95</f>
        <v>0</v>
      </c>
    </row>
    <row r="96">
      <c r="A96">
        <v>15</v>
      </c>
      <c r="B96" t="str">
        <v>Pas. Grendel Jendela</v>
      </c>
      <c r="C96" t="str">
        <v>ex Solid</v>
      </c>
      <c r="D96" t="str">
        <v>bh</v>
      </c>
      <c r="E96">
        <f>'C-QTY'!E137</f>
        <v>14</v>
      </c>
      <c r="F96">
        <f>SUMIF(SNI!C$1:C$65536,'RAB - RumahC'!B$1:B$65536,SNI!L$1:L$65536)</f>
        <v>0</v>
      </c>
      <c r="G96">
        <f>E96*F96</f>
        <v>0</v>
      </c>
    </row>
    <row r="97">
      <c r="G97" t="str">
        <v>Jumlah B.5 .... Rp</v>
      </c>
      <c r="H97">
        <f>SUM(G82:G96)</f>
        <v>0</v>
      </c>
    </row>
    <row r="98">
      <c r="A98" t="str">
        <v>C.</v>
      </c>
      <c r="B98" t="str">
        <v>PEKERJAAN UTILITAS</v>
      </c>
    </row>
    <row r="99">
      <c r="A99" t="str">
        <v>C.1</v>
      </c>
      <c r="B99" t="str">
        <v>Pekerjaan Plumbing</v>
      </c>
    </row>
    <row r="100">
      <c r="A100" t="str">
        <v>C.1.1</v>
      </c>
      <c r="B100" t="str">
        <v>Pekerjaan Sanitary</v>
      </c>
    </row>
    <row r="101">
      <c r="A101">
        <v>1</v>
      </c>
      <c r="B101" t="str">
        <v>Pas. Kloset Jongkok Keramik</v>
      </c>
      <c r="C101" t="str">
        <v>TOTO CW 660 J / SW 660 J</v>
      </c>
      <c r="D101" t="str">
        <v>bh</v>
      </c>
      <c r="E101">
        <v>1</v>
      </c>
      <c r="F101">
        <f>SUMIF(SNI!C$1:C$65536,'RAB - RumahC'!B$1:B$65536,SNI!L$1:L$65536)</f>
        <v>0</v>
      </c>
      <c r="G101">
        <f>E101*F101</f>
        <v>0</v>
      </c>
    </row>
    <row r="102">
      <c r="A102">
        <v>2</v>
      </c>
      <c r="B102" t="str">
        <v>Pas. Bak Air Fiberglass</v>
      </c>
      <c r="D102" t="str">
        <v>bh</v>
      </c>
      <c r="E102">
        <v>1</v>
      </c>
      <c r="F102">
        <f>SUMIF(SNI!C$1:C$65536,'RAB - RumahC'!B$1:B$65536,SNI!L$1:L$65536)</f>
        <v>0</v>
      </c>
      <c r="G102">
        <f>E102*F102</f>
        <v>0</v>
      </c>
    </row>
    <row r="103">
      <c r="A103">
        <v>3</v>
      </c>
      <c r="B103" t="str">
        <v>Pas. Kran dinding</v>
      </c>
      <c r="C103" t="str">
        <v>TOTO T 23 B 13</v>
      </c>
      <c r="D103" t="str">
        <v>bh</v>
      </c>
      <c r="E103">
        <v>2</v>
      </c>
      <c r="F103">
        <f>SUMIF(SNI!C$1:C$65536,'RAB - RumahC'!B$1:B$65536,SNI!L$1:L$65536)</f>
        <v>0</v>
      </c>
      <c r="G103">
        <f>E103*F103</f>
        <v>0</v>
      </c>
    </row>
    <row r="104">
      <c r="A104">
        <v>4</v>
      </c>
      <c r="B104" t="str">
        <v>Pas. Floor Drain</v>
      </c>
      <c r="C104" t="str">
        <v>TOTO TX 1 BN</v>
      </c>
      <c r="D104" t="str">
        <v>bh</v>
      </c>
      <c r="E104">
        <v>1</v>
      </c>
      <c r="F104">
        <f>SUMIF(SNI!C$1:C$65536,'RAB - RumahC'!B$1:B$65536,SNI!L$1:L$65536)</f>
        <v>0</v>
      </c>
      <c r="G104">
        <f>E104*F104</f>
        <v>0</v>
      </c>
    </row>
    <row r="105">
      <c r="A105" t="str">
        <v>C.1.2</v>
      </c>
      <c r="B105" t="str">
        <v>Pekerjaan Sumur Dalam</v>
      </c>
    </row>
    <row r="106">
      <c r="A106">
        <v>1</v>
      </c>
      <c r="B106" t="str">
        <v xml:space="preserve">Pipa PVC dia. 3" </v>
      </c>
      <c r="C106" t="str">
        <v>Casing; Wavin</v>
      </c>
      <c r="D106" t="str">
        <v>m'</v>
      </c>
      <c r="E106">
        <v>24</v>
      </c>
      <c r="F106">
        <f>SUMIF(SNI!C$1:C$65536,'RAB - RumahC'!B$1:B$65536,SNI!L$1:L$65536)</f>
        <v>0</v>
      </c>
      <c r="G106">
        <f>E106*F106</f>
        <v>0</v>
      </c>
    </row>
    <row r="107">
      <c r="A107">
        <v>2</v>
      </c>
      <c r="B107" t="str">
        <v xml:space="preserve">Pipa PVC dia. 2" </v>
      </c>
      <c r="C107" t="str">
        <v>Casing; Wavin</v>
      </c>
      <c r="D107" t="str">
        <v>m'</v>
      </c>
      <c r="E107">
        <v>6</v>
      </c>
      <c r="F107">
        <f>SUMIF(SNI!C$1:C$65536,'RAB - RumahC'!B$1:B$65536,SNI!L$1:L$65536)</f>
        <v>0</v>
      </c>
      <c r="G107">
        <f>E107*F107</f>
        <v>0</v>
      </c>
    </row>
    <row r="108">
      <c r="A108">
        <v>3</v>
      </c>
      <c r="B108" t="str">
        <v xml:space="preserve">Pipa PVC dia. 3/4" </v>
      </c>
      <c r="C108" t="str">
        <v>ex Wavin</v>
      </c>
      <c r="D108" t="str">
        <v>m'</v>
      </c>
      <c r="E108">
        <v>24</v>
      </c>
      <c r="F108">
        <f>SUMIF(SNI!C$1:C$65536,'RAB - RumahC'!B$1:B$65536,SNI!L$1:L$65536)</f>
        <v>0</v>
      </c>
      <c r="G108">
        <f>E108*F108</f>
        <v>0</v>
      </c>
    </row>
    <row r="109">
      <c r="A109">
        <v>4</v>
      </c>
      <c r="B109" t="str">
        <v>Klep diameter 3/4"</v>
      </c>
      <c r="D109" t="str">
        <v>bh</v>
      </c>
      <c r="E109">
        <v>1</v>
      </c>
      <c r="F109">
        <f>SUMIF(SNI!C$1:C$65536,'RAB - RumahC'!B$1:B$65536,SNI!L$1:L$65536)</f>
        <v>0</v>
      </c>
      <c r="G109">
        <f>E109*F109</f>
        <v>0</v>
      </c>
    </row>
    <row r="110">
      <c r="A110">
        <v>5</v>
      </c>
      <c r="B110" t="str">
        <v>Stop kran dia. 1"</v>
      </c>
      <c r="D110" t="str">
        <v>bh</v>
      </c>
      <c r="E110">
        <v>1</v>
      </c>
      <c r="F110">
        <f>SUMIF(SNI!C$1:C$65536,'RAB - RumahC'!B$1:B$65536,SNI!L$1:L$65536)</f>
        <v>0</v>
      </c>
      <c r="G110">
        <f>E110*F110</f>
        <v>0</v>
      </c>
    </row>
    <row r="111">
      <c r="A111">
        <v>6</v>
      </c>
      <c r="B111" t="str">
        <v>Mesin pompa kap.150 watt</v>
      </c>
      <c r="C111" t="str">
        <v>Groundfos</v>
      </c>
      <c r="D111" t="str">
        <v>bh</v>
      </c>
      <c r="E111">
        <v>1</v>
      </c>
      <c r="F111">
        <f>SUMIF(SNI!C$1:C$65536,'RAB - RumahC'!B$1:B$65536,SNI!L$1:L$65536)</f>
        <v>0</v>
      </c>
      <c r="G111">
        <f>E111*F111</f>
        <v>0</v>
      </c>
    </row>
    <row r="112">
      <c r="A112" t="str">
        <v>C.1.3</v>
      </c>
      <c r="B112" t="str">
        <v>Instalasi Air Bersih</v>
      </c>
    </row>
    <row r="113">
      <c r="A113">
        <v>1</v>
      </c>
      <c r="B113" t="str">
        <v xml:space="preserve">Pipa PVC dia. 1" </v>
      </c>
      <c r="C113" t="str">
        <v>ex Wavin</v>
      </c>
      <c r="D113" t="str">
        <v>m'</v>
      </c>
      <c r="E113">
        <v>15.4</v>
      </c>
      <c r="F113">
        <f>SUMIF(SNI!C$1:C$65536,'RAB - RumahC'!B$1:B$65536,SNI!L$1:L$65536)</f>
        <v>0</v>
      </c>
      <c r="G113">
        <f>E113*F113</f>
        <v>0</v>
      </c>
    </row>
    <row r="114">
      <c r="A114">
        <v>2</v>
      </c>
      <c r="B114" t="str">
        <v xml:space="preserve">Pipa PVC dia. 3/4" </v>
      </c>
      <c r="C114" t="str">
        <v>ex Wavin</v>
      </c>
      <c r="D114" t="str">
        <v>m'</v>
      </c>
      <c r="E114">
        <v>13.2</v>
      </c>
      <c r="F114">
        <f>SUMIF(SNI!C$1:C$65536,'RAB - RumahC'!B$1:B$65536,SNI!L$1:L$65536)</f>
        <v>0</v>
      </c>
      <c r="G114">
        <f>E114*F114</f>
        <v>0</v>
      </c>
    </row>
    <row r="115">
      <c r="A115">
        <v>3</v>
      </c>
      <c r="B115" t="str">
        <v xml:space="preserve">Pipa PVC dia. 1/2" </v>
      </c>
      <c r="C115" t="str">
        <v>ex Wavin</v>
      </c>
      <c r="D115" t="str">
        <v>m'</v>
      </c>
      <c r="E115">
        <v>15.4</v>
      </c>
      <c r="F115">
        <f>SUMIF(SNI!C$1:C$65536,'RAB - RumahC'!B$1:B$65536,SNI!L$1:L$65536)</f>
        <v>0</v>
      </c>
      <c r="G115">
        <f>E115*F115</f>
        <v>0</v>
      </c>
    </row>
    <row r="116">
      <c r="A116" t="str">
        <v>C.1.4</v>
      </c>
      <c r="B116" t="str">
        <v>Instalasi Air Kotor &amp; air bekas</v>
      </c>
    </row>
    <row r="117">
      <c r="A117">
        <v>1</v>
      </c>
      <c r="B117" t="str">
        <v xml:space="preserve">Pipa PVC dia. 4" </v>
      </c>
      <c r="C117" t="str">
        <v>ex Wavin</v>
      </c>
      <c r="D117" t="str">
        <v>m'</v>
      </c>
      <c r="E117">
        <v>6.6</v>
      </c>
      <c r="F117">
        <f>SUMIF(SNI!C$1:C$65536,'RAB - RumahC'!B$1:B$65536,SNI!L$1:L$65536)</f>
        <v>0</v>
      </c>
      <c r="G117">
        <f>E117*F117</f>
        <v>0</v>
      </c>
    </row>
    <row r="118">
      <c r="A118">
        <v>2</v>
      </c>
      <c r="B118" t="str">
        <v xml:space="preserve">Pipa PVC dia. 3" </v>
      </c>
      <c r="C118" t="str">
        <v>ex Wavin</v>
      </c>
      <c r="D118" t="str">
        <v>m'</v>
      </c>
      <c r="E118">
        <v>11</v>
      </c>
      <c r="F118">
        <f>SUMIF(SNI!C$1:C$65536,'RAB - RumahC'!B$1:B$65536,SNI!L$1:L$65536)</f>
        <v>0</v>
      </c>
      <c r="G118">
        <f>E118*F118</f>
        <v>0</v>
      </c>
    </row>
    <row r="119">
      <c r="A119">
        <v>3</v>
      </c>
      <c r="B119" t="str">
        <v xml:space="preserve">Pipa PVC dia. 2" </v>
      </c>
      <c r="C119" t="str">
        <v>ex Wavin</v>
      </c>
      <c r="D119" t="str">
        <v>m'</v>
      </c>
      <c r="E119">
        <v>6.6</v>
      </c>
      <c r="F119">
        <f>SUMIF(SNI!C$1:C$65536,'RAB - RumahC'!B$1:B$65536,SNI!L$1:L$65536)</f>
        <v>0</v>
      </c>
      <c r="G119">
        <f>E119*F119</f>
        <v>0</v>
      </c>
    </row>
    <row r="120">
      <c r="A120">
        <v>4</v>
      </c>
      <c r="B120" t="str">
        <v xml:space="preserve">Pipa PVC dia. 1" </v>
      </c>
      <c r="C120" t="str">
        <v>ex Wavin</v>
      </c>
      <c r="D120" t="str">
        <v>m'</v>
      </c>
      <c r="E120">
        <v>4.4</v>
      </c>
      <c r="F120">
        <f>SUMIF(SNI!C$1:C$65536,'RAB - RumahC'!B$1:B$65536,SNI!L$1:L$65536)</f>
        <v>0</v>
      </c>
      <c r="G120">
        <f>E120*F120</f>
        <v>0</v>
      </c>
    </row>
    <row r="121">
      <c r="A121" t="str">
        <v>C.1.5</v>
      </c>
      <c r="B121" t="str">
        <v>Pekerjaan Septictank</v>
      </c>
    </row>
    <row r="122">
      <c r="A122">
        <v>1</v>
      </c>
      <c r="B122" t="str">
        <v xml:space="preserve">Septictank Pas. Bata kap. 3,00 m3 + Rembesan </v>
      </c>
      <c r="D122" t="str">
        <v>unit</v>
      </c>
      <c r="E122">
        <v>1</v>
      </c>
      <c r="F122">
        <f>SUMIF(SNI!C$1:C$65536,'RAB - RumahC'!B$1:B$65536,SNI!L$1:L$65536)</f>
        <v>60377600</v>
      </c>
      <c r="G122">
        <f>E122*F122</f>
        <v>60377600</v>
      </c>
    </row>
    <row r="124">
      <c r="G124" t="str">
        <v>Jumlah C.1 .... Rp</v>
      </c>
      <c r="H124">
        <f>SUM(G100:G123)</f>
        <v>60377600</v>
      </c>
    </row>
    <row r="125">
      <c r="A125" t="str">
        <v>C.2</v>
      </c>
      <c r="B125" t="str">
        <v>Pekerjaan Elektrikal</v>
      </c>
    </row>
    <row r="126">
      <c r="A126" t="str">
        <v>C.1</v>
      </c>
      <c r="B126" t="str">
        <v>Panel</v>
      </c>
    </row>
    <row r="127">
      <c r="A127">
        <v>1</v>
      </c>
      <c r="B127" t="str">
        <v>Pas. Box Panel</v>
      </c>
      <c r="C127" t="str">
        <v>ex Legrand</v>
      </c>
      <c r="D127" t="str">
        <v>bh</v>
      </c>
      <c r="E127">
        <v>1</v>
      </c>
      <c r="F127">
        <f>SUMIF(SNI!C$1:C$65536,'RAB - RumahC'!B$1:B$65536,SNI!L$1:L$65536)</f>
        <v>0</v>
      </c>
      <c r="G127">
        <f>E127*F127</f>
        <v>0</v>
      </c>
    </row>
    <row r="128">
      <c r="A128" t="str">
        <v>C.2</v>
      </c>
      <c r="B128" t="str">
        <v>Instalasi</v>
      </c>
    </row>
    <row r="129">
      <c r="A129">
        <v>1</v>
      </c>
      <c r="B129" t="str">
        <v>Pas. Instalasi stop kontak</v>
      </c>
      <c r="C129" t="str">
        <v>Supreme NYM 3 x 2.5 mm</v>
      </c>
      <c r="D129" t="str">
        <v>ttk</v>
      </c>
      <c r="E129">
        <v>4</v>
      </c>
      <c r="F129">
        <f>SUMIF(SNI!C$1:C$65536,'RAB - RumahC'!B$1:B$65536,SNI!L$1:L$65536)</f>
        <v>0</v>
      </c>
      <c r="G129">
        <f>E129*F129</f>
        <v>0</v>
      </c>
    </row>
    <row r="130">
      <c r="A130">
        <v>2</v>
      </c>
      <c r="B130" t="str">
        <v>Pas. Instalasi lampu</v>
      </c>
      <c r="C130" t="str">
        <v>Supreme NYM 2 x 1.5 mm</v>
      </c>
      <c r="D130" t="str">
        <v>ttk</v>
      </c>
      <c r="E130">
        <v>8</v>
      </c>
      <c r="F130">
        <f>SUMIF(SNI!C$1:C$65536,'RAB - RumahC'!B$1:B$65536,SNI!L$1:L$65536)</f>
        <v>0</v>
      </c>
      <c r="G130">
        <f>E130*F130</f>
        <v>0</v>
      </c>
    </row>
    <row r="131">
      <c r="A131" t="str">
        <v>C.3</v>
      </c>
      <c r="B131" t="str">
        <v>Armature</v>
      </c>
    </row>
    <row r="132">
      <c r="A132">
        <v>1</v>
      </c>
      <c r="B132" t="str">
        <v>Pas. Saklar engkel</v>
      </c>
      <c r="D132" t="str">
        <v>bh</v>
      </c>
      <c r="E132">
        <v>4</v>
      </c>
      <c r="F132">
        <f>SUMIF(SNI!C$1:C$65536,'RAB - RumahC'!B$1:B$65536,SNI!L$1:L$65536)</f>
        <v>0</v>
      </c>
      <c r="G132">
        <f>E132*F132</f>
        <v>0</v>
      </c>
    </row>
    <row r="133">
      <c r="A133">
        <v>2</v>
      </c>
      <c r="B133" t="str">
        <v>Pas. Saklar doble</v>
      </c>
      <c r="D133" t="str">
        <v>bh</v>
      </c>
      <c r="E133">
        <v>2</v>
      </c>
      <c r="F133">
        <f>SUMIF(SNI!C$1:C$65536,'RAB - RumahC'!B$1:B$65536,SNI!L$1:L$65536)</f>
        <v>0</v>
      </c>
      <c r="G133">
        <f>E133*F133</f>
        <v>0</v>
      </c>
    </row>
    <row r="134">
      <c r="A134">
        <v>3</v>
      </c>
      <c r="B134" t="str">
        <v>Pas. Stop kontak</v>
      </c>
      <c r="D134" t="str">
        <v>bh</v>
      </c>
      <c r="E134">
        <f>E129</f>
        <v>4</v>
      </c>
      <c r="F134">
        <f>SUMIF(SNI!C$1:C$65536,'RAB - RumahC'!B$1:B$65536,SNI!L$1:L$65536)</f>
        <v>0</v>
      </c>
      <c r="G134">
        <f>E134*F134</f>
        <v>0</v>
      </c>
    </row>
    <row r="135">
      <c r="A135">
        <v>4</v>
      </c>
      <c r="B135" t="str">
        <v>Pas. Fitting plafond + Lampu SL</v>
      </c>
      <c r="D135" t="str">
        <v>bh</v>
      </c>
      <c r="E135">
        <f>E130</f>
        <v>8</v>
      </c>
      <c r="F135">
        <f>SUMIF(SNI!C$1:C$65536,'RAB - RumahC'!B$1:B$65536,SNI!L$1:L$65536)</f>
        <v>0</v>
      </c>
      <c r="G135">
        <f>E135*F135</f>
        <v>0</v>
      </c>
    </row>
    <row r="136">
      <c r="G136" t="str">
        <v>Jumlah C.2 .... Rp</v>
      </c>
      <c r="H136">
        <f>SUM(G127:G135)</f>
        <v>0</v>
      </c>
    </row>
    <row r="137">
      <c r="A137" t="str">
        <v>D.</v>
      </c>
      <c r="B137" t="str">
        <v>PEKERJAAN FINISHING</v>
      </c>
      <c r="F137">
        <f>SUMIF(SNI!C$1:C$65536,'RAB - RumahC'!B$1:B$65536,SNI!L$1:L$65536)</f>
        <v>0</v>
      </c>
      <c r="G137">
        <f>E137*F137</f>
        <v>0</v>
      </c>
    </row>
    <row r="138">
      <c r="A138">
        <v>1</v>
      </c>
      <c r="B138" t="str">
        <v>Cat dinding dalam acrylic emulsion KW.II</v>
      </c>
      <c r="C138" t="str">
        <v>ex Vinilex</v>
      </c>
      <c r="D138" t="str">
        <v>m2</v>
      </c>
      <c r="E138">
        <f>'C-QTY'!X16</f>
        <v>183.155</v>
      </c>
      <c r="F138">
        <f>SUMIF(SNI!C$1:C$65536,'RAB - RumahC'!B$1:B$65536,SNI!L$1:L$65536)</f>
        <v>0</v>
      </c>
      <c r="G138">
        <f>E138*F138</f>
        <v>0</v>
      </c>
    </row>
    <row r="139">
      <c r="A139">
        <v>2</v>
      </c>
      <c r="B139" t="str">
        <v>Cat dinding luar weathershiled KW.II</v>
      </c>
      <c r="C139" t="str">
        <v>ex Vinilex</v>
      </c>
      <c r="D139" t="str">
        <v>m2</v>
      </c>
      <c r="E139">
        <f>'C-QTY'!Y16</f>
        <v>153.38</v>
      </c>
      <c r="F139">
        <f>SUMIF(SNI!C$1:C$65536,'RAB - RumahC'!B$1:B$65536,SNI!L$1:L$65536)</f>
        <v>0</v>
      </c>
      <c r="G139">
        <f>E139*F139</f>
        <v>0</v>
      </c>
    </row>
    <row r="140">
      <c r="A140">
        <v>3</v>
      </c>
      <c r="B140" t="str">
        <v>Cat plafond acrylic emulsion KW.II</v>
      </c>
      <c r="C140" t="str">
        <v>ex Vinilex</v>
      </c>
      <c r="D140" t="str">
        <v>m2</v>
      </c>
      <c r="E140">
        <f>E71</f>
        <v>65.95</v>
      </c>
      <c r="F140">
        <f>SUMIF(SNI!C$1:C$65536,'RAB - RumahC'!B$1:B$65536,SNI!L$1:L$65536)</f>
        <v>0</v>
      </c>
      <c r="G140">
        <f>E140*F140</f>
        <v>0</v>
      </c>
    </row>
    <row r="141">
      <c r="A141">
        <v>4</v>
      </c>
      <c r="B141" t="str">
        <v xml:space="preserve">Cat kayu synthetic </v>
      </c>
      <c r="C141" t="str">
        <v>Seiv</v>
      </c>
      <c r="D141" t="str">
        <v>m2</v>
      </c>
      <c r="E141">
        <f>E79*0.5</f>
        <v>18</v>
      </c>
      <c r="F141">
        <f>SUMIF(SNI!C$1:C$65536,'RAB - RumahC'!B$1:B$65536,SNI!L$1:L$65536)</f>
        <v>0</v>
      </c>
      <c r="G141">
        <f>E141*F141</f>
        <v>0</v>
      </c>
    </row>
    <row r="142">
      <c r="A142">
        <v>5</v>
      </c>
      <c r="B142" t="str">
        <v>Pas. Acian PC</v>
      </c>
      <c r="D142" t="str">
        <v>m2</v>
      </c>
      <c r="E142">
        <f>'C-QTY'!H346</f>
        <v>5.3225</v>
      </c>
      <c r="F142">
        <f>SUMIF(SNI!C$1:C$65536,'RAB - RumahC'!B$1:B$65536,SNI!L$1:L$65536)</f>
        <v>0</v>
      </c>
      <c r="G142">
        <f>E142*F142</f>
        <v>0</v>
      </c>
    </row>
    <row r="143">
      <c r="A143">
        <v>6</v>
      </c>
      <c r="B143" t="str">
        <v>Cat plafond acrylic emulsion KW.II</v>
      </c>
      <c r="C143" t="str">
        <v>ex Vinilex</v>
      </c>
      <c r="D143" t="str">
        <v>m2</v>
      </c>
      <c r="E143">
        <f>E142</f>
        <v>5.3225</v>
      </c>
      <c r="F143">
        <f>SUMIF(SNI!C$1:C$65536,'RAB - RumahC'!B$1:B$65536,SNI!L$1:L$65536)</f>
        <v>0</v>
      </c>
      <c r="G143">
        <f>E143*F143</f>
        <v>0</v>
      </c>
    </row>
    <row r="144">
      <c r="G144" t="str">
        <v>Jumlah D. .... Rp</v>
      </c>
      <c r="H144">
        <f>SUM(G138:G143)</f>
        <v>0</v>
      </c>
    </row>
  </sheetData>
  <mergeCells count="9">
    <mergeCell ref="A2:H2"/>
    <mergeCell ref="A28:A29"/>
    <mergeCell ref="B28:B29"/>
    <mergeCell ref="C28:C29"/>
    <mergeCell ref="D28:D29"/>
    <mergeCell ref="E28:E29"/>
    <mergeCell ref="A27:H27"/>
    <mergeCell ref="G28:H28"/>
    <mergeCell ref="G29:H29"/>
  </mergeCells>
  <hyperlinks>
    <hyperlink ref="I1" location="MENU!A1" tooltip="menu"/>
    <hyperlink ref="I2" location="HSBGN!A1" tooltip="HSBGN"/>
  </hyperlinks>
  <pageMargins left="0.51" right="0.28" top="0.7480314960629921" bottom="0.5905511811023623" header="0.4330708661417323" footer="0.3937007874015748"/>
  <ignoredErrors>
    <ignoredError numberStoredAsText="1" sqref="A1:I144"/>
  </ignoredErrors>
</worksheet>
</file>

<file path=xl/worksheets/sheet24.xml><?xml version="1.0" encoding="utf-8"?>
<worksheet xmlns="http://schemas.openxmlformats.org/spreadsheetml/2006/main" xmlns:r="http://schemas.openxmlformats.org/officeDocument/2006/relationships">
  <dimension ref="A1:E28"/>
  <sheetViews>
    <sheetView workbookViewId="0" rightToLeft="0"/>
  </sheetViews>
  <sheetData>
    <row r="1">
      <c r="A1" t="str">
        <v>menu</v>
      </c>
    </row>
    <row r="2">
      <c r="A2" t="str">
        <v>HSBGN</v>
      </c>
    </row>
    <row r="3">
      <c r="A3" t="str">
        <v>Model</v>
      </c>
    </row>
    <row r="4">
      <c r="A4" t="str">
        <v>TABEL A3</v>
      </c>
    </row>
    <row r="5">
      <c r="A5" t="str">
        <v>SPESIFIKASI TEKNIS BANGUNAN PAGAR</v>
      </c>
    </row>
    <row r="7">
      <c r="A7" t="str">
        <v>NO.</v>
      </c>
      <c r="B7" t="str">
        <v>URAIAN</v>
      </c>
      <c r="C7" t="str">
        <v>PAGAR</v>
      </c>
      <c r="E7" t="str">
        <v>Keterangan</v>
      </c>
    </row>
    <row r="8">
      <c r="C8" t="str">
        <v>GEDUNG</v>
      </c>
      <c r="D8" t="str">
        <v>RUMAH</v>
      </c>
    </row>
    <row r="10">
      <c r="A10" t="str">
        <v>A.</v>
      </c>
      <c r="B10" t="str">
        <v>PERSYARATAN TATA BANGUNAN DAN LINGKUNGAN</v>
      </c>
    </row>
    <row r="11">
      <c r="B11" t="str">
        <v>Pagar Halaman</v>
      </c>
      <c r="C11" t="str">
        <v>Menggunakan dinding batu bata/ batako plester dengan kombinasi besi, baja, kayu atau bahan lainnya yang disesuaikan dengan rancangan wujud arsitektur bangunan</v>
      </c>
    </row>
    <row r="12">
      <c r="B12" t="str">
        <v>- depan</v>
      </c>
      <c r="C12" t="str">
        <v>tinggi 1,5 meter</v>
      </c>
    </row>
    <row r="13">
      <c r="B13" t="str">
        <v>- samping</v>
      </c>
      <c r="C13" t="str">
        <v>tinggi 2 meter</v>
      </c>
    </row>
    <row r="14">
      <c r="B14" t="str">
        <v>- belakang</v>
      </c>
      <c r="C14" t="str">
        <v>tinggi 3 meter</v>
      </c>
      <c r="D14" t="str">
        <v>tinggi 2,5 meter</v>
      </c>
    </row>
    <row r="16">
      <c r="A16" t="str">
        <v>B.</v>
      </c>
      <c r="B16" t="str">
        <v>PERSYARATAN BAHAN BANGUNAN</v>
      </c>
    </row>
    <row r="17">
      <c r="B17" t="str">
        <v xml:space="preserve">1. Bahan Dinding </v>
      </c>
    </row>
    <row r="18">
      <c r="B18" t="str">
        <v>- pengisi</v>
      </c>
      <c r="C18" t="str">
        <v>Pasangan batu bata dan Pagar besi Hollow</v>
      </c>
    </row>
    <row r="19">
      <c r="B19" t="str">
        <v>- finishing</v>
      </c>
      <c r="C19" t="str">
        <v xml:space="preserve">Pasir Pasang + PC </v>
      </c>
    </row>
    <row r="20">
      <c r="B20" t="str">
        <v>2. Bahan Finishing</v>
      </c>
    </row>
    <row r="21">
      <c r="B21" t="str">
        <v>- luar</v>
      </c>
      <c r="C21" t="str">
        <v>Cat dasar &amp; cat luar Weathershield</v>
      </c>
    </row>
    <row r="23">
      <c r="A23" t="str">
        <v>C.</v>
      </c>
      <c r="B23" t="str">
        <v>PERSYARATAN STRUKTUR BANGUNAN</v>
      </c>
    </row>
    <row r="24">
      <c r="B24" t="str">
        <v>1. Pondasi</v>
      </c>
    </row>
    <row r="25">
      <c r="B25" t="str">
        <v>- pondasi</v>
      </c>
      <c r="C25" t="str">
        <v>Pasangan Batu kali</v>
      </c>
    </row>
    <row r="26">
      <c r="B26" t="str">
        <v>- sloof</v>
      </c>
      <c r="C26" t="str">
        <v>Praktis K-175; Besi beton polos ( dia. 8 &amp; 10 )</v>
      </c>
    </row>
    <row r="27">
      <c r="B27" t="str">
        <v>2. Struktur Lantai</v>
      </c>
    </row>
    <row r="28">
      <c r="B28" t="str">
        <v>3. Kolom</v>
      </c>
    </row>
  </sheetData>
  <mergeCells count="13">
    <mergeCell ref="E7:E8"/>
    <mergeCell ref="C21:D21"/>
    <mergeCell ref="C11:D11"/>
    <mergeCell ref="C12:D12"/>
    <mergeCell ref="C13:D13"/>
    <mergeCell ref="E17:E21"/>
    <mergeCell ref="C18:D18"/>
    <mergeCell ref="C19:D19"/>
    <mergeCell ref="A7:A8"/>
    <mergeCell ref="B7:B8"/>
    <mergeCell ref="C25:D25"/>
    <mergeCell ref="C26:D28"/>
    <mergeCell ref="C7:D7"/>
  </mergeCells>
  <hyperlinks>
    <hyperlink ref="A1" location="MENU!A1" tooltip="menu"/>
    <hyperlink ref="A2" location="HSBGN!A1" tooltip="HSBGN"/>
    <hyperlink ref="A3" location="model!A377" tooltip="Model"/>
  </hyperlinks>
  <pageMargins left="0.7086614173228347" right="0.7086614173228347" top="0.7480314960629921" bottom="0.7480314960629921" header="0.31496062992125984" footer="0.31496062992125984"/>
  <ignoredErrors>
    <ignoredError numberStoredAsText="1" sqref="A1:E28"/>
  </ignoredErrors>
</worksheet>
</file>

<file path=xl/worksheets/sheet25.xml><?xml version="1.0" encoding="utf-8"?>
<worksheet xmlns="http://schemas.openxmlformats.org/spreadsheetml/2006/main" xmlns:r="http://schemas.openxmlformats.org/officeDocument/2006/relationships">
  <dimension ref="A1:L193"/>
  <sheetViews>
    <sheetView workbookViewId="0" rightToLeft="0"/>
  </sheetViews>
  <sheetData>
    <row r="1">
      <c r="A1" t="str">
        <v>menu</v>
      </c>
    </row>
    <row r="2">
      <c r="A2" t="str">
        <v>TAKING OFF</v>
      </c>
    </row>
    <row r="3">
      <c r="A3" t="str">
        <v>PERHITUNGAN VOLUME</v>
      </c>
    </row>
    <row r="4">
      <c r="A4" t="str">
        <v>PAGAR RUMAH NEGARA</v>
      </c>
    </row>
    <row r="7">
      <c r="A7" t="str">
        <v>BENTENG SAMPING DEPAN</v>
      </c>
      <c r="E7" t="str">
        <v xml:space="preserve">BENTENG SAMPING </v>
      </c>
      <c r="I7" t="str">
        <v>BENTENG BELAKANG</v>
      </c>
    </row>
    <row r="8">
      <c r="A8" t="str">
        <v>AS</v>
      </c>
      <c r="B8" t="str">
        <v>P</v>
      </c>
      <c r="C8" t="str">
        <v>T</v>
      </c>
      <c r="D8" t="str">
        <v>JML</v>
      </c>
      <c r="E8" t="str">
        <v>AS</v>
      </c>
      <c r="F8" t="str">
        <v>P</v>
      </c>
      <c r="G8" t="str">
        <v>T</v>
      </c>
      <c r="H8" t="str">
        <v>JML</v>
      </c>
      <c r="I8" t="str">
        <v>AS</v>
      </c>
      <c r="J8" t="str">
        <v>P</v>
      </c>
      <c r="K8" t="str">
        <v>T</v>
      </c>
      <c r="L8" t="str">
        <v>JML</v>
      </c>
    </row>
    <row r="9">
      <c r="A9" t="str">
        <v>A</v>
      </c>
      <c r="B9">
        <v>12</v>
      </c>
      <c r="E9">
        <v>1</v>
      </c>
      <c r="F9">
        <v>4.075</v>
      </c>
      <c r="G9">
        <v>2</v>
      </c>
      <c r="H9">
        <f>F9*G9</f>
        <v>8.15</v>
      </c>
      <c r="I9" t="str">
        <v>E</v>
      </c>
      <c r="J9">
        <v>5</v>
      </c>
      <c r="K9">
        <v>2.5</v>
      </c>
      <c r="L9">
        <f>J9*K9</f>
        <v>12.5</v>
      </c>
    </row>
    <row r="10">
      <c r="E10">
        <v>5</v>
      </c>
      <c r="F10">
        <v>4.075</v>
      </c>
      <c r="G10">
        <v>2</v>
      </c>
      <c r="H10">
        <f>F10*G10</f>
        <v>8.15</v>
      </c>
    </row>
    <row r="13">
      <c r="B13">
        <f>SUM(B9:B12)</f>
        <v>12</v>
      </c>
      <c r="D13">
        <f>SUM(D9:D12)</f>
        <v>0</v>
      </c>
      <c r="F13">
        <f>SUM(F9:F12)</f>
        <v>8.15</v>
      </c>
      <c r="H13">
        <f>SUM(H9:H12)</f>
        <v>16.3</v>
      </c>
      <c r="J13">
        <f>SUM(J9:J12)</f>
        <v>5</v>
      </c>
      <c r="L13">
        <f>SUM(L9:L12)</f>
        <v>12.5</v>
      </c>
    </row>
    <row r="16">
      <c r="A16" t="str">
        <v xml:space="preserve">VOLUME PEKERJAAN PONDASI BATU KALI </v>
      </c>
    </row>
    <row r="17">
      <c r="A17" t="str">
        <v xml:space="preserve"> NO</v>
      </c>
      <c r="B17" t="str">
        <v>URAIAN PEKERJAAN</v>
      </c>
      <c r="C17" t="str">
        <v>SAT</v>
      </c>
      <c r="D17" t="str">
        <v>DEPAN</v>
      </c>
      <c r="E17" t="str">
        <v>SAMPING</v>
      </c>
      <c r="F17" t="str">
        <v>BELAKANG</v>
      </c>
    </row>
    <row r="19">
      <c r="A19">
        <v>1</v>
      </c>
      <c r="B19" t="str">
        <v xml:space="preserve">UKURAN GALIAN TANAH </v>
      </c>
    </row>
    <row r="20">
      <c r="B20" t="str">
        <v>Lebar</v>
      </c>
      <c r="C20" t="str">
        <v>m</v>
      </c>
      <c r="D20">
        <v>0.7</v>
      </c>
      <c r="E20">
        <v>0.7</v>
      </c>
      <c r="F20">
        <v>0.7</v>
      </c>
    </row>
    <row r="21">
      <c r="B21" t="str">
        <v>Tinggi</v>
      </c>
      <c r="C21" t="str">
        <v>m</v>
      </c>
      <c r="D21">
        <v>1.1</v>
      </c>
      <c r="E21">
        <v>1.1</v>
      </c>
      <c r="F21">
        <v>1.1</v>
      </c>
    </row>
    <row r="22">
      <c r="B22" t="str">
        <v>Panjang</v>
      </c>
      <c r="C22" t="str">
        <v>m</v>
      </c>
      <c r="D22">
        <f>'QTY-PG'!B13</f>
        <v>12</v>
      </c>
      <c r="E22">
        <f>'QTY-PG'!F13</f>
        <v>8.15</v>
      </c>
      <c r="F22">
        <f>'QTY-PG'!J13</f>
        <v>5</v>
      </c>
    </row>
    <row r="24">
      <c r="A24">
        <v>2</v>
      </c>
      <c r="B24" t="str">
        <v>UKURAN PONDASI</v>
      </c>
    </row>
    <row r="25">
      <c r="B25" t="str">
        <v>Lebar Atas</v>
      </c>
      <c r="C25" t="str">
        <v>m</v>
      </c>
      <c r="D25">
        <v>0.3</v>
      </c>
      <c r="E25">
        <v>0.3</v>
      </c>
      <c r="F25">
        <v>0.3</v>
      </c>
    </row>
    <row r="26">
      <c r="B26" t="str">
        <v>Lebar Bawah</v>
      </c>
      <c r="C26" t="str">
        <v>m</v>
      </c>
      <c r="D26">
        <v>0.6</v>
      </c>
      <c r="E26">
        <v>0.6</v>
      </c>
      <c r="F26">
        <v>0.6</v>
      </c>
    </row>
    <row r="27">
      <c r="B27" t="str">
        <v>Tinggi</v>
      </c>
      <c r="C27" t="str">
        <v>m</v>
      </c>
      <c r="D27">
        <v>0.7</v>
      </c>
      <c r="E27">
        <v>0.7</v>
      </c>
      <c r="F27">
        <v>0.7</v>
      </c>
    </row>
    <row r="29">
      <c r="A29">
        <v>3</v>
      </c>
      <c r="B29" t="str">
        <v>JUMLAH VOLUME</v>
      </c>
      <c r="D29" t="str">
        <f>D17</f>
        <v>DEPAN</v>
      </c>
      <c r="E29" t="str">
        <f>E17</f>
        <v>SAMPING</v>
      </c>
      <c r="F29" t="str">
        <f>F17</f>
        <v>BELAKANG</v>
      </c>
    </row>
    <row r="30">
      <c r="B30" t="str">
        <v>Galian tanah</v>
      </c>
      <c r="C30" t="str">
        <v>m3</v>
      </c>
      <c r="D30">
        <f>D20*D21*D22</f>
        <v>9.24</v>
      </c>
      <c r="E30">
        <f>E20*E21*E22</f>
        <v>6.2755</v>
      </c>
      <c r="F30">
        <f>F20*F21*F22</f>
        <v>3.85</v>
      </c>
    </row>
    <row r="31">
      <c r="B31" t="str">
        <v>Urugan pasir</v>
      </c>
      <c r="C31" t="str">
        <v>m3</v>
      </c>
      <c r="D31">
        <f>+D20*D22*0.05</f>
        <v>0.41999999999999993</v>
      </c>
      <c r="E31">
        <f>+E20*E22*0.05</f>
        <v>0.28525</v>
      </c>
      <c r="F31">
        <f>+F20*F22*0.05</f>
        <v>0.17500000000000002</v>
      </c>
    </row>
    <row r="32">
      <c r="B32" t="str">
        <v>Aanstamping</v>
      </c>
      <c r="C32" t="str">
        <v>m3</v>
      </c>
      <c r="D32">
        <f>D20*D22*0.15</f>
        <v>1.2599999999999998</v>
      </c>
      <c r="E32">
        <f>E20*E22*0.15</f>
        <v>0.85575</v>
      </c>
      <c r="F32">
        <f>F20*F22*0.15</f>
        <v>0.525</v>
      </c>
    </row>
    <row r="33">
      <c r="B33" t="str">
        <v>Pondasi</v>
      </c>
      <c r="C33" t="str">
        <v>m3</v>
      </c>
      <c r="D33">
        <f>((D25+D26)/2)*D27*D22</f>
        <v>3.7799999999999994</v>
      </c>
      <c r="E33">
        <f>((E25+E26)/2)*E27*E22</f>
        <v>2.5672499999999996</v>
      </c>
      <c r="F33">
        <f>((F25+F26)/2)*F27*F22</f>
        <v>1.5749999999999997</v>
      </c>
    </row>
    <row r="34">
      <c r="B34" t="str">
        <v>Urugan tanah</v>
      </c>
      <c r="C34" t="str">
        <v>m3</v>
      </c>
      <c r="D34">
        <f>D30-D35</f>
        <v>3.780000000000001</v>
      </c>
      <c r="E34">
        <f>E30-E35</f>
        <v>2.5672500000000005</v>
      </c>
      <c r="F34">
        <f>F30-F35</f>
        <v>1.5750000000000002</v>
      </c>
    </row>
    <row r="35">
      <c r="B35" t="str">
        <v>Pemindahan tanah</v>
      </c>
      <c r="C35" t="str">
        <v>m3</v>
      </c>
      <c r="D35">
        <f>D31+D32+D33</f>
        <v>5.459999999999999</v>
      </c>
      <c r="E35">
        <f>E31+E32+E33</f>
        <v>3.7082499999999996</v>
      </c>
      <c r="F35">
        <f>F31+F32+F33</f>
        <v>2.275</v>
      </c>
    </row>
    <row r="40">
      <c r="B40" t="str">
        <v>MUTU BAJA</v>
      </c>
      <c r="C40" t="str">
        <v>DIA</v>
      </c>
      <c r="D40" t="str">
        <v>KG/M</v>
      </c>
      <c r="E40" t="str">
        <v>40 D</v>
      </c>
    </row>
    <row r="41">
      <c r="B41" t="str">
        <v>U-24</v>
      </c>
      <c r="C41">
        <v>6</v>
      </c>
      <c r="D41">
        <v>0.22</v>
      </c>
      <c r="E41">
        <f>(C41*40)/1000</f>
        <v>0.24</v>
      </c>
    </row>
    <row r="42">
      <c r="C42">
        <v>8</v>
      </c>
      <c r="D42">
        <v>0.393</v>
      </c>
      <c r="E42">
        <f>(C42*40)/1000</f>
        <v>0.32</v>
      </c>
    </row>
    <row r="43">
      <c r="C43">
        <v>10</v>
      </c>
      <c r="D43">
        <v>0.62</v>
      </c>
      <c r="E43">
        <f>(C43*40)/1000</f>
        <v>0.4</v>
      </c>
    </row>
    <row r="44">
      <c r="C44">
        <v>12</v>
      </c>
      <c r="D44">
        <v>0.887</v>
      </c>
      <c r="E44">
        <f>(C44*40)/1000</f>
        <v>0.48</v>
      </c>
    </row>
    <row r="45">
      <c r="B45" t="str">
        <v>U-39</v>
      </c>
      <c r="C45">
        <v>13</v>
      </c>
      <c r="D45">
        <v>0.992</v>
      </c>
      <c r="E45">
        <f>(C45*40)/1000</f>
        <v>0.52</v>
      </c>
    </row>
    <row r="46">
      <c r="C46">
        <v>16</v>
      </c>
      <c r="D46">
        <v>1.558</v>
      </c>
      <c r="E46">
        <f>(C46*40)/1000</f>
        <v>0.64</v>
      </c>
    </row>
    <row r="47">
      <c r="C47">
        <v>19</v>
      </c>
      <c r="D47">
        <v>2.25</v>
      </c>
      <c r="E47">
        <f>(C47*40)/1000</f>
        <v>0.76</v>
      </c>
    </row>
    <row r="48">
      <c r="C48">
        <v>22</v>
      </c>
      <c r="D48">
        <v>3.042</v>
      </c>
      <c r="E48">
        <f>(C48*40)/1000</f>
        <v>0.88</v>
      </c>
    </row>
    <row r="49">
      <c r="C49">
        <v>25</v>
      </c>
      <c r="D49">
        <v>3.983</v>
      </c>
      <c r="E49">
        <f>(C49*40)/1000</f>
        <v>1</v>
      </c>
    </row>
    <row r="50">
      <c r="C50">
        <v>29</v>
      </c>
      <c r="D50">
        <v>5.042</v>
      </c>
      <c r="E50">
        <f>(C50*40)/1000</f>
        <v>1.16</v>
      </c>
    </row>
    <row r="51">
      <c r="C51">
        <v>32</v>
      </c>
      <c r="D51">
        <v>6.233</v>
      </c>
      <c r="E51">
        <f>(C51*40)/1000</f>
        <v>1.28</v>
      </c>
    </row>
    <row r="54">
      <c r="A54" t="str">
        <v>VOLUME PEKERJAAN SLOOF</v>
      </c>
    </row>
    <row r="55">
      <c r="A55" t="str">
        <v>NO</v>
      </c>
      <c r="B55" t="str">
        <v>URAIAN PEKERJAAN</v>
      </c>
      <c r="C55" t="str">
        <v>SAT</v>
      </c>
      <c r="D55" t="str">
        <v>DEPAN</v>
      </c>
      <c r="E55" t="str">
        <v>SAMPING</v>
      </c>
      <c r="F55" t="str">
        <v>BELAKANG</v>
      </c>
    </row>
    <row r="57">
      <c r="A57">
        <v>1</v>
      </c>
      <c r="B57" t="str">
        <v>UKURAN</v>
      </c>
    </row>
    <row r="58">
      <c r="B58" t="str">
        <v>Lebar</v>
      </c>
      <c r="C58" t="str">
        <v>m</v>
      </c>
      <c r="D58">
        <v>0.15</v>
      </c>
      <c r="E58">
        <v>0.15</v>
      </c>
      <c r="F58">
        <v>0.15</v>
      </c>
    </row>
    <row r="59">
      <c r="B59" t="str">
        <v>Tebal</v>
      </c>
      <c r="C59" t="str">
        <v>m</v>
      </c>
      <c r="D59">
        <v>0.2</v>
      </c>
      <c r="E59">
        <v>0.2</v>
      </c>
      <c r="F59">
        <v>0.2</v>
      </c>
    </row>
    <row r="60">
      <c r="B60" t="str">
        <v>Panjang</v>
      </c>
      <c r="C60" t="str">
        <v>m'</v>
      </c>
      <c r="D60">
        <f>'QTY-PG'!D22</f>
        <v>12</v>
      </c>
      <c r="E60">
        <f>'QTY-PG'!E22</f>
        <v>8.15</v>
      </c>
      <c r="F60">
        <f>'QTY-PG'!F22</f>
        <v>5</v>
      </c>
    </row>
    <row r="61">
      <c r="B61" t="str">
        <v xml:space="preserve">Banyaknya </v>
      </c>
      <c r="C61" t="str">
        <v>bh</v>
      </c>
      <c r="D61">
        <v>1</v>
      </c>
      <c r="E61">
        <v>1</v>
      </c>
      <c r="F61">
        <v>1</v>
      </c>
    </row>
    <row r="63">
      <c r="A63">
        <v>2</v>
      </c>
      <c r="B63" t="str">
        <v>TULANGAN MENERUS</v>
      </c>
    </row>
    <row r="64">
      <c r="B64" t="str">
        <v>Diameter</v>
      </c>
      <c r="C64" t="str">
        <v>mm</v>
      </c>
      <c r="D64">
        <v>12</v>
      </c>
      <c r="E64">
        <v>12</v>
      </c>
      <c r="F64">
        <v>12</v>
      </c>
    </row>
    <row r="65">
      <c r="B65" t="str">
        <v>Berat</v>
      </c>
      <c r="C65" t="str">
        <v>kg/m</v>
      </c>
      <c r="D65">
        <f>VLOOKUP(D64,$C$41:$D$51,2)</f>
        <v>0.887</v>
      </c>
      <c r="E65">
        <f>VLOOKUP(E64,$C$41:$D$51,2)</f>
        <v>0.887</v>
      </c>
      <c r="F65">
        <f>VLOOKUP(F64,$C$41:$D$51,2)</f>
        <v>0.887</v>
      </c>
    </row>
    <row r="66">
      <c r="B66" t="str">
        <v>Sambungan</v>
      </c>
      <c r="C66" t="str">
        <v>%</v>
      </c>
      <c r="D66">
        <v>0.05</v>
      </c>
      <c r="E66">
        <v>0.05</v>
      </c>
      <c r="F66">
        <v>0.05</v>
      </c>
    </row>
    <row r="67">
      <c r="B67" t="str">
        <v>Panjang tulangan</v>
      </c>
      <c r="C67" t="str">
        <v>m</v>
      </c>
      <c r="D67">
        <f>(D60*D66)+D60</f>
        <v>12.6</v>
      </c>
      <c r="E67">
        <f>(E60*E66)+E60</f>
        <v>8.557500000000001</v>
      </c>
      <c r="F67">
        <f>(F60*F66)+F60</f>
        <v>5.25</v>
      </c>
    </row>
    <row r="68">
      <c r="B68" t="str">
        <v xml:space="preserve">Jumlah tulangan </v>
      </c>
      <c r="C68" t="str">
        <v>bh</v>
      </c>
      <c r="D68">
        <v>4</v>
      </c>
      <c r="E68">
        <v>4</v>
      </c>
      <c r="F68">
        <v>4</v>
      </c>
    </row>
    <row r="69">
      <c r="B69" t="str">
        <v>Jumlah berat</v>
      </c>
      <c r="C69" t="str">
        <v>kg</v>
      </c>
      <c r="D69">
        <f>D61*D65*D67*D68</f>
        <v>44.7048</v>
      </c>
      <c r="E69">
        <f>E61*E65*E67*E68</f>
        <v>30.362010000000005</v>
      </c>
      <c r="F69">
        <f>F61*F65*F67*F68</f>
        <v>18.627</v>
      </c>
    </row>
    <row r="70">
      <c r="B70" t="str">
        <v>Jumlah batang</v>
      </c>
      <c r="C70" t="str">
        <v>bt</v>
      </c>
      <c r="D70">
        <f>D69/(D65*12)</f>
        <v>4.2</v>
      </c>
      <c r="E70">
        <f>E69/(E65*12)</f>
        <v>2.8525000000000005</v>
      </c>
      <c r="F70">
        <f>F69/(F65*12)</f>
        <v>1.7499999999999998</v>
      </c>
    </row>
    <row r="72">
      <c r="A72">
        <v>3</v>
      </c>
      <c r="B72" t="str">
        <v>TULANGAN TUMPUAN</v>
      </c>
    </row>
    <row r="73">
      <c r="B73" t="str">
        <v>Diameter</v>
      </c>
      <c r="C73" t="str">
        <v>mm</v>
      </c>
      <c r="D73">
        <v>12</v>
      </c>
      <c r="E73">
        <v>12</v>
      </c>
      <c r="F73">
        <v>12</v>
      </c>
    </row>
    <row r="74">
      <c r="B74" t="str">
        <v>Berat</v>
      </c>
      <c r="C74" t="str">
        <v>kg/m</v>
      </c>
      <c r="D74">
        <f>VLOOKUP(D73,$C$41:$D$51,2)</f>
        <v>0.887</v>
      </c>
      <c r="E74">
        <f>VLOOKUP(E73,$C$41:$D$51,2)</f>
        <v>0.887</v>
      </c>
      <c r="F74">
        <f>VLOOKUP(F73,$C$41:$D$51,2)</f>
        <v>0.887</v>
      </c>
    </row>
    <row r="75">
      <c r="B75" t="str">
        <v>Sambungan</v>
      </c>
      <c r="C75" t="str">
        <v>%</v>
      </c>
      <c r="D75">
        <v>0.05</v>
      </c>
      <c r="E75">
        <v>0.05</v>
      </c>
      <c r="F75">
        <v>0.05</v>
      </c>
    </row>
    <row r="76">
      <c r="B76" t="str">
        <v>Panjang tulangan</v>
      </c>
      <c r="C76" t="str">
        <v>m</v>
      </c>
      <c r="D76">
        <f>((D59+(D60*0.25))*D75)+((D59+(D60*0.25)))</f>
        <v>3.3600000000000003</v>
      </c>
      <c r="E76">
        <f>((E59+(E60*0.25))*E75)+((E59+(E60*0.25)))</f>
        <v>2.349375</v>
      </c>
      <c r="F76">
        <f>((F59+(F60*0.25))*F75)+((F59+(F60*0.25)))</f>
        <v>1.5225</v>
      </c>
    </row>
    <row r="77">
      <c r="B77" t="str">
        <v xml:space="preserve">Jumlah tulangan </v>
      </c>
      <c r="C77" t="str">
        <v>bh</v>
      </c>
    </row>
    <row r="78">
      <c r="B78" t="str">
        <v>Jumlah berat</v>
      </c>
      <c r="C78" t="str">
        <v>kg</v>
      </c>
      <c r="D78">
        <f>D61*D74*D76*D77</f>
        <v>0</v>
      </c>
      <c r="E78">
        <f>E61*E74*E76*E77</f>
        <v>0</v>
      </c>
      <c r="F78">
        <f>F61*F74*F76*F77</f>
        <v>0</v>
      </c>
    </row>
    <row r="79">
      <c r="B79" t="str">
        <v>Jumlah batang</v>
      </c>
      <c r="C79" t="str">
        <v>bt</v>
      </c>
      <c r="D79">
        <f>D78/(D74*12)</f>
        <v>0</v>
      </c>
      <c r="E79">
        <f>E78/(E74*12)</f>
        <v>0</v>
      </c>
      <c r="F79">
        <f>F78/(F74*12)</f>
        <v>0</v>
      </c>
    </row>
    <row r="81">
      <c r="A81">
        <v>4</v>
      </c>
      <c r="B81" t="str">
        <v>TULANGAN LAPANGAN</v>
      </c>
    </row>
    <row r="82">
      <c r="B82" t="str">
        <v>Diameter</v>
      </c>
      <c r="C82" t="str">
        <v>mm</v>
      </c>
      <c r="D82">
        <v>12</v>
      </c>
      <c r="E82">
        <v>12</v>
      </c>
      <c r="F82">
        <v>12</v>
      </c>
    </row>
    <row r="83">
      <c r="B83" t="str">
        <v>Berat</v>
      </c>
      <c r="C83" t="str">
        <v>kg/m</v>
      </c>
      <c r="D83">
        <f>VLOOKUP(D82,$C$41:$D$51,2)</f>
        <v>0.887</v>
      </c>
      <c r="E83">
        <f>VLOOKUP(E82,$C$41:$D$51,2)</f>
        <v>0.887</v>
      </c>
      <c r="F83">
        <f>VLOOKUP(F82,$C$41:$D$51,2)</f>
        <v>0.887</v>
      </c>
    </row>
    <row r="84">
      <c r="B84" t="str">
        <v>Sambungan</v>
      </c>
      <c r="C84" t="str">
        <v>%</v>
      </c>
      <c r="D84">
        <v>0.05</v>
      </c>
      <c r="E84">
        <v>0.05</v>
      </c>
      <c r="F84">
        <v>0.05</v>
      </c>
    </row>
    <row r="85">
      <c r="B85" t="str">
        <v>Panjang tulangan</v>
      </c>
      <c r="C85" t="str">
        <v>m</v>
      </c>
      <c r="D85">
        <f>((D60*0.6*D84)+(D60*0.6))</f>
        <v>7.56</v>
      </c>
      <c r="E85">
        <f>((E60*0.6*E84)+(E60*0.6))</f>
        <v>5.1345</v>
      </c>
      <c r="F85">
        <f>((F60*0.6*F84)+(F60*0.6))</f>
        <v>3.15</v>
      </c>
    </row>
    <row r="86">
      <c r="B86" t="str">
        <v xml:space="preserve">Jumlah tulangan </v>
      </c>
      <c r="C86" t="str">
        <v>bh</v>
      </c>
    </row>
    <row r="87">
      <c r="B87" t="str">
        <v>Jumlah berat</v>
      </c>
      <c r="C87" t="str">
        <v>kg</v>
      </c>
      <c r="D87">
        <f>D61*D83*D85*D86</f>
        <v>0</v>
      </c>
      <c r="E87">
        <f>E61*E83*E85*E86</f>
        <v>0</v>
      </c>
      <c r="F87">
        <f>F61*F83*F85*F86</f>
        <v>0</v>
      </c>
    </row>
    <row r="88">
      <c r="B88" t="str">
        <v>Jumlah batang</v>
      </c>
      <c r="C88" t="str">
        <v>bt</v>
      </c>
      <c r="D88">
        <f>D87/(D83*12)</f>
        <v>0</v>
      </c>
      <c r="E88">
        <f>E87/(E83*12)</f>
        <v>0</v>
      </c>
      <c r="F88">
        <f>F87/(F83*12)</f>
        <v>0</v>
      </c>
    </row>
    <row r="90">
      <c r="A90">
        <v>6</v>
      </c>
      <c r="B90" t="str">
        <v>TULANGAN SENGKANG</v>
      </c>
    </row>
    <row r="91">
      <c r="B91" t="str">
        <v>Diameter</v>
      </c>
      <c r="C91" t="str">
        <v>mm</v>
      </c>
      <c r="D91">
        <v>8</v>
      </c>
      <c r="E91">
        <v>8</v>
      </c>
      <c r="F91">
        <v>8</v>
      </c>
    </row>
    <row r="92">
      <c r="B92" t="str">
        <v>Berat</v>
      </c>
      <c r="C92" t="str">
        <v>kg/m</v>
      </c>
      <c r="D92">
        <f>VLOOKUP(D91,$C$41:$D$51,2)</f>
        <v>0.393</v>
      </c>
      <c r="E92">
        <f>VLOOKUP(E91,$C$41:$D$51,2)</f>
        <v>0.393</v>
      </c>
      <c r="F92">
        <f>VLOOKUP(F91,$C$41:$D$51,2)</f>
        <v>0.393</v>
      </c>
    </row>
    <row r="93">
      <c r="B93" t="str">
        <v>Sambungan</v>
      </c>
      <c r="C93" t="str">
        <v>%</v>
      </c>
      <c r="D93">
        <v>0.05</v>
      </c>
      <c r="E93">
        <v>0.05</v>
      </c>
      <c r="F93">
        <v>0.05</v>
      </c>
    </row>
    <row r="94">
      <c r="B94" t="str">
        <v>Jarak sengkang</v>
      </c>
      <c r="C94" t="str">
        <v>m</v>
      </c>
      <c r="D94">
        <v>0.15</v>
      </c>
      <c r="E94">
        <v>0.15</v>
      </c>
      <c r="F94">
        <v>0.15</v>
      </c>
    </row>
    <row r="95">
      <c r="B95" t="str">
        <v>Panjang sengkang</v>
      </c>
      <c r="C95" t="str">
        <v>m'</v>
      </c>
      <c r="D95">
        <f>(((D58+D59)*2)*D93)+((D58+D59)*2)</f>
        <v>0.735</v>
      </c>
      <c r="E95">
        <f>(((E58+E59)*2)*E93)+((E58+E59)*2)</f>
        <v>0.735</v>
      </c>
      <c r="F95">
        <f>(((F58+F59)*2)*F93)+((F58+F59)*2)</f>
        <v>0.735</v>
      </c>
    </row>
    <row r="96">
      <c r="B96" t="str">
        <v>Jumlah sengkang</v>
      </c>
      <c r="C96" t="str">
        <v>bh</v>
      </c>
      <c r="D96">
        <f>INT((D60/D94)+1)</f>
        <v>81</v>
      </c>
      <c r="E96">
        <f>INT((E60/E94)+1)</f>
        <v>55</v>
      </c>
      <c r="F96">
        <f>INT((F60/F94)+1)</f>
        <v>34</v>
      </c>
    </row>
    <row r="97">
      <c r="B97" t="str">
        <v>Jumlah berat</v>
      </c>
      <c r="C97" t="str">
        <v>kg</v>
      </c>
      <c r="D97">
        <f>D61*D92*D95*D96</f>
        <v>23.397255</v>
      </c>
      <c r="E97">
        <f>E61*E92*E95*E96</f>
        <v>15.887025000000001</v>
      </c>
      <c r="F97">
        <f>F61*F92*F95*F96</f>
        <v>9.82107</v>
      </c>
    </row>
    <row r="98">
      <c r="B98" t="str">
        <v>Jumlah batang</v>
      </c>
      <c r="C98" t="str">
        <v>bt</v>
      </c>
      <c r="D98">
        <f>D97/(D92*12)</f>
        <v>4.96125</v>
      </c>
      <c r="E98">
        <f>E97/(E92*12)</f>
        <v>3.3687500000000004</v>
      </c>
      <c r="F98">
        <f>F97/(F92*12)</f>
        <v>2.0825</v>
      </c>
    </row>
    <row r="100">
      <c r="A100">
        <v>7</v>
      </c>
      <c r="B100" t="str">
        <v>JUMLAH VOLUME</v>
      </c>
      <c r="D100" t="str">
        <f>D55</f>
        <v>DEPAN</v>
      </c>
      <c r="E100" t="str">
        <f>E55</f>
        <v>SAMPING</v>
      </c>
      <c r="F100" t="str">
        <f>F55</f>
        <v>BELAKANG</v>
      </c>
    </row>
    <row r="101">
      <c r="B101" t="str">
        <v>Begisting</v>
      </c>
      <c r="C101" t="str">
        <v>m2</v>
      </c>
      <c r="D101">
        <f>(D59*2)*D60*D61</f>
        <v>4.800000000000001</v>
      </c>
      <c r="E101">
        <f>(E59*2)*E60*E61</f>
        <v>3.2600000000000002</v>
      </c>
      <c r="F101">
        <f>(F59*2)*F60*F61</f>
        <v>2</v>
      </c>
    </row>
    <row r="102">
      <c r="B102" t="str">
        <v>Tulangan</v>
      </c>
      <c r="C102" t="str">
        <v>kg</v>
      </c>
      <c r="D102">
        <f>D69+D78+D87+D97</f>
        <v>68.10205500000001</v>
      </c>
      <c r="E102">
        <f>E69+E78+E87+E97</f>
        <v>46.249035000000006</v>
      </c>
      <c r="F102">
        <f>F69+F78+F87+F97</f>
        <v>28.44807</v>
      </c>
    </row>
    <row r="103">
      <c r="B103" t="str">
        <v>Cor beton</v>
      </c>
      <c r="C103" t="str">
        <v>m3</v>
      </c>
      <c r="D103">
        <f>D58*D59*D60*D61</f>
        <v>0.36</v>
      </c>
      <c r="E103">
        <f>E58*E59*E60*E61</f>
        <v>0.2445</v>
      </c>
      <c r="F103">
        <f>F58*F59*F60*F61</f>
        <v>0.15</v>
      </c>
    </row>
    <row r="107">
      <c r="A107" t="str">
        <v>VOLUME PEKERJAAN KOLOM</v>
      </c>
    </row>
    <row r="108">
      <c r="A108" t="str">
        <v>NO</v>
      </c>
      <c r="C108" t="str">
        <v>SAT</v>
      </c>
      <c r="D108" t="str">
        <v>DEPAN</v>
      </c>
      <c r="E108" t="str">
        <v>SAMPING</v>
      </c>
      <c r="F108" t="str">
        <v>BELAKANG</v>
      </c>
    </row>
    <row r="110">
      <c r="A110">
        <v>1</v>
      </c>
      <c r="B110" t="str">
        <v>UKURAN</v>
      </c>
    </row>
    <row r="111">
      <c r="B111" t="str">
        <v>Lebar</v>
      </c>
      <c r="C111" t="str">
        <v>m</v>
      </c>
      <c r="D111">
        <v>0.15</v>
      </c>
      <c r="E111">
        <v>0.15</v>
      </c>
      <c r="F111">
        <v>0.15</v>
      </c>
    </row>
    <row r="112">
      <c r="B112" t="str">
        <v>Panjang</v>
      </c>
      <c r="C112" t="str">
        <v>m</v>
      </c>
      <c r="D112">
        <v>0.15</v>
      </c>
      <c r="E112">
        <v>0.15</v>
      </c>
      <c r="F112">
        <v>0.15</v>
      </c>
    </row>
    <row r="113">
      <c r="B113" t="str">
        <v>Tinggi</v>
      </c>
      <c r="C113" t="str">
        <v>m'</v>
      </c>
      <c r="D113">
        <v>1.5</v>
      </c>
      <c r="E113">
        <v>2.5</v>
      </c>
      <c r="F113">
        <v>2.5</v>
      </c>
    </row>
    <row r="114">
      <c r="B114" t="str">
        <v>Banyaknya</v>
      </c>
      <c r="C114" t="str">
        <v>bh</v>
      </c>
      <c r="D114">
        <v>3</v>
      </c>
      <c r="E114">
        <v>4</v>
      </c>
      <c r="F114">
        <v>2</v>
      </c>
    </row>
    <row r="116">
      <c r="A116">
        <v>2</v>
      </c>
      <c r="B116" t="str">
        <v>TULANGAN UTAMA</v>
      </c>
    </row>
    <row r="117">
      <c r="B117" t="str">
        <v>Diameter</v>
      </c>
      <c r="C117" t="str">
        <v>mm</v>
      </c>
      <c r="D117">
        <v>12</v>
      </c>
      <c r="E117">
        <v>12</v>
      </c>
      <c r="F117">
        <v>12</v>
      </c>
    </row>
    <row r="118">
      <c r="B118" t="str">
        <v>Berat</v>
      </c>
      <c r="C118" t="str">
        <v>kg/m'</v>
      </c>
      <c r="D118">
        <f>VLOOKUP(D117,$C$41:$D$51,2)</f>
        <v>0.887</v>
      </c>
      <c r="E118">
        <f>VLOOKUP(E117,$C$41:$D$51,2)</f>
        <v>0.887</v>
      </c>
      <c r="F118">
        <f>VLOOKUP(F117,$C$41:$D$51,2)</f>
        <v>0.887</v>
      </c>
    </row>
    <row r="119">
      <c r="B119" t="str">
        <v>Tiggi ring balk</v>
      </c>
      <c r="C119" t="str">
        <v>m</v>
      </c>
      <c r="D119">
        <v>0.11</v>
      </c>
      <c r="E119">
        <v>0.11</v>
      </c>
      <c r="F119">
        <v>0.11</v>
      </c>
    </row>
    <row r="120">
      <c r="B120" t="str">
        <v>Panjang stek 40 d</v>
      </c>
      <c r="C120" t="str">
        <v>m'</v>
      </c>
      <c r="D120">
        <f>D117*0.04</f>
        <v>0.48</v>
      </c>
      <c r="E120">
        <f>E117*0.04</f>
        <v>0.48</v>
      </c>
      <c r="F120">
        <f>F117*0.04</f>
        <v>0.48</v>
      </c>
    </row>
    <row r="121">
      <c r="B121" t="str">
        <v>Sambungan</v>
      </c>
      <c r="C121" t="str">
        <v>%</v>
      </c>
      <c r="D121">
        <v>0.05</v>
      </c>
      <c r="E121">
        <v>0.05</v>
      </c>
      <c r="F121">
        <v>0.05</v>
      </c>
    </row>
    <row r="122">
      <c r="B122" t="str">
        <v>Panjang tulangan</v>
      </c>
      <c r="C122" t="str">
        <v>m'</v>
      </c>
      <c r="D122">
        <f>((D113+D119+D120)*D121)+(D113+D119+D120)</f>
        <v>2.1944999999999997</v>
      </c>
      <c r="E122">
        <f>((E113+E119+E120)*E121)+(E113+E119+E120)</f>
        <v>3.2445</v>
      </c>
      <c r="F122">
        <f>((F113+F119+F120)*F121)+(F113+F119+F120)</f>
        <v>3.2445</v>
      </c>
    </row>
    <row r="123">
      <c r="B123" t="str">
        <v xml:space="preserve">Jumlah tulangan </v>
      </c>
      <c r="C123" t="str">
        <v>bh</v>
      </c>
      <c r="D123">
        <v>4</v>
      </c>
      <c r="E123">
        <v>4</v>
      </c>
      <c r="F123">
        <v>4</v>
      </c>
    </row>
    <row r="124">
      <c r="B124" t="str">
        <v>Jumlah berat</v>
      </c>
      <c r="C124" t="str">
        <v>kg</v>
      </c>
      <c r="D124">
        <f>D114*D118*D122*D123</f>
        <v>23.358257999999996</v>
      </c>
      <c r="E124">
        <f>E114*E118*E122*E123</f>
        <v>46.045944</v>
      </c>
      <c r="F124">
        <f>F114*F118*F122*F123</f>
        <v>23.022972</v>
      </c>
    </row>
    <row r="125">
      <c r="B125" t="str">
        <v>Jumlah batang</v>
      </c>
      <c r="C125" t="str">
        <v>bt</v>
      </c>
      <c r="D125">
        <f>D124/(D118*12)</f>
        <v>2.1944999999999997</v>
      </c>
      <c r="E125">
        <f>E124/(E118*12)</f>
        <v>4.326</v>
      </c>
      <c r="F125">
        <f>F124/(F118*12)</f>
        <v>2.163</v>
      </c>
    </row>
    <row r="127">
      <c r="A127">
        <v>3</v>
      </c>
      <c r="B127" t="str">
        <v>TULANGAN SENGKANG</v>
      </c>
    </row>
    <row r="128">
      <c r="B128" t="str">
        <v>Diameter</v>
      </c>
      <c r="C128" t="str">
        <v>mm</v>
      </c>
      <c r="D128">
        <v>8</v>
      </c>
      <c r="E128">
        <v>8</v>
      </c>
      <c r="F128">
        <v>8</v>
      </c>
    </row>
    <row r="129">
      <c r="B129" t="str">
        <v>Berat</v>
      </c>
      <c r="C129" t="str">
        <v>kg/m'</v>
      </c>
      <c r="D129">
        <f>VLOOKUP(D128,$C$41:$D$51,2)</f>
        <v>0.393</v>
      </c>
      <c r="E129">
        <f>VLOOKUP(E128,$C$41:$D$51,2)</f>
        <v>0.393</v>
      </c>
      <c r="F129">
        <f>VLOOKUP(F128,$C$41:$D$51,2)</f>
        <v>0.393</v>
      </c>
    </row>
    <row r="130">
      <c r="B130" t="str">
        <v>Sambungan</v>
      </c>
      <c r="C130" t="str">
        <v>%</v>
      </c>
      <c r="D130">
        <v>0.05</v>
      </c>
      <c r="E130">
        <v>0.05</v>
      </c>
      <c r="F130">
        <v>0.05</v>
      </c>
    </row>
    <row r="131">
      <c r="B131" t="str">
        <v>Jarak sengkang</v>
      </c>
      <c r="C131" t="str">
        <v>m</v>
      </c>
      <c r="D131">
        <v>0.15</v>
      </c>
      <c r="E131">
        <v>0.15</v>
      </c>
      <c r="F131">
        <v>0.15</v>
      </c>
    </row>
    <row r="132">
      <c r="B132" t="str">
        <v>Panjang sengkang</v>
      </c>
      <c r="C132" t="str">
        <v>m'</v>
      </c>
      <c r="D132">
        <f>((D111+D112)*2)*D130+(D111+D112)*2</f>
        <v>0.63</v>
      </c>
      <c r="E132">
        <f>((E111+E112)*2)*E130+(E111+E112)*2</f>
        <v>0.63</v>
      </c>
      <c r="F132">
        <f>((F111+F112)*2)*F130+(F111+F112)*2</f>
        <v>0.63</v>
      </c>
    </row>
    <row r="133">
      <c r="B133" t="str">
        <v>Jumlah sengkang</v>
      </c>
      <c r="C133" t="str">
        <v>bh</v>
      </c>
      <c r="D133">
        <f>INT((D113/D131)+1)</f>
        <v>11</v>
      </c>
      <c r="E133">
        <f>INT((E113/E131)+1)</f>
        <v>17</v>
      </c>
      <c r="F133">
        <f>INT((F113/F131)+1)</f>
        <v>17</v>
      </c>
    </row>
    <row r="134">
      <c r="B134" t="str">
        <v>Jumlah berat</v>
      </c>
      <c r="C134" t="str">
        <v>kg</v>
      </c>
      <c r="D134">
        <f>D114*D129*D132*D133</f>
        <v>8.17047</v>
      </c>
      <c r="E134">
        <f>E114*E129*E132*E133</f>
        <v>16.83612</v>
      </c>
      <c r="F134">
        <f>F114*F129*F132*F133</f>
        <v>8.41806</v>
      </c>
    </row>
    <row r="135">
      <c r="B135" t="str">
        <v>Jumlah batang</v>
      </c>
      <c r="C135" t="str">
        <v>bt</v>
      </c>
      <c r="D135">
        <f>D134/(D129*12)</f>
        <v>1.7325</v>
      </c>
      <c r="E135">
        <f>E134/(E129*12)</f>
        <v>3.5700000000000003</v>
      </c>
      <c r="F135">
        <f>F134/(F129*12)</f>
        <v>1.7850000000000001</v>
      </c>
    </row>
    <row r="137">
      <c r="A137">
        <v>4</v>
      </c>
      <c r="B137" t="str">
        <v>JUMLAH VOLUME</v>
      </c>
      <c r="D137" t="str">
        <f>D108</f>
        <v>DEPAN</v>
      </c>
      <c r="E137" t="str">
        <f>E108</f>
        <v>SAMPING</v>
      </c>
      <c r="F137" t="str">
        <f>F108</f>
        <v>BELAKANG</v>
      </c>
    </row>
    <row r="138">
      <c r="B138" t="str">
        <v>Begisting</v>
      </c>
      <c r="C138" t="str">
        <v>m2</v>
      </c>
      <c r="D138">
        <f>(((D111+D112))*D113)*D114</f>
        <v>1.3499999999999999</v>
      </c>
      <c r="E138">
        <f>(((E111+E112))*E113)*E114</f>
        <v>3</v>
      </c>
      <c r="F138">
        <f>(((F111+F112))*F113)*F114</f>
        <v>1.5</v>
      </c>
    </row>
    <row r="139">
      <c r="B139" t="str">
        <v>Tulangan</v>
      </c>
      <c r="C139" t="str">
        <v>kg</v>
      </c>
      <c r="D139">
        <f>D124+D134</f>
        <v>31.528727999999994</v>
      </c>
      <c r="E139">
        <f>E124+E134</f>
        <v>62.882064</v>
      </c>
      <c r="F139">
        <f>F124+F134</f>
        <v>31.441032</v>
      </c>
    </row>
    <row r="140">
      <c r="B140" t="str">
        <v>Cor beton</v>
      </c>
      <c r="C140" t="str">
        <v>m3</v>
      </c>
      <c r="D140">
        <f>(D111*D112*D113)*D114</f>
        <v>0.10125</v>
      </c>
      <c r="E140">
        <f>(E111*E112*E113)*E114</f>
        <v>0.22499999999999998</v>
      </c>
      <c r="F140">
        <f>(F111*F112*F113)*F114</f>
        <v>0.11249999999999999</v>
      </c>
    </row>
    <row r="144">
      <c r="A144" t="str">
        <v>VOLUME PEKERJAAN RINGBALK</v>
      </c>
    </row>
    <row r="145">
      <c r="A145" t="str">
        <v>NO</v>
      </c>
      <c r="B145" t="str">
        <v>URAIAN PEKERJAAN</v>
      </c>
      <c r="C145" t="str">
        <v>SAT</v>
      </c>
      <c r="D145" t="str">
        <v>DEPAN</v>
      </c>
      <c r="E145" t="str">
        <v>SAMPING</v>
      </c>
      <c r="F145" t="str">
        <v>BELAKANG</v>
      </c>
    </row>
    <row r="147">
      <c r="A147">
        <v>1</v>
      </c>
      <c r="B147" t="str">
        <v>UKURAN</v>
      </c>
    </row>
    <row r="148">
      <c r="B148" t="str">
        <v>Lebar</v>
      </c>
      <c r="C148" t="str">
        <v>m</v>
      </c>
      <c r="D148">
        <v>0.15</v>
      </c>
      <c r="E148">
        <v>0.15</v>
      </c>
      <c r="F148">
        <v>0.15</v>
      </c>
    </row>
    <row r="149">
      <c r="B149" t="str">
        <v>Tebal</v>
      </c>
      <c r="C149" t="str">
        <v>m</v>
      </c>
      <c r="D149">
        <v>0.2</v>
      </c>
      <c r="E149">
        <v>0.15</v>
      </c>
      <c r="F149">
        <v>0.15</v>
      </c>
    </row>
    <row r="150">
      <c r="B150" t="str">
        <v>Panjang</v>
      </c>
      <c r="C150" t="str">
        <v>m'</v>
      </c>
      <c r="E150">
        <f>'QTY-PG'!F13</f>
        <v>8.15</v>
      </c>
      <c r="F150">
        <f>'QTY-PG'!J13</f>
        <v>5</v>
      </c>
    </row>
    <row r="151">
      <c r="B151" t="str">
        <v xml:space="preserve">Banyaknya </v>
      </c>
      <c r="C151" t="str">
        <v>bh</v>
      </c>
      <c r="D151">
        <v>1</v>
      </c>
      <c r="E151">
        <v>1</v>
      </c>
      <c r="F151">
        <v>1</v>
      </c>
    </row>
    <row r="153">
      <c r="A153">
        <v>2</v>
      </c>
      <c r="B153" t="str">
        <v>TULANGAN MENERUS</v>
      </c>
    </row>
    <row r="154">
      <c r="B154" t="str">
        <v>Diameter</v>
      </c>
      <c r="C154" t="str">
        <v>mm</v>
      </c>
      <c r="D154">
        <v>12</v>
      </c>
      <c r="E154">
        <v>12</v>
      </c>
      <c r="F154">
        <v>12</v>
      </c>
    </row>
    <row r="155">
      <c r="B155" t="str">
        <v>Berat</v>
      </c>
      <c r="C155" t="str">
        <v>kg/m</v>
      </c>
      <c r="D155">
        <f>VLOOKUP(D154,$C$41:$D$51,2)</f>
        <v>0.887</v>
      </c>
      <c r="E155">
        <f>VLOOKUP(E154,$C$41:$D$51,2)</f>
        <v>0.887</v>
      </c>
      <c r="F155">
        <f>VLOOKUP(F154,$C$41:$D$51,2)</f>
        <v>0.887</v>
      </c>
    </row>
    <row r="156">
      <c r="B156" t="str">
        <v>Sambungan</v>
      </c>
      <c r="C156" t="str">
        <v>%</v>
      </c>
      <c r="D156">
        <v>0.05</v>
      </c>
      <c r="E156">
        <v>0.05</v>
      </c>
      <c r="F156">
        <v>0.05</v>
      </c>
    </row>
    <row r="157">
      <c r="B157" t="str">
        <v>Panjang tulangan</v>
      </c>
      <c r="C157" t="str">
        <v>m</v>
      </c>
      <c r="D157">
        <f>(D150*D156)+D150</f>
        <v>0</v>
      </c>
      <c r="E157">
        <f>(E150*E156)+E150</f>
        <v>8.557500000000001</v>
      </c>
      <c r="F157">
        <f>(F150*F156)+F150</f>
        <v>5.25</v>
      </c>
    </row>
    <row r="158">
      <c r="B158" t="str">
        <v xml:space="preserve">Jumlah tulangan </v>
      </c>
      <c r="C158" t="str">
        <v>bh</v>
      </c>
      <c r="D158">
        <v>4</v>
      </c>
      <c r="E158">
        <v>4</v>
      </c>
      <c r="F158">
        <v>4</v>
      </c>
    </row>
    <row r="159">
      <c r="B159" t="str">
        <v>Jumlah berat</v>
      </c>
      <c r="C159" t="str">
        <v>kg</v>
      </c>
      <c r="D159">
        <f>D151*D155*D157*D158</f>
        <v>0</v>
      </c>
      <c r="E159">
        <f>E151*E155*E157*E158</f>
        <v>30.362010000000005</v>
      </c>
      <c r="F159">
        <f>F151*F155*F157*F158</f>
        <v>18.627</v>
      </c>
    </row>
    <row r="160">
      <c r="B160" t="str">
        <v>Jumlah batang</v>
      </c>
      <c r="C160" t="str">
        <v>bt</v>
      </c>
      <c r="D160">
        <f>D159/(D155*12)</f>
        <v>0</v>
      </c>
      <c r="E160">
        <f>E159/(E155*12)</f>
        <v>2.8525000000000005</v>
      </c>
      <c r="F160">
        <f>F159/(F155*12)</f>
        <v>1.7499999999999998</v>
      </c>
    </row>
    <row r="162">
      <c r="A162">
        <v>3</v>
      </c>
      <c r="B162" t="str">
        <v>TULANGAN TUMPUAN</v>
      </c>
    </row>
    <row r="163">
      <c r="B163" t="str">
        <v>Diameter</v>
      </c>
      <c r="C163" t="str">
        <v>mm</v>
      </c>
      <c r="D163">
        <v>10</v>
      </c>
      <c r="E163">
        <v>10</v>
      </c>
      <c r="F163">
        <v>10</v>
      </c>
    </row>
    <row r="164">
      <c r="B164" t="str">
        <v>Berat</v>
      </c>
      <c r="C164" t="str">
        <v>kg/m</v>
      </c>
      <c r="D164">
        <f>VLOOKUP(D163,$C$41:$D$51,2)</f>
        <v>0.62</v>
      </c>
      <c r="E164">
        <f>VLOOKUP(E163,$C$41:$D$51,2)</f>
        <v>0.62</v>
      </c>
      <c r="F164">
        <f>VLOOKUP(F163,$C$41:$D$51,2)</f>
        <v>0.62</v>
      </c>
    </row>
    <row r="165">
      <c r="B165" t="str">
        <v>Sambungan</v>
      </c>
      <c r="C165" t="str">
        <v>%</v>
      </c>
      <c r="D165">
        <v>0.05</v>
      </c>
      <c r="E165">
        <v>0.05</v>
      </c>
      <c r="F165">
        <v>0.05</v>
      </c>
    </row>
    <row r="166">
      <c r="B166" t="str">
        <v>Panjang tulangan</v>
      </c>
      <c r="C166" t="str">
        <v>m</v>
      </c>
      <c r="D166">
        <f>((D149+(D150*0.25))*D165)+((D149+(D150*0.25)))</f>
        <v>0.21000000000000002</v>
      </c>
      <c r="E166">
        <f>((E149+(E150*0.25))*E165)+((E149+(E150*0.25)))</f>
        <v>2.296875</v>
      </c>
      <c r="F166">
        <f>((F149+(F150*0.25))*F165)+((F149+(F150*0.25)))</f>
        <v>1.47</v>
      </c>
    </row>
    <row r="167">
      <c r="B167" t="str">
        <v xml:space="preserve">Jumlah tulangan </v>
      </c>
      <c r="C167" t="str">
        <v>bh</v>
      </c>
    </row>
    <row r="168">
      <c r="B168" t="str">
        <v>Jumlah berat</v>
      </c>
      <c r="C168" t="str">
        <v>kg</v>
      </c>
      <c r="D168">
        <f>D151*D164*D166*D167</f>
        <v>0</v>
      </c>
      <c r="E168">
        <f>E151*E164*E166*E167</f>
        <v>0</v>
      </c>
      <c r="F168">
        <f>F151*F164*F166*F167</f>
        <v>0</v>
      </c>
    </row>
    <row r="169">
      <c r="B169" t="str">
        <v>Jumlah batang</v>
      </c>
      <c r="C169" t="str">
        <v>bt</v>
      </c>
      <c r="D169">
        <f>D168/(D164*12)</f>
        <v>0</v>
      </c>
      <c r="E169">
        <f>E168/(E164*12)</f>
        <v>0</v>
      </c>
      <c r="F169">
        <f>F168/(F164*12)</f>
        <v>0</v>
      </c>
    </row>
    <row r="171">
      <c r="A171">
        <v>4</v>
      </c>
      <c r="B171" t="str">
        <v>TULANGAN LAPANGAN</v>
      </c>
    </row>
    <row r="172">
      <c r="B172" t="str">
        <v>Diameter</v>
      </c>
      <c r="C172" t="str">
        <v>mm</v>
      </c>
      <c r="D172">
        <v>10</v>
      </c>
      <c r="E172">
        <v>10</v>
      </c>
      <c r="F172">
        <v>10</v>
      </c>
    </row>
    <row r="173">
      <c r="B173" t="str">
        <v>Berat</v>
      </c>
      <c r="C173" t="str">
        <v>kg/m</v>
      </c>
      <c r="D173">
        <f>VLOOKUP(D172,$C$41:$D$51,2)</f>
        <v>0.62</v>
      </c>
      <c r="E173">
        <f>VLOOKUP(E172,$C$41:$D$51,2)</f>
        <v>0.62</v>
      </c>
      <c r="F173">
        <f>VLOOKUP(F172,$C$41:$D$51,2)</f>
        <v>0.62</v>
      </c>
    </row>
    <row r="174">
      <c r="B174" t="str">
        <v>Sambungan</v>
      </c>
      <c r="C174" t="str">
        <v>%</v>
      </c>
      <c r="D174">
        <v>0.05</v>
      </c>
      <c r="E174">
        <v>0.05</v>
      </c>
      <c r="F174">
        <v>0.05</v>
      </c>
    </row>
    <row r="175">
      <c r="B175" t="str">
        <v>Panjang tulangan</v>
      </c>
      <c r="C175" t="str">
        <v>m</v>
      </c>
      <c r="D175">
        <f>((D150*0.6*D174)+(D150*0.6))</f>
        <v>0</v>
      </c>
      <c r="E175">
        <f>((E150*0.6*E174)+(E150*0.6))</f>
        <v>5.1345</v>
      </c>
      <c r="F175">
        <f>((F150*0.6*F174)+(F150*0.6))</f>
        <v>3.15</v>
      </c>
    </row>
    <row r="176">
      <c r="B176" t="str">
        <v xml:space="preserve">Jumlah tulangan </v>
      </c>
      <c r="C176" t="str">
        <v>bh</v>
      </c>
    </row>
    <row r="177">
      <c r="B177" t="str">
        <v>Jumlah berat</v>
      </c>
      <c r="C177" t="str">
        <v>kg</v>
      </c>
      <c r="D177">
        <f>D151*D173*D175*D176</f>
        <v>0</v>
      </c>
      <c r="E177">
        <f>E151*E173*E175*E176</f>
        <v>0</v>
      </c>
      <c r="F177">
        <f>F151*F173*F175*F176</f>
        <v>0</v>
      </c>
    </row>
    <row r="178">
      <c r="B178" t="str">
        <v>Jumlah batang</v>
      </c>
      <c r="C178" t="str">
        <v>bt</v>
      </c>
      <c r="D178">
        <f>D177/(D173*12)</f>
        <v>0</v>
      </c>
      <c r="E178">
        <f>E177/(E173*12)</f>
        <v>0</v>
      </c>
      <c r="F178">
        <f>F177/(F173*12)</f>
        <v>0</v>
      </c>
    </row>
    <row r="180">
      <c r="A180">
        <v>6</v>
      </c>
      <c r="B180" t="str">
        <v>TULANGAN SENGKANG</v>
      </c>
    </row>
    <row r="181">
      <c r="B181" t="str">
        <v>Diameter</v>
      </c>
      <c r="C181" t="str">
        <v>mm</v>
      </c>
      <c r="D181">
        <v>8</v>
      </c>
      <c r="E181">
        <v>8</v>
      </c>
      <c r="F181">
        <v>8</v>
      </c>
    </row>
    <row r="182">
      <c r="B182" t="str">
        <v>Berat</v>
      </c>
      <c r="C182" t="str">
        <v>kg/m</v>
      </c>
      <c r="D182">
        <f>VLOOKUP(D181,$C$41:$D$51,2)</f>
        <v>0.393</v>
      </c>
      <c r="E182">
        <f>VLOOKUP(E181,$C$41:$D$51,2)</f>
        <v>0.393</v>
      </c>
      <c r="F182">
        <f>VLOOKUP(F181,$C$41:$D$51,2)</f>
        <v>0.393</v>
      </c>
    </row>
    <row r="183">
      <c r="B183" t="str">
        <v>Sambungan</v>
      </c>
      <c r="C183" t="str">
        <v>%</v>
      </c>
      <c r="D183">
        <v>0.05</v>
      </c>
      <c r="E183">
        <v>0.05</v>
      </c>
      <c r="F183">
        <v>0.05</v>
      </c>
    </row>
    <row r="184">
      <c r="B184" t="str">
        <v>Jarak sengkang</v>
      </c>
      <c r="C184" t="str">
        <v>m</v>
      </c>
      <c r="D184">
        <v>0.15</v>
      </c>
      <c r="E184">
        <v>0.15</v>
      </c>
      <c r="F184">
        <v>0.15</v>
      </c>
    </row>
    <row r="185">
      <c r="B185" t="str">
        <v>Panjang sengkang</v>
      </c>
      <c r="C185" t="str">
        <v>m'</v>
      </c>
      <c r="D185">
        <f>(((D148+D149)*2)*D183)+((D148+D149)*2)</f>
        <v>0.735</v>
      </c>
      <c r="E185">
        <f>(((E148+E149)*2)*E183)+((E148+E149)*2)</f>
        <v>0.63</v>
      </c>
      <c r="F185">
        <f>(((F148+F149)*2)*F183)+((F148+F149)*2)</f>
        <v>0.63</v>
      </c>
    </row>
    <row r="186">
      <c r="B186" t="str">
        <v>Jumlah sengkang</v>
      </c>
      <c r="C186" t="str">
        <v>bh</v>
      </c>
      <c r="D186">
        <f>INT((D150/D184)+1)</f>
        <v>1</v>
      </c>
      <c r="E186">
        <f>INT((E150/E184)+1)</f>
        <v>55</v>
      </c>
      <c r="F186">
        <f>INT((F150/F184)+1)</f>
        <v>34</v>
      </c>
    </row>
    <row r="187">
      <c r="B187" t="str">
        <v>Jumlah berat</v>
      </c>
      <c r="C187" t="str">
        <v>kg</v>
      </c>
      <c r="D187">
        <f>D151*D182*D185*D186</f>
        <v>0.28885500000000003</v>
      </c>
      <c r="E187">
        <f>E151*E182*E185*E186</f>
        <v>13.61745</v>
      </c>
      <c r="F187">
        <f>F151*F182*F185*F186</f>
        <v>8.41806</v>
      </c>
    </row>
    <row r="188">
      <c r="B188" t="str">
        <v>Jumlah batang</v>
      </c>
      <c r="C188" t="str">
        <v>bt</v>
      </c>
      <c r="D188">
        <f>D187/(D182*12)</f>
        <v>0.061250000000000006</v>
      </c>
      <c r="E188">
        <f>E187/(E182*12)</f>
        <v>2.8874999999999997</v>
      </c>
      <c r="F188">
        <f>F187/(F182*12)</f>
        <v>1.7850000000000001</v>
      </c>
    </row>
    <row r="190">
      <c r="A190">
        <v>7</v>
      </c>
      <c r="B190" t="str">
        <v>JUMLAH VOLUME</v>
      </c>
      <c r="D190" t="str">
        <f>D145</f>
        <v>DEPAN</v>
      </c>
      <c r="E190" t="str">
        <f>E145</f>
        <v>SAMPING</v>
      </c>
      <c r="F190" t="str">
        <f>F145</f>
        <v>BELAKANG</v>
      </c>
    </row>
    <row r="191">
      <c r="B191" t="str">
        <v>Tulangan</v>
      </c>
      <c r="C191" t="str">
        <v>kg</v>
      </c>
      <c r="D191">
        <f>D159+D168+D177+D187</f>
        <v>0.28885500000000003</v>
      </c>
      <c r="E191">
        <f>E159+E168+E177+E187</f>
        <v>43.97946</v>
      </c>
      <c r="F191">
        <f>F159+F168+F177+F187</f>
        <v>27.04506</v>
      </c>
    </row>
    <row r="192">
      <c r="B192" t="str">
        <v>Begisting</v>
      </c>
      <c r="C192" t="str">
        <v>m2</v>
      </c>
      <c r="D192">
        <f>(D149*2)*D150*D151</f>
        <v>0</v>
      </c>
      <c r="E192">
        <f>(E149*2)*E150*E151</f>
        <v>2.445</v>
      </c>
      <c r="F192">
        <f>(F149*2)*F150*F151</f>
        <v>1.5</v>
      </c>
    </row>
    <row r="193">
      <c r="B193" t="str">
        <v>Cor beton</v>
      </c>
      <c r="C193" t="str">
        <v>m3</v>
      </c>
      <c r="D193">
        <f>D148*D149*D150*D151</f>
        <v>0</v>
      </c>
      <c r="E193">
        <f>E148*E149*E150*E151</f>
        <v>0.183375</v>
      </c>
      <c r="F193">
        <f>F148*F149*F150*F151</f>
        <v>0.11249999999999999</v>
      </c>
    </row>
  </sheetData>
  <mergeCells count="8">
    <mergeCell ref="A107:F107"/>
    <mergeCell ref="A144:F144"/>
    <mergeCell ref="A6:D6"/>
    <mergeCell ref="A7:D7"/>
    <mergeCell ref="I7:L7"/>
    <mergeCell ref="E7:H7"/>
    <mergeCell ref="A16:F16"/>
    <mergeCell ref="A54:F54"/>
  </mergeCells>
  <hyperlinks>
    <hyperlink ref="A1" location="MENU!A1" tooltip="menu"/>
  </hyperlinks>
  <pageMargins left="0.75" right="0.75" top="1" bottom="1" header="0.5" footer="0.5"/>
  <ignoredErrors>
    <ignoredError numberStoredAsText="1" sqref="A1:L193"/>
  </ignoredErrors>
</worksheet>
</file>

<file path=xl/worksheets/sheet26.xml><?xml version="1.0" encoding="utf-8"?>
<worksheet xmlns="http://schemas.openxmlformats.org/spreadsheetml/2006/main" xmlns:r="http://schemas.openxmlformats.org/officeDocument/2006/relationships">
  <dimension ref="A1:I208"/>
  <sheetViews>
    <sheetView workbookViewId="0" rightToLeft="0"/>
  </sheetViews>
  <sheetData>
    <row r="1">
      <c r="I1" t="str">
        <v>menu</v>
      </c>
    </row>
    <row r="2">
      <c r="A2" t="str">
        <v>REKAPITULASI BIAYA STANDAR PAGAR DEPAN BANGUNAN GEDUNG NEGARA</v>
      </c>
      <c r="I2" t="str">
        <v>HSBGN</v>
      </c>
    </row>
    <row r="4">
      <c r="A4" t="str">
        <v>I</v>
      </c>
      <c r="B4" t="str">
        <v>BIAYA KONSTRUKSI</v>
      </c>
    </row>
    <row r="5">
      <c r="A5" t="str">
        <f>A99</f>
        <v>A</v>
      </c>
      <c r="B5" t="str">
        <f>B99</f>
        <v>PAGAR DEPAN tinggi 1,50 m</v>
      </c>
      <c r="G5" t="str">
        <v>Rp.</v>
      </c>
      <c r="H5">
        <f>H133</f>
        <v>7480000</v>
      </c>
    </row>
    <row r="7">
      <c r="G7" t="str">
        <v>Jumlah Biaya Konstruksi ( a ) … Rp.</v>
      </c>
      <c r="H7">
        <f>SUM(H5:H5)</f>
        <v>7480000</v>
      </c>
    </row>
    <row r="8">
      <c r="G8" t="str">
        <v>Harga pagar / m … Rp.</v>
      </c>
      <c r="H8">
        <f>H7/H28</f>
        <v>7480000</v>
      </c>
    </row>
    <row r="10">
      <c r="A10" t="str">
        <v>II</v>
      </c>
      <c r="B10" t="str">
        <v>BIAYA NON KONSTRUKSI</v>
      </c>
    </row>
    <row r="11">
      <c r="A11" t="str">
        <v>F.</v>
      </c>
      <c r="B11" t="str">
        <v>JASA KONTRAKTOR &amp; OVERHEAD</v>
      </c>
      <c r="C11" t="str">
        <v>10 % ( a )</v>
      </c>
      <c r="G11" t="str">
        <v>Rp.</v>
      </c>
      <c r="H11" t="e">
        <f>H7*I11</f>
        <v>#REF!</v>
      </c>
      <c r="I11" t="e">
        <f>#REF!</f>
        <v>#REF!</v>
      </c>
    </row>
    <row r="12">
      <c r="A12" t="str">
        <v>G.</v>
      </c>
      <c r="B12" t="str">
        <v>PAJAK</v>
      </c>
    </row>
    <row r="13">
      <c r="B13" t="str">
        <v>- PPh  Pasal  21 &amp; 23</v>
      </c>
      <c r="C13" t="str">
        <v>2 % ( a )</v>
      </c>
      <c r="G13" t="str">
        <v>Rp.</v>
      </c>
      <c r="H13" t="e">
        <f>H7*I13</f>
        <v>#REF!</v>
      </c>
      <c r="I13" t="e">
        <f>#REF!</f>
        <v>#REF!</v>
      </c>
    </row>
    <row r="14">
      <c r="B14" t="str">
        <v>- PPn</v>
      </c>
      <c r="C14" t="str">
        <v>10 % ( a )</v>
      </c>
      <c r="G14" t="str">
        <v>Rp.</v>
      </c>
      <c r="H14" t="e">
        <f>H7*I14</f>
        <v>#REF!</v>
      </c>
      <c r="I14" t="e">
        <f>#REF!</f>
        <v>#REF!</v>
      </c>
    </row>
    <row r="15">
      <c r="A15" t="str">
        <v>H.</v>
      </c>
      <c r="B15" t="str">
        <v>PERIZINAN</v>
      </c>
    </row>
    <row r="16">
      <c r="B16" t="str">
        <v>- Izin Mendirikan Bangunan ( IMB )</v>
      </c>
      <c r="C16" t="str">
        <v>1 % ( a )</v>
      </c>
      <c r="G16" t="str">
        <v>Rp.</v>
      </c>
      <c r="H16" t="e">
        <f>H7*I16</f>
        <v>#REF!</v>
      </c>
      <c r="I16" t="e">
        <f>#REF!</f>
        <v>#REF!</v>
      </c>
    </row>
    <row r="17">
      <c r="B17" t="str">
        <v>- Sertifikat Layak Fungsi</v>
      </c>
      <c r="C17" t="str">
        <v>0,5 % ( a )</v>
      </c>
      <c r="G17" t="str">
        <v>Rp.</v>
      </c>
      <c r="H17" t="e">
        <f>H7*I17</f>
        <v>#REF!</v>
      </c>
      <c r="I17" t="e">
        <f>#REF!</f>
        <v>#REF!</v>
      </c>
    </row>
    <row r="18">
      <c r="A18" t="str">
        <v>I.</v>
      </c>
      <c r="B18" t="str">
        <v>ASSURANSI</v>
      </c>
    </row>
    <row r="19">
      <c r="B19" t="str">
        <v>All Risk</v>
      </c>
      <c r="C19" t="str">
        <v>3 % ( a )</v>
      </c>
      <c r="G19" t="str">
        <v>Rp.</v>
      </c>
      <c r="H19" t="e">
        <f>H7*I19</f>
        <v>#REF!</v>
      </c>
      <c r="I19" t="e">
        <f>#REF!</f>
        <v>#REF!</v>
      </c>
    </row>
    <row r="20">
      <c r="B20" t="str">
        <v>Tenaga Kerja (ASTEK)</v>
      </c>
      <c r="C20" t="str">
        <v>0,5 % ( a )</v>
      </c>
      <c r="G20" t="str">
        <v>Rp.</v>
      </c>
      <c r="H20" t="e">
        <f>H7*I20</f>
        <v>#REF!</v>
      </c>
      <c r="I20" t="e">
        <f>#REF!</f>
        <v>#REF!</v>
      </c>
    </row>
    <row r="21">
      <c r="B21" t="str">
        <v>Pihak ke III</v>
      </c>
      <c r="C21" t="str">
        <v>0,3 % ( a )</v>
      </c>
      <c r="G21" t="str">
        <v>Rp.</v>
      </c>
      <c r="H21" t="e">
        <f>H7*I21</f>
        <v>#REF!</v>
      </c>
      <c r="I21" t="e">
        <f>#REF!</f>
        <v>#REF!</v>
      </c>
    </row>
    <row r="22">
      <c r="A22" t="str">
        <v>J.</v>
      </c>
      <c r="B22" t="str">
        <v>TINGKAT INFLASI</v>
      </c>
      <c r="C22" t="str">
        <v>5 % ( a )</v>
      </c>
      <c r="G22" t="str">
        <v>Rp.</v>
      </c>
      <c r="H22" t="e">
        <f>H7*I22</f>
        <v>#REF!</v>
      </c>
      <c r="I22" t="e">
        <f>#REF!</f>
        <v>#REF!</v>
      </c>
    </row>
    <row r="23">
      <c r="A23" t="str">
        <v>K.</v>
      </c>
      <c r="B23" t="str">
        <v>KESELAMATAN DAN KESEHATAN KERJA</v>
      </c>
      <c r="C23" t="str">
        <v>0,3 % ( a + F + G )</v>
      </c>
      <c r="G23" t="str">
        <v>Rp.</v>
      </c>
      <c r="H23" t="e">
        <f>(H7+H11+H13+H14)*I23</f>
        <v>#REF!</v>
      </c>
      <c r="I23" t="e">
        <f>#REF!</f>
        <v>#REF!</v>
      </c>
    </row>
    <row r="24">
      <c r="G24" t="str">
        <v>Jumlah Biaya Tidak Langsung ( b ) … Rp.</v>
      </c>
      <c r="H24" t="e">
        <f>SUM(H11:H23)</f>
        <v>#REF!</v>
      </c>
    </row>
    <row r="26">
      <c r="C26" t="str">
        <v>c = a + b</v>
      </c>
      <c r="G26" t="str">
        <v>TOTAL ( c ) … Rp.</v>
      </c>
      <c r="H26" t="e">
        <f>H7+H24</f>
        <v>#REF!</v>
      </c>
    </row>
    <row r="28">
      <c r="G28" t="str">
        <v>Panjang pagar ( d ) … M</v>
      </c>
      <c r="H28">
        <v>1</v>
      </c>
    </row>
    <row r="29">
      <c r="C29" t="str">
        <v>c / d</v>
      </c>
      <c r="G29" t="str">
        <v>Harga pagar / m … Rp.</v>
      </c>
      <c r="H29" t="e">
        <f>H26/H28</f>
        <v>#REF!</v>
      </c>
    </row>
    <row r="32">
      <c r="A32" t="str">
        <v>REKAPITULASI BIAYA STANDAR PAGAR SAMPING BANGUNAN GEDUNG NEGARA</v>
      </c>
    </row>
    <row r="34">
      <c r="A34" t="str">
        <v>I</v>
      </c>
      <c r="B34" t="str">
        <v>BIAYA KONSTRUKSI</v>
      </c>
    </row>
    <row r="35">
      <c r="A35" t="str">
        <f>A135</f>
        <v>B</v>
      </c>
      <c r="B35" t="str">
        <f>B135</f>
        <v>PAGAR SAMPING tinggi 2 m</v>
      </c>
      <c r="G35" t="str">
        <v>Rp.</v>
      </c>
      <c r="H35">
        <f>H170</f>
        <v>11720000</v>
      </c>
    </row>
    <row r="37">
      <c r="G37" t="str">
        <v>Jumlah Biaya Konstruksi ( a ) … Rp.</v>
      </c>
      <c r="H37">
        <f>SUM(H35:H35)</f>
        <v>11720000</v>
      </c>
    </row>
    <row r="38">
      <c r="G38" t="str">
        <v>Harga pagar / m … Rp.</v>
      </c>
      <c r="H38">
        <f>H37/H58</f>
        <v>11720000</v>
      </c>
    </row>
    <row r="40">
      <c r="A40" t="str">
        <v>II</v>
      </c>
      <c r="B40" t="str">
        <v>BIAYA NON KONSTRUKSI</v>
      </c>
    </row>
    <row r="41">
      <c r="A41" t="str">
        <v>F.</v>
      </c>
      <c r="B41" t="str">
        <v>JASA KONTRAKTOR &amp; OVERHEAD</v>
      </c>
      <c r="C41" t="str">
        <v>10 % ( a )</v>
      </c>
      <c r="G41" t="str">
        <v>Rp.</v>
      </c>
      <c r="H41" t="e">
        <f>H37*I41</f>
        <v>#REF!</v>
      </c>
      <c r="I41" t="e">
        <f>#REF!</f>
        <v>#REF!</v>
      </c>
    </row>
    <row r="42">
      <c r="A42" t="str">
        <v>G.</v>
      </c>
      <c r="B42" t="str">
        <v>PAJAK</v>
      </c>
    </row>
    <row r="43">
      <c r="B43" t="str">
        <v>- PPh  Pasal  21 &amp; 23</v>
      </c>
      <c r="C43" t="str">
        <v>2 % ( a )</v>
      </c>
      <c r="G43" t="str">
        <v>Rp.</v>
      </c>
      <c r="H43" t="e">
        <f>H37*I43</f>
        <v>#REF!</v>
      </c>
      <c r="I43" t="e">
        <f>#REF!</f>
        <v>#REF!</v>
      </c>
    </row>
    <row r="44">
      <c r="B44" t="str">
        <v>- PPn</v>
      </c>
      <c r="C44" t="str">
        <v>10 % ( a )</v>
      </c>
      <c r="G44" t="str">
        <v>Rp.</v>
      </c>
      <c r="H44" t="e">
        <f>H37*I44</f>
        <v>#REF!</v>
      </c>
      <c r="I44" t="e">
        <f>#REF!</f>
        <v>#REF!</v>
      </c>
    </row>
    <row r="45">
      <c r="A45" t="str">
        <v>H.</v>
      </c>
      <c r="B45" t="str">
        <v>PERIZINAN</v>
      </c>
    </row>
    <row r="46">
      <c r="B46" t="str">
        <v>- Izin Mendirikan Bangunan ( IMB )</v>
      </c>
      <c r="C46" t="str">
        <v>1 % ( a )</v>
      </c>
      <c r="G46" t="str">
        <v>Rp.</v>
      </c>
      <c r="H46" t="e">
        <f>H37*I46</f>
        <v>#REF!</v>
      </c>
      <c r="I46" t="e">
        <f>#REF!</f>
        <v>#REF!</v>
      </c>
    </row>
    <row r="47">
      <c r="B47" t="str">
        <v>- Sertifikat Layak Fungsi</v>
      </c>
      <c r="C47" t="str">
        <v>0,5 % ( a )</v>
      </c>
      <c r="G47" t="str">
        <v>Rp.</v>
      </c>
      <c r="H47" t="e">
        <f>H37*I47</f>
        <v>#REF!</v>
      </c>
      <c r="I47" t="e">
        <f>#REF!</f>
        <v>#REF!</v>
      </c>
    </row>
    <row r="48">
      <c r="A48" t="str">
        <v>I.</v>
      </c>
      <c r="B48" t="str">
        <v>ASSURANSI</v>
      </c>
    </row>
    <row r="49">
      <c r="B49" t="str">
        <v>All Risk</v>
      </c>
      <c r="C49" t="str">
        <v>3 % ( a )</v>
      </c>
      <c r="G49" t="str">
        <v>Rp.</v>
      </c>
      <c r="H49" t="e">
        <f>H37*I49</f>
        <v>#REF!</v>
      </c>
      <c r="I49" t="e">
        <f>#REF!</f>
        <v>#REF!</v>
      </c>
    </row>
    <row r="50">
      <c r="B50" t="str">
        <v>Tenaga Kerja (ASTEK)</v>
      </c>
      <c r="C50" t="str">
        <v>0,5 % ( a )</v>
      </c>
      <c r="G50" t="str">
        <v>Rp.</v>
      </c>
      <c r="H50" t="e">
        <f>H37*I50</f>
        <v>#REF!</v>
      </c>
      <c r="I50" t="e">
        <f>#REF!</f>
        <v>#REF!</v>
      </c>
    </row>
    <row r="51">
      <c r="B51" t="str">
        <v>Pihak ke III</v>
      </c>
      <c r="C51" t="str">
        <v>0,3 % ( a )</v>
      </c>
      <c r="G51" t="str">
        <v>Rp.</v>
      </c>
      <c r="H51" t="e">
        <f>H37*I51</f>
        <v>#REF!</v>
      </c>
      <c r="I51" t="e">
        <f>#REF!</f>
        <v>#REF!</v>
      </c>
    </row>
    <row r="52">
      <c r="A52" t="str">
        <v>J.</v>
      </c>
      <c r="B52" t="str">
        <v>TINGKAT INFLASI</v>
      </c>
      <c r="C52" t="str">
        <v>5 % ( a )</v>
      </c>
      <c r="G52" t="str">
        <v>Rp.</v>
      </c>
      <c r="H52" t="e">
        <f>H37*I52</f>
        <v>#REF!</v>
      </c>
      <c r="I52" t="e">
        <f>#REF!</f>
        <v>#REF!</v>
      </c>
    </row>
    <row r="53">
      <c r="A53" t="str">
        <v>K.</v>
      </c>
      <c r="B53" t="str">
        <v>KESELAMATAN DAN KESEHATAN KERJA</v>
      </c>
      <c r="C53" t="str">
        <v>0,3 % ( a + F + G )</v>
      </c>
      <c r="G53" t="str">
        <v>Rp.</v>
      </c>
      <c r="H53" t="e">
        <f>(H37+H41+H43+H44)*I53</f>
        <v>#REF!</v>
      </c>
      <c r="I53" t="e">
        <f>#REF!</f>
        <v>#REF!</v>
      </c>
    </row>
    <row r="54">
      <c r="G54" t="str">
        <v>Jumlah Biaya Tidak Langsung ( b ) … Rp.</v>
      </c>
      <c r="H54" t="e">
        <f>SUM(H41:H53)</f>
        <v>#REF!</v>
      </c>
    </row>
    <row r="56">
      <c r="C56" t="str">
        <v>c = a + b</v>
      </c>
      <c r="G56" t="str">
        <v>TOTAL ( c ) … Rp.</v>
      </c>
      <c r="H56" t="e">
        <f>H37+H54</f>
        <v>#REF!</v>
      </c>
    </row>
    <row r="58">
      <c r="G58" t="str">
        <v>Panjang pagar ( d ) … M</v>
      </c>
      <c r="H58">
        <v>1</v>
      </c>
    </row>
    <row r="59">
      <c r="C59" t="str">
        <v>c / d</v>
      </c>
      <c r="G59" t="str">
        <v>Harga pagar / m … Rp.</v>
      </c>
      <c r="H59" t="e">
        <f>H56/H58</f>
        <v>#REF!</v>
      </c>
    </row>
    <row r="62">
      <c r="A62" t="str">
        <v>REKAPITULASI BIAYA STANDAR PAGAR BELAKANG BANGUNAN GEDUNG NEGARA</v>
      </c>
    </row>
    <row r="64">
      <c r="A64" t="str">
        <v>I</v>
      </c>
      <c r="B64" t="str">
        <v>BIAYA KONSTRUKSI</v>
      </c>
    </row>
    <row r="65">
      <c r="A65" t="str">
        <f>A172</f>
        <v>C</v>
      </c>
      <c r="B65" t="str">
        <f>B172</f>
        <v>PAGAR BELAKANG tinggi 3,00 m</v>
      </c>
      <c r="G65" t="str">
        <v>Rp.</v>
      </c>
      <c r="H65">
        <f>H208</f>
        <v>14380000</v>
      </c>
    </row>
    <row r="67">
      <c r="G67" t="str">
        <v>Jumlah Biaya Konstruksi ( a ) … Rp.</v>
      </c>
      <c r="H67">
        <f>SUM(H65:H65)</f>
        <v>14380000</v>
      </c>
    </row>
    <row r="68">
      <c r="G68" t="str">
        <v>Harga pagar / m … Rp.</v>
      </c>
      <c r="H68">
        <f>H67/H88</f>
        <v>14380000</v>
      </c>
    </row>
    <row r="70">
      <c r="A70" t="str">
        <v>II</v>
      </c>
      <c r="B70" t="str">
        <v>BIAYA NON KONSTRUKSI</v>
      </c>
    </row>
    <row r="71">
      <c r="A71" t="str">
        <v>F.</v>
      </c>
      <c r="B71" t="str">
        <v>JASA KONTRAKTOR &amp; OVERHEAD</v>
      </c>
      <c r="C71" t="str">
        <v>10 % ( a )</v>
      </c>
      <c r="G71" t="str">
        <v>Rp.</v>
      </c>
      <c r="H71" t="e">
        <f>H67*I71</f>
        <v>#REF!</v>
      </c>
      <c r="I71" t="e">
        <f>#REF!</f>
        <v>#REF!</v>
      </c>
    </row>
    <row r="72">
      <c r="A72" t="str">
        <v>G.</v>
      </c>
      <c r="B72" t="str">
        <v>PAJAK</v>
      </c>
    </row>
    <row r="73">
      <c r="B73" t="str">
        <v>- PPh  Pasal  21 &amp; 23</v>
      </c>
      <c r="C73" t="str">
        <v>2 % ( a )</v>
      </c>
      <c r="G73" t="str">
        <v>Rp.</v>
      </c>
      <c r="H73" t="e">
        <f>H67*I73</f>
        <v>#REF!</v>
      </c>
      <c r="I73" t="e">
        <f>#REF!</f>
        <v>#REF!</v>
      </c>
    </row>
    <row r="74">
      <c r="B74" t="str">
        <v>- PPn</v>
      </c>
      <c r="C74" t="str">
        <v>10 % ( a )</v>
      </c>
      <c r="G74" t="str">
        <v>Rp.</v>
      </c>
      <c r="H74" t="e">
        <f>H67*I74</f>
        <v>#REF!</v>
      </c>
      <c r="I74" t="e">
        <f>#REF!</f>
        <v>#REF!</v>
      </c>
    </row>
    <row r="75">
      <c r="A75" t="str">
        <v>H.</v>
      </c>
      <c r="B75" t="str">
        <v>PERIZINAN</v>
      </c>
    </row>
    <row r="76">
      <c r="B76" t="str">
        <v>- Izin Mendirikan Bangunan ( IMB )</v>
      </c>
      <c r="C76" t="str">
        <v>1 % ( a )</v>
      </c>
      <c r="G76" t="str">
        <v>Rp.</v>
      </c>
      <c r="H76" t="e">
        <f>H67*I76</f>
        <v>#REF!</v>
      </c>
      <c r="I76" t="e">
        <f>#REF!</f>
        <v>#REF!</v>
      </c>
    </row>
    <row r="77">
      <c r="B77" t="str">
        <v>- Sertifikat Layak Fungsi</v>
      </c>
      <c r="C77" t="str">
        <v>0,5 % ( a )</v>
      </c>
      <c r="G77" t="str">
        <v>Rp.</v>
      </c>
      <c r="H77" t="e">
        <f>H67*I77</f>
        <v>#REF!</v>
      </c>
      <c r="I77" t="e">
        <f>#REF!</f>
        <v>#REF!</v>
      </c>
    </row>
    <row r="78">
      <c r="A78" t="str">
        <v>I.</v>
      </c>
      <c r="B78" t="str">
        <v>ASSURANSI</v>
      </c>
    </row>
    <row r="79">
      <c r="B79" t="str">
        <v>All Risk</v>
      </c>
      <c r="C79" t="str">
        <v>3 % ( a )</v>
      </c>
      <c r="G79" t="str">
        <v>Rp.</v>
      </c>
      <c r="H79" t="e">
        <f>H67*I79</f>
        <v>#REF!</v>
      </c>
      <c r="I79" t="e">
        <f>#REF!</f>
        <v>#REF!</v>
      </c>
    </row>
    <row r="80">
      <c r="B80" t="str">
        <v>Tenaga Kerja (ASTEK)</v>
      </c>
      <c r="C80" t="str">
        <v>0,5 % ( a )</v>
      </c>
      <c r="G80" t="str">
        <v>Rp.</v>
      </c>
      <c r="H80" t="e">
        <f>H67*I80</f>
        <v>#REF!</v>
      </c>
      <c r="I80" t="e">
        <f>#REF!</f>
        <v>#REF!</v>
      </c>
    </row>
    <row r="81">
      <c r="B81" t="str">
        <v>Pihak ke III</v>
      </c>
      <c r="C81" t="str">
        <v>0,3 % ( a )</v>
      </c>
      <c r="G81" t="str">
        <v>Rp.</v>
      </c>
      <c r="H81" t="e">
        <f>H67*I81</f>
        <v>#REF!</v>
      </c>
      <c r="I81" t="e">
        <f>#REF!</f>
        <v>#REF!</v>
      </c>
    </row>
    <row r="82">
      <c r="A82" t="str">
        <v>J.</v>
      </c>
      <c r="B82" t="str">
        <v>TINGKAT INFLASI</v>
      </c>
      <c r="C82" t="str">
        <v>5 % ( a )</v>
      </c>
      <c r="G82" t="str">
        <v>Rp.</v>
      </c>
      <c r="H82" t="e">
        <f>H67*I82</f>
        <v>#REF!</v>
      </c>
      <c r="I82" t="e">
        <f>#REF!</f>
        <v>#REF!</v>
      </c>
    </row>
    <row r="83">
      <c r="A83" t="str">
        <v>K.</v>
      </c>
      <c r="B83" t="str">
        <v>KESELAMATAN DAN KESEHATAN KERJA</v>
      </c>
      <c r="C83" t="str">
        <v>0,3 % ( a + F + G )</v>
      </c>
      <c r="G83" t="str">
        <v>Rp.</v>
      </c>
      <c r="H83" t="e">
        <f>(H67+H71+H73+H74)*I83</f>
        <v>#REF!</v>
      </c>
      <c r="I83" t="e">
        <f>#REF!</f>
        <v>#REF!</v>
      </c>
    </row>
    <row r="84">
      <c r="G84" t="str">
        <v>Jumlah Biaya Tidak Langsung ( b ) … Rp.</v>
      </c>
      <c r="H84" t="e">
        <f>SUM(H71:H83)</f>
        <v>#REF!</v>
      </c>
    </row>
    <row r="86">
      <c r="C86" t="str">
        <v>c = a + b</v>
      </c>
      <c r="G86" t="str">
        <v>TOTAL ( c ) … Rp.</v>
      </c>
      <c r="H86" t="e">
        <f>H67+H84</f>
        <v>#REF!</v>
      </c>
    </row>
    <row r="88">
      <c r="G88" t="str">
        <v>Panjang pagar ( d ) … M</v>
      </c>
      <c r="H88">
        <v>1</v>
      </c>
    </row>
    <row r="89">
      <c r="C89" t="str">
        <v>c / d</v>
      </c>
      <c r="G89" t="str">
        <v>Harga pagar / m … Rp.</v>
      </c>
      <c r="H89" t="e">
        <f>H86/H88</f>
        <v>#REF!</v>
      </c>
    </row>
    <row r="95">
      <c r="A95" t="str">
        <v>RINCIAN BIAYA STANDAR PAGAR DEPAN BANGUNAN GEDUNG NEGARA</v>
      </c>
    </row>
    <row r="96">
      <c r="A96" t="str">
        <v>No</v>
      </c>
      <c r="B96" t="str">
        <v>Uraian Pekerjaan</v>
      </c>
      <c r="C96" t="str">
        <v>Keterangan</v>
      </c>
      <c r="D96" t="str">
        <v>Satuan</v>
      </c>
      <c r="E96" t="str">
        <v>Volume</v>
      </c>
      <c r="F96" t="str">
        <v>Harga Satuan</v>
      </c>
      <c r="G96" t="str">
        <v>Jumlah Harga</v>
      </c>
    </row>
    <row r="97">
      <c r="F97" t="str">
        <v>Rp.</v>
      </c>
      <c r="G97" t="str">
        <v>Rp.</v>
      </c>
    </row>
    <row r="99">
      <c r="A99" t="str">
        <v>A</v>
      </c>
      <c r="B99" t="str">
        <v>PAGAR DEPAN tinggi 1,50 m</v>
      </c>
    </row>
    <row r="101">
      <c r="A101" t="str">
        <v>I.</v>
      </c>
      <c r="B101" t="str">
        <v>Pekerjaan Pondasi Batukali</v>
      </c>
    </row>
    <row r="102">
      <c r="A102">
        <v>1</v>
      </c>
      <c r="B102" t="str">
        <v>Galian tanah, dalam  s/d 1 m</v>
      </c>
      <c r="D102" t="str">
        <v>m3</v>
      </c>
      <c r="E102">
        <f>'QTY-PG'!D30</f>
        <v>9.24</v>
      </c>
      <c r="F102">
        <f>SUMIF(SNI!C$1:C$65536,'RAB - PG'!B$1:B$65536,SNI!L$1:L$65536)</f>
        <v>0</v>
      </c>
      <c r="G102">
        <f>E102*F102</f>
        <v>0</v>
      </c>
    </row>
    <row r="103">
      <c r="A103">
        <v>2</v>
      </c>
      <c r="B103" t="str">
        <v>Pas. Urugan pasir</v>
      </c>
      <c r="D103" t="str">
        <v>m3</v>
      </c>
      <c r="E103">
        <f>'QTY-PG'!D31</f>
        <v>0.41999999999999993</v>
      </c>
      <c r="F103">
        <f>SUMIF(SNI!C$1:C$65536,'RAB - PG'!B$1:B$65536,SNI!L$1:L$65536)</f>
        <v>0</v>
      </c>
      <c r="G103">
        <f>E103*F103</f>
        <v>0</v>
      </c>
    </row>
    <row r="104">
      <c r="A104">
        <v>3</v>
      </c>
      <c r="B104" t="str">
        <v>Aanstamping batu kali</v>
      </c>
      <c r="D104" t="str">
        <v>m3</v>
      </c>
      <c r="E104">
        <f>'QTY-PG'!D32</f>
        <v>1.2599999999999998</v>
      </c>
      <c r="F104">
        <f>SUMIF(SNI!C$1:C$65536,'RAB - PG'!B$1:B$65536,SNI!L$1:L$65536)</f>
        <v>0</v>
      </c>
      <c r="G104">
        <f>E104*F104</f>
        <v>0</v>
      </c>
    </row>
    <row r="105">
      <c r="A105">
        <v>4</v>
      </c>
      <c r="B105" t="str">
        <v>Pas. pondasi batu kali 1:4</v>
      </c>
      <c r="C105" t="str">
        <v>Spesi 1 : 4</v>
      </c>
      <c r="D105" t="str">
        <v>m3</v>
      </c>
      <c r="E105">
        <f>'QTY-PG'!D33</f>
        <v>3.7799999999999994</v>
      </c>
      <c r="F105">
        <f>SUMIF(SNI!C$1:C$65536,'RAB - PG'!B$1:B$65536,SNI!L$1:L$65536)</f>
        <v>0</v>
      </c>
      <c r="G105">
        <f>E105*F105</f>
        <v>0</v>
      </c>
    </row>
    <row r="106">
      <c r="A106">
        <v>5</v>
      </c>
      <c r="B106" t="str">
        <v>Urugan tanah kembali</v>
      </c>
      <c r="C106" t="str">
        <v>Sisi pondasi</v>
      </c>
      <c r="D106" t="str">
        <v>m3</v>
      </c>
      <c r="E106">
        <f>'QTY-PG'!D34</f>
        <v>3.780000000000001</v>
      </c>
      <c r="F106">
        <f>SUMIF(SNI!C$1:C$65536,'RAB - PG'!B$1:B$65536,SNI!L$1:L$65536)</f>
        <v>0</v>
      </c>
      <c r="G106">
        <f>E106*F106</f>
        <v>0</v>
      </c>
    </row>
    <row r="107">
      <c r="A107">
        <v>6</v>
      </c>
      <c r="B107" t="str">
        <v>Buang tanah</v>
      </c>
      <c r="C107" t="str">
        <v>Didalam site</v>
      </c>
      <c r="D107" t="str">
        <v>m3</v>
      </c>
      <c r="E107">
        <f>'QTY-PG'!D35</f>
        <v>5.459999999999999</v>
      </c>
      <c r="F107">
        <f>SUMIF(SNI!C$1:C$65536,'RAB - PG'!B$1:B$65536,SNI!L$1:L$65536)</f>
        <v>0</v>
      </c>
      <c r="G107">
        <f>E107*F107</f>
        <v>0</v>
      </c>
      <c r="H107">
        <f>SUM(G102:G107)</f>
        <v>0</v>
      </c>
    </row>
    <row r="109">
      <c r="A109" t="str">
        <v>II.</v>
      </c>
      <c r="B109" t="str">
        <v>Pekerjaan Sloof</v>
      </c>
    </row>
    <row r="110">
      <c r="A110">
        <v>1</v>
      </c>
      <c r="B110" t="str">
        <v>Bekisting sloof beton</v>
      </c>
      <c r="C110" t="str">
        <v>Kayu terentang</v>
      </c>
      <c r="D110" t="str">
        <v>m2</v>
      </c>
      <c r="E110">
        <f>'QTY-PG'!D101</f>
        <v>4.800000000000001</v>
      </c>
      <c r="F110">
        <f>SUMIF(SNI!C$1:C$65536,'RAB - PG'!B$1:B$65536,SNI!L$1:L$65536)</f>
        <v>0</v>
      </c>
      <c r="G110">
        <f>E110*F110</f>
        <v>0</v>
      </c>
    </row>
    <row r="111">
      <c r="A111">
        <v>2</v>
      </c>
      <c r="B111" t="str">
        <v>Tulangan besi beton U-24</v>
      </c>
      <c r="D111" t="str">
        <v>kg</v>
      </c>
      <c r="E111">
        <f>'QTY-PG'!D102</f>
        <v>68.10205500000001</v>
      </c>
      <c r="F111">
        <f>SUMIF(SNI!C$1:C$65536,'RAB - PG'!B$1:B$65536,SNI!L$1:L$65536)</f>
        <v>0</v>
      </c>
      <c r="G111">
        <f>E111*F111</f>
        <v>0</v>
      </c>
    </row>
    <row r="112">
      <c r="A112">
        <v>3</v>
      </c>
      <c r="B112" t="str">
        <v>Beton K - 175</v>
      </c>
      <c r="D112" t="str">
        <v>m3</v>
      </c>
      <c r="E112">
        <f>'QTY-PG'!D103</f>
        <v>0.36</v>
      </c>
      <c r="F112">
        <f>SUMIF(SNI!C$1:C$65536,'RAB - PG'!B$1:B$65536,SNI!L$1:L$65536)</f>
        <v>0</v>
      </c>
      <c r="G112">
        <f>E112*F112</f>
        <v>0</v>
      </c>
      <c r="H112">
        <f>SUM(G110:G112)</f>
        <v>0</v>
      </c>
    </row>
    <row r="114">
      <c r="A114" t="str">
        <v>III.</v>
      </c>
      <c r="B114" t="str">
        <v>Pekerjaan Kolom Praktis</v>
      </c>
    </row>
    <row r="115">
      <c r="A115">
        <v>2</v>
      </c>
      <c r="B115" t="str">
        <v>Bekisting sloof beton</v>
      </c>
      <c r="C115" t="str">
        <v>Mutu baja U-24</v>
      </c>
      <c r="D115" t="str">
        <v>m2</v>
      </c>
      <c r="E115">
        <f>'QTY-PG'!D138</f>
        <v>1.3499999999999999</v>
      </c>
      <c r="F115">
        <f>SUMIF(SNI!C$1:C$65536,'RAB - PG'!B$1:B$65536,SNI!L$1:L$65536)</f>
        <v>0</v>
      </c>
      <c r="G115">
        <f>E115*F115</f>
        <v>0</v>
      </c>
    </row>
    <row r="116">
      <c r="A116">
        <v>1</v>
      </c>
      <c r="B116" t="str">
        <v>Tulangan besi beton U-24</v>
      </c>
      <c r="D116" t="str">
        <v>kg</v>
      </c>
      <c r="E116">
        <f>'QTY-PG'!D139</f>
        <v>31.528727999999994</v>
      </c>
      <c r="F116">
        <f>SUMIF(SNI!C$1:C$65536,'RAB - PG'!B$1:B$65536,SNI!L$1:L$65536)</f>
        <v>0</v>
      </c>
      <c r="G116">
        <f>E116*F116</f>
        <v>0</v>
      </c>
    </row>
    <row r="117">
      <c r="A117">
        <v>3</v>
      </c>
      <c r="B117" t="str">
        <v>Beton K - 175</v>
      </c>
      <c r="D117" t="str">
        <v>m3</v>
      </c>
      <c r="E117">
        <f>'QTY-PG'!D140</f>
        <v>0.10125</v>
      </c>
      <c r="F117">
        <f>SUMIF(SNI!C$1:C$65536,'RAB - PG'!B$1:B$65536,SNI!L$1:L$65536)</f>
        <v>0</v>
      </c>
      <c r="G117">
        <f>E117*F117</f>
        <v>0</v>
      </c>
      <c r="H117">
        <f>SUM(G115:G117)</f>
        <v>0</v>
      </c>
    </row>
    <row r="119">
      <c r="A119" t="str">
        <v>IV.</v>
      </c>
      <c r="B119" t="str">
        <v>Pekerjaan Dinding</v>
      </c>
    </row>
    <row r="120">
      <c r="A120">
        <v>1</v>
      </c>
      <c r="B120" t="str">
        <v xml:space="preserve">Pagar besi </v>
      </c>
      <c r="C120" t="str">
        <v>Besi tempa</v>
      </c>
      <c r="D120" t="str">
        <v>m2</v>
      </c>
      <c r="E120">
        <f>10.9*1.5</f>
        <v>16.35</v>
      </c>
      <c r="F120">
        <f>SUMIF(SNI!C$1:C$65536,'RAB - PG'!B$1:B$65536,SNI!L$1:L$65536)</f>
        <v>0</v>
      </c>
      <c r="G120">
        <f>E120*F120</f>
        <v>0</v>
      </c>
    </row>
    <row r="121">
      <c r="A121">
        <v>2</v>
      </c>
      <c r="B121" t="str">
        <v>Pintu pagar besi</v>
      </c>
      <c r="C121" t="str">
        <v>Besi tempa</v>
      </c>
      <c r="D121" t="str">
        <v>m2</v>
      </c>
      <c r="E121">
        <f>1*1.5</f>
        <v>1.5</v>
      </c>
      <c r="F121">
        <f>F120*1.25</f>
        <v>0</v>
      </c>
      <c r="G121">
        <f>E121*F121</f>
        <v>0</v>
      </c>
      <c r="H121">
        <f>SUM(G120:G121)</f>
        <v>0</v>
      </c>
    </row>
    <row r="123">
      <c r="B123" t="str">
        <v>pilar ;</v>
      </c>
    </row>
    <row r="124">
      <c r="A124">
        <v>3</v>
      </c>
      <c r="B124" t="str">
        <v>Pas. Dinding batu bata; ad 1:4</v>
      </c>
      <c r="C124" t="str">
        <v>Spesi 1 : 4</v>
      </c>
      <c r="D124" t="str">
        <v>m2</v>
      </c>
      <c r="E124">
        <f>((1.2*1.5)*5)+(0.55*12)</f>
        <v>15.600000000000001</v>
      </c>
      <c r="F124">
        <f>SUMIF(SNI!C$1:C$65536,'RAB - PG'!B$1:B$65536,SNI!L$1:L$65536)</f>
        <v>5227500</v>
      </c>
      <c r="G124">
        <f>E124*F124</f>
        <v>81549000</v>
      </c>
    </row>
    <row r="125">
      <c r="A125">
        <v>4</v>
      </c>
      <c r="B125" t="str">
        <v>Pas. Plester acian; ad. 1:4</v>
      </c>
      <c r="C125" t="str">
        <v>Spesi 1 : 4</v>
      </c>
      <c r="D125" t="str">
        <v>m2</v>
      </c>
      <c r="E125">
        <f>E124*2</f>
        <v>31.200000000000003</v>
      </c>
      <c r="F125">
        <f>SUMIF(SNI!C$1:C$65536,'RAB - PG'!B$1:B$65536,SNI!L$1:L$65536)</f>
        <v>0</v>
      </c>
      <c r="G125">
        <f>E125*F125</f>
        <v>0</v>
      </c>
    </row>
    <row r="126">
      <c r="A126">
        <v>5</v>
      </c>
      <c r="B126" t="str">
        <v>Cat dinding dalam acrylic emulsion KW.II</v>
      </c>
      <c r="C126" t="str">
        <v>ex Mowilex</v>
      </c>
      <c r="D126" t="str">
        <v>m2</v>
      </c>
      <c r="E126">
        <f>E124*2</f>
        <v>31.200000000000003</v>
      </c>
      <c r="F126">
        <f>SUMIF(SNI!C$1:C$65536,'RAB - PG'!B$1:B$65536,SNI!L$1:L$65536)</f>
        <v>0</v>
      </c>
      <c r="G126">
        <f>E126*F126</f>
        <v>0</v>
      </c>
    </row>
    <row r="128">
      <c r="G128" t="str">
        <v>Jumlah… Rp.</v>
      </c>
      <c r="H128">
        <f>SUM(G100:G127)</f>
        <v>81549000</v>
      </c>
    </row>
    <row r="129">
      <c r="G129" t="str">
        <v>Ppn 10%… Rp.</v>
      </c>
      <c r="H129">
        <f>0.1*H128</f>
        <v>8154900</v>
      </c>
    </row>
    <row r="130">
      <c r="G130" t="str">
        <v>Total</v>
      </c>
      <c r="H130">
        <f>H128+H129</f>
        <v>89703900</v>
      </c>
    </row>
    <row r="131">
      <c r="G131" t="str">
        <v>Panjang pagar,…m</v>
      </c>
      <c r="H131">
        <v>12</v>
      </c>
    </row>
    <row r="132">
      <c r="G132" t="str">
        <v>Harga pagar …/m</v>
      </c>
      <c r="H132">
        <f>H130/H131</f>
        <v>7475325</v>
      </c>
    </row>
    <row r="133">
      <c r="G133" t="str">
        <v>Dibulatkan …/m</v>
      </c>
      <c r="H133">
        <f>ROUND(H132,-4)</f>
        <v>7480000</v>
      </c>
    </row>
    <row r="134">
      <c r="A134" t="str">
        <v>RINCIAN BIAYA STANDAR PAGAR SAMPING BANGUNAN GEDUNG NEGARA</v>
      </c>
    </row>
    <row r="135">
      <c r="A135" t="str">
        <v>B</v>
      </c>
      <c r="B135" t="str">
        <v>PAGAR SAMPING tinggi 2 m</v>
      </c>
    </row>
    <row r="137">
      <c r="A137" t="str">
        <v>I.</v>
      </c>
      <c r="B137" t="str">
        <v>Pekerjaan Pondasi Batukali</v>
      </c>
    </row>
    <row r="138">
      <c r="A138">
        <v>1</v>
      </c>
      <c r="B138" t="str">
        <v>Galian tanah, dalam  s/d 1 m</v>
      </c>
      <c r="D138" t="str">
        <v>m3</v>
      </c>
      <c r="E138">
        <f>'QTY-PG'!E30</f>
        <v>6.2755</v>
      </c>
      <c r="F138">
        <f>SUMIF(SNI!C$1:C$65536,'RAB - PG'!B$1:B$65536,SNI!L$1:L$65536)</f>
        <v>0</v>
      </c>
      <c r="G138">
        <f>E138*F138</f>
        <v>0</v>
      </c>
    </row>
    <row r="139">
      <c r="A139">
        <v>2</v>
      </c>
      <c r="B139" t="str">
        <v>Pas. Urugan pasir</v>
      </c>
      <c r="D139" t="str">
        <v>m3</v>
      </c>
      <c r="E139">
        <f>'QTY-PG'!E31</f>
        <v>0.28525</v>
      </c>
      <c r="F139">
        <f>SUMIF(SNI!C$1:C$65536,'RAB - PG'!B$1:B$65536,SNI!L$1:L$65536)</f>
        <v>0</v>
      </c>
      <c r="G139">
        <f>E139*F139</f>
        <v>0</v>
      </c>
    </row>
    <row r="140">
      <c r="A140">
        <v>3</v>
      </c>
      <c r="B140" t="str">
        <v>Aanstamping batu kali</v>
      </c>
      <c r="D140" t="str">
        <v>m3</v>
      </c>
      <c r="E140">
        <f>'QTY-PG'!E32</f>
        <v>0.85575</v>
      </c>
      <c r="F140">
        <f>SUMIF(SNI!C$1:C$65536,'RAB - PG'!B$1:B$65536,SNI!L$1:L$65536)</f>
        <v>0</v>
      </c>
      <c r="G140">
        <f>E140*F140</f>
        <v>0</v>
      </c>
    </row>
    <row r="141">
      <c r="A141">
        <v>4</v>
      </c>
      <c r="B141" t="str">
        <v>Pas. pondasi batu kali 1:4</v>
      </c>
      <c r="C141" t="str">
        <v>Spesi 1 : 4</v>
      </c>
      <c r="D141" t="str">
        <v>m3</v>
      </c>
      <c r="E141">
        <f>'QTY-PG'!E33</f>
        <v>2.5672499999999996</v>
      </c>
      <c r="F141">
        <f>SUMIF(SNI!C$1:C$65536,'RAB - PG'!B$1:B$65536,SNI!L$1:L$65536)</f>
        <v>0</v>
      </c>
      <c r="G141">
        <f>E141*F141</f>
        <v>0</v>
      </c>
    </row>
    <row r="142">
      <c r="A142">
        <v>5</v>
      </c>
      <c r="B142" t="str">
        <v>Urugan tanah kembali</v>
      </c>
      <c r="C142" t="str">
        <v>Sisi pondasi</v>
      </c>
      <c r="D142" t="str">
        <v>m3</v>
      </c>
      <c r="E142">
        <f>'QTY-PG'!E34</f>
        <v>2.5672500000000005</v>
      </c>
      <c r="F142">
        <f>SUMIF(SNI!C$1:C$65536,'RAB - PG'!B$1:B$65536,SNI!L$1:L$65536)</f>
        <v>0</v>
      </c>
      <c r="G142">
        <f>E142*F142</f>
        <v>0</v>
      </c>
    </row>
    <row r="143">
      <c r="A143">
        <v>6</v>
      </c>
      <c r="B143" t="str">
        <v>Buang tanah</v>
      </c>
      <c r="C143" t="str">
        <v>Didalam site</v>
      </c>
      <c r="D143" t="str">
        <v>m3</v>
      </c>
      <c r="E143">
        <f>'QTY-PG'!E35</f>
        <v>3.7082499999999996</v>
      </c>
      <c r="F143">
        <f>SUMIF(SNI!C$1:C$65536,'RAB - PG'!B$1:B$65536,SNI!L$1:L$65536)</f>
        <v>0</v>
      </c>
      <c r="G143">
        <f>E143*F143</f>
        <v>0</v>
      </c>
      <c r="H143">
        <f>SUM(G138:G143)</f>
        <v>0</v>
      </c>
    </row>
    <row r="145">
      <c r="A145" t="str">
        <v>II.</v>
      </c>
      <c r="B145" t="str">
        <v>Pekerjaan Sloof</v>
      </c>
    </row>
    <row r="146">
      <c r="A146">
        <v>1</v>
      </c>
      <c r="B146" t="str">
        <v>Bekisting sloof beton</v>
      </c>
      <c r="C146" t="str">
        <v>Kayu terentang</v>
      </c>
      <c r="D146" t="str">
        <v>m2</v>
      </c>
      <c r="E146">
        <f>'QTY-PG'!E101</f>
        <v>3.2600000000000002</v>
      </c>
      <c r="F146">
        <f>SUMIF(SNI!C$1:C$65536,'RAB - PG'!B$1:B$65536,SNI!L$1:L$65536)</f>
        <v>0</v>
      </c>
      <c r="G146">
        <f>E146*F146</f>
        <v>0</v>
      </c>
    </row>
    <row r="147">
      <c r="A147">
        <v>2</v>
      </c>
      <c r="B147" t="str">
        <v>Tulangan besi beton U-24</v>
      </c>
      <c r="D147" t="str">
        <v>kg</v>
      </c>
      <c r="E147">
        <f>'QTY-PG'!E102</f>
        <v>46.249035000000006</v>
      </c>
      <c r="F147">
        <f>SUMIF(SNI!C$1:C$65536,'RAB - PG'!B$1:B$65536,SNI!L$1:L$65536)</f>
        <v>0</v>
      </c>
      <c r="G147">
        <f>E147*F147</f>
        <v>0</v>
      </c>
    </row>
    <row r="148">
      <c r="A148">
        <v>3</v>
      </c>
      <c r="B148" t="str">
        <v>Beton K - 175</v>
      </c>
      <c r="D148" t="str">
        <v>m3</v>
      </c>
      <c r="E148">
        <f>'QTY-PG'!E103</f>
        <v>0.2445</v>
      </c>
      <c r="F148">
        <f>SUMIF(SNI!C$1:C$65536,'RAB - PG'!B$1:B$65536,SNI!L$1:L$65536)</f>
        <v>0</v>
      </c>
      <c r="G148">
        <f>E148*F148</f>
        <v>0</v>
      </c>
      <c r="H148">
        <f>SUM(G146:G148)</f>
        <v>0</v>
      </c>
    </row>
    <row r="150">
      <c r="A150" t="str">
        <v>III.</v>
      </c>
      <c r="B150" t="str">
        <v>Pekerjaan Kolom Praktis</v>
      </c>
    </row>
    <row r="151">
      <c r="A151">
        <v>2</v>
      </c>
      <c r="B151" t="str">
        <v>Bekisting sloof beton</v>
      </c>
      <c r="C151" t="str">
        <v>Mutu baja U-24</v>
      </c>
      <c r="D151" t="str">
        <v>m2</v>
      </c>
      <c r="E151">
        <f>'QTY-PG'!E138</f>
        <v>3</v>
      </c>
      <c r="F151">
        <f>SUMIF(SNI!C$1:C$65536,'RAB - PG'!B$1:B$65536,SNI!L$1:L$65536)</f>
        <v>0</v>
      </c>
      <c r="G151">
        <f>E151*F151</f>
        <v>0</v>
      </c>
    </row>
    <row r="152">
      <c r="A152">
        <v>1</v>
      </c>
      <c r="B152" t="str">
        <v>Tulangan besi beton U-24</v>
      </c>
      <c r="D152" t="str">
        <v>kg</v>
      </c>
      <c r="E152">
        <f>'QTY-PG'!E139</f>
        <v>62.882064</v>
      </c>
      <c r="F152">
        <f>SUMIF(SNI!C$1:C$65536,'RAB - PG'!B$1:B$65536,SNI!L$1:L$65536)</f>
        <v>0</v>
      </c>
      <c r="G152">
        <f>E152*F152</f>
        <v>0</v>
      </c>
    </row>
    <row r="153">
      <c r="A153">
        <v>3</v>
      </c>
      <c r="B153" t="str">
        <v>Beton K - 175</v>
      </c>
      <c r="D153" t="str">
        <v>m3</v>
      </c>
      <c r="E153">
        <f>'QTY-PG'!E140</f>
        <v>0.22499999999999998</v>
      </c>
      <c r="F153">
        <f>SUMIF(SNI!C$1:C$65536,'RAB - PG'!B$1:B$65536,SNI!L$1:L$65536)</f>
        <v>0</v>
      </c>
      <c r="G153">
        <f>E153*F153</f>
        <v>0</v>
      </c>
      <c r="H153">
        <f>SUM(G151:G153)</f>
        <v>0</v>
      </c>
    </row>
    <row r="155">
      <c r="A155" t="str">
        <v>IV.</v>
      </c>
      <c r="B155" t="str">
        <v>Pekerjaan Ringbalk</v>
      </c>
    </row>
    <row r="156">
      <c r="A156">
        <v>1</v>
      </c>
      <c r="B156" t="str">
        <v>Bekisting Praktis beton</v>
      </c>
      <c r="C156" t="str">
        <v>Kayu terentang</v>
      </c>
      <c r="D156" t="str">
        <v>m2</v>
      </c>
      <c r="E156">
        <f>'QTY-PG'!E192</f>
        <v>2.445</v>
      </c>
      <c r="F156">
        <f>SUMIF(SNI!C$1:C$65536,'RAB - PG'!B$1:B$65536,SNI!L$1:L$65536)</f>
        <v>0</v>
      </c>
      <c r="G156">
        <f>E156*F156</f>
        <v>0</v>
      </c>
    </row>
    <row r="157">
      <c r="A157">
        <v>2</v>
      </c>
      <c r="B157" t="str">
        <v>Tulangan besi beton U-24</v>
      </c>
      <c r="D157" t="str">
        <v>kg</v>
      </c>
      <c r="E157">
        <f>'QTY-PG'!E191</f>
        <v>43.97946</v>
      </c>
      <c r="F157">
        <f>SUMIF(SNI!C$1:C$65536,'RAB - PG'!B$1:B$65536,SNI!L$1:L$65536)</f>
        <v>0</v>
      </c>
      <c r="G157">
        <f>E157*F157</f>
        <v>0</v>
      </c>
    </row>
    <row r="158">
      <c r="A158">
        <v>3</v>
      </c>
      <c r="B158" t="str">
        <v>Beton K - 175</v>
      </c>
      <c r="D158" t="str">
        <v>m3</v>
      </c>
      <c r="E158">
        <f>'QTY-PG'!E193</f>
        <v>0.183375</v>
      </c>
      <c r="F158">
        <f>SUMIF(SNI!C$1:C$65536,'RAB - PG'!B$1:B$65536,SNI!L$1:L$65536)</f>
        <v>0</v>
      </c>
      <c r="G158">
        <f>E158*F158</f>
        <v>0</v>
      </c>
      <c r="H158">
        <f>SUM(G156:G158)</f>
        <v>0</v>
      </c>
    </row>
    <row r="160">
      <c r="A160" t="str">
        <v>V.</v>
      </c>
      <c r="B160" t="str">
        <v>Pekerjaan Dinding</v>
      </c>
    </row>
    <row r="161">
      <c r="A161">
        <v>1</v>
      </c>
      <c r="B161" t="str">
        <v>Pas. Dinding batu bata; ad 1:4</v>
      </c>
      <c r="C161" t="str">
        <v>Spesi 1 : 4</v>
      </c>
      <c r="D161" t="str">
        <v>m2</v>
      </c>
      <c r="E161">
        <f>'QTY-PG'!H13</f>
        <v>16.3</v>
      </c>
      <c r="F161">
        <f>SUMIF(SNI!C$1:C$65536,'RAB - PG'!B$1:B$65536,SNI!L$1:L$65536)</f>
        <v>5227500</v>
      </c>
      <c r="G161">
        <f>E161*F161</f>
        <v>85208250</v>
      </c>
    </row>
    <row r="162">
      <c r="A162">
        <v>2</v>
      </c>
      <c r="B162" t="str">
        <v>Pas. Plester acian; ad. 1:4</v>
      </c>
      <c r="C162" t="str">
        <v>Spesi 1 : 4</v>
      </c>
      <c r="D162" t="str">
        <v>m2</v>
      </c>
      <c r="E162">
        <f>E161*2</f>
        <v>32.6</v>
      </c>
      <c r="F162">
        <f>SUMIF(SNI!C$1:C$65536,'RAB - PG'!B$1:B$65536,SNI!L$1:L$65536)</f>
        <v>0</v>
      </c>
      <c r="G162">
        <f>E162*F162</f>
        <v>0</v>
      </c>
    </row>
    <row r="163">
      <c r="A163">
        <v>3</v>
      </c>
      <c r="B163" t="str">
        <v>Cat dinding dalam acrylic emulsion KW.II</v>
      </c>
      <c r="C163" t="str">
        <v>ex Mowilex</v>
      </c>
      <c r="D163" t="str">
        <v>m2</v>
      </c>
      <c r="E163">
        <f>E161*2</f>
        <v>32.6</v>
      </c>
      <c r="F163">
        <f>SUMIF(SNI!C$1:C$65536,'RAB - PG'!B$1:B$65536,SNI!L$1:L$65536)</f>
        <v>0</v>
      </c>
      <c r="G163">
        <f>E163*F163</f>
        <v>0</v>
      </c>
      <c r="H163">
        <f>SUM(G161:G163)</f>
        <v>85208250</v>
      </c>
    </row>
    <row r="165">
      <c r="G165" t="str">
        <v>TOTAL,… Rp.</v>
      </c>
      <c r="H165">
        <f>SUM(G134:G164)</f>
        <v>85208250</v>
      </c>
    </row>
    <row r="166">
      <c r="G166" t="str">
        <v>Ppn 10%… Rp.</v>
      </c>
      <c r="H166">
        <f>0.1*H165</f>
        <v>8520825</v>
      </c>
    </row>
    <row r="167">
      <c r="G167" t="str">
        <v>Total</v>
      </c>
      <c r="H167">
        <f>H165+H166</f>
        <v>93729075</v>
      </c>
    </row>
    <row r="168">
      <c r="G168" t="str">
        <v>Panjang pagar,…m</v>
      </c>
      <c r="H168">
        <v>8</v>
      </c>
    </row>
    <row r="169">
      <c r="G169" t="str">
        <v>Harga pagar …/m</v>
      </c>
      <c r="H169">
        <f>H167/H168</f>
        <v>11716134.375</v>
      </c>
    </row>
    <row r="170">
      <c r="G170" t="str">
        <v>Dibulatkan …/m</v>
      </c>
      <c r="H170">
        <f>ROUND(H169,-4)</f>
        <v>11720000</v>
      </c>
    </row>
    <row r="171">
      <c r="A171" t="str">
        <v>REKAPITULASI BIAYA STANDAR PAGAR BELAKANG BANGUNAN GEDUNG NEGARA</v>
      </c>
    </row>
    <row r="172">
      <c r="A172" t="str">
        <v>C</v>
      </c>
      <c r="B172" t="str">
        <v>PAGAR BELAKANG tinggi 3,00 m</v>
      </c>
    </row>
    <row r="174">
      <c r="A174" t="str">
        <v>I.</v>
      </c>
      <c r="B174" t="str">
        <v>Pekerjaan Pondasi Batukali</v>
      </c>
    </row>
    <row r="175">
      <c r="A175">
        <v>1</v>
      </c>
      <c r="B175" t="str">
        <v>Galian tanah, dalam  s/d 1 m</v>
      </c>
      <c r="D175" t="str">
        <v>m3</v>
      </c>
      <c r="E175">
        <f>'QTY-PG'!F30</f>
        <v>3.85</v>
      </c>
      <c r="F175">
        <f>SUMIF(SNI!C$1:C$65536,'RAB - PG'!B$1:B$65536,SNI!L$1:L$65536)</f>
        <v>0</v>
      </c>
      <c r="G175">
        <f>E175*F175</f>
        <v>0</v>
      </c>
    </row>
    <row r="176">
      <c r="A176">
        <v>2</v>
      </c>
      <c r="B176" t="str">
        <v>Pas. Urugan pasir</v>
      </c>
      <c r="D176" t="str">
        <v>m3</v>
      </c>
      <c r="E176">
        <f>'QTY-PG'!F31</f>
        <v>0.17500000000000002</v>
      </c>
      <c r="F176">
        <f>SUMIF(SNI!C$1:C$65536,'RAB - PG'!B$1:B$65536,SNI!L$1:L$65536)</f>
        <v>0</v>
      </c>
      <c r="G176">
        <f>E176*F176</f>
        <v>0</v>
      </c>
    </row>
    <row r="177">
      <c r="A177">
        <v>3</v>
      </c>
      <c r="B177" t="str">
        <v>Aanstamping batu kali</v>
      </c>
      <c r="D177" t="str">
        <v>m3</v>
      </c>
      <c r="E177">
        <f>'QTY-PG'!F32</f>
        <v>0.525</v>
      </c>
      <c r="F177">
        <f>SUMIF(SNI!C$1:C$65536,'RAB - PG'!B$1:B$65536,SNI!L$1:L$65536)</f>
        <v>0</v>
      </c>
      <c r="G177">
        <f>E177*F177</f>
        <v>0</v>
      </c>
    </row>
    <row r="178">
      <c r="A178">
        <v>4</v>
      </c>
      <c r="B178" t="str">
        <v>Pas. pondasi batu kali 1:4</v>
      </c>
      <c r="C178" t="str">
        <v>Spesi 1 : 4</v>
      </c>
      <c r="D178" t="str">
        <v>m3</v>
      </c>
      <c r="E178">
        <f>'QTY-PG'!F33</f>
        <v>1.5749999999999997</v>
      </c>
      <c r="F178">
        <f>SUMIF(SNI!C$1:C$65536,'RAB - PG'!B$1:B$65536,SNI!L$1:L$65536)</f>
        <v>0</v>
      </c>
      <c r="G178">
        <f>E178*F178</f>
        <v>0</v>
      </c>
    </row>
    <row r="179">
      <c r="A179">
        <v>5</v>
      </c>
      <c r="B179" t="str">
        <v>Urugan tanah kembali</v>
      </c>
      <c r="C179" t="str">
        <v>Sisi pondasi</v>
      </c>
      <c r="D179" t="str">
        <v>m3</v>
      </c>
      <c r="E179">
        <f>'QTY-PG'!F34</f>
        <v>1.5750000000000002</v>
      </c>
      <c r="F179">
        <f>SUMIF(SNI!C$1:C$65536,'RAB - PG'!B$1:B$65536,SNI!L$1:L$65536)</f>
        <v>0</v>
      </c>
      <c r="G179">
        <f>E179*F179</f>
        <v>0</v>
      </c>
    </row>
    <row r="180">
      <c r="A180">
        <v>6</v>
      </c>
      <c r="B180" t="str">
        <v>Buang tanah</v>
      </c>
      <c r="C180" t="str">
        <v>Didalam site</v>
      </c>
      <c r="D180" t="str">
        <v>m3</v>
      </c>
      <c r="E180">
        <f>'QTY-PG'!F35</f>
        <v>2.275</v>
      </c>
      <c r="F180">
        <f>SUMIF(SNI!C$1:C$65536,'RAB - PG'!B$1:B$65536,SNI!L$1:L$65536)</f>
        <v>0</v>
      </c>
      <c r="G180">
        <f>E180*F180</f>
        <v>0</v>
      </c>
      <c r="H180">
        <f>SUM(G175:G180)</f>
        <v>0</v>
      </c>
    </row>
    <row r="182">
      <c r="A182" t="str">
        <v>II.</v>
      </c>
      <c r="B182" t="str">
        <v>Pekerjaan Sloof</v>
      </c>
    </row>
    <row r="183">
      <c r="A183">
        <v>1</v>
      </c>
      <c r="B183" t="str">
        <v>Bekisting sloof beton</v>
      </c>
      <c r="C183" t="str">
        <v>Kayu terentang</v>
      </c>
      <c r="D183" t="str">
        <v>m2</v>
      </c>
      <c r="E183">
        <f>'QTY-PG'!F101</f>
        <v>2</v>
      </c>
      <c r="F183">
        <f>SUMIF(SNI!C$1:C$65536,'RAB - PG'!B$1:B$65536,SNI!L$1:L$65536)</f>
        <v>0</v>
      </c>
      <c r="G183">
        <f>E183*F183</f>
        <v>0</v>
      </c>
    </row>
    <row r="184">
      <c r="A184">
        <v>2</v>
      </c>
      <c r="B184" t="str">
        <v>Tulangan besi beton U-24</v>
      </c>
      <c r="D184" t="str">
        <v>kg</v>
      </c>
      <c r="E184">
        <f>'QTY-PG'!F102</f>
        <v>28.44807</v>
      </c>
      <c r="F184">
        <f>SUMIF(SNI!C$1:C$65536,'RAB - PG'!B$1:B$65536,SNI!L$1:L$65536)</f>
        <v>0</v>
      </c>
      <c r="G184">
        <f>E184*F184</f>
        <v>0</v>
      </c>
    </row>
    <row r="185">
      <c r="A185">
        <v>3</v>
      </c>
      <c r="B185" t="str">
        <v>Beton K - 175</v>
      </c>
      <c r="D185" t="str">
        <v>m3</v>
      </c>
      <c r="E185">
        <f>'QTY-PG'!F103</f>
        <v>0.15</v>
      </c>
      <c r="F185">
        <f>SUMIF(SNI!C$1:C$65536,'RAB - PG'!B$1:B$65536,SNI!L$1:L$65536)</f>
        <v>0</v>
      </c>
      <c r="G185">
        <f>E185*F185</f>
        <v>0</v>
      </c>
      <c r="H185">
        <f>SUM(G183:G185)</f>
        <v>0</v>
      </c>
    </row>
    <row r="187">
      <c r="A187" t="str">
        <v>III.</v>
      </c>
      <c r="B187" t="str">
        <v>Pekerjaan Kolom Praktis</v>
      </c>
    </row>
    <row r="188">
      <c r="A188">
        <v>2</v>
      </c>
      <c r="B188" t="str">
        <v>Bekisting sloof beton</v>
      </c>
      <c r="C188" t="str">
        <v>Mutu baja U-24</v>
      </c>
      <c r="D188" t="str">
        <v>m2</v>
      </c>
      <c r="E188">
        <f>'QTY-PG'!F138</f>
        <v>1.5</v>
      </c>
      <c r="F188">
        <f>SUMIF(SNI!C$1:C$65536,'RAB - PG'!B$1:B$65536,SNI!L$1:L$65536)</f>
        <v>0</v>
      </c>
      <c r="G188">
        <f>E188*F188</f>
        <v>0</v>
      </c>
    </row>
    <row r="189">
      <c r="A189">
        <v>1</v>
      </c>
      <c r="B189" t="str">
        <v>Tulangan besi beton U-24</v>
      </c>
      <c r="D189" t="str">
        <v>kg</v>
      </c>
      <c r="E189">
        <f>'QTY-PG'!F139</f>
        <v>31.441032</v>
      </c>
      <c r="F189">
        <f>SUMIF(SNI!C$1:C$65536,'RAB - PG'!B$1:B$65536,SNI!L$1:L$65536)</f>
        <v>0</v>
      </c>
      <c r="G189">
        <f>E189*F189</f>
        <v>0</v>
      </c>
    </row>
    <row r="190">
      <c r="A190">
        <v>3</v>
      </c>
      <c r="B190" t="str">
        <v>Beton K - 175</v>
      </c>
      <c r="D190" t="str">
        <v>m3</v>
      </c>
      <c r="E190">
        <f>'QTY-PG'!F140</f>
        <v>0.11249999999999999</v>
      </c>
      <c r="F190">
        <f>SUMIF(SNI!C$1:C$65536,'RAB - PG'!B$1:B$65536,SNI!L$1:L$65536)</f>
        <v>0</v>
      </c>
      <c r="G190">
        <f>E190*F190</f>
        <v>0</v>
      </c>
      <c r="H190">
        <f>SUM(G188:G190)</f>
        <v>0</v>
      </c>
    </row>
    <row r="192">
      <c r="A192" t="str">
        <v>IV.</v>
      </c>
      <c r="B192" t="str">
        <v>Pekerjaan Ringbalk</v>
      </c>
    </row>
    <row r="193">
      <c r="A193">
        <v>2</v>
      </c>
      <c r="B193" t="str">
        <v>Bekisting Praktis beton</v>
      </c>
      <c r="C193" t="str">
        <v>Kayu terentang</v>
      </c>
      <c r="D193" t="str">
        <v>m2</v>
      </c>
      <c r="E193">
        <f>'QTY-PG'!F192</f>
        <v>1.5</v>
      </c>
      <c r="F193">
        <f>SUMIF(SNI!C$1:C$65536,'RAB - PG'!B$1:B$65536,SNI!L$1:L$65536)</f>
        <v>0</v>
      </c>
      <c r="G193">
        <f>E193*F193</f>
        <v>0</v>
      </c>
    </row>
    <row r="194">
      <c r="A194">
        <v>1</v>
      </c>
      <c r="B194" t="str">
        <v>Tulangan besi beton U-24</v>
      </c>
      <c r="D194" t="str">
        <v>kg</v>
      </c>
      <c r="E194">
        <f>'QTY-PG'!F191</f>
        <v>27.04506</v>
      </c>
      <c r="F194">
        <f>SUMIF(SNI!C$1:C$65536,'RAB - PG'!B$1:B$65536,SNI!L$1:L$65536)</f>
        <v>0</v>
      </c>
      <c r="G194">
        <f>E194*F194</f>
        <v>0</v>
      </c>
    </row>
    <row r="195">
      <c r="A195">
        <v>3</v>
      </c>
      <c r="B195" t="str">
        <v>Beton K - 175</v>
      </c>
      <c r="D195" t="str">
        <v>m3</v>
      </c>
      <c r="E195">
        <f>'QTY-PG'!F193</f>
        <v>0.11249999999999999</v>
      </c>
      <c r="F195">
        <f>SUMIF(SNI!C$1:C$65536,'RAB - PG'!B$1:B$65536,SNI!L$1:L$65536)</f>
        <v>0</v>
      </c>
      <c r="G195">
        <f>E195*F195</f>
        <v>0</v>
      </c>
      <c r="H195">
        <f>SUM(G193:G195)</f>
        <v>0</v>
      </c>
    </row>
    <row r="197">
      <c r="A197" t="str">
        <v>V.</v>
      </c>
      <c r="B197" t="str">
        <v>Pekerjaan Dinding</v>
      </c>
    </row>
    <row r="198">
      <c r="A198">
        <v>1</v>
      </c>
      <c r="B198" t="str">
        <v>Pas. Dinding batu bata; ad 1:4</v>
      </c>
      <c r="C198" t="str">
        <v>Spesi 1 : 4</v>
      </c>
      <c r="D198" t="str">
        <v>m2</v>
      </c>
      <c r="E198">
        <f>'QTY-PG'!L13</f>
        <v>12.5</v>
      </c>
      <c r="F198">
        <f>SUMIF(SNI!C$1:C$65536,'RAB - PG'!B$1:B$65536,SNI!L$1:L$65536)</f>
        <v>5227500</v>
      </c>
      <c r="G198">
        <f>E198*F198</f>
        <v>65343750</v>
      </c>
    </row>
    <row r="199">
      <c r="A199">
        <v>2</v>
      </c>
      <c r="B199" t="str">
        <v>Pas. Plester acian; ad. 1:4</v>
      </c>
      <c r="C199" t="str">
        <v>Spesi 1 : 4</v>
      </c>
      <c r="D199" t="str">
        <v>m2</v>
      </c>
      <c r="E199">
        <f>E198*2</f>
        <v>25</v>
      </c>
      <c r="F199">
        <f>SUMIF(SNI!C$1:C$65536,'RAB - PG'!B$1:B$65536,SNI!L$1:L$65536)</f>
        <v>0</v>
      </c>
      <c r="G199">
        <f>E199*F199</f>
        <v>0</v>
      </c>
    </row>
    <row r="200">
      <c r="A200">
        <v>3</v>
      </c>
      <c r="B200" t="str">
        <v>Cat dinding dalam acrylic emulsion KW.II</v>
      </c>
      <c r="C200" t="str">
        <v>ex Mowilex</v>
      </c>
      <c r="D200" t="str">
        <v>m2</v>
      </c>
      <c r="E200">
        <f>E198*2</f>
        <v>25</v>
      </c>
      <c r="F200">
        <f>SUMIF(SNI!C$1:C$65536,'RAB - PG'!B$1:B$65536,SNI!L$1:L$65536)</f>
        <v>0</v>
      </c>
      <c r="G200">
        <f>E200*F200</f>
        <v>0</v>
      </c>
      <c r="H200">
        <f>SUM(G198:G200)</f>
        <v>65343750</v>
      </c>
    </row>
    <row r="203">
      <c r="G203" t="str">
        <v>TOTAL,… Rp.</v>
      </c>
      <c r="H203">
        <f>SUM(G171:G202)</f>
        <v>65343750</v>
      </c>
    </row>
    <row r="204">
      <c r="G204" t="str">
        <v>Ppn 10%… Rp.</v>
      </c>
      <c r="H204">
        <f>0.1*H203</f>
        <v>6534375</v>
      </c>
    </row>
    <row r="205">
      <c r="G205" t="str">
        <v>Total</v>
      </c>
      <c r="H205">
        <f>H203+H204</f>
        <v>71878125</v>
      </c>
    </row>
    <row r="206">
      <c r="G206" t="str">
        <v>Panjang pagar,…m</v>
      </c>
      <c r="H206">
        <v>5</v>
      </c>
    </row>
    <row r="207">
      <c r="G207" t="str">
        <v>Harga pagar …/m</v>
      </c>
      <c r="H207">
        <f>H205/H206</f>
        <v>14375625</v>
      </c>
    </row>
    <row r="208">
      <c r="G208" t="str">
        <v>Dibulatkan …/m</v>
      </c>
      <c r="H208">
        <f>ROUND(H207,-4)</f>
        <v>14380000</v>
      </c>
    </row>
  </sheetData>
  <mergeCells count="13">
    <mergeCell ref="A171:H171"/>
    <mergeCell ref="G96:H96"/>
    <mergeCell ref="G97:H97"/>
    <mergeCell ref="A96:A97"/>
    <mergeCell ref="B96:B97"/>
    <mergeCell ref="D96:D97"/>
    <mergeCell ref="E96:E97"/>
    <mergeCell ref="C96:C97"/>
    <mergeCell ref="A2:H2"/>
    <mergeCell ref="A32:H32"/>
    <mergeCell ref="A62:H62"/>
    <mergeCell ref="A95:H95"/>
    <mergeCell ref="A134:H134"/>
  </mergeCells>
  <hyperlinks>
    <hyperlink ref="I1" location="MENU!A1" tooltip="menu"/>
    <hyperlink ref="I2" location="HSBGN!A1" tooltip="HSBGN"/>
  </hyperlinks>
  <pageMargins left="0.5118110236220472" right="0.15748031496062992" top="0.7480314960629921" bottom="0.7480314960629921" header="0.4724409448818898" footer="0.31496062992125984"/>
  <ignoredErrors>
    <ignoredError numberStoredAsText="1" sqref="A1:I208"/>
  </ignoredErrors>
</worksheet>
</file>

<file path=xl/worksheets/sheet27.xml><?xml version="1.0" encoding="utf-8"?>
<worksheet xmlns="http://schemas.openxmlformats.org/spreadsheetml/2006/main" xmlns:r="http://schemas.openxmlformats.org/officeDocument/2006/relationships">
  <dimension ref="A1:L193"/>
  <sheetViews>
    <sheetView workbookViewId="0" rightToLeft="0"/>
  </sheetViews>
  <sheetData>
    <row r="1">
      <c r="A1" t="str">
        <v>menu</v>
      </c>
    </row>
    <row r="2">
      <c r="A2" t="str">
        <v>TAKING OFF</v>
      </c>
    </row>
    <row r="3">
      <c r="A3" t="str">
        <v>PERHITUNGAN VOLUME</v>
      </c>
    </row>
    <row r="4">
      <c r="A4" t="str">
        <v>PAGAR GEDUNG NEGARA</v>
      </c>
    </row>
    <row r="7">
      <c r="A7" t="str">
        <v>BENTENG SAMPING DEPAN</v>
      </c>
      <c r="E7" t="str">
        <v xml:space="preserve">BENTENG SAMPING </v>
      </c>
      <c r="I7" t="str">
        <v>BENTENG BELAKANG</v>
      </c>
    </row>
    <row r="8">
      <c r="A8" t="str">
        <v>AS</v>
      </c>
      <c r="B8" t="str">
        <v>P</v>
      </c>
      <c r="C8" t="str">
        <v>T</v>
      </c>
      <c r="D8" t="str">
        <v>JML</v>
      </c>
      <c r="E8" t="str">
        <v>AS</v>
      </c>
      <c r="F8" t="str">
        <v>P</v>
      </c>
      <c r="G8" t="str">
        <v>T</v>
      </c>
      <c r="H8" t="str">
        <v>JML</v>
      </c>
      <c r="I8" t="str">
        <v>AS</v>
      </c>
      <c r="J8" t="str">
        <v>P</v>
      </c>
      <c r="K8" t="str">
        <v>T</v>
      </c>
      <c r="L8" t="str">
        <v>JML</v>
      </c>
    </row>
    <row r="9">
      <c r="A9">
        <v>1</v>
      </c>
      <c r="B9">
        <v>6</v>
      </c>
      <c r="E9">
        <v>1</v>
      </c>
      <c r="F9">
        <v>6</v>
      </c>
      <c r="G9">
        <v>2</v>
      </c>
      <c r="H9">
        <f>F9*G9</f>
        <v>12</v>
      </c>
      <c r="I9">
        <v>1</v>
      </c>
      <c r="J9">
        <v>6</v>
      </c>
      <c r="K9">
        <v>2.5</v>
      </c>
      <c r="L9">
        <f>J9*K9</f>
        <v>15</v>
      </c>
    </row>
    <row r="13">
      <c r="B13">
        <f>SUM(B9:B12)</f>
        <v>6</v>
      </c>
      <c r="D13">
        <f>SUM(D9:D12)</f>
        <v>0</v>
      </c>
      <c r="F13">
        <f>SUM(F9:F12)</f>
        <v>6</v>
      </c>
      <c r="H13">
        <f>SUM(H9:H12)</f>
        <v>12</v>
      </c>
      <c r="J13">
        <f>SUM(J9:J12)</f>
        <v>6</v>
      </c>
      <c r="L13">
        <f>SUM(L9:L12)</f>
        <v>15</v>
      </c>
    </row>
    <row r="16">
      <c r="A16" t="str">
        <v xml:space="preserve">VOLUME PEKERJAAN PONDASI BATU KALI </v>
      </c>
    </row>
    <row r="17">
      <c r="A17" t="str">
        <v xml:space="preserve"> NO</v>
      </c>
      <c r="B17" t="str">
        <v>URAIAN PEKERJAAN</v>
      </c>
      <c r="C17" t="str">
        <v>SAT</v>
      </c>
      <c r="D17" t="str">
        <v>DEPAN</v>
      </c>
      <c r="E17" t="str">
        <v>SAMPING</v>
      </c>
      <c r="F17" t="str">
        <v>BELAKANG</v>
      </c>
    </row>
    <row r="19">
      <c r="A19">
        <v>1</v>
      </c>
      <c r="B19" t="str">
        <v xml:space="preserve">UKURAN GALIAN TANAH </v>
      </c>
    </row>
    <row r="20">
      <c r="B20" t="str">
        <v>Lebar</v>
      </c>
      <c r="C20" t="str">
        <v>m</v>
      </c>
      <c r="D20">
        <v>0.5</v>
      </c>
      <c r="E20">
        <v>0.5</v>
      </c>
      <c r="F20">
        <v>0.5</v>
      </c>
    </row>
    <row r="21">
      <c r="B21" t="str">
        <v>Tinggi</v>
      </c>
      <c r="C21" t="str">
        <v>m</v>
      </c>
      <c r="D21">
        <v>0.7</v>
      </c>
      <c r="E21">
        <v>0.7</v>
      </c>
      <c r="F21">
        <v>0.7</v>
      </c>
    </row>
    <row r="22">
      <c r="B22" t="str">
        <v>Panjang</v>
      </c>
      <c r="C22" t="str">
        <v>m</v>
      </c>
      <c r="D22">
        <f>'QTY-PR'!B13</f>
        <v>6</v>
      </c>
      <c r="E22">
        <f>'QTY-PR'!F13</f>
        <v>6</v>
      </c>
      <c r="F22">
        <f>'QTY-PR'!J13</f>
        <v>6</v>
      </c>
    </row>
    <row r="24">
      <c r="A24">
        <v>2</v>
      </c>
      <c r="B24" t="str">
        <v>UKURAN PONDASI</v>
      </c>
    </row>
    <row r="25">
      <c r="B25" t="str">
        <v>Lebar Atas</v>
      </c>
      <c r="C25" t="str">
        <v>m</v>
      </c>
      <c r="D25">
        <v>0.2</v>
      </c>
      <c r="E25">
        <v>0.2</v>
      </c>
      <c r="F25">
        <v>0.2</v>
      </c>
    </row>
    <row r="26">
      <c r="B26" t="str">
        <v>Lebar Bawah</v>
      </c>
      <c r="C26" t="str">
        <v>m</v>
      </c>
      <c r="D26">
        <v>0.4</v>
      </c>
      <c r="E26">
        <v>0.4</v>
      </c>
      <c r="F26">
        <v>0.4</v>
      </c>
    </row>
    <row r="27">
      <c r="B27" t="str">
        <v>Tinggi</v>
      </c>
      <c r="C27" t="str">
        <v>m</v>
      </c>
      <c r="D27">
        <v>0.6</v>
      </c>
      <c r="E27">
        <v>0.6</v>
      </c>
      <c r="F27">
        <v>0.6</v>
      </c>
    </row>
    <row r="29">
      <c r="A29">
        <v>3</v>
      </c>
      <c r="B29" t="str">
        <v>JUMLAH VOLUME</v>
      </c>
      <c r="D29" t="str">
        <f>D17</f>
        <v>DEPAN</v>
      </c>
      <c r="E29" t="str">
        <f>E17</f>
        <v>SAMPING</v>
      </c>
      <c r="F29" t="str">
        <f>F17</f>
        <v>BELAKANG</v>
      </c>
    </row>
    <row r="30">
      <c r="B30" t="str">
        <v>Galian tanah</v>
      </c>
      <c r="C30" t="str">
        <v>m3</v>
      </c>
      <c r="D30">
        <f>D20*D21*D22</f>
        <v>2.0999999999999996</v>
      </c>
      <c r="E30">
        <f>E20*E21*E22</f>
        <v>2.0999999999999996</v>
      </c>
      <c r="F30">
        <f>F20*F21*F22</f>
        <v>2.0999999999999996</v>
      </c>
    </row>
    <row r="31">
      <c r="B31" t="str">
        <v>Urugan pasir</v>
      </c>
      <c r="C31" t="str">
        <v>m3</v>
      </c>
      <c r="D31">
        <f>+D20*D22*0.05</f>
        <v>0.15000000000000002</v>
      </c>
      <c r="E31">
        <f>+E20*E22*0.05</f>
        <v>0.15000000000000002</v>
      </c>
      <c r="F31">
        <f>+F20*F22*0.05</f>
        <v>0.15000000000000002</v>
      </c>
    </row>
    <row r="32">
      <c r="B32" t="str">
        <v>Aanstamping</v>
      </c>
      <c r="C32" t="str">
        <v>m3</v>
      </c>
      <c r="D32">
        <f>D20*D22*0.15</f>
        <v>0.44999999999999996</v>
      </c>
      <c r="E32">
        <f>E20*E22*0.15</f>
        <v>0.44999999999999996</v>
      </c>
      <c r="F32">
        <f>F20*F22*0.15</f>
        <v>0.44999999999999996</v>
      </c>
    </row>
    <row r="33">
      <c r="B33" t="str">
        <v>Pondasi</v>
      </c>
      <c r="C33" t="str">
        <v>m3</v>
      </c>
      <c r="D33">
        <f>((D25+D26)/2)*D27*D22</f>
        <v>1.08</v>
      </c>
      <c r="E33">
        <f>((E25+E26)/2)*E27*E22</f>
        <v>1.08</v>
      </c>
      <c r="F33">
        <f>((F25+F26)/2)*F27*F22</f>
        <v>1.08</v>
      </c>
    </row>
    <row r="34">
      <c r="B34" t="str">
        <v>Urugan tanah</v>
      </c>
      <c r="C34" t="str">
        <v>m3</v>
      </c>
      <c r="D34">
        <f>D30-D35</f>
        <v>0.4199999999999995</v>
      </c>
      <c r="E34">
        <f>E30-E35</f>
        <v>0.4199999999999995</v>
      </c>
      <c r="F34">
        <f>F30-F35</f>
        <v>0.4199999999999995</v>
      </c>
    </row>
    <row r="35">
      <c r="B35" t="str">
        <v>Pemindahan tanah</v>
      </c>
      <c r="C35" t="str">
        <v>m3</v>
      </c>
      <c r="D35">
        <f>D31+D32+D33</f>
        <v>1.6800000000000002</v>
      </c>
      <c r="E35">
        <f>E31+E32+E33</f>
        <v>1.6800000000000002</v>
      </c>
      <c r="F35">
        <f>F31+F32+F33</f>
        <v>1.6800000000000002</v>
      </c>
    </row>
    <row r="40">
      <c r="B40" t="str">
        <v>MUTU BAJA</v>
      </c>
      <c r="C40" t="str">
        <v>DIA</v>
      </c>
      <c r="D40" t="str">
        <v>KG/M</v>
      </c>
      <c r="E40" t="str">
        <v>40 D</v>
      </c>
    </row>
    <row r="41">
      <c r="B41" t="str">
        <v>U-24</v>
      </c>
      <c r="C41">
        <v>6</v>
      </c>
      <c r="D41">
        <v>0.22</v>
      </c>
      <c r="E41">
        <f>(C41*40)/1000</f>
        <v>0.24</v>
      </c>
    </row>
    <row r="42">
      <c r="C42">
        <v>8</v>
      </c>
      <c r="D42">
        <v>0.393</v>
      </c>
      <c r="E42">
        <f>(C42*40)/1000</f>
        <v>0.32</v>
      </c>
    </row>
    <row r="43">
      <c r="C43">
        <v>10</v>
      </c>
      <c r="D43">
        <v>0.62</v>
      </c>
      <c r="E43">
        <f>(C43*40)/1000</f>
        <v>0.4</v>
      </c>
    </row>
    <row r="44">
      <c r="C44">
        <v>12</v>
      </c>
      <c r="D44">
        <v>0.887</v>
      </c>
      <c r="E44">
        <f>(C44*40)/1000</f>
        <v>0.48</v>
      </c>
    </row>
    <row r="45">
      <c r="B45" t="str">
        <v>U-39</v>
      </c>
      <c r="C45">
        <v>13</v>
      </c>
      <c r="D45">
        <v>0.992</v>
      </c>
      <c r="E45">
        <f>(C45*40)/1000</f>
        <v>0.52</v>
      </c>
    </row>
    <row r="46">
      <c r="C46">
        <v>16</v>
      </c>
      <c r="D46">
        <v>1.558</v>
      </c>
      <c r="E46">
        <f>(C46*40)/1000</f>
        <v>0.64</v>
      </c>
    </row>
    <row r="47">
      <c r="C47">
        <v>19</v>
      </c>
      <c r="D47">
        <v>2.25</v>
      </c>
      <c r="E47">
        <f>(C47*40)/1000</f>
        <v>0.76</v>
      </c>
    </row>
    <row r="48">
      <c r="C48">
        <v>22</v>
      </c>
      <c r="D48">
        <v>3.042</v>
      </c>
      <c r="E48">
        <f>(C48*40)/1000</f>
        <v>0.88</v>
      </c>
    </row>
    <row r="49">
      <c r="C49">
        <v>25</v>
      </c>
      <c r="D49">
        <v>3.983</v>
      </c>
      <c r="E49">
        <f>(C49*40)/1000</f>
        <v>1</v>
      </c>
    </row>
    <row r="50">
      <c r="C50">
        <v>29</v>
      </c>
      <c r="D50">
        <v>5.042</v>
      </c>
      <c r="E50">
        <f>(C50*40)/1000</f>
        <v>1.16</v>
      </c>
    </row>
    <row r="51">
      <c r="C51">
        <v>32</v>
      </c>
      <c r="D51">
        <v>6.233</v>
      </c>
      <c r="E51">
        <f>(C51*40)/1000</f>
        <v>1.28</v>
      </c>
    </row>
    <row r="54">
      <c r="A54" t="str">
        <v>VOLUME PEKERJAAN SLOOF</v>
      </c>
    </row>
    <row r="55">
      <c r="A55" t="str">
        <v>NO</v>
      </c>
      <c r="B55" t="str">
        <v>URAIAN PEKERJAAN</v>
      </c>
      <c r="C55" t="str">
        <v>SAT</v>
      </c>
      <c r="D55" t="str">
        <v>DEPAN</v>
      </c>
      <c r="E55" t="str">
        <v>SAMPING</v>
      </c>
      <c r="F55" t="str">
        <v>BELAKANG</v>
      </c>
    </row>
    <row r="57">
      <c r="A57">
        <v>1</v>
      </c>
      <c r="B57" t="str">
        <v>UKURAN</v>
      </c>
    </row>
    <row r="58">
      <c r="B58" t="str">
        <v>Lebar</v>
      </c>
      <c r="C58" t="str">
        <v>m</v>
      </c>
      <c r="D58">
        <v>0.1</v>
      </c>
      <c r="E58">
        <v>0.1</v>
      </c>
      <c r="F58">
        <v>0.1</v>
      </c>
    </row>
    <row r="59">
      <c r="B59" t="str">
        <v>Tebal</v>
      </c>
      <c r="C59" t="str">
        <v>m</v>
      </c>
      <c r="D59">
        <v>0.15</v>
      </c>
      <c r="E59">
        <v>0.15</v>
      </c>
      <c r="F59">
        <v>0.15</v>
      </c>
    </row>
    <row r="60">
      <c r="B60" t="str">
        <v>Panjang</v>
      </c>
      <c r="C60" t="str">
        <v>m'</v>
      </c>
      <c r="D60">
        <f>'QTY-PR'!D22</f>
        <v>6</v>
      </c>
      <c r="E60">
        <f>'QTY-PR'!E22</f>
        <v>6</v>
      </c>
      <c r="F60">
        <f>'QTY-PR'!F22</f>
        <v>6</v>
      </c>
    </row>
    <row r="61">
      <c r="B61" t="str">
        <v xml:space="preserve">Banyaknya </v>
      </c>
      <c r="C61" t="str">
        <v>bh</v>
      </c>
      <c r="D61">
        <v>1</v>
      </c>
      <c r="E61">
        <v>1</v>
      </c>
      <c r="F61">
        <v>1</v>
      </c>
    </row>
    <row r="63">
      <c r="A63">
        <v>2</v>
      </c>
      <c r="B63" t="str">
        <v>TULANGAN MENERUS</v>
      </c>
    </row>
    <row r="64">
      <c r="B64" t="str">
        <v>Diameter</v>
      </c>
      <c r="C64" t="str">
        <v>mm</v>
      </c>
      <c r="D64">
        <v>12</v>
      </c>
      <c r="E64">
        <v>12</v>
      </c>
      <c r="F64">
        <v>12</v>
      </c>
    </row>
    <row r="65">
      <c r="B65" t="str">
        <v>Berat</v>
      </c>
      <c r="C65" t="str">
        <v>kg/m</v>
      </c>
      <c r="D65">
        <f>VLOOKUP(D64,$C$41:$D$51,2)</f>
        <v>0.887</v>
      </c>
      <c r="E65">
        <f>VLOOKUP(E64,$C$41:$D$51,2)</f>
        <v>0.887</v>
      </c>
      <c r="F65">
        <f>VLOOKUP(F64,$C$41:$D$51,2)</f>
        <v>0.887</v>
      </c>
    </row>
    <row r="66">
      <c r="B66" t="str">
        <v>Sambungan</v>
      </c>
      <c r="C66" t="str">
        <v>%</v>
      </c>
      <c r="D66">
        <v>0.05</v>
      </c>
      <c r="E66">
        <v>0.05</v>
      </c>
      <c r="F66">
        <v>0.05</v>
      </c>
    </row>
    <row r="67">
      <c r="B67" t="str">
        <v>Panjang tulangan</v>
      </c>
      <c r="C67" t="str">
        <v>m</v>
      </c>
      <c r="D67">
        <f>(D60*D66)+D60</f>
        <v>6.3</v>
      </c>
      <c r="E67">
        <f>(E60*E66)+E60</f>
        <v>6.3</v>
      </c>
      <c r="F67">
        <f>(F60*F66)+F60</f>
        <v>6.3</v>
      </c>
    </row>
    <row r="68">
      <c r="B68" t="str">
        <v xml:space="preserve">Jumlah tulangan </v>
      </c>
      <c r="C68" t="str">
        <v>bh</v>
      </c>
      <c r="D68">
        <v>4</v>
      </c>
      <c r="E68">
        <v>4</v>
      </c>
      <c r="F68">
        <v>4</v>
      </c>
    </row>
    <row r="69">
      <c r="B69" t="str">
        <v>Jumlah berat</v>
      </c>
      <c r="C69" t="str">
        <v>kg</v>
      </c>
      <c r="D69">
        <f>D61*D65*D67*D68</f>
        <v>22.3524</v>
      </c>
      <c r="E69">
        <f>E61*E65*E67*E68</f>
        <v>22.3524</v>
      </c>
      <c r="F69">
        <f>F61*F65*F67*F68</f>
        <v>22.3524</v>
      </c>
    </row>
    <row r="70">
      <c r="B70" t="str">
        <v>Jumlah batang</v>
      </c>
      <c r="C70" t="str">
        <v>bt</v>
      </c>
      <c r="D70">
        <f>D69/(D65*12)</f>
        <v>2.1</v>
      </c>
      <c r="E70">
        <f>E69/(E65*12)</f>
        <v>2.1</v>
      </c>
      <c r="F70">
        <f>F69/(F65*12)</f>
        <v>2.1</v>
      </c>
    </row>
    <row r="72">
      <c r="A72">
        <v>3</v>
      </c>
      <c r="B72" t="str">
        <v>TULANGAN TUMPUAN</v>
      </c>
    </row>
    <row r="73">
      <c r="B73" t="str">
        <v>Diameter</v>
      </c>
      <c r="C73" t="str">
        <v>mm</v>
      </c>
      <c r="D73">
        <v>12</v>
      </c>
      <c r="E73">
        <v>12</v>
      </c>
      <c r="F73">
        <v>12</v>
      </c>
    </row>
    <row r="74">
      <c r="B74" t="str">
        <v>Berat</v>
      </c>
      <c r="C74" t="str">
        <v>kg/m</v>
      </c>
      <c r="D74">
        <f>VLOOKUP(D73,$C$41:$D$51,2)</f>
        <v>0.887</v>
      </c>
      <c r="E74">
        <f>VLOOKUP(E73,$C$41:$D$51,2)</f>
        <v>0.887</v>
      </c>
      <c r="F74">
        <f>VLOOKUP(F73,$C$41:$D$51,2)</f>
        <v>0.887</v>
      </c>
    </row>
    <row r="75">
      <c r="B75" t="str">
        <v>Sambungan</v>
      </c>
      <c r="C75" t="str">
        <v>%</v>
      </c>
      <c r="D75">
        <v>0.05</v>
      </c>
      <c r="E75">
        <v>0.05</v>
      </c>
      <c r="F75">
        <v>0.05</v>
      </c>
    </row>
    <row r="76">
      <c r="B76" t="str">
        <v>Panjang tulangan</v>
      </c>
      <c r="C76" t="str">
        <v>m</v>
      </c>
      <c r="D76">
        <f>((D59+(D60*0.25))*D75)+((D59+(D60*0.25)))</f>
        <v>1.7325</v>
      </c>
      <c r="E76">
        <f>((E59+(E60*0.25))*E75)+((E59+(E60*0.25)))</f>
        <v>1.7325</v>
      </c>
      <c r="F76">
        <f>((F59+(F60*0.25))*F75)+((F59+(F60*0.25)))</f>
        <v>1.7325</v>
      </c>
    </row>
    <row r="77">
      <c r="B77" t="str">
        <v xml:space="preserve">Jumlah tulangan </v>
      </c>
      <c r="C77" t="str">
        <v>bh</v>
      </c>
    </row>
    <row r="78">
      <c r="B78" t="str">
        <v>Jumlah berat</v>
      </c>
      <c r="C78" t="str">
        <v>kg</v>
      </c>
      <c r="D78">
        <f>D61*D74*D76*D77</f>
        <v>0</v>
      </c>
      <c r="E78">
        <f>E61*E74*E76*E77</f>
        <v>0</v>
      </c>
      <c r="F78">
        <f>F61*F74*F76*F77</f>
        <v>0</v>
      </c>
    </row>
    <row r="79">
      <c r="B79" t="str">
        <v>Jumlah batang</v>
      </c>
      <c r="C79" t="str">
        <v>bt</v>
      </c>
      <c r="D79">
        <f>D78/(D74*12)</f>
        <v>0</v>
      </c>
      <c r="E79">
        <f>E78/(E74*12)</f>
        <v>0</v>
      </c>
      <c r="F79">
        <f>F78/(F74*12)</f>
        <v>0</v>
      </c>
    </row>
    <row r="81">
      <c r="A81">
        <v>4</v>
      </c>
      <c r="B81" t="str">
        <v>TULANGAN LAPANGAN</v>
      </c>
    </row>
    <row r="82">
      <c r="B82" t="str">
        <v>Diameter</v>
      </c>
      <c r="C82" t="str">
        <v>mm</v>
      </c>
      <c r="D82">
        <v>12</v>
      </c>
      <c r="E82">
        <v>12</v>
      </c>
      <c r="F82">
        <v>12</v>
      </c>
    </row>
    <row r="83">
      <c r="B83" t="str">
        <v>Berat</v>
      </c>
      <c r="C83" t="str">
        <v>kg/m</v>
      </c>
      <c r="D83">
        <f>VLOOKUP(D82,$C$41:$D$51,2)</f>
        <v>0.887</v>
      </c>
      <c r="E83">
        <f>VLOOKUP(E82,$C$41:$D$51,2)</f>
        <v>0.887</v>
      </c>
      <c r="F83">
        <f>VLOOKUP(F82,$C$41:$D$51,2)</f>
        <v>0.887</v>
      </c>
    </row>
    <row r="84">
      <c r="B84" t="str">
        <v>Sambungan</v>
      </c>
      <c r="C84" t="str">
        <v>%</v>
      </c>
      <c r="D84">
        <v>0.05</v>
      </c>
      <c r="E84">
        <v>0.05</v>
      </c>
      <c r="F84">
        <v>0.05</v>
      </c>
    </row>
    <row r="85">
      <c r="B85" t="str">
        <v>Panjang tulangan</v>
      </c>
      <c r="C85" t="str">
        <v>m</v>
      </c>
      <c r="D85">
        <f>((D60*0.6*D84)+(D60*0.6))</f>
        <v>3.78</v>
      </c>
      <c r="E85">
        <f>((E60*0.6*E84)+(E60*0.6))</f>
        <v>3.78</v>
      </c>
      <c r="F85">
        <f>((F60*0.6*F84)+(F60*0.6))</f>
        <v>3.78</v>
      </c>
    </row>
    <row r="86">
      <c r="B86" t="str">
        <v xml:space="preserve">Jumlah tulangan </v>
      </c>
      <c r="C86" t="str">
        <v>bh</v>
      </c>
    </row>
    <row r="87">
      <c r="B87" t="str">
        <v>Jumlah berat</v>
      </c>
      <c r="C87" t="str">
        <v>kg</v>
      </c>
      <c r="D87">
        <f>D61*D83*D85*D86</f>
        <v>0</v>
      </c>
      <c r="E87">
        <f>E61*E83*E85*E86</f>
        <v>0</v>
      </c>
      <c r="F87">
        <f>F61*F83*F85*F86</f>
        <v>0</v>
      </c>
    </row>
    <row r="88">
      <c r="B88" t="str">
        <v>Jumlah batang</v>
      </c>
      <c r="C88" t="str">
        <v>bt</v>
      </c>
      <c r="D88">
        <f>D87/(D83*12)</f>
        <v>0</v>
      </c>
      <c r="E88">
        <f>E87/(E83*12)</f>
        <v>0</v>
      </c>
      <c r="F88">
        <f>F87/(F83*12)</f>
        <v>0</v>
      </c>
    </row>
    <row r="90">
      <c r="A90">
        <v>6</v>
      </c>
      <c r="B90" t="str">
        <v>TULANGAN SENGKANG</v>
      </c>
    </row>
    <row r="91">
      <c r="B91" t="str">
        <v>Diameter</v>
      </c>
      <c r="C91" t="str">
        <v>mm</v>
      </c>
      <c r="D91">
        <v>8</v>
      </c>
      <c r="E91">
        <v>8</v>
      </c>
      <c r="F91">
        <v>8</v>
      </c>
    </row>
    <row r="92">
      <c r="B92" t="str">
        <v>Berat</v>
      </c>
      <c r="C92" t="str">
        <v>kg/m</v>
      </c>
      <c r="D92">
        <f>VLOOKUP(D91,$C$41:$D$51,2)</f>
        <v>0.393</v>
      </c>
      <c r="E92">
        <f>VLOOKUP(E91,$C$41:$D$51,2)</f>
        <v>0.393</v>
      </c>
      <c r="F92">
        <f>VLOOKUP(F91,$C$41:$D$51,2)</f>
        <v>0.393</v>
      </c>
    </row>
    <row r="93">
      <c r="B93" t="str">
        <v>Sambungan</v>
      </c>
      <c r="C93" t="str">
        <v>%</v>
      </c>
      <c r="D93">
        <v>0.05</v>
      </c>
      <c r="E93">
        <v>0.05</v>
      </c>
      <c r="F93">
        <v>0.05</v>
      </c>
    </row>
    <row r="94">
      <c r="B94" t="str">
        <v>Jarak sengkang</v>
      </c>
      <c r="C94" t="str">
        <v>m</v>
      </c>
      <c r="D94">
        <v>0.15</v>
      </c>
      <c r="E94">
        <v>0.15</v>
      </c>
      <c r="F94">
        <v>0.15</v>
      </c>
    </row>
    <row r="95">
      <c r="B95" t="str">
        <v>Panjang sengkang</v>
      </c>
      <c r="C95" t="str">
        <v>m'</v>
      </c>
      <c r="D95">
        <f>(((D58+D59)*2)*D93)+((D58+D59)*2)</f>
        <v>0.525</v>
      </c>
      <c r="E95">
        <f>(((E58+E59)*2)*E93)+((E58+E59)*2)</f>
        <v>0.525</v>
      </c>
      <c r="F95">
        <f>(((F58+F59)*2)*F93)+((F58+F59)*2)</f>
        <v>0.525</v>
      </c>
    </row>
    <row r="96">
      <c r="B96" t="str">
        <v>Jumlah sengkang</v>
      </c>
      <c r="C96" t="str">
        <v>bh</v>
      </c>
      <c r="D96">
        <f>INT((D60/D94)+1)</f>
        <v>41</v>
      </c>
      <c r="E96">
        <f>INT((E60/E94)+1)</f>
        <v>41</v>
      </c>
      <c r="F96">
        <f>INT((F60/F94)+1)</f>
        <v>41</v>
      </c>
    </row>
    <row r="97">
      <c r="B97" t="str">
        <v>Jumlah berat</v>
      </c>
      <c r="C97" t="str">
        <v>kg</v>
      </c>
      <c r="D97">
        <f>D61*D92*D95*D96</f>
        <v>8.459325</v>
      </c>
      <c r="E97">
        <f>E61*E92*E95*E96</f>
        <v>8.459325</v>
      </c>
      <c r="F97">
        <f>F61*F92*F95*F96</f>
        <v>8.459325</v>
      </c>
    </row>
    <row r="98">
      <c r="B98" t="str">
        <v>Jumlah batang</v>
      </c>
      <c r="C98" t="str">
        <v>bt</v>
      </c>
      <c r="D98">
        <f>D97/(D92*12)</f>
        <v>1.79375</v>
      </c>
      <c r="E98">
        <f>E97/(E92*12)</f>
        <v>1.79375</v>
      </c>
      <c r="F98">
        <f>F97/(F92*12)</f>
        <v>1.79375</v>
      </c>
    </row>
    <row r="100">
      <c r="A100">
        <v>7</v>
      </c>
      <c r="B100" t="str">
        <v>JUMLAH VOLUME</v>
      </c>
      <c r="D100" t="str">
        <f>D55</f>
        <v>DEPAN</v>
      </c>
      <c r="E100" t="str">
        <f>E55</f>
        <v>SAMPING</v>
      </c>
      <c r="F100" t="str">
        <f>F55</f>
        <v>BELAKANG</v>
      </c>
    </row>
    <row r="101">
      <c r="B101" t="str">
        <v>Begisting</v>
      </c>
      <c r="C101" t="str">
        <v>m2</v>
      </c>
      <c r="D101">
        <f>(D59*2)*D60*D61</f>
        <v>1.7999999999999998</v>
      </c>
      <c r="E101">
        <f>(E59*2)*E60*E61</f>
        <v>1.7999999999999998</v>
      </c>
      <c r="F101">
        <f>(F59*2)*F60*F61</f>
        <v>1.7999999999999998</v>
      </c>
    </row>
    <row r="102">
      <c r="B102" t="str">
        <v>Tulangan</v>
      </c>
      <c r="C102" t="str">
        <v>kg</v>
      </c>
      <c r="D102">
        <f>D69+D78+D87+D97</f>
        <v>30.811725</v>
      </c>
      <c r="E102">
        <f>E69+E78+E87+E97</f>
        <v>30.811725</v>
      </c>
      <c r="F102">
        <f>F69+F78+F87+F97</f>
        <v>30.811725</v>
      </c>
    </row>
    <row r="103">
      <c r="B103" t="str">
        <v>Cor beton</v>
      </c>
      <c r="C103" t="str">
        <v>m3</v>
      </c>
      <c r="D103">
        <f>D58*D59*D60*D61</f>
        <v>0.09</v>
      </c>
      <c r="E103">
        <f>E58*E59*E60*E61</f>
        <v>0.09</v>
      </c>
      <c r="F103">
        <f>F58*F59*F60*F61</f>
        <v>0.09</v>
      </c>
    </row>
    <row r="107">
      <c r="A107" t="str">
        <v>VOLUME PEKERJAAN KOLOM</v>
      </c>
    </row>
    <row r="108">
      <c r="A108" t="str">
        <v>NO</v>
      </c>
      <c r="C108" t="str">
        <v>SAT</v>
      </c>
      <c r="D108" t="str">
        <v>DEPAN</v>
      </c>
      <c r="E108" t="str">
        <v>SAMPING</v>
      </c>
      <c r="F108" t="str">
        <v>BELAKANG</v>
      </c>
    </row>
    <row r="110">
      <c r="A110">
        <v>1</v>
      </c>
      <c r="B110" t="str">
        <v>UKURAN</v>
      </c>
    </row>
    <row r="111">
      <c r="B111" t="str">
        <v>Lebar</v>
      </c>
      <c r="C111" t="str">
        <v>m</v>
      </c>
      <c r="D111">
        <v>0.1</v>
      </c>
      <c r="E111">
        <v>0.1</v>
      </c>
      <c r="F111">
        <v>0.1</v>
      </c>
    </row>
    <row r="112">
      <c r="B112" t="str">
        <v>Panjang</v>
      </c>
      <c r="C112" t="str">
        <v>m</v>
      </c>
      <c r="D112">
        <v>0.1</v>
      </c>
      <c r="E112">
        <v>0.1</v>
      </c>
      <c r="F112">
        <v>0.1</v>
      </c>
    </row>
    <row r="113">
      <c r="B113" t="str">
        <v>Tinggi</v>
      </c>
      <c r="C113" t="str">
        <v>m'</v>
      </c>
      <c r="D113">
        <v>1.5</v>
      </c>
      <c r="E113">
        <v>2</v>
      </c>
      <c r="F113">
        <v>2.5</v>
      </c>
    </row>
    <row r="114">
      <c r="B114" t="str">
        <v>Banyaknya</v>
      </c>
      <c r="C114" t="str">
        <v>bh</v>
      </c>
      <c r="D114">
        <v>2</v>
      </c>
      <c r="E114">
        <v>2</v>
      </c>
      <c r="F114">
        <v>2</v>
      </c>
    </row>
    <row r="116">
      <c r="A116">
        <v>2</v>
      </c>
      <c r="B116" t="str">
        <v>TULANGAN UTAMA</v>
      </c>
    </row>
    <row r="117">
      <c r="B117" t="str">
        <v>Diameter</v>
      </c>
      <c r="C117" t="str">
        <v>mm</v>
      </c>
      <c r="D117">
        <v>12</v>
      </c>
      <c r="E117">
        <v>12</v>
      </c>
      <c r="F117">
        <v>12</v>
      </c>
    </row>
    <row r="118">
      <c r="B118" t="str">
        <v>Berat</v>
      </c>
      <c r="C118" t="str">
        <v>kg/m'</v>
      </c>
      <c r="D118">
        <f>VLOOKUP(D117,$C$41:$D$51,2)</f>
        <v>0.887</v>
      </c>
      <c r="E118">
        <f>VLOOKUP(E117,$C$41:$D$51,2)</f>
        <v>0.887</v>
      </c>
      <c r="F118">
        <f>VLOOKUP(F117,$C$41:$D$51,2)</f>
        <v>0.887</v>
      </c>
    </row>
    <row r="119">
      <c r="B119" t="str">
        <v>Tiggi ring balk</v>
      </c>
      <c r="C119" t="str">
        <v>m</v>
      </c>
      <c r="D119">
        <v>0.11</v>
      </c>
      <c r="E119">
        <v>0.11</v>
      </c>
      <c r="F119">
        <v>0.11</v>
      </c>
    </row>
    <row r="120">
      <c r="B120" t="str">
        <v>Panjang stek 40 d</v>
      </c>
      <c r="C120" t="str">
        <v>m'</v>
      </c>
      <c r="D120">
        <f>D117*0.04</f>
        <v>0.48</v>
      </c>
      <c r="E120">
        <f>E117*0.04</f>
        <v>0.48</v>
      </c>
      <c r="F120">
        <f>F117*0.04</f>
        <v>0.48</v>
      </c>
    </row>
    <row r="121">
      <c r="B121" t="str">
        <v>Sambungan</v>
      </c>
      <c r="C121" t="str">
        <v>%</v>
      </c>
      <c r="D121">
        <v>0.05</v>
      </c>
      <c r="E121">
        <v>0.05</v>
      </c>
      <c r="F121">
        <v>0.05</v>
      </c>
    </row>
    <row r="122">
      <c r="B122" t="str">
        <v>Panjang tulangan</v>
      </c>
      <c r="C122" t="str">
        <v>m'</v>
      </c>
      <c r="D122">
        <f>((D113+D119+D120)*D121)+(D113+D119+D120)</f>
        <v>2.1944999999999997</v>
      </c>
      <c r="E122">
        <f>((E113+E119+E120)*E121)+(E113+E119+E120)</f>
        <v>2.7195</v>
      </c>
      <c r="F122">
        <f>((F113+F119+F120)*F121)+(F113+F119+F120)</f>
        <v>3.2445</v>
      </c>
    </row>
    <row r="123">
      <c r="B123" t="str">
        <v xml:space="preserve">Jumlah tulangan </v>
      </c>
      <c r="C123" t="str">
        <v>bh</v>
      </c>
      <c r="D123">
        <v>4</v>
      </c>
      <c r="E123">
        <v>4</v>
      </c>
      <c r="F123">
        <v>4</v>
      </c>
    </row>
    <row r="124">
      <c r="B124" t="str">
        <v>Jumlah berat</v>
      </c>
      <c r="C124" t="str">
        <v>kg</v>
      </c>
      <c r="D124">
        <f>D114*D118*D122*D123</f>
        <v>15.572171999999998</v>
      </c>
      <c r="E124">
        <f>E114*E118*E122*E123</f>
        <v>19.297572</v>
      </c>
      <c r="F124">
        <f>F114*F118*F122*F123</f>
        <v>23.022972</v>
      </c>
    </row>
    <row r="125">
      <c r="B125" t="str">
        <v>Jumlah batang</v>
      </c>
      <c r="C125" t="str">
        <v>bt</v>
      </c>
      <c r="D125">
        <f>D124/(D118*12)</f>
        <v>1.4629999999999999</v>
      </c>
      <c r="E125">
        <f>E124/(E118*12)</f>
        <v>1.813</v>
      </c>
      <c r="F125">
        <f>F124/(F118*12)</f>
        <v>2.163</v>
      </c>
    </row>
    <row r="127">
      <c r="A127">
        <v>3</v>
      </c>
      <c r="B127" t="str">
        <v>TULANGAN SENGKANG</v>
      </c>
    </row>
    <row r="128">
      <c r="B128" t="str">
        <v>Diameter</v>
      </c>
      <c r="C128" t="str">
        <v>mm</v>
      </c>
      <c r="D128">
        <v>8</v>
      </c>
      <c r="E128">
        <v>8</v>
      </c>
      <c r="F128">
        <v>8</v>
      </c>
    </row>
    <row r="129">
      <c r="B129" t="str">
        <v>Berat</v>
      </c>
      <c r="C129" t="str">
        <v>kg/m'</v>
      </c>
      <c r="D129">
        <f>VLOOKUP(D128,$C$41:$D$51,2)</f>
        <v>0.393</v>
      </c>
      <c r="E129">
        <f>VLOOKUP(E128,$C$41:$D$51,2)</f>
        <v>0.393</v>
      </c>
      <c r="F129">
        <f>VLOOKUP(F128,$C$41:$D$51,2)</f>
        <v>0.393</v>
      </c>
    </row>
    <row r="130">
      <c r="B130" t="str">
        <v>Sambungan</v>
      </c>
      <c r="C130" t="str">
        <v>%</v>
      </c>
      <c r="D130">
        <v>0.05</v>
      </c>
      <c r="E130">
        <v>0.05</v>
      </c>
      <c r="F130">
        <v>0.05</v>
      </c>
    </row>
    <row r="131">
      <c r="B131" t="str">
        <v>Jarak sengkang</v>
      </c>
      <c r="C131" t="str">
        <v>m</v>
      </c>
      <c r="D131">
        <v>0.15</v>
      </c>
      <c r="E131">
        <v>0.15</v>
      </c>
      <c r="F131">
        <v>0.15</v>
      </c>
    </row>
    <row r="132">
      <c r="B132" t="str">
        <v>Panjang sengkang</v>
      </c>
      <c r="C132" t="str">
        <v>m'</v>
      </c>
      <c r="D132">
        <f>((D111+D112)*2)*D130+(D111+D112)*2</f>
        <v>0.42000000000000004</v>
      </c>
      <c r="E132">
        <f>((E111+E112)*2)*E130+(E111+E112)*2</f>
        <v>0.42000000000000004</v>
      </c>
      <c r="F132">
        <f>((F111+F112)*2)*F130+(F111+F112)*2</f>
        <v>0.42000000000000004</v>
      </c>
    </row>
    <row r="133">
      <c r="B133" t="str">
        <v>Jumlah sengkang</v>
      </c>
      <c r="C133" t="str">
        <v>bh</v>
      </c>
      <c r="D133">
        <f>INT((D113/D131)+1)</f>
        <v>11</v>
      </c>
      <c r="E133">
        <f>INT((E113/E131)+1)</f>
        <v>14</v>
      </c>
      <c r="F133">
        <f>INT((F113/F131)+1)</f>
        <v>17</v>
      </c>
    </row>
    <row r="134">
      <c r="B134" t="str">
        <v>Jumlah berat</v>
      </c>
      <c r="C134" t="str">
        <v>kg</v>
      </c>
      <c r="D134">
        <f>D114*D129*D132*D133</f>
        <v>3.63132</v>
      </c>
      <c r="E134">
        <f>E114*E129*E132*E133</f>
        <v>4.6216800000000005</v>
      </c>
      <c r="F134">
        <f>F114*F129*F132*F133</f>
        <v>5.61204</v>
      </c>
    </row>
    <row r="135">
      <c r="B135" t="str">
        <v>Jumlah batang</v>
      </c>
      <c r="C135" t="str">
        <v>bt</v>
      </c>
      <c r="D135">
        <f>D134/(D129*12)</f>
        <v>0.77</v>
      </c>
      <c r="E135">
        <f>E134/(E129*12)</f>
        <v>0.9800000000000001</v>
      </c>
      <c r="F135">
        <f>F134/(F129*12)</f>
        <v>1.19</v>
      </c>
    </row>
    <row r="137">
      <c r="A137">
        <v>4</v>
      </c>
      <c r="B137" t="str">
        <v>JUMLAH VOLUME</v>
      </c>
      <c r="D137" t="str">
        <f>D108</f>
        <v>DEPAN</v>
      </c>
      <c r="E137" t="str">
        <f>E108</f>
        <v>SAMPING</v>
      </c>
      <c r="F137" t="str">
        <f>F108</f>
        <v>BELAKANG</v>
      </c>
    </row>
    <row r="138">
      <c r="B138" t="str">
        <v>Begisting</v>
      </c>
      <c r="C138" t="str">
        <v>m2</v>
      </c>
      <c r="D138">
        <f>(((D111+D112))*D113)*D114</f>
        <v>0.6000000000000001</v>
      </c>
      <c r="E138">
        <f>(((E111+E112))*E113)*E114</f>
        <v>0.8</v>
      </c>
      <c r="F138">
        <f>(((F111+F112))*F113)*F114</f>
        <v>1</v>
      </c>
    </row>
    <row r="139">
      <c r="B139" t="str">
        <v>Tulangan</v>
      </c>
      <c r="C139" t="str">
        <v>kg</v>
      </c>
      <c r="D139">
        <f>D124+D134</f>
        <v>19.203491999999997</v>
      </c>
      <c r="E139">
        <f>E124+E134</f>
        <v>23.919252</v>
      </c>
      <c r="F139">
        <f>F124+F134</f>
        <v>28.635012</v>
      </c>
    </row>
    <row r="140">
      <c r="B140" t="str">
        <v>Cor beton</v>
      </c>
      <c r="C140" t="str">
        <v>m3</v>
      </c>
      <c r="D140">
        <f>(D111*D112*D113)*D114</f>
        <v>0.030000000000000006</v>
      </c>
      <c r="E140">
        <f>(E111*E112*E113)*E114</f>
        <v>0.04000000000000001</v>
      </c>
      <c r="F140">
        <f>(F111*F112*F113)*F114</f>
        <v>0.05000000000000001</v>
      </c>
    </row>
    <row r="144">
      <c r="A144" t="str">
        <v>VOLUME PEKERJAAN RINGBALK</v>
      </c>
    </row>
    <row r="145">
      <c r="A145" t="str">
        <v>NO</v>
      </c>
      <c r="B145" t="str">
        <v>URAIAN PEKERJAAN</v>
      </c>
      <c r="C145" t="str">
        <v>SAT</v>
      </c>
      <c r="D145" t="str">
        <v>DEPAN</v>
      </c>
      <c r="E145" t="str">
        <v>SAMPING</v>
      </c>
      <c r="F145" t="str">
        <v>BELAKANG</v>
      </c>
    </row>
    <row r="147">
      <c r="A147">
        <v>1</v>
      </c>
      <c r="B147" t="str">
        <v>UKURAN</v>
      </c>
    </row>
    <row r="148">
      <c r="B148" t="str">
        <v>Lebar</v>
      </c>
      <c r="C148" t="str">
        <v>m</v>
      </c>
      <c r="D148">
        <v>0.1</v>
      </c>
      <c r="E148">
        <v>0.1</v>
      </c>
      <c r="F148">
        <v>0.1</v>
      </c>
    </row>
    <row r="149">
      <c r="B149" t="str">
        <v>Tebal</v>
      </c>
      <c r="C149" t="str">
        <v>m</v>
      </c>
      <c r="D149">
        <v>0.1</v>
      </c>
      <c r="E149">
        <v>0.1</v>
      </c>
      <c r="F149">
        <v>0.1</v>
      </c>
    </row>
    <row r="150">
      <c r="B150" t="str">
        <v>Panjang</v>
      </c>
      <c r="C150" t="str">
        <v>m'</v>
      </c>
      <c r="E150">
        <f>'QTY-PR'!F13</f>
        <v>6</v>
      </c>
      <c r="F150">
        <f>'QTY-PR'!J13</f>
        <v>6</v>
      </c>
    </row>
    <row r="151">
      <c r="B151" t="str">
        <v xml:space="preserve">Banyaknya </v>
      </c>
      <c r="C151" t="str">
        <v>bh</v>
      </c>
      <c r="D151">
        <v>1</v>
      </c>
      <c r="E151">
        <v>1</v>
      </c>
      <c r="F151">
        <v>1</v>
      </c>
    </row>
    <row r="153">
      <c r="A153">
        <v>2</v>
      </c>
      <c r="B153" t="str">
        <v>TULANGAN MENERUS</v>
      </c>
    </row>
    <row r="154">
      <c r="B154" t="str">
        <v>Diameter</v>
      </c>
      <c r="C154" t="str">
        <v>mm</v>
      </c>
      <c r="D154">
        <v>12</v>
      </c>
      <c r="E154">
        <v>12</v>
      </c>
      <c r="F154">
        <v>12</v>
      </c>
    </row>
    <row r="155">
      <c r="B155" t="str">
        <v>Berat</v>
      </c>
      <c r="C155" t="str">
        <v>kg/m</v>
      </c>
      <c r="D155">
        <f>VLOOKUP(D154,$C$41:$D$51,2)</f>
        <v>0.887</v>
      </c>
      <c r="E155">
        <f>VLOOKUP(E154,$C$41:$D$51,2)</f>
        <v>0.887</v>
      </c>
      <c r="F155">
        <f>VLOOKUP(F154,$C$41:$D$51,2)</f>
        <v>0.887</v>
      </c>
    </row>
    <row r="156">
      <c r="B156" t="str">
        <v>Sambungan</v>
      </c>
      <c r="C156" t="str">
        <v>%</v>
      </c>
      <c r="D156">
        <v>0.05</v>
      </c>
      <c r="E156">
        <v>0.05</v>
      </c>
      <c r="F156">
        <v>0.05</v>
      </c>
    </row>
    <row r="157">
      <c r="B157" t="str">
        <v>Panjang tulangan</v>
      </c>
      <c r="C157" t="str">
        <v>m</v>
      </c>
      <c r="D157">
        <f>(D150*D156)+D150</f>
        <v>0</v>
      </c>
      <c r="E157">
        <f>(E150*E156)+E150</f>
        <v>6.3</v>
      </c>
      <c r="F157">
        <f>(F150*F156)+F150</f>
        <v>6.3</v>
      </c>
    </row>
    <row r="158">
      <c r="B158" t="str">
        <v xml:space="preserve">Jumlah tulangan </v>
      </c>
      <c r="C158" t="str">
        <v>bh</v>
      </c>
      <c r="D158">
        <v>4</v>
      </c>
      <c r="E158">
        <v>4</v>
      </c>
      <c r="F158">
        <v>4</v>
      </c>
    </row>
    <row r="159">
      <c r="B159" t="str">
        <v>Jumlah berat</v>
      </c>
      <c r="C159" t="str">
        <v>kg</v>
      </c>
      <c r="D159">
        <f>D151*D155*D157*D158</f>
        <v>0</v>
      </c>
      <c r="E159">
        <f>E151*E155*E157*E158</f>
        <v>22.3524</v>
      </c>
      <c r="F159">
        <f>F151*F155*F157*F158</f>
        <v>22.3524</v>
      </c>
    </row>
    <row r="160">
      <c r="B160" t="str">
        <v>Jumlah batang</v>
      </c>
      <c r="C160" t="str">
        <v>bt</v>
      </c>
      <c r="D160">
        <f>D159/(D155*12)</f>
        <v>0</v>
      </c>
      <c r="E160">
        <f>E159/(E155*12)</f>
        <v>2.1</v>
      </c>
      <c r="F160">
        <f>F159/(F155*12)</f>
        <v>2.1</v>
      </c>
    </row>
    <row r="162">
      <c r="A162">
        <v>3</v>
      </c>
      <c r="B162" t="str">
        <v>TULANGAN TUMPUAN</v>
      </c>
    </row>
    <row r="163">
      <c r="B163" t="str">
        <v>Diameter</v>
      </c>
      <c r="C163" t="str">
        <v>mm</v>
      </c>
      <c r="D163">
        <v>10</v>
      </c>
      <c r="E163">
        <v>10</v>
      </c>
      <c r="F163">
        <v>10</v>
      </c>
    </row>
    <row r="164">
      <c r="B164" t="str">
        <v>Berat</v>
      </c>
      <c r="C164" t="str">
        <v>kg/m</v>
      </c>
      <c r="D164">
        <f>VLOOKUP(D163,$C$41:$D$51,2)</f>
        <v>0.62</v>
      </c>
      <c r="E164">
        <f>VLOOKUP(E163,$C$41:$D$51,2)</f>
        <v>0.62</v>
      </c>
      <c r="F164">
        <f>VLOOKUP(F163,$C$41:$D$51,2)</f>
        <v>0.62</v>
      </c>
    </row>
    <row r="165">
      <c r="B165" t="str">
        <v>Sambungan</v>
      </c>
      <c r="C165" t="str">
        <v>%</v>
      </c>
      <c r="D165">
        <v>0.05</v>
      </c>
      <c r="E165">
        <v>0.05</v>
      </c>
      <c r="F165">
        <v>0.05</v>
      </c>
    </row>
    <row r="166">
      <c r="B166" t="str">
        <v>Panjang tulangan</v>
      </c>
      <c r="C166" t="str">
        <v>m</v>
      </c>
      <c r="D166">
        <f>((D149+(D150*0.25))*D165)+((D149+(D150*0.25)))</f>
        <v>0.10500000000000001</v>
      </c>
      <c r="E166">
        <f>((E149+(E150*0.25))*E165)+((E149+(E150*0.25)))</f>
        <v>1.6800000000000002</v>
      </c>
      <c r="F166">
        <f>((F149+(F150*0.25))*F165)+((F149+(F150*0.25)))</f>
        <v>1.6800000000000002</v>
      </c>
    </row>
    <row r="167">
      <c r="B167" t="str">
        <v xml:space="preserve">Jumlah tulangan </v>
      </c>
      <c r="C167" t="str">
        <v>bh</v>
      </c>
    </row>
    <row r="168">
      <c r="B168" t="str">
        <v>Jumlah berat</v>
      </c>
      <c r="C168" t="str">
        <v>kg</v>
      </c>
      <c r="D168">
        <f>D151*D164*D166*D167</f>
        <v>0</v>
      </c>
      <c r="E168">
        <f>E151*E164*E166*E167</f>
        <v>0</v>
      </c>
      <c r="F168">
        <f>F151*F164*F166*F167</f>
        <v>0</v>
      </c>
    </row>
    <row r="169">
      <c r="B169" t="str">
        <v>Jumlah batang</v>
      </c>
      <c r="C169" t="str">
        <v>bt</v>
      </c>
      <c r="D169">
        <f>D168/(D164*12)</f>
        <v>0</v>
      </c>
      <c r="E169">
        <f>E168/(E164*12)</f>
        <v>0</v>
      </c>
      <c r="F169">
        <f>F168/(F164*12)</f>
        <v>0</v>
      </c>
    </row>
    <row r="171">
      <c r="A171">
        <v>4</v>
      </c>
      <c r="B171" t="str">
        <v>TULANGAN LAPANGAN</v>
      </c>
    </row>
    <row r="172">
      <c r="B172" t="str">
        <v>Diameter</v>
      </c>
      <c r="C172" t="str">
        <v>mm</v>
      </c>
      <c r="D172">
        <v>10</v>
      </c>
      <c r="E172">
        <v>10</v>
      </c>
      <c r="F172">
        <v>10</v>
      </c>
    </row>
    <row r="173">
      <c r="B173" t="str">
        <v>Berat</v>
      </c>
      <c r="C173" t="str">
        <v>kg/m</v>
      </c>
      <c r="D173">
        <f>VLOOKUP(D172,$C$41:$D$51,2)</f>
        <v>0.62</v>
      </c>
      <c r="E173">
        <f>VLOOKUP(E172,$C$41:$D$51,2)</f>
        <v>0.62</v>
      </c>
      <c r="F173">
        <f>VLOOKUP(F172,$C$41:$D$51,2)</f>
        <v>0.62</v>
      </c>
    </row>
    <row r="174">
      <c r="B174" t="str">
        <v>Sambungan</v>
      </c>
      <c r="C174" t="str">
        <v>%</v>
      </c>
      <c r="D174">
        <v>0.05</v>
      </c>
      <c r="E174">
        <v>0.05</v>
      </c>
      <c r="F174">
        <v>0.05</v>
      </c>
    </row>
    <row r="175">
      <c r="B175" t="str">
        <v>Panjang tulangan</v>
      </c>
      <c r="C175" t="str">
        <v>m</v>
      </c>
      <c r="D175">
        <f>((D150*0.6*D174)+(D150*0.6))</f>
        <v>0</v>
      </c>
      <c r="E175">
        <f>((E150*0.6*E174)+(E150*0.6))</f>
        <v>3.78</v>
      </c>
      <c r="F175">
        <f>((F150*0.6*F174)+(F150*0.6))</f>
        <v>3.78</v>
      </c>
    </row>
    <row r="176">
      <c r="B176" t="str">
        <v xml:space="preserve">Jumlah tulangan </v>
      </c>
      <c r="C176" t="str">
        <v>bh</v>
      </c>
    </row>
    <row r="177">
      <c r="B177" t="str">
        <v>Jumlah berat</v>
      </c>
      <c r="C177" t="str">
        <v>kg</v>
      </c>
      <c r="D177">
        <f>D151*D173*D175*D176</f>
        <v>0</v>
      </c>
      <c r="E177">
        <f>E151*E173*E175*E176</f>
        <v>0</v>
      </c>
      <c r="F177">
        <f>F151*F173*F175*F176</f>
        <v>0</v>
      </c>
    </row>
    <row r="178">
      <c r="B178" t="str">
        <v>Jumlah batang</v>
      </c>
      <c r="C178" t="str">
        <v>bt</v>
      </c>
      <c r="D178">
        <f>D177/(D173*12)</f>
        <v>0</v>
      </c>
      <c r="E178">
        <f>E177/(E173*12)</f>
        <v>0</v>
      </c>
      <c r="F178">
        <f>F177/(F173*12)</f>
        <v>0</v>
      </c>
    </row>
    <row r="180">
      <c r="A180">
        <v>6</v>
      </c>
      <c r="B180" t="str">
        <v>TULANGAN SENGKANG</v>
      </c>
    </row>
    <row r="181">
      <c r="B181" t="str">
        <v>Diameter</v>
      </c>
      <c r="C181" t="str">
        <v>mm</v>
      </c>
      <c r="D181">
        <v>8</v>
      </c>
      <c r="E181">
        <v>8</v>
      </c>
      <c r="F181">
        <v>8</v>
      </c>
    </row>
    <row r="182">
      <c r="B182" t="str">
        <v>Berat</v>
      </c>
      <c r="C182" t="str">
        <v>kg/m</v>
      </c>
      <c r="D182">
        <f>VLOOKUP(D181,$C$41:$D$51,2)</f>
        <v>0.393</v>
      </c>
      <c r="E182">
        <f>VLOOKUP(E181,$C$41:$D$51,2)</f>
        <v>0.393</v>
      </c>
      <c r="F182">
        <f>VLOOKUP(F181,$C$41:$D$51,2)</f>
        <v>0.393</v>
      </c>
    </row>
    <row r="183">
      <c r="B183" t="str">
        <v>Sambungan</v>
      </c>
      <c r="C183" t="str">
        <v>%</v>
      </c>
      <c r="D183">
        <v>0.05</v>
      </c>
      <c r="E183">
        <v>0.05</v>
      </c>
      <c r="F183">
        <v>0.05</v>
      </c>
    </row>
    <row r="184">
      <c r="B184" t="str">
        <v>Jarak sengkang</v>
      </c>
      <c r="C184" t="str">
        <v>m</v>
      </c>
      <c r="D184">
        <v>0.15</v>
      </c>
      <c r="E184">
        <v>0.15</v>
      </c>
      <c r="F184">
        <v>0.15</v>
      </c>
    </row>
    <row r="185">
      <c r="B185" t="str">
        <v>Panjang sengkang</v>
      </c>
      <c r="C185" t="str">
        <v>m'</v>
      </c>
      <c r="D185">
        <f>(((D148+D149)*2)*D183)+((D148+D149)*2)</f>
        <v>0.42000000000000004</v>
      </c>
      <c r="E185">
        <f>(((E148+E149)*2)*E183)+((E148+E149)*2)</f>
        <v>0.42000000000000004</v>
      </c>
      <c r="F185">
        <f>(((F148+F149)*2)*F183)+((F148+F149)*2)</f>
        <v>0.42000000000000004</v>
      </c>
    </row>
    <row r="186">
      <c r="B186" t="str">
        <v>Jumlah sengkang</v>
      </c>
      <c r="C186" t="str">
        <v>bh</v>
      </c>
      <c r="D186">
        <f>INT((D150/D184)+1)</f>
        <v>1</v>
      </c>
      <c r="E186">
        <f>INT((E150/E184)+1)</f>
        <v>41</v>
      </c>
      <c r="F186">
        <f>INT((F150/F184)+1)</f>
        <v>41</v>
      </c>
    </row>
    <row r="187">
      <c r="B187" t="str">
        <v>Jumlah berat</v>
      </c>
      <c r="C187" t="str">
        <v>kg</v>
      </c>
      <c r="D187">
        <f>D151*D182*D185*D186</f>
        <v>0.16506</v>
      </c>
      <c r="E187">
        <f>E151*E182*E185*E186</f>
        <v>6.767460000000001</v>
      </c>
      <c r="F187">
        <f>F151*F182*F185*F186</f>
        <v>6.767460000000001</v>
      </c>
    </row>
    <row r="188">
      <c r="B188" t="str">
        <v>Jumlah batang</v>
      </c>
      <c r="C188" t="str">
        <v>bt</v>
      </c>
      <c r="D188">
        <f>D187/(D182*12)</f>
        <v>0.035</v>
      </c>
      <c r="E188">
        <f>E187/(E182*12)</f>
        <v>1.435</v>
      </c>
      <c r="F188">
        <f>F187/(F182*12)</f>
        <v>1.435</v>
      </c>
    </row>
    <row r="190">
      <c r="A190">
        <v>7</v>
      </c>
      <c r="B190" t="str">
        <v>JUMLAH VOLUME</v>
      </c>
      <c r="D190" t="str">
        <f>D145</f>
        <v>DEPAN</v>
      </c>
      <c r="E190" t="str">
        <f>E145</f>
        <v>SAMPING</v>
      </c>
      <c r="F190" t="str">
        <f>F145</f>
        <v>BELAKANG</v>
      </c>
    </row>
    <row r="191">
      <c r="B191" t="str">
        <v>Tulangan</v>
      </c>
      <c r="C191" t="str">
        <v>kg</v>
      </c>
      <c r="D191">
        <f>D159+D168+D177+D187</f>
        <v>0.16506</v>
      </c>
      <c r="E191">
        <f>E159+E168+E177+E187</f>
        <v>29.11986</v>
      </c>
      <c r="F191">
        <f>F159+F168+F177+F187</f>
        <v>29.11986</v>
      </c>
    </row>
    <row r="192">
      <c r="B192" t="str">
        <v>Begisting</v>
      </c>
      <c r="C192" t="str">
        <v>m2</v>
      </c>
      <c r="D192">
        <f>(D149*2)*D150*D151</f>
        <v>0</v>
      </c>
      <c r="E192">
        <f>(E149*2)*E150*E151</f>
        <v>1.2000000000000002</v>
      </c>
      <c r="F192">
        <f>(F149*2)*F150*F151</f>
        <v>1.2000000000000002</v>
      </c>
    </row>
    <row r="193">
      <c r="B193" t="str">
        <v>Cor beton</v>
      </c>
      <c r="C193" t="str">
        <v>m3</v>
      </c>
      <c r="D193">
        <f>D148*D149*D150*D151</f>
        <v>0</v>
      </c>
      <c r="E193">
        <f>E148*E149*E150*E151</f>
        <v>0.06000000000000001</v>
      </c>
      <c r="F193">
        <f>F148*F149*F150*F151</f>
        <v>0.06000000000000001</v>
      </c>
    </row>
  </sheetData>
  <mergeCells count="8">
    <mergeCell ref="A107:F107"/>
    <mergeCell ref="A144:F144"/>
    <mergeCell ref="A6:D6"/>
    <mergeCell ref="A7:D7"/>
    <mergeCell ref="I7:L7"/>
    <mergeCell ref="E7:H7"/>
    <mergeCell ref="A16:F16"/>
    <mergeCell ref="A54:F54"/>
  </mergeCells>
  <hyperlinks>
    <hyperlink ref="A1" location="MENU!A1" tooltip="menu"/>
  </hyperlinks>
  <pageMargins left="0.75" right="0.75" top="1" bottom="1" header="0.5" footer="0.5"/>
  <ignoredErrors>
    <ignoredError numberStoredAsText="1" sqref="A1:L193"/>
  </ignoredErrors>
</worksheet>
</file>

<file path=xl/worksheets/sheet28.xml><?xml version="1.0" encoding="utf-8"?>
<worksheet xmlns="http://schemas.openxmlformats.org/spreadsheetml/2006/main" xmlns:r="http://schemas.openxmlformats.org/officeDocument/2006/relationships">
  <dimension ref="A1:I207"/>
  <sheetViews>
    <sheetView workbookViewId="0" rightToLeft="0"/>
  </sheetViews>
  <sheetData>
    <row r="1">
      <c r="I1" t="str">
        <v>menu</v>
      </c>
    </row>
    <row r="2">
      <c r="A2" t="str">
        <v>REKAPITULASI BIAYA STANDAR PAGAR DEPAN RUMAH NEGARA</v>
      </c>
      <c r="I2" t="str">
        <v>HSBGN</v>
      </c>
    </row>
    <row r="4">
      <c r="A4" t="str">
        <v>I</v>
      </c>
      <c r="B4" t="str">
        <v>BIAYA KONSTRUKSI</v>
      </c>
    </row>
    <row r="5">
      <c r="A5" t="str">
        <f>A98</f>
        <v>A</v>
      </c>
      <c r="B5" t="str">
        <f>B98</f>
        <v>PAGAR DEPAN tinggi 1,50 m</v>
      </c>
      <c r="G5" t="str">
        <v>Rp.</v>
      </c>
      <c r="H5">
        <f>H132</f>
        <v>8340000</v>
      </c>
    </row>
    <row r="7">
      <c r="G7" t="str">
        <v>Jumlah Biaya Konstruksi ( a ) … Rp.</v>
      </c>
      <c r="H7">
        <f>SUM(H5:H5)</f>
        <v>8340000</v>
      </c>
    </row>
    <row r="8">
      <c r="G8" t="str">
        <v>Harga pagar / m … Rp.</v>
      </c>
      <c r="H8">
        <f>H7/H28</f>
        <v>8340000</v>
      </c>
    </row>
    <row r="10">
      <c r="A10" t="str">
        <v>II</v>
      </c>
      <c r="B10" t="str">
        <v>BIAYA NON KONSTRUKSI</v>
      </c>
    </row>
    <row r="11">
      <c r="A11" t="str">
        <v>F.</v>
      </c>
      <c r="B11" t="str">
        <v>JASA KONTRAKTOR &amp; OVERHEAD</v>
      </c>
      <c r="C11" t="str">
        <v>10 % ( a )</v>
      </c>
      <c r="G11" t="str">
        <v>Rp.</v>
      </c>
      <c r="H11" t="e">
        <f>H7*I11</f>
        <v>#REF!</v>
      </c>
      <c r="I11" t="e">
        <f>#REF!</f>
        <v>#REF!</v>
      </c>
    </row>
    <row r="12">
      <c r="A12" t="str">
        <v>G.</v>
      </c>
      <c r="B12" t="str">
        <v>PAJAK</v>
      </c>
    </row>
    <row r="13">
      <c r="B13" t="str">
        <v>- PPh  Pasal  21 &amp; 23</v>
      </c>
      <c r="C13" t="str">
        <v>2 % ( a )</v>
      </c>
      <c r="G13" t="str">
        <v>Rp.</v>
      </c>
      <c r="H13" t="e">
        <f>H7*I13</f>
        <v>#REF!</v>
      </c>
      <c r="I13" t="e">
        <f>#REF!</f>
        <v>#REF!</v>
      </c>
    </row>
    <row r="14">
      <c r="B14" t="str">
        <v>- PPn</v>
      </c>
      <c r="C14" t="str">
        <v>10 % ( a )</v>
      </c>
      <c r="G14" t="str">
        <v>Rp.</v>
      </c>
      <c r="H14" t="e">
        <f>H7*I14</f>
        <v>#REF!</v>
      </c>
      <c r="I14" t="e">
        <f>#REF!</f>
        <v>#REF!</v>
      </c>
    </row>
    <row r="15">
      <c r="A15" t="str">
        <v>H.</v>
      </c>
      <c r="B15" t="str">
        <v>PERIZINAN</v>
      </c>
    </row>
    <row r="16">
      <c r="B16" t="str">
        <v>- Izin Mendirikan Bangunan ( IMB )</v>
      </c>
      <c r="C16" t="str">
        <v>1 % ( a )</v>
      </c>
      <c r="G16" t="str">
        <v>Rp.</v>
      </c>
      <c r="H16" t="e">
        <f>H7*I16</f>
        <v>#REF!</v>
      </c>
      <c r="I16" t="e">
        <f>#REF!</f>
        <v>#REF!</v>
      </c>
    </row>
    <row r="17">
      <c r="B17" t="str">
        <v>- Sertifikat Layak Fungsi</v>
      </c>
      <c r="C17" t="str">
        <v>0,5 % ( a )</v>
      </c>
      <c r="G17" t="str">
        <v>Rp.</v>
      </c>
      <c r="H17" t="e">
        <f>H7*I17</f>
        <v>#REF!</v>
      </c>
      <c r="I17" t="e">
        <f>#REF!</f>
        <v>#REF!</v>
      </c>
    </row>
    <row r="18">
      <c r="A18" t="str">
        <v>I.</v>
      </c>
      <c r="B18" t="str">
        <v>ASSURANSI</v>
      </c>
    </row>
    <row r="19">
      <c r="B19" t="str">
        <v>All Risk</v>
      </c>
      <c r="C19" t="str">
        <v>3 % ( a )</v>
      </c>
      <c r="G19" t="str">
        <v>Rp.</v>
      </c>
      <c r="H19" t="e">
        <f>H7*I19</f>
        <v>#REF!</v>
      </c>
      <c r="I19" t="e">
        <f>#REF!</f>
        <v>#REF!</v>
      </c>
    </row>
    <row r="20">
      <c r="B20" t="str">
        <v>Tenaga Kerja (ASTEK)</v>
      </c>
      <c r="C20" t="str">
        <v>0,5 % ( a )</v>
      </c>
      <c r="G20" t="str">
        <v>Rp.</v>
      </c>
      <c r="H20" t="e">
        <f>H7*I20</f>
        <v>#REF!</v>
      </c>
      <c r="I20" t="e">
        <f>#REF!</f>
        <v>#REF!</v>
      </c>
    </row>
    <row r="21">
      <c r="B21" t="str">
        <v>Pihak ke III</v>
      </c>
      <c r="C21" t="str">
        <v>0,3 % ( a )</v>
      </c>
      <c r="G21" t="str">
        <v>Rp.</v>
      </c>
      <c r="H21" t="e">
        <f>H7*I21</f>
        <v>#REF!</v>
      </c>
      <c r="I21" t="e">
        <f>#REF!</f>
        <v>#REF!</v>
      </c>
    </row>
    <row r="22">
      <c r="A22" t="str">
        <v>J.</v>
      </c>
      <c r="B22" t="str">
        <v>TINGKAT INFLASI</v>
      </c>
      <c r="C22" t="str">
        <v>5 % ( a )</v>
      </c>
      <c r="G22" t="str">
        <v>Rp.</v>
      </c>
      <c r="H22" t="e">
        <f>H7*I22</f>
        <v>#REF!</v>
      </c>
      <c r="I22" t="e">
        <f>#REF!</f>
        <v>#REF!</v>
      </c>
    </row>
    <row r="23">
      <c r="A23" t="str">
        <v>K.</v>
      </c>
      <c r="B23" t="str">
        <v>KESELAMATAN DAN KESEHATAN KERJA</v>
      </c>
      <c r="C23" t="str">
        <v>0,3 % ( a + F + G )</v>
      </c>
      <c r="G23" t="str">
        <v>Rp.</v>
      </c>
      <c r="H23" t="e">
        <f>(H7+H11+H13+H14)*I23</f>
        <v>#REF!</v>
      </c>
      <c r="I23" t="e">
        <f>#REF!</f>
        <v>#REF!</v>
      </c>
    </row>
    <row r="24">
      <c r="G24" t="str">
        <v>Jumlah Biaya Tidak Langsung ( b ) … Rp.</v>
      </c>
      <c r="H24" t="e">
        <f>SUM(H11:H23)</f>
        <v>#REF!</v>
      </c>
    </row>
    <row r="26">
      <c r="C26" t="str">
        <v>c = a + b</v>
      </c>
      <c r="G26" t="str">
        <v>TOTAL ( c ) … Rp.</v>
      </c>
      <c r="H26" t="e">
        <f>H7+H24</f>
        <v>#REF!</v>
      </c>
    </row>
    <row r="28">
      <c r="G28" t="str">
        <v>Panjang pagar ( d ) … M</v>
      </c>
      <c r="H28">
        <v>1</v>
      </c>
    </row>
    <row r="29">
      <c r="C29" t="str">
        <v>c / d</v>
      </c>
      <c r="G29" t="str">
        <v>Harga pagar / m … Rp.</v>
      </c>
      <c r="H29" t="e">
        <f>H26/H28</f>
        <v>#REF!</v>
      </c>
    </row>
    <row r="32">
      <c r="A32" t="str">
        <v>REKAPITULASI BIAYA STANDAR PAGAR SAMPING RUMAH NEGARA</v>
      </c>
    </row>
    <row r="34">
      <c r="A34" t="str">
        <v>I</v>
      </c>
      <c r="B34" t="str">
        <v>BIAYA KONSTRUKSI</v>
      </c>
    </row>
    <row r="35">
      <c r="A35" t="str">
        <f>A134</f>
        <v>B</v>
      </c>
      <c r="B35" t="str">
        <f>B134</f>
        <v>PAGAR SAMPING tinggi 2 m</v>
      </c>
      <c r="G35" t="str">
        <v>Rp.</v>
      </c>
      <c r="H35">
        <f>H169</f>
        <v>11500000</v>
      </c>
    </row>
    <row r="37">
      <c r="G37" t="str">
        <v>Jumlah Biaya Konstruksi ( a ) … Rp.</v>
      </c>
      <c r="H37">
        <f>SUM(H35:H35)</f>
        <v>11500000</v>
      </c>
    </row>
    <row r="38">
      <c r="G38" t="str">
        <v>Harga pagar / m … Rp.</v>
      </c>
      <c r="H38">
        <f>H37/H58</f>
        <v>11500000</v>
      </c>
    </row>
    <row r="40">
      <c r="A40" t="str">
        <v>II</v>
      </c>
      <c r="B40" t="str">
        <v>BIAYA NON KONSTRUKSI</v>
      </c>
    </row>
    <row r="41">
      <c r="A41" t="str">
        <v>F.</v>
      </c>
      <c r="B41" t="str">
        <v>JASA KONTRAKTOR &amp; OVERHEAD</v>
      </c>
      <c r="C41" t="str">
        <v>10 % ( a )</v>
      </c>
      <c r="G41" t="str">
        <v>Rp.</v>
      </c>
      <c r="H41" t="e">
        <f>H37*I41</f>
        <v>#REF!</v>
      </c>
      <c r="I41" t="e">
        <f>#REF!</f>
        <v>#REF!</v>
      </c>
    </row>
    <row r="42">
      <c r="A42" t="str">
        <v>G.</v>
      </c>
      <c r="B42" t="str">
        <v>PAJAK</v>
      </c>
    </row>
    <row r="43">
      <c r="B43" t="str">
        <v>- PPh  Pasal  21 &amp; 23</v>
      </c>
      <c r="C43" t="str">
        <v>2 % ( a )</v>
      </c>
      <c r="G43" t="str">
        <v>Rp.</v>
      </c>
      <c r="H43" t="e">
        <f>H37*I43</f>
        <v>#REF!</v>
      </c>
      <c r="I43" t="e">
        <f>#REF!</f>
        <v>#REF!</v>
      </c>
    </row>
    <row r="44">
      <c r="B44" t="str">
        <v>- PPn</v>
      </c>
      <c r="C44" t="str">
        <v>10 % ( a )</v>
      </c>
      <c r="G44" t="str">
        <v>Rp.</v>
      </c>
      <c r="H44" t="e">
        <f>H37*I44</f>
        <v>#REF!</v>
      </c>
      <c r="I44" t="e">
        <f>#REF!</f>
        <v>#REF!</v>
      </c>
    </row>
    <row r="45">
      <c r="A45" t="str">
        <v>H.</v>
      </c>
      <c r="B45" t="str">
        <v>PERIZINAN</v>
      </c>
    </row>
    <row r="46">
      <c r="B46" t="str">
        <v>- Izin Mendirikan Bangunan ( IMB )</v>
      </c>
      <c r="C46" t="str">
        <v>1 % ( a )</v>
      </c>
      <c r="G46" t="str">
        <v>Rp.</v>
      </c>
      <c r="H46" t="e">
        <f>H37*I46</f>
        <v>#REF!</v>
      </c>
      <c r="I46" t="e">
        <f>#REF!</f>
        <v>#REF!</v>
      </c>
    </row>
    <row r="47">
      <c r="B47" t="str">
        <v>- Sertifikat Layak Fungsi</v>
      </c>
      <c r="C47" t="str">
        <v>0,5 % ( a )</v>
      </c>
      <c r="G47" t="str">
        <v>Rp.</v>
      </c>
      <c r="H47" t="e">
        <f>H37*I47</f>
        <v>#REF!</v>
      </c>
      <c r="I47" t="e">
        <f>#REF!</f>
        <v>#REF!</v>
      </c>
    </row>
    <row r="48">
      <c r="A48" t="str">
        <v>I.</v>
      </c>
      <c r="B48" t="str">
        <v>ASSURANSI</v>
      </c>
    </row>
    <row r="49">
      <c r="B49" t="str">
        <v>All Risk</v>
      </c>
      <c r="C49" t="str">
        <v>3 % ( a )</v>
      </c>
      <c r="G49" t="str">
        <v>Rp.</v>
      </c>
      <c r="H49" t="e">
        <f>H37*I49</f>
        <v>#REF!</v>
      </c>
      <c r="I49" t="e">
        <f>#REF!</f>
        <v>#REF!</v>
      </c>
    </row>
    <row r="50">
      <c r="B50" t="str">
        <v>Tenaga Kerja (ASTEK)</v>
      </c>
      <c r="C50" t="str">
        <v>0,5 % ( a )</v>
      </c>
      <c r="G50" t="str">
        <v>Rp.</v>
      </c>
      <c r="H50" t="e">
        <f>H37*I50</f>
        <v>#REF!</v>
      </c>
      <c r="I50" t="e">
        <f>#REF!</f>
        <v>#REF!</v>
      </c>
    </row>
    <row r="51">
      <c r="B51" t="str">
        <v>Pihak ke III</v>
      </c>
      <c r="C51" t="str">
        <v>0,3 % ( a )</v>
      </c>
      <c r="G51" t="str">
        <v>Rp.</v>
      </c>
      <c r="H51" t="e">
        <f>H37*I51</f>
        <v>#REF!</v>
      </c>
      <c r="I51" t="e">
        <f>#REF!</f>
        <v>#REF!</v>
      </c>
    </row>
    <row r="52">
      <c r="A52" t="str">
        <v>J.</v>
      </c>
      <c r="B52" t="str">
        <v>TINGKAT INFLASI</v>
      </c>
      <c r="C52" t="str">
        <v>5 % ( a )</v>
      </c>
      <c r="G52" t="str">
        <v>Rp.</v>
      </c>
      <c r="H52" t="e">
        <f>H37*I52</f>
        <v>#REF!</v>
      </c>
      <c r="I52" t="e">
        <f>#REF!</f>
        <v>#REF!</v>
      </c>
    </row>
    <row r="53">
      <c r="A53" t="str">
        <v>K.</v>
      </c>
      <c r="B53" t="str">
        <v>KESELAMATAN DAN KESEHATAN KERJA</v>
      </c>
      <c r="C53" t="str">
        <v>0,3 % ( a + F + G )</v>
      </c>
      <c r="G53" t="str">
        <v>Rp.</v>
      </c>
      <c r="H53" t="e">
        <f>(H37+H41+H43+H44)*I53</f>
        <v>#REF!</v>
      </c>
      <c r="I53" t="e">
        <f>#REF!</f>
        <v>#REF!</v>
      </c>
    </row>
    <row r="54">
      <c r="G54" t="str">
        <v>Jumlah Biaya Tidak Langsung ( b ) … Rp.</v>
      </c>
      <c r="H54" t="e">
        <f>SUM(H41:H53)</f>
        <v>#REF!</v>
      </c>
    </row>
    <row r="56">
      <c r="C56" t="str">
        <v>c = a + b</v>
      </c>
      <c r="G56" t="str">
        <v>TOTAL ( c ) … Rp.</v>
      </c>
      <c r="H56" t="e">
        <f>H37+H54</f>
        <v>#REF!</v>
      </c>
    </row>
    <row r="58">
      <c r="G58" t="str">
        <v>Panjang pagar ( d ) … M</v>
      </c>
      <c r="H58">
        <v>1</v>
      </c>
    </row>
    <row r="59">
      <c r="C59" t="str">
        <v>c / d</v>
      </c>
      <c r="G59" t="str">
        <v>Harga pagar / m … Rp.</v>
      </c>
      <c r="H59" t="e">
        <f>H56/H58</f>
        <v>#REF!</v>
      </c>
    </row>
    <row r="62">
      <c r="A62" t="str">
        <v>REKAPITULASI BIAYA STANDAR PAGAR BELAKANG RUMAH NEGARA</v>
      </c>
    </row>
    <row r="64">
      <c r="A64" t="str">
        <v>I</v>
      </c>
      <c r="B64" t="str">
        <v>BIAYA KONSTRUKSI</v>
      </c>
    </row>
    <row r="65">
      <c r="A65" t="str">
        <f>A171</f>
        <v>C</v>
      </c>
      <c r="B65" t="str">
        <f>B171</f>
        <v>PAGAR BELAKANG tinggi 2,50 m</v>
      </c>
      <c r="G65" t="str">
        <v>Rp.</v>
      </c>
      <c r="H65">
        <f>H206</f>
        <v>14380000</v>
      </c>
    </row>
    <row r="67">
      <c r="G67" t="str">
        <v>Jumlah Biaya Konstruksi ( a ) … Rp.</v>
      </c>
      <c r="H67">
        <f>SUM(H65:H65)</f>
        <v>14380000</v>
      </c>
    </row>
    <row r="69">
      <c r="G69" t="str">
        <v>Harga pagar / m … Rp.</v>
      </c>
      <c r="H69">
        <f>H67/H89</f>
        <v>14380000</v>
      </c>
    </row>
    <row r="71">
      <c r="A71" t="str">
        <v>II</v>
      </c>
      <c r="B71" t="str">
        <v>BIAYA NON KONSTRUKSI</v>
      </c>
    </row>
    <row r="72">
      <c r="A72" t="str">
        <v>F.</v>
      </c>
      <c r="B72" t="str">
        <v>JASA KONTRAKTOR &amp; OVERHEAD</v>
      </c>
      <c r="C72" t="str">
        <v>10 % ( a )</v>
      </c>
      <c r="G72" t="str">
        <v>Rp.</v>
      </c>
      <c r="H72" t="e">
        <f>H67*I72</f>
        <v>#REF!</v>
      </c>
      <c r="I72" t="e">
        <f>#REF!</f>
        <v>#REF!</v>
      </c>
    </row>
    <row r="73">
      <c r="A73" t="str">
        <v>G.</v>
      </c>
      <c r="B73" t="str">
        <v>PAJAK</v>
      </c>
    </row>
    <row r="74">
      <c r="B74" t="str">
        <v>- PPh  Pasal  21 &amp; 23</v>
      </c>
      <c r="C74" t="str">
        <v>2 % ( a )</v>
      </c>
      <c r="G74" t="str">
        <v>Rp.</v>
      </c>
      <c r="H74" t="e">
        <f>H67*I74</f>
        <v>#REF!</v>
      </c>
      <c r="I74" t="e">
        <f>#REF!</f>
        <v>#REF!</v>
      </c>
    </row>
    <row r="75">
      <c r="B75" t="str">
        <v>- PPn</v>
      </c>
      <c r="C75" t="str">
        <v>10 % ( a )</v>
      </c>
      <c r="G75" t="str">
        <v>Rp.</v>
      </c>
      <c r="H75" t="e">
        <f>H67*I75</f>
        <v>#REF!</v>
      </c>
      <c r="I75" t="e">
        <f>#REF!</f>
        <v>#REF!</v>
      </c>
    </row>
    <row r="76">
      <c r="A76" t="str">
        <v>H.</v>
      </c>
      <c r="B76" t="str">
        <v>PERIZINAN</v>
      </c>
    </row>
    <row r="77">
      <c r="B77" t="str">
        <v>- Izin Mendirikan Bangunan ( IMB )</v>
      </c>
      <c r="C77" t="str">
        <v>1 % ( a )</v>
      </c>
      <c r="G77" t="str">
        <v>Rp.</v>
      </c>
      <c r="H77" t="e">
        <f>H67*I77</f>
        <v>#REF!</v>
      </c>
      <c r="I77" t="e">
        <f>#REF!</f>
        <v>#REF!</v>
      </c>
    </row>
    <row r="78">
      <c r="B78" t="str">
        <v>- Sertifikat Layak Fungsi</v>
      </c>
      <c r="C78" t="str">
        <v>0,5 % ( a )</v>
      </c>
      <c r="G78" t="str">
        <v>Rp.</v>
      </c>
      <c r="H78" t="e">
        <f>H67*I78</f>
        <v>#REF!</v>
      </c>
      <c r="I78" t="e">
        <f>#REF!</f>
        <v>#REF!</v>
      </c>
    </row>
    <row r="79">
      <c r="A79" t="str">
        <v>I.</v>
      </c>
      <c r="B79" t="str">
        <v>ASSURANSI</v>
      </c>
    </row>
    <row r="80">
      <c r="B80" t="str">
        <v>All Risk</v>
      </c>
      <c r="C80" t="str">
        <v>3 % ( a )</v>
      </c>
      <c r="G80" t="str">
        <v>Rp.</v>
      </c>
      <c r="H80" t="e">
        <f>H67*I80</f>
        <v>#REF!</v>
      </c>
      <c r="I80" t="e">
        <f>#REF!</f>
        <v>#REF!</v>
      </c>
    </row>
    <row r="81">
      <c r="B81" t="str">
        <v>Tenaga Kerja (ASTEK)</v>
      </c>
      <c r="C81" t="str">
        <v>0,5 % ( a )</v>
      </c>
      <c r="G81" t="str">
        <v>Rp.</v>
      </c>
      <c r="H81" t="e">
        <f>H67*I81</f>
        <v>#REF!</v>
      </c>
      <c r="I81" t="e">
        <f>#REF!</f>
        <v>#REF!</v>
      </c>
    </row>
    <row r="82">
      <c r="B82" t="str">
        <v>Pihak ke III</v>
      </c>
      <c r="C82" t="str">
        <v>0,3 % ( a )</v>
      </c>
      <c r="G82" t="str">
        <v>Rp.</v>
      </c>
      <c r="H82" t="e">
        <f>H67*I82</f>
        <v>#REF!</v>
      </c>
      <c r="I82" t="e">
        <f>#REF!</f>
        <v>#REF!</v>
      </c>
    </row>
    <row r="83">
      <c r="A83" t="str">
        <v>J.</v>
      </c>
      <c r="B83" t="str">
        <v>TINGKAT INFLASI</v>
      </c>
      <c r="C83" t="str">
        <v>5 % ( a )</v>
      </c>
      <c r="G83" t="str">
        <v>Rp.</v>
      </c>
      <c r="H83" t="e">
        <f>H67*I83</f>
        <v>#REF!</v>
      </c>
      <c r="I83" t="e">
        <f>#REF!</f>
        <v>#REF!</v>
      </c>
    </row>
    <row r="84">
      <c r="A84" t="str">
        <v>K.</v>
      </c>
      <c r="B84" t="str">
        <v>KESELAMATAN DAN KESEHATAN KERJA</v>
      </c>
      <c r="C84" t="str">
        <v>0,3 % ( a + F + G )</v>
      </c>
      <c r="G84" t="str">
        <v>Rp.</v>
      </c>
      <c r="H84" t="e">
        <f>(H67+H72+H74+H75)*I84</f>
        <v>#REF!</v>
      </c>
      <c r="I84" t="e">
        <f>#REF!</f>
        <v>#REF!</v>
      </c>
    </row>
    <row r="85">
      <c r="G85" t="str">
        <v>Jumlah Biaya Tidak Langsung ( b ) … Rp.</v>
      </c>
      <c r="H85" t="e">
        <f>SUM(H72:H84)</f>
        <v>#REF!</v>
      </c>
    </row>
    <row r="87">
      <c r="C87" t="str">
        <v>c = a + b</v>
      </c>
      <c r="G87" t="str">
        <v>TOTAL ( c ) … Rp.</v>
      </c>
      <c r="H87" t="e">
        <f>H67+H85</f>
        <v>#REF!</v>
      </c>
    </row>
    <row r="89">
      <c r="G89" t="str">
        <v>Panjang pagar ( d ) … M</v>
      </c>
      <c r="H89">
        <v>1</v>
      </c>
    </row>
    <row r="90">
      <c r="C90" t="str">
        <v>c / d</v>
      </c>
      <c r="G90" t="str">
        <v>Harga pagar / m … Rp.</v>
      </c>
      <c r="H90" t="e">
        <f>H87/H89</f>
        <v>#REF!</v>
      </c>
    </row>
    <row r="94">
      <c r="A94" t="str">
        <v>RICIAN BIAYA STANDAR PAGAR DEPAN RUMAH NEGARA</v>
      </c>
    </row>
    <row r="95">
      <c r="A95" t="str">
        <v>No</v>
      </c>
      <c r="B95" t="str">
        <v>Uraian Pekerjaan</v>
      </c>
      <c r="C95" t="str">
        <v>Keterangan</v>
      </c>
      <c r="D95" t="str">
        <v>Satuan</v>
      </c>
      <c r="E95" t="str">
        <v>Volume</v>
      </c>
      <c r="F95" t="str">
        <v>Harga Satuan</v>
      </c>
      <c r="G95" t="str">
        <v>Jumlah Harga</v>
      </c>
    </row>
    <row r="96">
      <c r="F96" t="str">
        <v>Rp.</v>
      </c>
      <c r="G96" t="str">
        <v>Rp.</v>
      </c>
    </row>
    <row r="98">
      <c r="A98" t="str">
        <v>A</v>
      </c>
      <c r="B98" t="str">
        <v>PAGAR DEPAN tinggi 1,50 m</v>
      </c>
    </row>
    <row r="100">
      <c r="A100" t="str">
        <v>A.1</v>
      </c>
      <c r="B100" t="str">
        <v>Pekerjaan Pondasi Batukali</v>
      </c>
    </row>
    <row r="101">
      <c r="A101">
        <v>1</v>
      </c>
      <c r="B101" t="str">
        <v>Galian tanah, dalam  s/d 1 m</v>
      </c>
      <c r="D101" t="str">
        <v>m3</v>
      </c>
      <c r="E101">
        <f>'QTY-PR'!D30</f>
        <v>2.0999999999999996</v>
      </c>
      <c r="F101">
        <f>SUMIF(SNI!C$1:C$65536,'RAB - PR'!B$1:B$65536,SNI!L$1:L$65536)</f>
        <v>0</v>
      </c>
      <c r="G101">
        <f>E101*F101</f>
        <v>0</v>
      </c>
    </row>
    <row r="102">
      <c r="A102">
        <v>2</v>
      </c>
      <c r="B102" t="str">
        <v>Pas. Urugan pasir</v>
      </c>
      <c r="D102" t="str">
        <v>m3</v>
      </c>
      <c r="E102">
        <f>'QTY-PR'!D31</f>
        <v>0.15000000000000002</v>
      </c>
      <c r="F102">
        <f>SUMIF(SNI!C$1:C$65536,'RAB - PR'!B$1:B$65536,SNI!L$1:L$65536)</f>
        <v>0</v>
      </c>
      <c r="G102">
        <f>E102*F102</f>
        <v>0</v>
      </c>
    </row>
    <row r="103">
      <c r="A103">
        <v>3</v>
      </c>
      <c r="B103" t="str">
        <v>Aanstamping batu kali</v>
      </c>
      <c r="D103" t="str">
        <v>m3</v>
      </c>
      <c r="E103">
        <f>'QTY-PR'!D32</f>
        <v>0.44999999999999996</v>
      </c>
      <c r="F103">
        <f>SUMIF(SNI!C$1:C$65536,'RAB - PR'!B$1:B$65536,SNI!L$1:L$65536)</f>
        <v>0</v>
      </c>
      <c r="G103">
        <f>E103*F103</f>
        <v>0</v>
      </c>
    </row>
    <row r="104">
      <c r="A104">
        <v>4</v>
      </c>
      <c r="B104" t="str">
        <v>Pas. pondasi batu kali 1:4</v>
      </c>
      <c r="C104" t="str">
        <v>Spesi 1 : 4</v>
      </c>
      <c r="D104" t="str">
        <v>m3</v>
      </c>
      <c r="E104">
        <f>'QTY-PR'!D33</f>
        <v>1.08</v>
      </c>
      <c r="F104">
        <f>SUMIF(SNI!C$1:C$65536,'RAB - PR'!B$1:B$65536,SNI!L$1:L$65536)</f>
        <v>0</v>
      </c>
      <c r="G104">
        <f>E104*F104</f>
        <v>0</v>
      </c>
    </row>
    <row r="105">
      <c r="A105">
        <v>5</v>
      </c>
      <c r="B105" t="str">
        <v>Urugan tanah kembali</v>
      </c>
      <c r="C105" t="str">
        <v>Sisi pondasi</v>
      </c>
      <c r="D105" t="str">
        <v>m3</v>
      </c>
      <c r="E105">
        <f>'QTY-PR'!D34</f>
        <v>0.4199999999999995</v>
      </c>
      <c r="F105">
        <f>SUMIF(SNI!C$1:C$65536,'RAB - PR'!B$1:B$65536,SNI!L$1:L$65536)</f>
        <v>0</v>
      </c>
      <c r="G105">
        <f>E105*F105</f>
        <v>0</v>
      </c>
    </row>
    <row r="106">
      <c r="A106">
        <v>6</v>
      </c>
      <c r="B106" t="str">
        <v>Buang tanah</v>
      </c>
      <c r="C106" t="str">
        <v>Didalam site</v>
      </c>
      <c r="D106" t="str">
        <v>m3</v>
      </c>
      <c r="E106">
        <f>'QTY-PR'!D35</f>
        <v>1.6800000000000002</v>
      </c>
      <c r="F106">
        <f>SUMIF(SNI!C$1:C$65536,'RAB - PR'!B$1:B$65536,SNI!L$1:L$65536)</f>
        <v>0</v>
      </c>
      <c r="G106">
        <f>E106*F106</f>
        <v>0</v>
      </c>
      <c r="H106">
        <f>SUM(G101:G106)</f>
        <v>0</v>
      </c>
    </row>
    <row r="108">
      <c r="A108" t="str">
        <v>A.2</v>
      </c>
      <c r="B108" t="str">
        <v>Pekerjaan Sloof</v>
      </c>
    </row>
    <row r="109">
      <c r="A109">
        <v>1</v>
      </c>
      <c r="B109" t="str">
        <v>Bekisting sloof beton</v>
      </c>
      <c r="C109" t="str">
        <v>Kayu terentang</v>
      </c>
      <c r="D109" t="str">
        <v>m2</v>
      </c>
      <c r="E109">
        <f>'QTY-PR'!D101</f>
        <v>1.7999999999999998</v>
      </c>
      <c r="F109">
        <f>SUMIF(SNI!C$1:C$65536,'RAB - PR'!B$1:B$65536,SNI!L$1:L$65536)</f>
        <v>0</v>
      </c>
      <c r="G109">
        <f>E109*F109</f>
        <v>0</v>
      </c>
    </row>
    <row r="110">
      <c r="A110">
        <v>2</v>
      </c>
      <c r="B110" t="str">
        <v>Tulangan besi beton U-24</v>
      </c>
      <c r="D110" t="str">
        <v>kg</v>
      </c>
      <c r="E110">
        <f>'QTY-PR'!D102</f>
        <v>30.811725</v>
      </c>
      <c r="F110">
        <f>SUMIF(SNI!C$1:C$65536,'RAB - PR'!B$1:B$65536,SNI!L$1:L$65536)</f>
        <v>0</v>
      </c>
      <c r="G110">
        <f>E110*F110</f>
        <v>0</v>
      </c>
    </row>
    <row r="111">
      <c r="A111">
        <v>3</v>
      </c>
      <c r="B111" t="str">
        <v>Beton K - 175</v>
      </c>
      <c r="D111" t="str">
        <v>m3</v>
      </c>
      <c r="E111">
        <f>'QTY-PR'!D103</f>
        <v>0.09</v>
      </c>
      <c r="F111">
        <f>SUMIF(SNI!C$1:C$65536,'RAB - PR'!B$1:B$65536,SNI!L$1:L$65536)</f>
        <v>0</v>
      </c>
      <c r="G111">
        <f>E111*F111</f>
        <v>0</v>
      </c>
      <c r="H111">
        <f>SUM(G109:G111)</f>
        <v>0</v>
      </c>
    </row>
    <row r="113">
      <c r="A113" t="str">
        <v>A.3</v>
      </c>
      <c r="B113" t="str">
        <v>Pekerjaan Kolom Praktis</v>
      </c>
    </row>
    <row r="114">
      <c r="A114">
        <v>1</v>
      </c>
      <c r="B114" t="str">
        <v>Bekisting sloof beton</v>
      </c>
      <c r="C114" t="str">
        <v>Mutu baja U-24</v>
      </c>
      <c r="D114" t="str">
        <v>m2</v>
      </c>
      <c r="E114">
        <f>'QTY-PR'!D138</f>
        <v>0.6000000000000001</v>
      </c>
      <c r="F114">
        <f>SUMIF(SNI!C$1:C$65536,'RAB - PR'!B$1:B$65536,SNI!L$1:L$65536)</f>
        <v>0</v>
      </c>
      <c r="G114">
        <f>E114*F114</f>
        <v>0</v>
      </c>
    </row>
    <row r="115">
      <c r="A115">
        <v>2</v>
      </c>
      <c r="B115" t="str">
        <v>Tulangan besi beton U-24</v>
      </c>
      <c r="D115" t="str">
        <v>kg</v>
      </c>
      <c r="E115">
        <f>'QTY-PR'!D139</f>
        <v>19.203491999999997</v>
      </c>
      <c r="F115">
        <f>SUMIF(SNI!C$1:C$65536,'RAB - PR'!B$1:B$65536,SNI!L$1:L$65536)</f>
        <v>0</v>
      </c>
      <c r="G115">
        <f>E115*F115</f>
        <v>0</v>
      </c>
    </row>
    <row r="116">
      <c r="A116">
        <v>3</v>
      </c>
      <c r="B116" t="str">
        <v>Beton K - 175</v>
      </c>
      <c r="D116" t="str">
        <v>m3</v>
      </c>
      <c r="E116">
        <f>'QTY-PR'!D140</f>
        <v>0.030000000000000006</v>
      </c>
      <c r="F116">
        <f>SUMIF(SNI!C$1:C$65536,'RAB - PR'!B$1:B$65536,SNI!L$1:L$65536)</f>
        <v>0</v>
      </c>
      <c r="G116">
        <f>E116*F116</f>
        <v>0</v>
      </c>
      <c r="H116">
        <f>SUM(G115:G116)</f>
        <v>0</v>
      </c>
    </row>
    <row r="118">
      <c r="A118" t="str">
        <v>A.4</v>
      </c>
      <c r="B118" t="str">
        <v>Pekerjaan Dinding</v>
      </c>
    </row>
    <row r="119">
      <c r="A119">
        <v>1</v>
      </c>
      <c r="B119" t="str">
        <f>SNI!C795</f>
        <v xml:space="preserve">Pagar Besi </v>
      </c>
      <c r="C119" t="str">
        <v>Besi hollow 20.40.0,8 mm</v>
      </c>
      <c r="D119" t="str">
        <v>m2</v>
      </c>
      <c r="E119">
        <f>5*1.5</f>
        <v>7.5</v>
      </c>
      <c r="F119">
        <f>SUMIF(SNI!C$1:C$65536,'RAB - PR'!B$1:B$65536,SNI!L$1:L$65536)</f>
        <v>0</v>
      </c>
      <c r="G119">
        <f>E119*F119</f>
        <v>0</v>
      </c>
    </row>
    <row r="120">
      <c r="A120">
        <v>2</v>
      </c>
      <c r="B120" t="str">
        <v>Pintu pagar besi</v>
      </c>
      <c r="C120" t="str">
        <v>Besi hollow 20.40.0,8 mm</v>
      </c>
      <c r="D120" t="str">
        <v>m2</v>
      </c>
      <c r="E120">
        <f>1*1.5</f>
        <v>1.5</v>
      </c>
      <c r="F120">
        <f>F119*1.25</f>
        <v>0</v>
      </c>
      <c r="G120">
        <f>E120*F120</f>
        <v>0</v>
      </c>
      <c r="H120">
        <f>SUM(G119:G120)</f>
        <v>0</v>
      </c>
    </row>
    <row r="122">
      <c r="B122" t="str">
        <v>pilar ;</v>
      </c>
    </row>
    <row r="123">
      <c r="A123">
        <v>3</v>
      </c>
      <c r="B123" t="str">
        <v>Pas. Dinding batu bata; ad 1:4</v>
      </c>
      <c r="C123" t="str">
        <v>Spesi 1 : 4</v>
      </c>
      <c r="D123" t="str">
        <v>m2</v>
      </c>
      <c r="E123">
        <f>((1.2*1.5)*3)+(0.55*6)</f>
        <v>8.7</v>
      </c>
      <c r="F123">
        <f>SUMIF(SNI!C$1:C$65536,'RAB - PR'!B$1:B$65536,SNI!L$1:L$65536)</f>
        <v>5227500</v>
      </c>
      <c r="G123">
        <f>E123*F123</f>
        <v>45479250</v>
      </c>
    </row>
    <row r="124">
      <c r="A124">
        <v>4</v>
      </c>
      <c r="B124" t="str">
        <v>Pas. Plester acian; ad. 1:4</v>
      </c>
      <c r="C124" t="str">
        <v>Spesi 1 : 4</v>
      </c>
      <c r="D124" t="str">
        <v>m2</v>
      </c>
      <c r="E124">
        <f>E123*2</f>
        <v>17.4</v>
      </c>
      <c r="F124">
        <f>SUMIF(SNI!C$1:C$65536,'RAB - PR'!B$1:B$65536,SNI!L$1:L$65536)</f>
        <v>0</v>
      </c>
      <c r="G124">
        <f>E124*F124</f>
        <v>0</v>
      </c>
    </row>
    <row r="125">
      <c r="A125">
        <v>5</v>
      </c>
      <c r="B125" t="str">
        <v>Cat dinding dalam acrylic emulsion KW.II</v>
      </c>
      <c r="C125" t="str">
        <v>ex Mowilex</v>
      </c>
      <c r="D125" t="str">
        <v>m2</v>
      </c>
      <c r="E125">
        <f>E123*2</f>
        <v>17.4</v>
      </c>
      <c r="F125">
        <f>SUMIF(SNI!C$1:C$65536,'RAB - PR'!B$1:B$65536,SNI!L$1:L$65536)</f>
        <v>0</v>
      </c>
      <c r="G125">
        <f>E125*F125</f>
        <v>0</v>
      </c>
      <c r="H125">
        <f>SUM(G123:G125)</f>
        <v>45479250</v>
      </c>
    </row>
    <row r="127">
      <c r="G127" t="str">
        <v>TOTAL,… Rp.</v>
      </c>
      <c r="H127">
        <f>SUM(G98:G126)</f>
        <v>45479250</v>
      </c>
    </row>
    <row r="128">
      <c r="G128" t="str">
        <v>Ppn 10%… Rp.</v>
      </c>
      <c r="H128">
        <f>0.1*H127</f>
        <v>4547925</v>
      </c>
    </row>
    <row r="129">
      <c r="G129" t="str">
        <v>Total</v>
      </c>
      <c r="H129">
        <f>H127+H128</f>
        <v>50027175</v>
      </c>
    </row>
    <row r="130">
      <c r="G130" t="str">
        <v>Panjang pagar,…m</v>
      </c>
      <c r="H130">
        <v>6</v>
      </c>
    </row>
    <row r="131">
      <c r="G131" t="str">
        <v>Harga pagar …/m</v>
      </c>
      <c r="H131">
        <f>H129/H130</f>
        <v>8337862.5</v>
      </c>
    </row>
    <row r="132">
      <c r="G132" t="str">
        <v>Dibulatkan …/m</v>
      </c>
      <c r="H132">
        <f>ROUND(H131,-4)</f>
        <v>8340000</v>
      </c>
    </row>
    <row r="133">
      <c r="A133" t="str">
        <v>RINCIAN BIAYA STANDAR PAGAR SAMPING RUMAH NEGARA</v>
      </c>
    </row>
    <row r="134">
      <c r="A134" t="str">
        <v>B</v>
      </c>
      <c r="B134" t="str">
        <v>PAGAR SAMPING tinggi 2 m</v>
      </c>
    </row>
    <row r="136">
      <c r="A136" t="str">
        <v>B.1</v>
      </c>
      <c r="B136" t="str">
        <v>Pekerjaan Pondasi Batukali</v>
      </c>
    </row>
    <row r="137">
      <c r="A137">
        <v>1</v>
      </c>
      <c r="B137" t="str">
        <v>Galian tanah, dalam  s/d 1 m</v>
      </c>
      <c r="D137" t="str">
        <v>m3</v>
      </c>
      <c r="E137">
        <f>'QTY-PR'!E30</f>
        <v>2.0999999999999996</v>
      </c>
      <c r="F137">
        <f>SUMIF(SNI!C$1:C$65536,'RAB - PR'!B$1:B$65536,SNI!L$1:L$65536)</f>
        <v>0</v>
      </c>
      <c r="G137">
        <f>E137*F137</f>
        <v>0</v>
      </c>
    </row>
    <row r="138">
      <c r="A138">
        <v>2</v>
      </c>
      <c r="B138" t="str">
        <v>Pas. Urugan pasir</v>
      </c>
      <c r="D138" t="str">
        <v>m3</v>
      </c>
      <c r="E138">
        <f>'QTY-PR'!E31</f>
        <v>0.15000000000000002</v>
      </c>
      <c r="F138">
        <f>SUMIF(SNI!C$1:C$65536,'RAB - PR'!B$1:B$65536,SNI!L$1:L$65536)</f>
        <v>0</v>
      </c>
      <c r="G138">
        <f>E138*F138</f>
        <v>0</v>
      </c>
    </row>
    <row r="139">
      <c r="A139">
        <v>3</v>
      </c>
      <c r="B139" t="str">
        <v>Aanstamping batu kali</v>
      </c>
      <c r="D139" t="str">
        <v>m3</v>
      </c>
      <c r="E139">
        <f>'QTY-PR'!E32</f>
        <v>0.44999999999999996</v>
      </c>
      <c r="F139">
        <f>SUMIF(SNI!C$1:C$65536,'RAB - PR'!B$1:B$65536,SNI!L$1:L$65536)</f>
        <v>0</v>
      </c>
      <c r="G139">
        <f>E139*F139</f>
        <v>0</v>
      </c>
    </row>
    <row r="140">
      <c r="A140">
        <v>4</v>
      </c>
      <c r="B140" t="str">
        <v>Pas. pondasi batu kali 1:4</v>
      </c>
      <c r="C140" t="str">
        <v>Spesi 1 : 4</v>
      </c>
      <c r="D140" t="str">
        <v>m3</v>
      </c>
      <c r="E140">
        <f>'QTY-PR'!E33</f>
        <v>1.08</v>
      </c>
      <c r="F140">
        <f>SUMIF(SNI!C$1:C$65536,'RAB - PR'!B$1:B$65536,SNI!L$1:L$65536)</f>
        <v>0</v>
      </c>
      <c r="G140">
        <f>E140*F140</f>
        <v>0</v>
      </c>
    </row>
    <row r="141">
      <c r="A141">
        <v>5</v>
      </c>
      <c r="B141" t="str">
        <v>Urugan tanah kembali</v>
      </c>
      <c r="C141" t="str">
        <v>Sisi pondasi</v>
      </c>
      <c r="D141" t="str">
        <v>m3</v>
      </c>
      <c r="E141">
        <f>'QTY-PR'!E34</f>
        <v>0.4199999999999995</v>
      </c>
      <c r="F141">
        <f>SUMIF(SNI!C$1:C$65536,'RAB - PR'!B$1:B$65536,SNI!L$1:L$65536)</f>
        <v>0</v>
      </c>
      <c r="G141">
        <f>E141*F141</f>
        <v>0</v>
      </c>
    </row>
    <row r="142">
      <c r="A142">
        <v>6</v>
      </c>
      <c r="B142" t="str">
        <v>Buang tanah</v>
      </c>
      <c r="C142" t="str">
        <v>Didalam site</v>
      </c>
      <c r="D142" t="str">
        <v>m3</v>
      </c>
      <c r="E142">
        <f>'QTY-PR'!E35</f>
        <v>1.6800000000000002</v>
      </c>
      <c r="F142">
        <f>SUMIF(SNI!C$1:C$65536,'RAB - PR'!B$1:B$65536,SNI!L$1:L$65536)</f>
        <v>0</v>
      </c>
      <c r="G142">
        <f>E142*F142</f>
        <v>0</v>
      </c>
      <c r="H142">
        <f>SUM(G137:G142)</f>
        <v>0</v>
      </c>
    </row>
    <row r="144">
      <c r="A144" t="str">
        <v>B.2</v>
      </c>
      <c r="B144" t="str">
        <v>Pekerjaan Sloof</v>
      </c>
    </row>
    <row r="145">
      <c r="A145">
        <v>1</v>
      </c>
      <c r="B145" t="str">
        <v>Bekisting sloof beton</v>
      </c>
      <c r="C145" t="str">
        <v>Kayu terentang</v>
      </c>
      <c r="D145" t="str">
        <v>m2</v>
      </c>
      <c r="E145">
        <f>'QTY-PR'!E101</f>
        <v>1.7999999999999998</v>
      </c>
      <c r="F145">
        <f>SUMIF(SNI!C$1:C$65536,'RAB - PR'!B$1:B$65536,SNI!L$1:L$65536)</f>
        <v>0</v>
      </c>
      <c r="G145">
        <f>E145*F145</f>
        <v>0</v>
      </c>
    </row>
    <row r="146">
      <c r="A146">
        <v>2</v>
      </c>
      <c r="B146" t="str">
        <v>Tulangan besi beton U-24</v>
      </c>
      <c r="D146" t="str">
        <v>kg</v>
      </c>
      <c r="E146">
        <f>'QTY-PR'!E102</f>
        <v>30.811725</v>
      </c>
      <c r="F146">
        <f>SUMIF(SNI!C$1:C$65536,'RAB - PR'!B$1:B$65536,SNI!L$1:L$65536)</f>
        <v>0</v>
      </c>
      <c r="G146">
        <f>E146*F146</f>
        <v>0</v>
      </c>
    </row>
    <row r="147">
      <c r="A147">
        <v>3</v>
      </c>
      <c r="B147" t="str">
        <v>Beton K - 175</v>
      </c>
      <c r="D147" t="str">
        <v>m3</v>
      </c>
      <c r="E147">
        <f>'QTY-PR'!E103</f>
        <v>0.09</v>
      </c>
      <c r="F147">
        <f>SUMIF(SNI!C$1:C$65536,'RAB - PR'!B$1:B$65536,SNI!L$1:L$65536)</f>
        <v>0</v>
      </c>
      <c r="G147">
        <f>E147*F147</f>
        <v>0</v>
      </c>
      <c r="H147">
        <f>SUM(G145:G147)</f>
        <v>0</v>
      </c>
    </row>
    <row r="149">
      <c r="A149" t="str">
        <v>B.3</v>
      </c>
      <c r="B149" t="str">
        <v>Pekerjaan Kolom Praktis</v>
      </c>
    </row>
    <row r="150">
      <c r="A150">
        <v>1</v>
      </c>
      <c r="B150" t="str">
        <v>Bekisting sloof beton</v>
      </c>
      <c r="C150" t="str">
        <v>Mutu baja U-24</v>
      </c>
      <c r="D150" t="str">
        <v>m2</v>
      </c>
      <c r="E150">
        <f>'QTY-PR'!E138</f>
        <v>0.8</v>
      </c>
      <c r="F150">
        <f>SUMIF(SNI!C$1:C$65536,'RAB - PR'!B$1:B$65536,SNI!L$1:L$65536)</f>
        <v>0</v>
      </c>
      <c r="G150">
        <f>E150*F150</f>
        <v>0</v>
      </c>
    </row>
    <row r="151">
      <c r="A151">
        <v>2</v>
      </c>
      <c r="B151" t="str">
        <v>Tulangan besi beton U-24</v>
      </c>
      <c r="D151" t="str">
        <v>kg</v>
      </c>
      <c r="E151">
        <f>'QTY-PR'!E139</f>
        <v>23.919252</v>
      </c>
      <c r="F151">
        <f>SUMIF(SNI!C$1:C$65536,'RAB - PR'!B$1:B$65536,SNI!L$1:L$65536)</f>
        <v>0</v>
      </c>
      <c r="G151">
        <f>E151*F151</f>
        <v>0</v>
      </c>
    </row>
    <row r="152">
      <c r="A152">
        <v>3</v>
      </c>
      <c r="B152" t="str">
        <v>Beton K - 175</v>
      </c>
      <c r="D152" t="str">
        <v>m3</v>
      </c>
      <c r="E152">
        <f>'QTY-PR'!E140</f>
        <v>0.04000000000000001</v>
      </c>
      <c r="F152">
        <f>SUMIF(SNI!C$1:C$65536,'RAB - PR'!B$1:B$65536,SNI!L$1:L$65536)</f>
        <v>0</v>
      </c>
      <c r="G152">
        <f>E152*F152</f>
        <v>0</v>
      </c>
      <c r="H152">
        <f>SUM(G151:G152)</f>
        <v>0</v>
      </c>
    </row>
    <row r="154">
      <c r="A154" t="str">
        <v>B.4</v>
      </c>
      <c r="B154" t="str">
        <v>Pekerjaan Ringbalk</v>
      </c>
    </row>
    <row r="155">
      <c r="A155">
        <v>2</v>
      </c>
      <c r="B155" t="str">
        <v>Bekisting Praktis beton</v>
      </c>
      <c r="C155" t="str">
        <v>Kayu terentang</v>
      </c>
      <c r="D155" t="str">
        <v>m2</v>
      </c>
      <c r="E155">
        <f>'QTY-PR'!E192</f>
        <v>1.2000000000000002</v>
      </c>
      <c r="F155">
        <f>SUMIF(SNI!C$1:C$65536,'RAB - PR'!B$1:B$65536,SNI!L$1:L$65536)</f>
        <v>0</v>
      </c>
      <c r="G155">
        <f>E155*F155</f>
        <v>0</v>
      </c>
    </row>
    <row r="156">
      <c r="A156">
        <v>1</v>
      </c>
      <c r="B156" t="str">
        <v>Tulangan besi beton U-24</v>
      </c>
      <c r="D156" t="str">
        <v>kg</v>
      </c>
      <c r="E156">
        <f>'QTY-PR'!E191</f>
        <v>29.11986</v>
      </c>
      <c r="F156">
        <f>SUMIF(SNI!C$1:C$65536,'RAB - PR'!B$1:B$65536,SNI!L$1:L$65536)</f>
        <v>0</v>
      </c>
      <c r="G156">
        <f>E156*F156</f>
        <v>0</v>
      </c>
    </row>
    <row r="157">
      <c r="A157">
        <v>3</v>
      </c>
      <c r="B157" t="str">
        <v>Beton K - 175</v>
      </c>
      <c r="D157" t="str">
        <v>m3</v>
      </c>
      <c r="E157">
        <f>'QTY-PR'!E193</f>
        <v>0.06000000000000001</v>
      </c>
      <c r="F157">
        <f>SUMIF(SNI!C$1:C$65536,'RAB - PR'!B$1:B$65536,SNI!L$1:L$65536)</f>
        <v>0</v>
      </c>
      <c r="G157">
        <f>E157*F157</f>
        <v>0</v>
      </c>
      <c r="H157">
        <f>SUM(G156:G157)</f>
        <v>0</v>
      </c>
    </row>
    <row r="159">
      <c r="A159" t="str">
        <v>B.5</v>
      </c>
      <c r="B159" t="str">
        <v>Pekerjaan Dinding</v>
      </c>
    </row>
    <row r="160">
      <c r="A160">
        <v>1</v>
      </c>
      <c r="B160" t="str">
        <v>Pas. Dinding batu bata; ad 1:4</v>
      </c>
      <c r="C160" t="str">
        <v>Spesi 1 : 4</v>
      </c>
      <c r="D160" t="str">
        <v>m2</v>
      </c>
      <c r="E160">
        <v>12</v>
      </c>
      <c r="F160">
        <f>SUMIF(SNI!C$1:C$65536,'RAB - PR'!B$1:B$65536,SNI!L$1:L$65536)</f>
        <v>5227500</v>
      </c>
      <c r="G160">
        <f>E160*F160</f>
        <v>62730000</v>
      </c>
    </row>
    <row r="161">
      <c r="A161">
        <v>2</v>
      </c>
      <c r="B161" t="str">
        <v>Pas. Plester acian; ad. 1:4</v>
      </c>
      <c r="C161" t="str">
        <v>Spesi 1 : 4</v>
      </c>
      <c r="D161" t="str">
        <v>m2</v>
      </c>
      <c r="E161">
        <v>12</v>
      </c>
      <c r="F161">
        <f>SUMIF(SNI!C$1:C$65536,'RAB - PR'!B$1:B$65536,SNI!L$1:L$65536)</f>
        <v>0</v>
      </c>
      <c r="G161">
        <f>E161*F161</f>
        <v>0</v>
      </c>
    </row>
    <row r="162">
      <c r="A162">
        <v>3</v>
      </c>
      <c r="B162" t="str">
        <v>Cat dinding dalam acrylic emulsion KW.II</v>
      </c>
      <c r="C162" t="str">
        <v>ex Mowilex</v>
      </c>
      <c r="D162" t="str">
        <v>m2</v>
      </c>
      <c r="E162">
        <v>12</v>
      </c>
      <c r="F162">
        <f>SUMIF(SNI!C$1:C$65536,'RAB - PR'!B$1:B$65536,SNI!L$1:L$65536)</f>
        <v>0</v>
      </c>
      <c r="G162">
        <f>E162*F162</f>
        <v>0</v>
      </c>
      <c r="H162">
        <f>SUM(G160:G162)</f>
        <v>62730000</v>
      </c>
    </row>
    <row r="164">
      <c r="G164" t="str">
        <v>TOTAL,… Rp.</v>
      </c>
      <c r="H164">
        <f>SUM(G134:G163)</f>
        <v>62730000</v>
      </c>
    </row>
    <row r="165">
      <c r="G165" t="str">
        <v>Ppn 10%… Rp.</v>
      </c>
      <c r="H165">
        <f>0.1*H164</f>
        <v>6273000</v>
      </c>
    </row>
    <row r="166">
      <c r="G166" t="str">
        <v>Total</v>
      </c>
      <c r="H166">
        <f>H164+H165</f>
        <v>69003000</v>
      </c>
    </row>
    <row r="167">
      <c r="G167" t="str">
        <v>Panjang pagar,…m</v>
      </c>
      <c r="H167">
        <v>6</v>
      </c>
    </row>
    <row r="168">
      <c r="G168" t="str">
        <v>Harga pagar …/m</v>
      </c>
      <c r="H168">
        <f>H166/H167</f>
        <v>11500500</v>
      </c>
    </row>
    <row r="169">
      <c r="G169" t="str">
        <v>Dibulatkan …/m</v>
      </c>
      <c r="H169">
        <f>ROUND(H168,-4)</f>
        <v>11500000</v>
      </c>
    </row>
    <row r="170">
      <c r="A170" t="str">
        <v>RINCIAN BIAYA STANDAR PAGAR BELAKANG RUMAH NEGARA</v>
      </c>
    </row>
    <row r="171">
      <c r="A171" t="str">
        <v>C</v>
      </c>
      <c r="B171" t="str">
        <v>PAGAR BELAKANG tinggi 2,50 m</v>
      </c>
    </row>
    <row r="173">
      <c r="A173" t="str">
        <v>C.1</v>
      </c>
      <c r="B173" t="str">
        <v>Pekerjaan Pondasi Batukali</v>
      </c>
    </row>
    <row r="174">
      <c r="A174">
        <v>1</v>
      </c>
      <c r="B174" t="str">
        <v>Galian tanah, dalam  s/d 1 m</v>
      </c>
      <c r="D174" t="str">
        <v>m3</v>
      </c>
      <c r="E174">
        <f>'QTY-PR'!F30</f>
        <v>2.0999999999999996</v>
      </c>
      <c r="F174">
        <f>SUMIF(SNI!C$1:C$65536,'RAB - PR'!B$1:B$65536,SNI!L$1:L$65536)</f>
        <v>0</v>
      </c>
      <c r="G174">
        <f>E174*F174</f>
        <v>0</v>
      </c>
    </row>
    <row r="175">
      <c r="A175">
        <v>2</v>
      </c>
      <c r="B175" t="str">
        <v>Pas. Urugan pasir</v>
      </c>
      <c r="D175" t="str">
        <v>m3</v>
      </c>
      <c r="E175">
        <f>'QTY-PR'!F31</f>
        <v>0.15000000000000002</v>
      </c>
      <c r="F175">
        <f>SUMIF(SNI!C$1:C$65536,'RAB - PR'!B$1:B$65536,SNI!L$1:L$65536)</f>
        <v>0</v>
      </c>
      <c r="G175">
        <f>E175*F175</f>
        <v>0</v>
      </c>
    </row>
    <row r="176">
      <c r="A176">
        <v>3</v>
      </c>
      <c r="B176" t="str">
        <v>Aanstamping batu kali</v>
      </c>
      <c r="D176" t="str">
        <v>m3</v>
      </c>
      <c r="E176">
        <f>'QTY-PR'!F32</f>
        <v>0.44999999999999996</v>
      </c>
      <c r="F176">
        <f>SUMIF(SNI!C$1:C$65536,'RAB - PR'!B$1:B$65536,SNI!L$1:L$65536)</f>
        <v>0</v>
      </c>
      <c r="G176">
        <f>E176*F176</f>
        <v>0</v>
      </c>
    </row>
    <row r="177">
      <c r="A177">
        <v>4</v>
      </c>
      <c r="B177" t="str">
        <v>Pas. pondasi batu kali 1:4</v>
      </c>
      <c r="C177" t="str">
        <v>Spesi 1 : 4</v>
      </c>
      <c r="D177" t="str">
        <v>m3</v>
      </c>
      <c r="E177">
        <f>'QTY-PR'!F33</f>
        <v>1.08</v>
      </c>
      <c r="F177">
        <f>SUMIF(SNI!C$1:C$65536,'RAB - PR'!B$1:B$65536,SNI!L$1:L$65536)</f>
        <v>0</v>
      </c>
      <c r="G177">
        <f>E177*F177</f>
        <v>0</v>
      </c>
    </row>
    <row r="178">
      <c r="A178">
        <v>5</v>
      </c>
      <c r="B178" t="str">
        <v>Urugan tanah kembali</v>
      </c>
      <c r="C178" t="str">
        <v>Sisi pondasi</v>
      </c>
      <c r="D178" t="str">
        <v>m3</v>
      </c>
      <c r="E178">
        <f>'QTY-PR'!F34</f>
        <v>0.4199999999999995</v>
      </c>
      <c r="F178">
        <f>SUMIF(SNI!C$1:C$65536,'RAB - PR'!B$1:B$65536,SNI!L$1:L$65536)</f>
        <v>0</v>
      </c>
      <c r="G178">
        <f>E178*F178</f>
        <v>0</v>
      </c>
    </row>
    <row r="179">
      <c r="A179">
        <v>6</v>
      </c>
      <c r="B179" t="str">
        <v>Buang tanah</v>
      </c>
      <c r="C179" t="str">
        <v>Didalam site</v>
      </c>
      <c r="D179" t="str">
        <v>m3</v>
      </c>
      <c r="E179">
        <f>'QTY-PR'!F35</f>
        <v>1.6800000000000002</v>
      </c>
      <c r="F179">
        <f>SUMIF(SNI!C$1:C$65536,'RAB - PR'!B$1:B$65536,SNI!L$1:L$65536)</f>
        <v>0</v>
      </c>
      <c r="G179">
        <f>E179*F179</f>
        <v>0</v>
      </c>
      <c r="H179">
        <f>SUM(G174:G179)</f>
        <v>0</v>
      </c>
    </row>
    <row r="181">
      <c r="A181" t="str">
        <v>C.2</v>
      </c>
      <c r="B181" t="str">
        <v>Pekerjaan Sloof</v>
      </c>
    </row>
    <row r="182">
      <c r="A182">
        <v>1</v>
      </c>
      <c r="B182" t="str">
        <v>Bekisting sloof beton</v>
      </c>
      <c r="C182" t="str">
        <v>Kayu terentang</v>
      </c>
      <c r="D182" t="str">
        <v>m2</v>
      </c>
      <c r="E182">
        <f>'QTY-PR'!F101</f>
        <v>1.7999999999999998</v>
      </c>
      <c r="F182">
        <f>SUMIF(SNI!C$1:C$65536,'RAB - PR'!B$1:B$65536,SNI!L$1:L$65536)</f>
        <v>0</v>
      </c>
      <c r="G182">
        <f>E182*F182</f>
        <v>0</v>
      </c>
    </row>
    <row r="183">
      <c r="A183">
        <v>2</v>
      </c>
      <c r="B183" t="str">
        <v>Tulangan besi beton U-24</v>
      </c>
      <c r="D183" t="str">
        <v>kg</v>
      </c>
      <c r="E183">
        <f>'QTY-PR'!F102</f>
        <v>30.811725</v>
      </c>
      <c r="F183">
        <f>SUMIF(SNI!C$1:C$65536,'RAB - PR'!B$1:B$65536,SNI!L$1:L$65536)</f>
        <v>0</v>
      </c>
      <c r="G183">
        <f>E183*F183</f>
        <v>0</v>
      </c>
    </row>
    <row r="184">
      <c r="A184">
        <v>3</v>
      </c>
      <c r="B184" t="str">
        <v>Beton K - 175</v>
      </c>
      <c r="D184" t="str">
        <v>m3</v>
      </c>
      <c r="E184">
        <f>'QTY-PR'!F103</f>
        <v>0.09</v>
      </c>
      <c r="F184">
        <f>SUMIF(SNI!C$1:C$65536,'RAB - PR'!B$1:B$65536,SNI!L$1:L$65536)</f>
        <v>0</v>
      </c>
      <c r="G184">
        <f>E184*F184</f>
        <v>0</v>
      </c>
      <c r="H184">
        <f>SUM(G182:G184)</f>
        <v>0</v>
      </c>
    </row>
    <row r="186">
      <c r="A186" t="str">
        <v>C.3</v>
      </c>
      <c r="B186" t="str">
        <v>Pekerjaan Kolom Praktis</v>
      </c>
    </row>
    <row r="187">
      <c r="A187">
        <v>1</v>
      </c>
      <c r="B187" t="str">
        <v>Bekisting sloof beton</v>
      </c>
      <c r="C187" t="str">
        <v>Mutu baja U-24</v>
      </c>
      <c r="D187" t="str">
        <v>kg</v>
      </c>
      <c r="E187">
        <f>'QTY-PR'!F138</f>
        <v>1</v>
      </c>
      <c r="F187">
        <f>SUMIF(SNI!C$1:C$65536,'RAB - PR'!B$1:B$65536,SNI!L$1:L$65536)</f>
        <v>0</v>
      </c>
      <c r="G187">
        <f>E187*F187</f>
        <v>0</v>
      </c>
    </row>
    <row r="188">
      <c r="A188">
        <v>2</v>
      </c>
      <c r="B188" t="str">
        <v>Tulangan besi beton U-24</v>
      </c>
      <c r="D188" t="str">
        <v>m2</v>
      </c>
      <c r="E188">
        <f>'QTY-PR'!F138</f>
        <v>1</v>
      </c>
      <c r="F188">
        <f>SUMIF(SNI!C$1:C$65536,'RAB - PR'!B$1:B$65536,SNI!L$1:L$65536)</f>
        <v>0</v>
      </c>
      <c r="G188">
        <f>E188*F188</f>
        <v>0</v>
      </c>
    </row>
    <row r="189">
      <c r="A189">
        <v>3</v>
      </c>
      <c r="B189" t="str">
        <v>Beton K - 175</v>
      </c>
      <c r="D189" t="str">
        <v>m3</v>
      </c>
      <c r="E189">
        <f>'QTY-PR'!F140</f>
        <v>0.05000000000000001</v>
      </c>
      <c r="F189">
        <f>SUMIF(SNI!C$1:C$65536,'RAB - PR'!B$1:B$65536,SNI!L$1:L$65536)</f>
        <v>0</v>
      </c>
      <c r="G189">
        <f>E189*F189</f>
        <v>0</v>
      </c>
      <c r="H189">
        <f>SUM(G187:G189)</f>
        <v>0</v>
      </c>
    </row>
    <row r="191">
      <c r="A191" t="str">
        <v>C.4</v>
      </c>
      <c r="B191" t="str">
        <v>Pekerjaan Ringbalk</v>
      </c>
    </row>
    <row r="192">
      <c r="A192">
        <v>2</v>
      </c>
      <c r="B192" t="str">
        <v>Bekisting Praktis beton</v>
      </c>
      <c r="C192" t="str">
        <v>Kayu terentang</v>
      </c>
      <c r="D192" t="str">
        <v>m2</v>
      </c>
      <c r="E192">
        <f>'QTY-PR'!F192</f>
        <v>1.2000000000000002</v>
      </c>
      <c r="F192">
        <f>SUMIF(SNI!C$1:C$65536,'RAB - PR'!B$1:B$65536,SNI!L$1:L$65536)</f>
        <v>0</v>
      </c>
      <c r="G192">
        <f>E192*F192</f>
        <v>0</v>
      </c>
    </row>
    <row r="193">
      <c r="A193">
        <v>1</v>
      </c>
      <c r="B193" t="str">
        <v>Tulangan besi beton U-24</v>
      </c>
      <c r="D193" t="str">
        <v>kg</v>
      </c>
      <c r="E193">
        <f>'QTY-PR'!F191</f>
        <v>29.11986</v>
      </c>
      <c r="F193">
        <f>SUMIF(SNI!C$1:C$65536,'RAB - PR'!B$1:B$65536,SNI!L$1:L$65536)</f>
        <v>0</v>
      </c>
      <c r="G193">
        <f>E193*F193</f>
        <v>0</v>
      </c>
    </row>
    <row r="194">
      <c r="A194">
        <v>3</v>
      </c>
      <c r="B194" t="str">
        <v>Beton K - 175</v>
      </c>
      <c r="D194" t="str">
        <v>m3</v>
      </c>
      <c r="E194">
        <f>'QTY-PR'!F193</f>
        <v>0.06000000000000001</v>
      </c>
      <c r="F194">
        <f>SUMIF(SNI!C$1:C$65536,'RAB - PR'!B$1:B$65536,SNI!L$1:L$65536)</f>
        <v>0</v>
      </c>
      <c r="G194">
        <f>E194*F194</f>
        <v>0</v>
      </c>
      <c r="H194">
        <f>SUM(G193:G194)</f>
        <v>0</v>
      </c>
    </row>
    <row r="196">
      <c r="A196" t="str">
        <v>C.5</v>
      </c>
      <c r="B196" t="str">
        <v>Pekerjaan Dinding</v>
      </c>
    </row>
    <row r="197">
      <c r="A197">
        <v>1</v>
      </c>
      <c r="B197" t="str">
        <v>Pas. Dinding batu bata; ad 1:4</v>
      </c>
      <c r="C197" t="str">
        <v>Spesi 1 : 4</v>
      </c>
      <c r="D197" t="str">
        <v>m2</v>
      </c>
      <c r="E197">
        <f>'QTY-PR'!L13</f>
        <v>15</v>
      </c>
      <c r="F197">
        <f>SUMIF(SNI!C$1:C$65536,'RAB - PR'!B$1:B$65536,SNI!L$1:L$65536)</f>
        <v>5227500</v>
      </c>
      <c r="G197">
        <f>E197*F197</f>
        <v>78412500</v>
      </c>
    </row>
    <row r="198">
      <c r="A198">
        <v>2</v>
      </c>
      <c r="B198" t="str">
        <v>Pas. Plester acian; ad. 1:4</v>
      </c>
      <c r="C198" t="str">
        <v>Spesi 1 : 4</v>
      </c>
      <c r="D198" t="str">
        <v>m2</v>
      </c>
      <c r="E198">
        <f>E197</f>
        <v>15</v>
      </c>
      <c r="F198">
        <f>SUMIF(SNI!C$1:C$65536,'RAB - PR'!B$1:B$65536,SNI!L$1:L$65536)</f>
        <v>0</v>
      </c>
      <c r="G198">
        <f>E198*F198</f>
        <v>0</v>
      </c>
    </row>
    <row r="199">
      <c r="A199">
        <v>3</v>
      </c>
      <c r="B199" t="str">
        <v>Cat dinding dalam acrylic emulsion KW.II</v>
      </c>
      <c r="C199" t="str">
        <v>ex Mowilex</v>
      </c>
      <c r="D199" t="str">
        <v>m2</v>
      </c>
      <c r="E199">
        <f>E197</f>
        <v>15</v>
      </c>
      <c r="F199">
        <f>SUMIF(SNI!C$1:C$65536,'RAB - PR'!B$1:B$65536,SNI!L$1:L$65536)</f>
        <v>0</v>
      </c>
      <c r="G199">
        <f>E199*F199</f>
        <v>0</v>
      </c>
      <c r="H199">
        <f>SUM(G197:G199)</f>
        <v>78412500</v>
      </c>
    </row>
    <row r="201">
      <c r="G201" t="str">
        <v>TOTAL,… Rp.</v>
      </c>
      <c r="H201">
        <f>SUM(G174:G199)</f>
        <v>78412500</v>
      </c>
    </row>
    <row r="202">
      <c r="G202" t="str">
        <v>Ppn 10%… Rp.</v>
      </c>
      <c r="H202">
        <f>0.1*H201</f>
        <v>7841250</v>
      </c>
    </row>
    <row r="203">
      <c r="G203" t="str">
        <v>Total</v>
      </c>
      <c r="H203">
        <f>H201+H202</f>
        <v>86253750</v>
      </c>
    </row>
    <row r="204">
      <c r="G204" t="str">
        <v>Panjang pagar,…m</v>
      </c>
      <c r="H204">
        <v>6</v>
      </c>
    </row>
    <row r="205">
      <c r="G205" t="str">
        <v>Harga pagar …/m</v>
      </c>
      <c r="H205">
        <f>H203/H204</f>
        <v>14375625</v>
      </c>
    </row>
    <row r="206">
      <c r="G206" t="str">
        <v>Dibulatkan …/m</v>
      </c>
      <c r="H206">
        <f>ROUND(H205,-4)</f>
        <v>14380000</v>
      </c>
    </row>
  </sheetData>
  <mergeCells count="13">
    <mergeCell ref="A170:H170"/>
    <mergeCell ref="A2:H2"/>
    <mergeCell ref="A32:H32"/>
    <mergeCell ref="A95:A96"/>
    <mergeCell ref="B95:B96"/>
    <mergeCell ref="D95:D96"/>
    <mergeCell ref="E95:E96"/>
    <mergeCell ref="A62:H62"/>
    <mergeCell ref="A94:H94"/>
    <mergeCell ref="C95:C96"/>
    <mergeCell ref="G95:H95"/>
    <mergeCell ref="G96:H96"/>
    <mergeCell ref="A133:H133"/>
  </mergeCells>
  <hyperlinks>
    <hyperlink ref="I1" location="MENU!A1" tooltip="menu"/>
    <hyperlink ref="I2" location="HSBGN!A1" tooltip="HSBGN"/>
  </hyperlinks>
  <pageMargins left="0.5511811023622047" right="0.2362204724409449" top="0.7480314960629921" bottom="0.7480314960629921" header="0.4330708661417323" footer="0.31496062992125984"/>
  <ignoredErrors>
    <ignoredError numberStoredAsText="1" sqref="A1:I207"/>
  </ignoredErrors>
</worksheet>
</file>

<file path=xl/worksheets/sheet3.xml><?xml version="1.0" encoding="utf-8"?>
<worksheet xmlns="http://schemas.openxmlformats.org/spreadsheetml/2006/main" xmlns:r="http://schemas.openxmlformats.org/officeDocument/2006/relationships">
  <dimension ref="A1:A36"/>
  <sheetViews>
    <sheetView workbookViewId="0" rightToLeft="0"/>
  </sheetViews>
  <sheetData>
    <row r="1">
      <c r="A1" t="str">
        <v>M E N U</v>
      </c>
    </row>
    <row r="2">
      <c r="A2" t="str">
        <v xml:space="preserve">PEDOMAN TEKNIS PENYUSUNAN HARGA SATUAN </v>
      </c>
    </row>
    <row r="3">
      <c r="A3" t="str">
        <v>PEMBANGUNAN GEDUNG NEGARA</v>
      </c>
    </row>
    <row r="6">
      <c r="A6" t="str">
        <v>1. Pengertian</v>
      </c>
    </row>
    <row r="7">
      <c r="A7" t="str">
        <v>1)      Biaya Pembangunan Bangunan Gedung Negara adalah biaya yang dikeluarkan untuk membangun suatu bangunan gedung baru berdasarkan formula yang telah ditetapkan.</v>
      </c>
    </row>
    <row r="8">
      <c r="A8" t="str">
        <v>2)       Harga Satuan Tertinggi Bangunan Gedung Negara  adalah harga satuan tertinggi pembangunan gedung negara per m2 lantai bangunan gedung.</v>
      </c>
    </row>
    <row r="9">
      <c r="A9" t="str">
        <v>3)      Penyusunan Harga Satuan Pembangunan Gedung Negara adalah memasukkan harga satuan bahan &amp; upah kepada Formula pembangunan gedung negara yang telah ditetapkan.</v>
      </c>
    </row>
    <row r="10">
      <c r="A10" t="str">
        <v>4)       Gedung Negara adalah bangunan gedung untuk keperluan dinas yang menjadi/akan menjadi kekayaan milik negara dan diadakan dengan sumber pembiayaan yang berasal dari dana APBN/perolehan lainnya yang sah, antara lain seperti: gedung kantor, gedung sekolah, gedung rumah sakit, gudang dan lain-lain.</v>
      </c>
    </row>
    <row r="12">
      <c r="A12" t="str">
        <v>2. Maksud dan Tujuan</v>
      </c>
    </row>
    <row r="13">
      <c r="A13" t="str">
        <v>Maksud :   Pedoman ini dimaksudkan sebagai petunjuk pelaksanaan bagi para penyelenggara dalam menyusun harga satuan tertinggi pembangunan gedung negara per m2 lantai bangunan gedung.</v>
      </c>
    </row>
    <row r="14">
      <c r="A14" t="str">
        <v>Tujuan :   Agar pelaksanaan penyusunan harga satuan tertinggi pembangunan gedung negara per m2 lantai bangunan gedung  Negara dapat berjalan tertib, efektif dan effisien.</v>
      </c>
    </row>
    <row r="16">
      <c r="A16" t="str">
        <v>3. Klasifikasi HSBGN</v>
      </c>
    </row>
    <row r="17">
      <c r="A17" t="str">
        <v>1)      Bangunan Sederhana</v>
      </c>
    </row>
    <row r="18">
      <c r="A18" t="str">
        <v>2)      Bangunan Tidak Sederhana</v>
      </c>
    </row>
    <row r="19">
      <c r="A19" t="str">
        <v>3)      Rumah Negara</v>
      </c>
    </row>
    <row r="20">
      <c r="A20" t="str">
        <v>a. Tipe A</v>
      </c>
    </row>
    <row r="21">
      <c r="A21" t="str">
        <v>b. Tipe B</v>
      </c>
    </row>
    <row r="22">
      <c r="A22" t="str">
        <v>c. Tipe C dan D</v>
      </c>
    </row>
    <row r="23">
      <c r="A23" t="str">
        <v>4)      Pagar Bangunan Negara</v>
      </c>
    </row>
    <row r="24">
      <c r="A24" t="str">
        <v>a. Pagar Depan</v>
      </c>
    </row>
    <row r="25">
      <c r="A25" t="str">
        <v>b. Pagar Belakang</v>
      </c>
    </row>
    <row r="26">
      <c r="A26" t="str">
        <v>c. Pagar Samping</v>
      </c>
    </row>
    <row r="28">
      <c r="A28" t="str">
        <v>4. Tata Cara Penyusunan HSBGN</v>
      </c>
    </row>
    <row r="29">
      <c r="A29" t="str">
        <v>1.       Model teknis berupa data gambar arsitektur masing-masing klasifikasi bangunan gedung negara disiapkan- lihat lampiran 1</v>
      </c>
    </row>
    <row r="30">
      <c r="A30" t="str">
        <v>2.       Menghitung volume pekerjaan (standar) masing-masing model – lihat lampiran.2</v>
      </c>
    </row>
    <row r="31">
      <c r="A31" t="str">
        <v xml:space="preserve">3.       Menganalisa harga satuan pekerjaan. </v>
      </c>
    </row>
    <row r="32">
      <c r="A32" t="str">
        <v>-          Mencari data standar SNI untuk pekerjaan standar (nomor sumber data SNI, uraian pekerjaan, satuan, koefisien)</v>
      </c>
    </row>
    <row r="33">
      <c r="A33" t="str">
        <v>-          Meng-link harga satuan dan upah dengan lembar “input data”</v>
      </c>
    </row>
    <row r="34">
      <c r="A34" t="str">
        <v>-          Meng-link total harga satuan (pembulatan) dengan harga satuan pada lembar “RAB”</v>
      </c>
    </row>
    <row r="35">
      <c r="A35" t="str">
        <v>4.       Memperoleh RAB total pekerjaan standard an harga bangunan /m2 pada  lembar “RAB”</v>
      </c>
    </row>
    <row r="36">
      <c r="A36" t="str">
        <v>5.       Harga bangunan /m2 ter-link ke lembar HSBGN dan Surat Keputusan.</v>
      </c>
    </row>
  </sheetData>
  <hyperlinks>
    <hyperlink ref="A1" location="MENU!A1" tooltip="M E N U"/>
  </hyperlinks>
  <pageMargins left="0.7480314960629921" right="0.35433070866141736" top="0.984251968503937" bottom="0.984251968503937" header="0.5118110236220472" footer="0.5118110236220472"/>
  <ignoredErrors>
    <ignoredError numberStoredAsText="1" sqref="A1:A36"/>
  </ignoredErrors>
</worksheet>
</file>

<file path=xl/worksheets/sheet4.xml><?xml version="1.0" encoding="utf-8"?>
<worksheet xmlns="http://schemas.openxmlformats.org/spreadsheetml/2006/main" xmlns:r="http://schemas.openxmlformats.org/officeDocument/2006/relationships">
  <dimension ref="A1:F892"/>
  <sheetViews>
    <sheetView workbookViewId="0" rightToLeft="0"/>
  </sheetViews>
  <sheetData>
    <row r="1">
      <c r="B1" t="str">
        <v>Provinsi</v>
      </c>
      <c r="C1" t="str">
        <v>Jawa Tengah</v>
      </c>
      <c r="F1" t="str">
        <v xml:space="preserve">M E N U </v>
      </c>
    </row>
    <row r="2">
      <c r="B2" t="str">
        <v>Kota/Kabupaten</v>
      </c>
      <c r="C2" t="str">
        <v xml:space="preserve">Kabupaten Batang </v>
      </c>
    </row>
    <row r="3">
      <c r="B3" t="str">
        <v>Tahun</v>
      </c>
      <c r="C3">
        <v>2017</v>
      </c>
    </row>
    <row r="4">
      <c r="B4" t="str">
        <v>Nomor SK.</v>
      </c>
      <c r="C4" t="str">
        <v>Simb/12/12/2013</v>
      </c>
    </row>
    <row r="5">
      <c r="B5" t="str">
        <v>Ditetapkan oleh</v>
      </c>
      <c r="C5" t="str">
        <v>Walikota Denpasar</v>
      </c>
    </row>
    <row r="6">
      <c r="B6" t="str">
        <v>Nama</v>
      </c>
      <c r="C6" t="str">
        <v>_ _ _ _ _ _ _</v>
      </c>
    </row>
    <row r="7">
      <c r="B7" t="str">
        <v>Ditetapkan di</v>
      </c>
      <c r="C7" t="str">
        <v>Denpasar</v>
      </c>
    </row>
    <row r="8">
      <c r="B8" t="str">
        <v>Tanggal</v>
      </c>
      <c r="C8" t="str">
        <v>24 Maret 2016</v>
      </c>
    </row>
    <row r="10">
      <c r="A10" t="str">
        <v>NO</v>
      </c>
      <c r="B10" t="str">
        <v>URAIAN</v>
      </c>
      <c r="C10" t="str">
        <v>KETERANGAN</v>
      </c>
      <c r="D10" t="str">
        <v>SATUAN</v>
      </c>
      <c r="E10" t="str">
        <v>HARGA SATUAN</v>
      </c>
      <c r="F10" t="str">
        <v>Bahan Pengganti</v>
      </c>
    </row>
    <row r="12">
      <c r="A12" t="str">
        <v>I</v>
      </c>
      <c r="B12" t="str">
        <v xml:space="preserve">BATA,  BATU  DAN  PASIR </v>
      </c>
    </row>
    <row r="13">
      <c r="A13">
        <v>1</v>
      </c>
      <c r="B13" t="str">
        <v>Bata Merah</v>
      </c>
      <c r="C13" t="str">
        <v>uk. 5 x 11x 22 cm</v>
      </c>
      <c r="D13" t="str">
        <v>bh</v>
      </c>
      <c r="E13">
        <v>67890</v>
      </c>
      <c r="F13">
        <v>0</v>
      </c>
    </row>
    <row r="14">
      <c r="A14">
        <v>2</v>
      </c>
      <c r="B14" t="str">
        <v>Bata beton ringan ex Celcon</v>
      </c>
      <c r="C14" t="str">
        <v>uk. 9 x 19 x 39 cm</v>
      </c>
      <c r="D14" t="str">
        <v>bh</v>
      </c>
      <c r="E14">
        <f>HLOOKUP($C$1,D!$G$6:$BV$165,ROW(D!A5),0)</f>
        <v>0</v>
      </c>
      <c r="F14">
        <v>0</v>
      </c>
    </row>
    <row r="15">
      <c r="A15">
        <v>3</v>
      </c>
      <c r="B15" t="str">
        <v>Batu kali</v>
      </c>
      <c r="C15" t="str">
        <v>Batu belah pondasi</v>
      </c>
      <c r="D15" t="str">
        <v>m3</v>
      </c>
      <c r="E15">
        <f>HLOOKUP($C$1,D!$G$6:$BV$165,ROW(D!A6),0)</f>
        <v>0</v>
      </c>
      <c r="F15">
        <v>0</v>
      </c>
    </row>
    <row r="16">
      <c r="A16">
        <v>4</v>
      </c>
      <c r="B16" t="str">
        <v>Batu Split Pecah Mesin 1/2</v>
      </c>
      <c r="D16" t="str">
        <v>m3</v>
      </c>
      <c r="E16">
        <f>HLOOKUP($C$1,D!$G$6:$BV$165,ROW(D!A7),0)</f>
        <v>0</v>
      </c>
      <c r="F16">
        <v>0</v>
      </c>
    </row>
    <row r="17">
      <c r="A17">
        <v>5</v>
      </c>
      <c r="B17" t="str">
        <v>Batu Split Pecah Mesin 3/5</v>
      </c>
      <c r="D17" t="str">
        <v>m3</v>
      </c>
      <c r="E17">
        <f>HLOOKUP($C$1,D!$G$6:$BV$165,ROW(D!A8),0)</f>
        <v>0</v>
      </c>
      <c r="F17">
        <v>0</v>
      </c>
    </row>
    <row r="18">
      <c r="A18">
        <v>6</v>
      </c>
      <c r="B18" t="str">
        <v>Batu Kerikil</v>
      </c>
      <c r="D18" t="str">
        <v>m3</v>
      </c>
      <c r="E18">
        <f>HLOOKUP($C$1,D!$G$6:$BV$165,ROW(D!A9),0)</f>
        <v>0</v>
      </c>
      <c r="F18">
        <v>0</v>
      </c>
    </row>
    <row r="19">
      <c r="A19">
        <v>7</v>
      </c>
      <c r="B19" t="str">
        <v>Pasir Beton</v>
      </c>
      <c r="D19" t="str">
        <v>m3</v>
      </c>
      <c r="E19">
        <f>HLOOKUP($C$1,D!$G$6:$BV$165,ROW(D!A10),0)</f>
        <v>0</v>
      </c>
      <c r="F19">
        <v>0</v>
      </c>
    </row>
    <row r="20">
      <c r="A20">
        <v>8</v>
      </c>
      <c r="B20" t="str">
        <v>Pasir Pasang</v>
      </c>
      <c r="D20" t="str">
        <v>m3</v>
      </c>
      <c r="E20">
        <f>HLOOKUP($C$1,D!$G$6:$BV$165,ROW(D!A11),0)</f>
        <v>0</v>
      </c>
      <c r="F20">
        <v>0</v>
      </c>
    </row>
    <row r="21">
      <c r="A21">
        <v>9</v>
      </c>
      <c r="B21" t="str">
        <v>Pasir Urug</v>
      </c>
      <c r="D21" t="str">
        <v>m3</v>
      </c>
      <c r="E21">
        <f>HLOOKUP($C$1,D!$G$6:$BV$165,ROW(D!A12),0)</f>
        <v>0</v>
      </c>
      <c r="F21">
        <v>0</v>
      </c>
    </row>
    <row r="22">
      <c r="A22">
        <v>10</v>
      </c>
      <c r="B22" t="str">
        <v>Tanah Urug</v>
      </c>
      <c r="D22" t="str">
        <v>m3</v>
      </c>
      <c r="E22">
        <f>HLOOKUP($C$1,D!$G$6:$BV$165,ROW(D!A13),0)</f>
        <v>0</v>
      </c>
      <c r="F22">
        <v>0</v>
      </c>
    </row>
    <row r="24">
      <c r="A24" t="str">
        <v>II</v>
      </c>
      <c r="B24" t="str">
        <v xml:space="preserve">BAHAN PEREKAT </v>
      </c>
    </row>
    <row r="25">
      <c r="A25">
        <v>1</v>
      </c>
      <c r="B25" t="str">
        <v>Semen (50 Kg)</v>
      </c>
      <c r="C25" t="str">
        <v>Semen Indonesia</v>
      </c>
      <c r="D25" t="str">
        <v>zak</v>
      </c>
      <c r="E25">
        <f>HLOOKUP($C$1,D!$G$6:$BV$165,ROW(D!A16),0)</f>
        <v>0</v>
      </c>
      <c r="F25">
        <v>0</v>
      </c>
    </row>
    <row r="26">
      <c r="A26">
        <v>2</v>
      </c>
      <c r="B26" t="str">
        <v xml:space="preserve">Semen Warna </v>
      </c>
      <c r="C26" t="str">
        <v>Semen Indonesia</v>
      </c>
      <c r="D26" t="str">
        <v>kg</v>
      </c>
      <c r="E26">
        <f>HLOOKUP($C$1,D!$G$6:$BV$165,ROW(D!A17),0)</f>
        <v>0</v>
      </c>
      <c r="F26">
        <v>0</v>
      </c>
    </row>
    <row r="28">
      <c r="A28" t="str">
        <v>III</v>
      </c>
      <c r="B28" t="str">
        <v>BAHAN BAJA :</v>
      </c>
    </row>
    <row r="29">
      <c r="A29">
        <v>1</v>
      </c>
      <c r="B29" t="str">
        <v>Besi Beton U-24</v>
      </c>
      <c r="C29" t="str">
        <v>KS</v>
      </c>
      <c r="D29" t="str">
        <v>Kg</v>
      </c>
      <c r="E29">
        <f>HLOOKUP($C$1,D!$G$6:$BV$165,ROW(D!A20),0)</f>
        <v>0</v>
      </c>
      <c r="F29">
        <v>0</v>
      </c>
    </row>
    <row r="30">
      <c r="A30">
        <v>2</v>
      </c>
      <c r="B30" t="str">
        <v>Besi Beton U-39</v>
      </c>
      <c r="C30" t="str">
        <v>KS</v>
      </c>
      <c r="D30" t="str">
        <v>kg</v>
      </c>
      <c r="E30">
        <f>HLOOKUP($C$1,D!$G$6:$BV$165,ROW(D!A21),0)</f>
        <v>0</v>
      </c>
      <c r="F30">
        <v>0</v>
      </c>
    </row>
    <row r="31">
      <c r="A31">
        <v>3</v>
      </c>
      <c r="B31" t="str">
        <v xml:space="preserve">Besi Plat rata2 </v>
      </c>
      <c r="C31" t="str">
        <v>KS</v>
      </c>
      <c r="D31" t="str">
        <v>Kg</v>
      </c>
      <c r="E31">
        <f>HLOOKUP($C$1,D!$G$6:$BV$165,ROW(D!A22),0)</f>
        <v>0</v>
      </c>
      <c r="F31">
        <v>0</v>
      </c>
    </row>
    <row r="32">
      <c r="A32">
        <v>4</v>
      </c>
      <c r="B32" t="str">
        <v>Besi Tempa</v>
      </c>
      <c r="D32" t="str">
        <v>m2</v>
      </c>
      <c r="E32">
        <f>HLOOKUP($C$1,D!$G$6:$BV$165,ROW(D!A23),0)</f>
        <v>0</v>
      </c>
      <c r="F32" t="str">
        <v>BRC 120cm</v>
      </c>
    </row>
    <row r="33">
      <c r="A33">
        <v>5</v>
      </c>
      <c r="B33" t="str">
        <v>Rangka atap baja ringan</v>
      </c>
      <c r="C33" t="str">
        <v xml:space="preserve"> Smart truss; Prima truss</v>
      </c>
      <c r="D33" t="str">
        <v>m2</v>
      </c>
      <c r="E33">
        <f>HLOOKUP($C$1,D!$G$6:$BV$165,ROW(D!A24),0)</f>
        <v>0</v>
      </c>
      <c r="F33">
        <v>0</v>
      </c>
    </row>
    <row r="34">
      <c r="A34">
        <v>6</v>
      </c>
      <c r="B34" t="str">
        <v>Kawat beton</v>
      </c>
      <c r="C34" t="str">
        <v>Kawat Beton</v>
      </c>
      <c r="D34" t="str">
        <v>kg</v>
      </c>
      <c r="E34">
        <f>HLOOKUP($C$1,D!$G$6:$BV$165,ROW(D!A25),0)</f>
        <v>0</v>
      </c>
      <c r="F34">
        <v>0</v>
      </c>
    </row>
    <row r="36">
      <c r="A36" t="str">
        <v>IV</v>
      </c>
      <c r="B36" t="str">
        <v xml:space="preserve">BAHAN KAYU </v>
      </c>
    </row>
    <row r="37">
      <c r="A37">
        <v>1</v>
      </c>
      <c r="B37" t="str">
        <v>Kayu Klas I</v>
      </c>
      <c r="C37" t="str">
        <v>Jati</v>
      </c>
      <c r="D37" t="str">
        <v>m3</v>
      </c>
      <c r="E37">
        <f>HLOOKUP($C$1,D!$G$6:$BV$165,ROW(D!A28),0)</f>
        <v>0</v>
      </c>
      <c r="F37">
        <v>0</v>
      </c>
    </row>
    <row r="38">
      <c r="A38">
        <v>2</v>
      </c>
      <c r="B38" t="str">
        <v>Kayu Klas II</v>
      </c>
      <c r="C38" t="str">
        <v>Kamper</v>
      </c>
      <c r="D38" t="str">
        <v>m3</v>
      </c>
      <c r="E38">
        <f>HLOOKUP($C$1,D!$G$6:$BV$165,ROW(D!A29),0)</f>
        <v>0</v>
      </c>
      <c r="F38">
        <v>0</v>
      </c>
    </row>
    <row r="39">
      <c r="A39">
        <v>3</v>
      </c>
      <c r="B39" t="str">
        <v>Kayu Klas III</v>
      </c>
      <c r="C39" t="str">
        <v>Meranti</v>
      </c>
      <c r="D39" t="str">
        <v>m3</v>
      </c>
      <c r="E39">
        <f>HLOOKUP($C$1,D!$G$6:$BV$165,ROW(D!A30),0)</f>
        <v>0</v>
      </c>
      <c r="F39">
        <v>0</v>
      </c>
    </row>
    <row r="40">
      <c r="A40">
        <v>4</v>
      </c>
      <c r="B40" t="str">
        <v>Kayu Klas IV</v>
      </c>
      <c r="C40" t="str">
        <v>Terentang</v>
      </c>
      <c r="D40" t="str">
        <v>m3</v>
      </c>
      <c r="E40">
        <f>HLOOKUP($C$1,D!$G$6:$BV$165,ROW(D!A31),0)</f>
        <v>0</v>
      </c>
      <c r="F40">
        <v>0</v>
      </c>
    </row>
    <row r="41">
      <c r="A41">
        <v>5</v>
      </c>
      <c r="B41" t="str">
        <v>Dolken dia 8 s/d 10 cm</v>
      </c>
      <c r="C41" t="str">
        <v>p. 4 m</v>
      </c>
      <c r="D41" t="str">
        <v>btg</v>
      </c>
      <c r="E41">
        <f>HLOOKUP($C$1,D!$G$6:$BV$165,ROW(D!A32),0)</f>
        <v>0</v>
      </c>
      <c r="F41">
        <v>0</v>
      </c>
    </row>
    <row r="43">
      <c r="A43" t="str">
        <v>V</v>
      </c>
      <c r="B43" t="str">
        <v>BAHAN  ALMUNIUM</v>
      </c>
    </row>
    <row r="44">
      <c r="A44">
        <v>1</v>
      </c>
      <c r="B44" t="str">
        <v>Kusen Almunium</v>
      </c>
      <c r="C44" t="str">
        <v>3", Alexindo</v>
      </c>
      <c r="D44" t="str">
        <v>m'</v>
      </c>
      <c r="E44">
        <f>HLOOKUP($C$1,D!$G$6:$BV$165,ROW(D!A35),0)</f>
        <v>0</v>
      </c>
      <c r="F44">
        <v>0</v>
      </c>
    </row>
    <row r="45">
      <c r="A45">
        <v>2</v>
      </c>
      <c r="B45" t="str">
        <v>Rangka Jendela Almunium</v>
      </c>
      <c r="C45" t="str">
        <v>Alexindo</v>
      </c>
      <c r="D45" t="str">
        <v>m'</v>
      </c>
      <c r="E45">
        <f>HLOOKUP($C$1,D!$G$6:$BV$165,ROW(D!A36),0)</f>
        <v>0</v>
      </c>
      <c r="F45">
        <v>0</v>
      </c>
    </row>
    <row r="46">
      <c r="A46">
        <v>3</v>
      </c>
      <c r="B46" t="str">
        <v>Rangka Pintu Almunium</v>
      </c>
      <c r="C46" t="str">
        <v>Alexindo</v>
      </c>
      <c r="D46" t="str">
        <v>m'</v>
      </c>
      <c r="E46">
        <f>HLOOKUP($C$1,D!$G$6:$BV$165,ROW(D!A37),0)</f>
        <v>0</v>
      </c>
      <c r="F46">
        <v>0</v>
      </c>
    </row>
    <row r="47">
      <c r="A47">
        <v>4</v>
      </c>
      <c r="B47" t="str">
        <v>Kusen &amp; Pintu PVC toilet</v>
      </c>
      <c r="C47" t="str">
        <v>Maspion</v>
      </c>
      <c r="D47" t="str">
        <v>unt</v>
      </c>
      <c r="E47">
        <f>HLOOKUP($C$1,D!$G$6:$BV$165,ROW(D!A38),0)</f>
        <v>0</v>
      </c>
      <c r="F47">
        <v>0</v>
      </c>
    </row>
    <row r="48">
      <c r="A48">
        <v>5</v>
      </c>
      <c r="B48" t="str">
        <v xml:space="preserve">Engsel </v>
      </c>
      <c r="C48" t="str">
        <v>3", ex Bos</v>
      </c>
      <c r="D48" t="str">
        <v>bh</v>
      </c>
      <c r="E48">
        <f>HLOOKUP($C$1,D!$G$6:$BV$165,ROW(D!A39),0)</f>
        <v>0</v>
      </c>
      <c r="F48">
        <v>0</v>
      </c>
    </row>
    <row r="49">
      <c r="A49">
        <v>7</v>
      </c>
      <c r="B49" t="str">
        <v xml:space="preserve">Handle pintu </v>
      </c>
      <c r="C49" t="str">
        <v>type HRE 75.01 ex. Cisa</v>
      </c>
      <c r="D49" t="str">
        <v>bh</v>
      </c>
      <c r="E49">
        <f>HLOOKUP($C$1,D!$G$6:$BV$165,ROW(D!A40),0)</f>
        <v>0</v>
      </c>
      <c r="F49">
        <v>0</v>
      </c>
    </row>
    <row r="50">
      <c r="A50">
        <v>8</v>
      </c>
      <c r="B50" t="str">
        <v xml:space="preserve">Selinder </v>
      </c>
      <c r="C50" t="str">
        <v>type 08510 ex. Cisa</v>
      </c>
      <c r="D50" t="str">
        <v>bh</v>
      </c>
      <c r="E50">
        <f>HLOOKUP($C$1,D!$G$6:$BV$165,ROW(D!A41),0)</f>
        <v>0</v>
      </c>
      <c r="F50">
        <v>0</v>
      </c>
    </row>
    <row r="51">
      <c r="A51">
        <v>9</v>
      </c>
      <c r="B51" t="str">
        <v>Door Stoper</v>
      </c>
      <c r="D51" t="str">
        <v>bh</v>
      </c>
      <c r="E51">
        <f>HLOOKUP($C$1,D!$G$6:$BV$165,ROW(D!A42),0)</f>
        <v>0</v>
      </c>
      <c r="F51">
        <v>0</v>
      </c>
    </row>
    <row r="52">
      <c r="A52">
        <v>10</v>
      </c>
      <c r="B52" t="str">
        <v>Door closer</v>
      </c>
      <c r="D52" t="str">
        <v>bh</v>
      </c>
      <c r="E52">
        <f>HLOOKUP($C$1,D!$G$6:$BV$165,ROW(D!A43),0)</f>
        <v>0</v>
      </c>
      <c r="F52">
        <v>0</v>
      </c>
    </row>
    <row r="53">
      <c r="A53">
        <v>11</v>
      </c>
      <c r="B53" t="str">
        <v>Slot Tanam</v>
      </c>
      <c r="D53" t="str">
        <v>bh</v>
      </c>
      <c r="E53">
        <f>HLOOKUP($C$1,D!$G$6:$BV$165,ROW(D!A44),0)</f>
        <v>0</v>
      </c>
      <c r="F53">
        <v>0</v>
      </c>
    </row>
    <row r="54">
      <c r="A54">
        <v>12</v>
      </c>
      <c r="B54" t="str">
        <v>Kait Angin</v>
      </c>
      <c r="D54" t="str">
        <v>bh</v>
      </c>
      <c r="E54">
        <f>HLOOKUP($C$1,D!$G$6:$BV$165,ROW(D!A45),0)</f>
        <v>0</v>
      </c>
      <c r="F54">
        <v>0</v>
      </c>
    </row>
    <row r="55">
      <c r="A55">
        <v>13</v>
      </c>
      <c r="B55" t="str">
        <v>Grendel</v>
      </c>
      <c r="D55" t="str">
        <v>bh</v>
      </c>
      <c r="E55">
        <f>HLOOKUP($C$1,D!$G$6:$BV$165,ROW(D!A46),0)</f>
        <v>0</v>
      </c>
      <c r="F55">
        <v>0</v>
      </c>
    </row>
    <row r="57">
      <c r="A57" t="str">
        <v>VI</v>
      </c>
      <c r="B57" t="str">
        <v>BAHAN PELAPIS :</v>
      </c>
    </row>
    <row r="58">
      <c r="A58">
        <v>1</v>
      </c>
      <c r="B58" t="str">
        <v>Triplek  t. 3 mm</v>
      </c>
      <c r="C58" t="str">
        <v xml:space="preserve">Uk 120x240 cm </v>
      </c>
      <c r="D58" t="str">
        <v>lbr</v>
      </c>
      <c r="E58">
        <f>HLOOKUP($C$1,D!$G$6:$BV$165,ROW(D!A49),0)</f>
        <v>0</v>
      </c>
      <c r="F58">
        <v>0</v>
      </c>
    </row>
    <row r="59">
      <c r="A59">
        <v>2</v>
      </c>
      <c r="B59" t="str">
        <v>Triplex  t. 4 mm</v>
      </c>
      <c r="C59" t="str">
        <v xml:space="preserve">Uk 120x240 cm </v>
      </c>
      <c r="D59" t="str">
        <v>lbr</v>
      </c>
      <c r="E59">
        <f>HLOOKUP($C$1,D!$G$6:$BV$165,ROW(D!A50),0)</f>
        <v>0</v>
      </c>
      <c r="F59">
        <v>0</v>
      </c>
    </row>
    <row r="60">
      <c r="A60">
        <v>3</v>
      </c>
      <c r="B60" t="str">
        <v>Triplex  t. 9 mm</v>
      </c>
      <c r="C60" t="str">
        <v xml:space="preserve">Uk 120x240 cm </v>
      </c>
      <c r="D60" t="str">
        <v>lbr</v>
      </c>
      <c r="E60">
        <f>HLOOKUP($C$1,D!$G$6:$BV$165,ROW(D!A51),0)</f>
        <v>0</v>
      </c>
      <c r="F60">
        <v>0</v>
      </c>
    </row>
    <row r="62">
      <c r="A62" t="str">
        <v>VII</v>
      </c>
      <c r="B62" t="str">
        <v>BAHAN LANTAI &amp; DINDING KERAMIK</v>
      </c>
    </row>
    <row r="63">
      <c r="A63">
        <v>1</v>
      </c>
      <c r="B63" t="str">
        <v xml:space="preserve">Keramik 30/30 </v>
      </c>
      <c r="C63" t="str">
        <v>ex Masterina</v>
      </c>
      <c r="D63" t="str">
        <v>m2</v>
      </c>
      <c r="E63">
        <f>HLOOKUP($C$1,D!$G$6:$BV$165,ROW(D!A54),0)</f>
        <v>0</v>
      </c>
      <c r="F63">
        <v>0</v>
      </c>
    </row>
    <row r="64">
      <c r="A64">
        <v>2</v>
      </c>
      <c r="B64" t="str">
        <v xml:space="preserve">Granite Tile 40/40 </v>
      </c>
      <c r="C64" t="str">
        <v>ex Granito tile</v>
      </c>
      <c r="D64" t="str">
        <v>m2</v>
      </c>
      <c r="E64">
        <f>HLOOKUP($C$1,D!$G$6:$BV$165,ROW(D!A55),0)</f>
        <v>0</v>
      </c>
      <c r="F64">
        <v>0</v>
      </c>
    </row>
    <row r="65">
      <c r="A65">
        <v>3</v>
      </c>
      <c r="B65" t="str">
        <v xml:space="preserve">Plint Keramik 10/30 cm </v>
      </c>
      <c r="C65" t="str">
        <v>ex. Roman</v>
      </c>
      <c r="D65" t="str">
        <v>bh</v>
      </c>
      <c r="E65">
        <f>HLOOKUP($C$1,D!$G$6:$BV$165,ROW(D!A56),0)</f>
        <v>0</v>
      </c>
      <c r="F65">
        <v>0</v>
      </c>
    </row>
    <row r="66">
      <c r="A66">
        <v>4</v>
      </c>
      <c r="B66" t="str">
        <v xml:space="preserve">Plint Granitetile 10/40 cm </v>
      </c>
      <c r="C66" t="str">
        <v>ex. Granito</v>
      </c>
      <c r="D66" t="str">
        <v>bh</v>
      </c>
      <c r="E66">
        <f>HLOOKUP($C$1,D!$G$6:$BV$165,ROW(D!A57),0)</f>
        <v>0</v>
      </c>
      <c r="F66">
        <v>0</v>
      </c>
    </row>
    <row r="68">
      <c r="A68" t="str">
        <v>VIII</v>
      </c>
      <c r="B68" t="str">
        <v>BAHAN PENUTUP ATAP</v>
      </c>
    </row>
    <row r="69">
      <c r="A69">
        <v>1</v>
      </c>
      <c r="B69" t="str">
        <v xml:space="preserve">Genteng Keramik </v>
      </c>
      <c r="C69" t="str">
        <v>25 bh/m2 ex Jatiwangi</v>
      </c>
      <c r="D69" t="str">
        <v>bh</v>
      </c>
      <c r="E69">
        <f>HLOOKUP($C$1,D!$G$6:$BV$165,ROW(D!A60),0)</f>
        <v>0</v>
      </c>
      <c r="F69">
        <v>0</v>
      </c>
    </row>
    <row r="70">
      <c r="A70">
        <v>2</v>
      </c>
      <c r="B70" t="str">
        <v>Genteng Keramik Glazur</v>
      </c>
      <c r="C70" t="str">
        <v xml:space="preserve"> 15 bh/m2 KANMURI</v>
      </c>
      <c r="D70" t="str">
        <v>bh</v>
      </c>
      <c r="E70">
        <f>HLOOKUP($C$1,D!$G$6:$BV$165,ROW(D!A61),0)</f>
        <v>0</v>
      </c>
      <c r="F70">
        <v>0</v>
      </c>
    </row>
    <row r="71">
      <c r="A71">
        <v>3</v>
      </c>
      <c r="B71" t="str">
        <v>Nok Genteng Keramik</v>
      </c>
      <c r="C71" t="str">
        <v>4 bh/m ex Jatiwangi</v>
      </c>
      <c r="D71" t="str">
        <v>bh</v>
      </c>
      <c r="E71">
        <f>HLOOKUP($C$1,D!$G$6:$BV$165,ROW(D!A62),0)</f>
        <v>0</v>
      </c>
      <c r="F71">
        <v>0</v>
      </c>
    </row>
    <row r="72">
      <c r="A72">
        <v>4</v>
      </c>
      <c r="B72" t="str">
        <v>Nok Genteng Keramik Glasur</v>
      </c>
      <c r="C72" t="str">
        <v>4 bh/m ex KANMURI</v>
      </c>
      <c r="D72" t="str">
        <v>bh</v>
      </c>
      <c r="E72">
        <f>HLOOKUP($C$1,D!$G$6:$BV$165,ROW(D!A63),0)</f>
        <v>0</v>
      </c>
      <c r="F72">
        <v>0</v>
      </c>
    </row>
    <row r="73">
      <c r="A73">
        <v>5</v>
      </c>
      <c r="B73" t="str">
        <v>Seng Plat BJLS 30</v>
      </c>
      <c r="C73" t="str">
        <v>L. 90 cm</v>
      </c>
      <c r="D73" t="str">
        <v>m'</v>
      </c>
      <c r="E73">
        <f>HLOOKUP($C$1,D!$G$6:$BV$165,ROW(D!A64),0)</f>
        <v>0</v>
      </c>
      <c r="F73">
        <v>0</v>
      </c>
    </row>
    <row r="75">
      <c r="A75" t="str">
        <v>IX</v>
      </c>
      <c r="B75" t="str">
        <v>BAHAN KACA :</v>
      </c>
    </row>
    <row r="76">
      <c r="A76">
        <v>1</v>
      </c>
      <c r="B76" t="str">
        <v>Kaca Polos 3 mm</v>
      </c>
      <c r="D76" t="str">
        <v>m2</v>
      </c>
      <c r="E76">
        <f>HLOOKUP($C$1,D!$G$6:$BV$165,ROW(D!A67),0)</f>
        <v>0</v>
      </c>
      <c r="F76">
        <v>0</v>
      </c>
    </row>
    <row r="77">
      <c r="A77">
        <v>2</v>
      </c>
      <c r="B77" t="str">
        <v>Kaca Polos 5 mm</v>
      </c>
      <c r="D77" t="str">
        <v>m2</v>
      </c>
      <c r="E77">
        <f>HLOOKUP($C$1,D!$G$6:$BV$165,ROW(D!A68),0)</f>
        <v>0</v>
      </c>
      <c r="F77">
        <v>0</v>
      </c>
    </row>
    <row r="78">
      <c r="A78">
        <v>3</v>
      </c>
      <c r="B78" t="str">
        <v>Kaca Polos 8 mm</v>
      </c>
      <c r="D78" t="str">
        <v>m2</v>
      </c>
      <c r="E78">
        <f>HLOOKUP($C$1,D!$G$6:$BV$165,ROW(D!A69),0)</f>
        <v>0</v>
      </c>
      <c r="F78">
        <v>0</v>
      </c>
    </row>
    <row r="80">
      <c r="A80" t="str">
        <v>X</v>
      </c>
      <c r="B80" t="str">
        <v>BAHAN PAKU DAN MUR BAUT :</v>
      </c>
    </row>
    <row r="81">
      <c r="A81">
        <v>1</v>
      </c>
      <c r="B81" t="str">
        <v>Paku 1 s/d 3 cm</v>
      </c>
      <c r="D81" t="str">
        <v>kg</v>
      </c>
      <c r="E81">
        <f>HLOOKUP($C$1,D!$G$6:$BV$165,ROW(D!A72),0)</f>
        <v>0</v>
      </c>
      <c r="F81">
        <v>0</v>
      </c>
    </row>
    <row r="82">
      <c r="A82">
        <v>2</v>
      </c>
      <c r="B82" t="str">
        <v>Paku 5 s/d 10 cm</v>
      </c>
      <c r="D82" t="str">
        <v>kg</v>
      </c>
      <c r="E82">
        <f>HLOOKUP($C$1,D!$G$6:$BV$165,ROW(D!A73),0)</f>
        <v>0</v>
      </c>
      <c r="F82">
        <v>0</v>
      </c>
    </row>
    <row r="83">
      <c r="A83">
        <v>3</v>
      </c>
      <c r="B83" t="str">
        <v>Paku 8 s/d 12 cm</v>
      </c>
      <c r="D83" t="str">
        <v>kg</v>
      </c>
      <c r="E83">
        <f>HLOOKUP($C$1,D!$G$6:$BV$165,ROW(D!A74),0)</f>
        <v>0</v>
      </c>
      <c r="F83">
        <v>0</v>
      </c>
    </row>
    <row r="84">
      <c r="A84">
        <v>4</v>
      </c>
      <c r="B84" t="str">
        <v>Paku Skrup</v>
      </c>
      <c r="D84" t="str">
        <v>bh</v>
      </c>
      <c r="E84">
        <f>HLOOKUP($C$1,D!$G$6:$BV$165,ROW(D!A75),0)</f>
        <v>0</v>
      </c>
      <c r="F84">
        <v>0</v>
      </c>
    </row>
    <row r="86">
      <c r="A86" t="str">
        <v>XI</v>
      </c>
      <c r="B86" t="str">
        <v xml:space="preserve">BAHAN FINISHING : </v>
      </c>
    </row>
    <row r="87">
      <c r="A87">
        <v>1</v>
      </c>
      <c r="B87" t="str">
        <v xml:space="preserve">Cat kayu/Besi </v>
      </c>
      <c r="C87" t="str">
        <v>ex. SEIV</v>
      </c>
      <c r="D87" t="str">
        <v>Kg</v>
      </c>
      <c r="E87">
        <f>HLOOKUP($C$1,D!$G$6:$BV$165,ROW(D!A78),0)</f>
        <v>0</v>
      </c>
      <c r="F87">
        <v>0</v>
      </c>
    </row>
    <row r="88">
      <c r="A88">
        <v>2</v>
      </c>
      <c r="B88" t="str">
        <v>Plamir Kayu</v>
      </c>
      <c r="D88" t="str">
        <v>Kg</v>
      </c>
      <c r="E88">
        <f>HLOOKUP($C$1,D!$G$6:$BV$165,ROW(D!A79),0)</f>
        <v>0</v>
      </c>
      <c r="F88">
        <v>0</v>
      </c>
    </row>
    <row r="89">
      <c r="A89">
        <v>3</v>
      </c>
      <c r="B89" t="str">
        <v xml:space="preserve">Meni kayu </v>
      </c>
      <c r="C89" t="str">
        <v>ex. Nippon</v>
      </c>
      <c r="D89" t="str">
        <v>kg</v>
      </c>
      <c r="E89">
        <f>HLOOKUP($C$1,D!$G$6:$BV$165,ROW(D!A80),0)</f>
        <v>0</v>
      </c>
      <c r="F89">
        <v>0</v>
      </c>
    </row>
    <row r="90">
      <c r="A90">
        <v>4</v>
      </c>
      <c r="B90" t="str">
        <v>Wood Filler</v>
      </c>
      <c r="C90" t="str">
        <v>Impra</v>
      </c>
      <c r="D90" t="str">
        <v>Kg</v>
      </c>
      <c r="E90">
        <f>HLOOKUP($C$1,D!$G$6:$BV$165,ROW(D!A81),0)</f>
        <v>0</v>
      </c>
      <c r="F90">
        <v>0</v>
      </c>
    </row>
    <row r="91">
      <c r="A91">
        <v>5</v>
      </c>
      <c r="B91" t="str">
        <v xml:space="preserve">Thinner </v>
      </c>
      <c r="C91" t="str">
        <v>ND IMPALA</v>
      </c>
      <c r="D91" t="str">
        <v>Ltr</v>
      </c>
      <c r="E91">
        <f>HLOOKUP($C$1,D!$G$6:$BV$165,ROW(D!A82),0)</f>
        <v>0</v>
      </c>
      <c r="F91">
        <v>0</v>
      </c>
    </row>
    <row r="92">
      <c r="A92">
        <v>6</v>
      </c>
      <c r="B92" t="str">
        <v>Amplas Kayu</v>
      </c>
      <c r="D92" t="str">
        <v>Lbr</v>
      </c>
      <c r="E92">
        <f>HLOOKUP($C$1,D!$G$6:$BV$165,ROW(D!A83),0)</f>
        <v>0</v>
      </c>
      <c r="F92">
        <v>0</v>
      </c>
    </row>
    <row r="93">
      <c r="A93">
        <v>7</v>
      </c>
      <c r="B93" t="str">
        <v>Kwas cat</v>
      </c>
      <c r="D93" t="str">
        <v>bh</v>
      </c>
      <c r="E93">
        <f>HLOOKUP($C$1,D!$G$6:$BV$165,ROW(D!A84),0)</f>
        <v>0</v>
      </c>
      <c r="F93">
        <v>0</v>
      </c>
    </row>
    <row r="94">
      <c r="A94">
        <v>8</v>
      </c>
      <c r="B94" t="str">
        <v>Cat Tembok kw1</v>
      </c>
      <c r="C94" t="str">
        <v>ex. Dulux ; Warna standard</v>
      </c>
      <c r="D94" t="str">
        <v>Kg</v>
      </c>
      <c r="E94">
        <f>HLOOKUP($C$1,D!$G$6:$BV$165,ROW(D!A85),0)</f>
        <v>0</v>
      </c>
      <c r="F94">
        <v>0</v>
      </c>
    </row>
    <row r="95">
      <c r="A95">
        <v>9</v>
      </c>
      <c r="B95" t="str">
        <v>Cat Tembok kw2</v>
      </c>
      <c r="C95" t="str">
        <v>ex. Vinilex ; Warna standard</v>
      </c>
      <c r="D95" t="str">
        <v>Kg</v>
      </c>
      <c r="E95">
        <f>HLOOKUP($C$1,D!$G$6:$BV$165,ROW(D!A86),0)</f>
        <v>0</v>
      </c>
      <c r="F95">
        <v>0</v>
      </c>
    </row>
    <row r="96">
      <c r="A96">
        <v>10</v>
      </c>
      <c r="B96" t="str">
        <v xml:space="preserve">Plamir Tembok </v>
      </c>
      <c r="D96" t="str">
        <v>Kg</v>
      </c>
      <c r="E96">
        <f>HLOOKUP($C$1,D!$G$6:$BV$165,ROW(D!A87),0)</f>
        <v>0</v>
      </c>
      <c r="F96">
        <v>0</v>
      </c>
    </row>
    <row r="97">
      <c r="A97">
        <v>11</v>
      </c>
      <c r="B97" t="str">
        <v>Lem Kayu</v>
      </c>
      <c r="D97" t="str">
        <v>kg</v>
      </c>
      <c r="E97">
        <f>HLOOKUP($C$1,D!$G$6:$BV$165,ROW(D!A88),0)</f>
        <v>0</v>
      </c>
      <c r="F97">
        <v>0</v>
      </c>
    </row>
    <row r="98">
      <c r="A98">
        <v>12</v>
      </c>
      <c r="B98" t="str">
        <v>Seal tape</v>
      </c>
      <c r="D98" t="str">
        <v>bh</v>
      </c>
      <c r="E98">
        <f>HLOOKUP($C$1,D!$G$6:$BV$165,ROW(D!A89),0)</f>
        <v>0</v>
      </c>
      <c r="F98">
        <v>0</v>
      </c>
    </row>
    <row r="99">
      <c r="A99">
        <v>13</v>
      </c>
      <c r="B99" t="str">
        <v>Minyak bekisting</v>
      </c>
      <c r="D99" t="str">
        <v>Ltr</v>
      </c>
      <c r="E99">
        <f>HLOOKUP($C$1,D!$G$6:$BV$165,ROW(D!A90),0)</f>
        <v>0</v>
      </c>
      <c r="F99" t="str">
        <v>residu</v>
      </c>
    </row>
    <row r="101">
      <c r="A101" t="str">
        <v>XII</v>
      </c>
      <c r="B101" t="str">
        <v>BAHAN SANITARI</v>
      </c>
    </row>
    <row r="102">
      <c r="A102">
        <v>1</v>
      </c>
      <c r="B102" t="str">
        <v xml:space="preserve">Wastafel </v>
      </c>
      <c r="C102" t="str">
        <v>LW 240 CJ ex Toto, Komplit kran &amp; acc</v>
      </c>
      <c r="D102" t="str">
        <v>unt</v>
      </c>
      <c r="E102">
        <f>HLOOKUP($C$1,D!$G$6:$BV$165,ROW(D!A93),0)</f>
        <v>0</v>
      </c>
      <c r="F102">
        <v>0</v>
      </c>
    </row>
    <row r="103">
      <c r="A103">
        <v>2</v>
      </c>
      <c r="B103" t="str">
        <v xml:space="preserve">Kloset duduk </v>
      </c>
      <c r="C103" t="str">
        <v>CW 600 J / SW 660 J Komplit  &amp; acc</v>
      </c>
      <c r="D103" t="str">
        <v>unt</v>
      </c>
      <c r="E103">
        <f>HLOOKUP($C$1,D!$G$6:$BV$165,ROW(D!A94),0)</f>
        <v>0</v>
      </c>
      <c r="F103">
        <v>0</v>
      </c>
    </row>
    <row r="104">
      <c r="A104">
        <v>3</v>
      </c>
      <c r="B104" t="str">
        <v xml:space="preserve">Kloset Jongkok </v>
      </c>
      <c r="C104" t="str">
        <v>type CE 6 ex. Toto</v>
      </c>
      <c r="D104" t="str">
        <v>unt</v>
      </c>
      <c r="E104">
        <f>HLOOKUP($C$1,D!$G$6:$BV$165,ROW(D!A95),0)</f>
        <v>0</v>
      </c>
      <c r="F104">
        <v>0</v>
      </c>
    </row>
    <row r="105">
      <c r="A105">
        <v>4</v>
      </c>
      <c r="B105" t="str">
        <v xml:space="preserve">Urinoir </v>
      </c>
      <c r="C105" t="str">
        <v>type U 57 M ex. Toto</v>
      </c>
      <c r="D105" t="str">
        <v>unt</v>
      </c>
      <c r="E105">
        <f>HLOOKUP($C$1,D!$G$6:$BV$165,ROW(D!A96),0)</f>
        <v>0</v>
      </c>
      <c r="F105">
        <v>0</v>
      </c>
    </row>
    <row r="106">
      <c r="A106">
        <v>5</v>
      </c>
      <c r="B106" t="str">
        <v xml:space="preserve">Bak air fibreglass  </v>
      </c>
      <c r="C106" t="str">
        <v>uk. 55x55x60 cm</v>
      </c>
      <c r="D106" t="str">
        <v>bh</v>
      </c>
      <c r="E106">
        <f>HLOOKUP($C$1,D!$G$6:$BV$165,ROW(D!A97),0)</f>
        <v>0</v>
      </c>
      <c r="F106">
        <v>0</v>
      </c>
    </row>
    <row r="107">
      <c r="A107">
        <v>6</v>
      </c>
      <c r="B107" t="str">
        <v xml:space="preserve">Shower Spray </v>
      </c>
      <c r="C107" t="str">
        <v>type THX 20 NBPIV  ex. Toto</v>
      </c>
      <c r="D107" t="str">
        <v>unt</v>
      </c>
      <c r="E107">
        <f>HLOOKUP($C$1,D!$G$6:$BV$165,ROW(D!A98),0)</f>
        <v>0</v>
      </c>
      <c r="F107">
        <v>0</v>
      </c>
    </row>
    <row r="108">
      <c r="A108">
        <v>7</v>
      </c>
      <c r="B108" t="str">
        <v xml:space="preserve">Shower Set </v>
      </c>
      <c r="C108" t="str">
        <v>type TX 423 SZ   ex. Toto</v>
      </c>
      <c r="D108" t="str">
        <v>unt</v>
      </c>
      <c r="E108">
        <f>HLOOKUP($C$1,D!$G$6:$BV$165,ROW(D!A99),0)</f>
        <v>0</v>
      </c>
      <c r="F108">
        <v>0</v>
      </c>
    </row>
    <row r="109">
      <c r="A109">
        <v>8</v>
      </c>
      <c r="B109" t="str">
        <v xml:space="preserve">Floordrain </v>
      </c>
      <c r="C109" t="str">
        <v>TX 1B  ex. Toto</v>
      </c>
      <c r="D109" t="str">
        <v>bh</v>
      </c>
      <c r="E109">
        <f>HLOOKUP($C$1,D!$G$6:$BV$165,ROW(D!A100),0)</f>
        <v>0</v>
      </c>
      <c r="F109">
        <v>0</v>
      </c>
    </row>
    <row r="110">
      <c r="A110">
        <v>9</v>
      </c>
      <c r="B110" t="str">
        <v xml:space="preserve">Tempat Sabun </v>
      </c>
      <c r="C110" t="str">
        <v>S 11 N EX. Toto</v>
      </c>
      <c r="D110" t="str">
        <v>bh</v>
      </c>
      <c r="E110">
        <f>HLOOKUP($C$1,D!$G$6:$BV$165,ROW(D!A101),0)</f>
        <v>0</v>
      </c>
      <c r="F110">
        <v>0</v>
      </c>
    </row>
    <row r="111">
      <c r="A111">
        <v>10</v>
      </c>
      <c r="B111" t="str">
        <v>Kran zink</v>
      </c>
      <c r="C111" t="str">
        <v>T 30 AR13NV7N   ex. Toto</v>
      </c>
      <c r="D111" t="str">
        <v>bh</v>
      </c>
      <c r="E111">
        <f>HLOOKUP($C$1,D!$G$6:$BV$165,ROW(D!A102),0)</f>
        <v>0</v>
      </c>
      <c r="F111">
        <v>0</v>
      </c>
    </row>
    <row r="112">
      <c r="A112">
        <v>11</v>
      </c>
      <c r="B112" t="str">
        <v xml:space="preserve">Kitchenzink  </v>
      </c>
      <c r="C112" t="str">
        <v>Hwaco 1L</v>
      </c>
      <c r="D112" t="str">
        <v>unt</v>
      </c>
      <c r="E112">
        <f>HLOOKUP($C$1,D!$G$6:$BV$165,ROW(D!A103),0)</f>
        <v>0</v>
      </c>
      <c r="F112">
        <v>0</v>
      </c>
    </row>
    <row r="113">
      <c r="A113">
        <v>12</v>
      </c>
      <c r="B113" t="str">
        <v xml:space="preserve">Kran dinding </v>
      </c>
      <c r="C113" t="str">
        <v>type T 23 B13V7N ex. Toto</v>
      </c>
      <c r="D113" t="str">
        <v>bh</v>
      </c>
      <c r="E113">
        <f>HLOOKUP($C$1,D!$G$6:$BV$165,ROW(D!A104),0)</f>
        <v>0</v>
      </c>
      <c r="F113">
        <v>0</v>
      </c>
    </row>
    <row r="115">
      <c r="A115" t="str">
        <v>XIII</v>
      </c>
      <c r="B115" t="str">
        <v>BAHAN PARTISI DINDING /PLAFOND</v>
      </c>
    </row>
    <row r="116">
      <c r="A116">
        <v>1</v>
      </c>
      <c r="B116" t="str">
        <v xml:space="preserve">Gypsumboard  t.9 mm </v>
      </c>
      <c r="C116" t="str">
        <v>ex. Jayaboard ; uk 120 x 240 cm</v>
      </c>
      <c r="D116" t="str">
        <v>lbr</v>
      </c>
      <c r="E116">
        <f>HLOOKUP($C$1,D!$G$6:$BV$165,ROW(D!A107),0)</f>
        <v>0</v>
      </c>
      <c r="F116">
        <v>0</v>
      </c>
    </row>
    <row r="117">
      <c r="A117">
        <v>2</v>
      </c>
      <c r="B117" t="str">
        <v>List Profil 5 cm Gypsum</v>
      </c>
      <c r="D117" t="str">
        <v>m</v>
      </c>
      <c r="E117">
        <f>HLOOKUP($C$1,D!$G$6:$BV$165,ROW(D!A108),0)</f>
        <v>0</v>
      </c>
      <c r="F117">
        <v>0</v>
      </c>
    </row>
    <row r="118">
      <c r="A118">
        <v>3</v>
      </c>
      <c r="B118" t="str">
        <v>Rangka plafond Metal furing</v>
      </c>
      <c r="C118" t="str">
        <v xml:space="preserve">termasuk paku ripet &amp; acc </v>
      </c>
      <c r="D118" t="str">
        <v>m2</v>
      </c>
      <c r="E118">
        <f>HLOOKUP($C$1,D!$G$6:$BV$165,ROW(D!A109),0)</f>
        <v>0</v>
      </c>
      <c r="F118">
        <v>0</v>
      </c>
    </row>
    <row r="120">
      <c r="A120" t="str">
        <v>XIV</v>
      </c>
      <c r="B120" t="str">
        <v xml:space="preserve">BAHAN SALURAN AIR </v>
      </c>
    </row>
    <row r="121">
      <c r="A121">
        <v>1</v>
      </c>
      <c r="B121" t="str">
        <v xml:space="preserve">Pipa PVC dia 1/2" </v>
      </c>
      <c r="C121" t="str">
        <v>ex. Wavin ; P. 4 m</v>
      </c>
      <c r="D121" t="str">
        <v>m'</v>
      </c>
      <c r="E121">
        <f>HLOOKUP($C$1,D!$G$6:$BV$165,ROW(D!A112),0)</f>
        <v>0</v>
      </c>
      <c r="F121" t="str">
        <v>rucika</v>
      </c>
    </row>
    <row r="122">
      <c r="A122">
        <v>2</v>
      </c>
      <c r="B122" t="str">
        <v xml:space="preserve">Pipa PVC dia 3/4" </v>
      </c>
      <c r="C122" t="str">
        <v>ex. Wavin ; P. 4 m</v>
      </c>
      <c r="D122" t="str">
        <v>m'</v>
      </c>
      <c r="E122">
        <f>HLOOKUP($C$1,D!$G$6:$BV$165,ROW(D!A113),0)</f>
        <v>0</v>
      </c>
      <c r="F122" t="str">
        <v>rucika</v>
      </c>
    </row>
    <row r="123">
      <c r="A123">
        <v>3</v>
      </c>
      <c r="B123" t="str">
        <v xml:space="preserve">Pipa PVC dia 1" </v>
      </c>
      <c r="C123" t="str">
        <v>ex. Wavin ; P. 4 m</v>
      </c>
      <c r="D123" t="str">
        <v>m'</v>
      </c>
      <c r="E123">
        <f>HLOOKUP($C$1,D!$G$6:$BV$165,ROW(D!A114),0)</f>
        <v>0</v>
      </c>
      <c r="F123" t="str">
        <v>rucika</v>
      </c>
    </row>
    <row r="124">
      <c r="A124">
        <v>4</v>
      </c>
      <c r="B124" t="str">
        <v xml:space="preserve">Pipa PVC dia 2" </v>
      </c>
      <c r="C124" t="str">
        <v>ex. Wavin ; P. 4 m</v>
      </c>
      <c r="D124" t="str">
        <v>m'</v>
      </c>
      <c r="E124">
        <f>HLOOKUP($C$1,D!$G$6:$BV$165,ROW(D!A115),0)</f>
        <v>0</v>
      </c>
      <c r="F124" t="str">
        <v>rucika</v>
      </c>
    </row>
    <row r="125">
      <c r="A125">
        <v>5</v>
      </c>
      <c r="B125" t="str">
        <v xml:space="preserve">Pipa PVC dia 3" </v>
      </c>
      <c r="C125" t="str">
        <v>ex. Wavin ; P. 4 m</v>
      </c>
      <c r="D125" t="str">
        <v>m'</v>
      </c>
      <c r="E125">
        <f>HLOOKUP($C$1,D!$G$6:$BV$165,ROW(D!A116),0)</f>
        <v>0</v>
      </c>
      <c r="F125" t="str">
        <v>rucika</v>
      </c>
    </row>
    <row r="126">
      <c r="A126">
        <v>6</v>
      </c>
      <c r="B126" t="str">
        <v xml:space="preserve">Pipa PVC dia 4" </v>
      </c>
      <c r="C126" t="str">
        <v>ex. Wavin ; P. 4 m</v>
      </c>
      <c r="D126" t="str">
        <v>m'</v>
      </c>
      <c r="E126">
        <f>HLOOKUP($C$1,D!$G$6:$BV$165,ROW(D!A117),0)</f>
        <v>0</v>
      </c>
      <c r="F126" t="str">
        <v>rucika</v>
      </c>
    </row>
    <row r="127">
      <c r="A127">
        <v>7</v>
      </c>
      <c r="B127" t="str">
        <v xml:space="preserve">Stop kran dia 1" </v>
      </c>
      <c r="C127" t="str">
        <v>ex. Onda</v>
      </c>
      <c r="D127" t="str">
        <v>bh</v>
      </c>
      <c r="E127">
        <f>HLOOKUP($C$1,D!$G$6:$BV$165,ROW(D!A118),0)</f>
        <v>0</v>
      </c>
      <c r="F127">
        <v>0</v>
      </c>
    </row>
    <row r="128">
      <c r="A128">
        <v>8</v>
      </c>
      <c r="B128" t="str">
        <v xml:space="preserve">Klep diameter 3/4" </v>
      </c>
      <c r="C128" t="str">
        <v>ex. Onda</v>
      </c>
      <c r="D128" t="str">
        <v>bh</v>
      </c>
      <c r="E128">
        <f>HLOOKUP($C$1,D!$G$6:$BV$165,ROW(D!A119),0)</f>
        <v>0</v>
      </c>
      <c r="F128">
        <v>0</v>
      </c>
    </row>
    <row r="129">
      <c r="A129">
        <v>9</v>
      </c>
      <c r="B129" t="str">
        <v>Tangki air 1000 liter</v>
      </c>
      <c r="C129" t="str">
        <v>EXEL</v>
      </c>
      <c r="D129" t="str">
        <v>bh</v>
      </c>
      <c r="E129">
        <f>HLOOKUP($C$1,D!$G$6:$BV$165,ROW(D!A120),0)</f>
        <v>0</v>
      </c>
      <c r="F129">
        <v>0</v>
      </c>
    </row>
    <row r="130">
      <c r="A130">
        <v>10</v>
      </c>
      <c r="B130" t="str">
        <v>Tangki air 500 liter</v>
      </c>
      <c r="C130" t="str">
        <v>EXEL</v>
      </c>
      <c r="D130" t="str">
        <v>bh</v>
      </c>
      <c r="E130">
        <f>HLOOKUP($C$1,D!$G$6:$BV$165,ROW(D!A121),0)</f>
        <v>0</v>
      </c>
      <c r="F130">
        <v>0</v>
      </c>
    </row>
    <row r="131">
      <c r="A131">
        <v>11</v>
      </c>
      <c r="B131" t="str">
        <v>Pelampung otomatis</v>
      </c>
      <c r="D131" t="str">
        <v>bh</v>
      </c>
      <c r="E131">
        <f>HLOOKUP($C$1,D!$G$6:$BV$165,ROW(D!A122),0)</f>
        <v>0</v>
      </c>
      <c r="F131">
        <v>0</v>
      </c>
    </row>
    <row r="132">
      <c r="A132">
        <v>12</v>
      </c>
      <c r="B132" t="str">
        <v>Roof Drain Metal</v>
      </c>
      <c r="D132" t="str">
        <v>Bh</v>
      </c>
      <c r="E132">
        <f>HLOOKUP($C$1,D!$G$6:$BV$165,ROW(D!A123),0)</f>
        <v>0</v>
      </c>
      <c r="F132">
        <v>0</v>
      </c>
    </row>
    <row r="133">
      <c r="A133">
        <v>13</v>
      </c>
      <c r="B133" t="str">
        <v>Mesin Jet Pump kap.250 watt</v>
      </c>
      <c r="C133" t="str">
        <v>Groundfos</v>
      </c>
      <c r="D133" t="str">
        <v>unt</v>
      </c>
      <c r="E133">
        <f>HLOOKUP($C$1,D!$G$6:$BV$165,ROW(D!A124),0)</f>
        <v>0</v>
      </c>
      <c r="F133">
        <v>0</v>
      </c>
    </row>
    <row r="134">
      <c r="A134">
        <v>14</v>
      </c>
      <c r="B134" t="str">
        <v>Mesin Pompa tekan kap. 150 watt</v>
      </c>
      <c r="C134" t="str">
        <v>Groundfos</v>
      </c>
      <c r="D134" t="str">
        <v>unt</v>
      </c>
      <c r="E134">
        <f>HLOOKUP($C$1,D!$G$6:$BV$165,ROW(D!A125),0)</f>
        <v>0</v>
      </c>
      <c r="F134" t="str">
        <v>sanyo</v>
      </c>
    </row>
    <row r="136">
      <c r="A136" t="str">
        <v>XV</v>
      </c>
      <c r="B136" t="str">
        <v>PERALATAN ELEKTRIKAL</v>
      </c>
    </row>
    <row r="137">
      <c r="A137">
        <v>1</v>
      </c>
      <c r="B137" t="str">
        <v>Box panel PVC isi 4 MCB</v>
      </c>
      <c r="C137" t="str">
        <v>Legran</v>
      </c>
      <c r="D137" t="str">
        <v>bh</v>
      </c>
      <c r="E137">
        <f>HLOOKUP($C$1,D!$G$6:$BV$165,ROW(D!A128),0)</f>
        <v>0</v>
      </c>
      <c r="F137">
        <v>0</v>
      </c>
    </row>
    <row r="138">
      <c r="A138">
        <v>2</v>
      </c>
      <c r="B138" t="str">
        <v>MCB 6 A</v>
      </c>
      <c r="C138" t="str">
        <v>Legran</v>
      </c>
      <c r="D138" t="str">
        <v>bh</v>
      </c>
      <c r="E138">
        <f>HLOOKUP($C$1,D!$G$6:$BV$165,ROW(D!A129),0)</f>
        <v>0</v>
      </c>
      <c r="F138">
        <v>0</v>
      </c>
    </row>
    <row r="139">
      <c r="A139">
        <v>3</v>
      </c>
      <c r="B139" t="str">
        <v>MCB 4 A</v>
      </c>
      <c r="C139" t="str">
        <v>Legran</v>
      </c>
      <c r="D139" t="str">
        <v>bh</v>
      </c>
      <c r="E139">
        <f>HLOOKUP($C$1,D!$G$6:$BV$165,ROW(D!A130),0)</f>
        <v>0</v>
      </c>
      <c r="F139">
        <v>0</v>
      </c>
    </row>
    <row r="140">
      <c r="A140">
        <v>4</v>
      </c>
      <c r="B140" t="str">
        <v>Kabel NYM 2 x 2,5 mm2</v>
      </c>
      <c r="D140" t="str">
        <v>m'</v>
      </c>
      <c r="E140">
        <f>HLOOKUP($C$1,D!$G$6:$BV$165,ROW(D!A131),0)</f>
        <v>0</v>
      </c>
      <c r="F140">
        <v>0</v>
      </c>
    </row>
    <row r="141">
      <c r="A141">
        <v>5</v>
      </c>
      <c r="B141" t="str">
        <v>Kabel NYM 3 x 2,5 mm2</v>
      </c>
      <c r="D141" t="str">
        <v>m'</v>
      </c>
      <c r="E141">
        <f>HLOOKUP($C$1,D!$G$6:$BV$165,ROW(D!A132),0)</f>
        <v>0</v>
      </c>
      <c r="F141">
        <v>0</v>
      </c>
    </row>
    <row r="142">
      <c r="A142">
        <v>6</v>
      </c>
      <c r="B142" t="str">
        <v>Kabel telephone 4 x 0.5 mm</v>
      </c>
      <c r="D142" t="str">
        <v>m'</v>
      </c>
      <c r="E142">
        <f>HLOOKUP($C$1,D!$G$6:$BV$165,ROW(D!A133),0)</f>
        <v>0</v>
      </c>
      <c r="F142">
        <v>0</v>
      </c>
    </row>
    <row r="143">
      <c r="A143">
        <v>7</v>
      </c>
      <c r="B143" t="str">
        <v>Isolasi</v>
      </c>
      <c r="D143" t="str">
        <v>bh</v>
      </c>
      <c r="E143">
        <f>HLOOKUP($C$1,D!$G$6:$BV$165,ROW(D!A134),0)</f>
        <v>0</v>
      </c>
      <c r="F143">
        <v>0</v>
      </c>
    </row>
    <row r="144">
      <c r="A144">
        <v>8</v>
      </c>
      <c r="B144" t="str">
        <v>Saklar tunggal</v>
      </c>
      <c r="C144" t="str">
        <v>Broco</v>
      </c>
      <c r="D144" t="str">
        <v>bh</v>
      </c>
      <c r="E144">
        <f>HLOOKUP($C$1,D!$G$6:$BV$165,ROW(D!A135),0)</f>
        <v>0</v>
      </c>
      <c r="F144">
        <v>0</v>
      </c>
    </row>
    <row r="145">
      <c r="A145">
        <v>9</v>
      </c>
      <c r="B145" t="str">
        <v>Saklar ganda</v>
      </c>
      <c r="C145" t="str">
        <v>Broco</v>
      </c>
      <c r="D145" t="str">
        <v>bh</v>
      </c>
      <c r="E145">
        <f>HLOOKUP($C$1,D!$G$6:$BV$165,ROW(D!A136),0)</f>
        <v>0</v>
      </c>
      <c r="F145">
        <v>0</v>
      </c>
    </row>
    <row r="146">
      <c r="A146">
        <v>10</v>
      </c>
      <c r="B146" t="str">
        <v>Stop kontak</v>
      </c>
      <c r="C146" t="str">
        <v>Broco</v>
      </c>
      <c r="D146" t="str">
        <v>bh</v>
      </c>
      <c r="E146">
        <f>HLOOKUP($C$1,D!$G$6:$BV$165,ROW(D!A137),0)</f>
        <v>0</v>
      </c>
      <c r="F146">
        <v>0</v>
      </c>
    </row>
    <row r="147">
      <c r="A147">
        <v>11</v>
      </c>
      <c r="B147" t="str">
        <v>Outlet TV</v>
      </c>
      <c r="C147" t="str">
        <v>Broco</v>
      </c>
      <c r="D147" t="str">
        <v>bh</v>
      </c>
      <c r="E147">
        <f>HLOOKUP($C$1,D!$G$6:$BV$165,ROW(D!A138),0)</f>
        <v>0</v>
      </c>
      <c r="F147">
        <v>0</v>
      </c>
    </row>
    <row r="148">
      <c r="A148">
        <v>12</v>
      </c>
      <c r="B148" t="str">
        <v>Outlet Telephone</v>
      </c>
      <c r="C148" t="str">
        <v>Broco</v>
      </c>
      <c r="D148" t="str">
        <v>bh</v>
      </c>
      <c r="E148">
        <f>HLOOKUP($C$1,D!$G$6:$BV$165,ROW(D!A139),0)</f>
        <v>0</v>
      </c>
      <c r="F148">
        <v>0</v>
      </c>
    </row>
    <row r="149">
      <c r="A149">
        <v>13</v>
      </c>
      <c r="B149" t="str">
        <v>Down light / PLC 13 W</v>
      </c>
      <c r="D149" t="str">
        <v>bh</v>
      </c>
      <c r="E149">
        <f>HLOOKUP($C$1,D!$G$6:$BV$165,ROW(D!A140),0)</f>
        <v>0</v>
      </c>
      <c r="F149">
        <v>0</v>
      </c>
    </row>
    <row r="150">
      <c r="A150">
        <v>14</v>
      </c>
      <c r="B150" t="str">
        <v>Fitting plafond + lampu SL</v>
      </c>
      <c r="C150" t="str">
        <v>Panasonic</v>
      </c>
      <c r="D150" t="str">
        <v>bh</v>
      </c>
      <c r="E150">
        <f>HLOOKUP($C$1,D!$G$6:$BV$165,ROW(D!A141),0)</f>
        <v>0</v>
      </c>
      <c r="F150">
        <v>0</v>
      </c>
    </row>
    <row r="151">
      <c r="A151">
        <v>15</v>
      </c>
      <c r="B151" t="str">
        <v>Lampu TL 2 x 18 watt grille</v>
      </c>
      <c r="C151" t="str">
        <v>Panasonic</v>
      </c>
      <c r="D151" t="str">
        <v>bh</v>
      </c>
      <c r="E151">
        <f>HLOOKUP($C$1,D!$G$6:$BV$165,ROW(D!A142),0)</f>
        <v>0</v>
      </c>
      <c r="F151">
        <v>0</v>
      </c>
    </row>
    <row r="152">
      <c r="A152">
        <v>16</v>
      </c>
      <c r="B152" t="str">
        <v>Lampu TL 2 x 36 watt grille</v>
      </c>
      <c r="C152" t="str">
        <v>Panasonic</v>
      </c>
      <c r="D152" t="str">
        <v>bh</v>
      </c>
      <c r="E152">
        <f>HLOOKUP($C$1,D!$G$6:$BV$165,ROW(D!A143),0)</f>
        <v>0</v>
      </c>
      <c r="F152">
        <v>0</v>
      </c>
    </row>
    <row r="154">
      <c r="A154" t="str">
        <v>XVI</v>
      </c>
      <c r="B154" t="str">
        <v>UPAH PEKERJA :</v>
      </c>
    </row>
    <row r="155">
      <c r="A155">
        <v>1</v>
      </c>
      <c r="B155" t="str">
        <v>Tukang Besi Konstruksi</v>
      </c>
      <c r="D155" t="str">
        <v>Org/Hari</v>
      </c>
      <c r="E155">
        <f>HLOOKUP($C$1,D!$G$6:$BV$165,ROW(D!A146),0)</f>
        <v>0</v>
      </c>
      <c r="F155">
        <v>0</v>
      </c>
    </row>
    <row r="156">
      <c r="A156">
        <v>2</v>
      </c>
      <c r="B156" t="str">
        <v xml:space="preserve">Tukang Besi Tulangan </v>
      </c>
      <c r="D156" t="str">
        <v>Org/Hari</v>
      </c>
      <c r="E156">
        <f>HLOOKUP($C$1,D!$G$6:$BV$165,ROW(D!A147),0)</f>
        <v>0</v>
      </c>
      <c r="F156">
        <v>0</v>
      </c>
    </row>
    <row r="157">
      <c r="A157">
        <v>3</v>
      </c>
      <c r="B157" t="str">
        <v>Kepala Tukang Besi</v>
      </c>
      <c r="D157" t="str">
        <v>Org/Hari</v>
      </c>
      <c r="E157">
        <f>HLOOKUP($C$1,D!$G$6:$BV$165,ROW(D!A148),0)</f>
        <v>0</v>
      </c>
      <c r="F157">
        <v>0</v>
      </c>
    </row>
    <row r="158">
      <c r="A158">
        <v>4</v>
      </c>
      <c r="B158" t="str">
        <v xml:space="preserve">Tukang Kayu Kasar </v>
      </c>
      <c r="C158" t="str">
        <v>(Plafond , Kuda/Gording, R.Atap)</v>
      </c>
      <c r="D158" t="str">
        <v>Org/Hari</v>
      </c>
      <c r="E158">
        <f>HLOOKUP($C$1,D!$G$6:$BV$165,ROW(D!A149),0)</f>
        <v>0</v>
      </c>
      <c r="F158">
        <v>0</v>
      </c>
    </row>
    <row r="159">
      <c r="A159">
        <v>5</v>
      </c>
      <c r="B159" t="str">
        <v>Tukang Kayu Halus</v>
      </c>
      <c r="C159" t="str">
        <v>(Kusen)</v>
      </c>
      <c r="D159" t="str">
        <v>Org/Hari</v>
      </c>
      <c r="E159">
        <f>HLOOKUP($C$1,D!$G$6:$BV$165,ROW(D!A150),0)</f>
        <v>0</v>
      </c>
      <c r="F159">
        <v>0</v>
      </c>
    </row>
    <row r="160">
      <c r="A160">
        <v>6</v>
      </c>
      <c r="B160" t="str">
        <v>Kepala Tukang Kayu</v>
      </c>
      <c r="D160" t="str">
        <v>Org/Hari</v>
      </c>
      <c r="E160">
        <f>HLOOKUP($C$1,D!$G$6:$BV$165,ROW(D!A151),0)</f>
        <v>0</v>
      </c>
      <c r="F160">
        <v>0</v>
      </c>
    </row>
    <row r="161">
      <c r="A161">
        <v>7</v>
      </c>
      <c r="B161" t="str">
        <v>Tukang Batu Kasar</v>
      </c>
      <c r="C161" t="str">
        <v>Tukang Batu Kasar</v>
      </c>
      <c r="D161" t="str">
        <v>Org/Hari</v>
      </c>
      <c r="E161">
        <f>HLOOKUP($C$1,D!$G$6:$BV$165,ROW(D!A152),0)</f>
        <v>0</v>
      </c>
      <c r="F161">
        <v>0</v>
      </c>
    </row>
    <row r="162">
      <c r="A162">
        <v>8</v>
      </c>
      <c r="B162" t="str">
        <v>Tukang Batu Halus</v>
      </c>
      <c r="C162" t="str">
        <v>Tukang Batu Halus (Bata,Plester,Acian list2)</v>
      </c>
      <c r="D162" t="str">
        <v>Org/Hari</v>
      </c>
      <c r="E162">
        <f>HLOOKUP($C$1,D!$G$6:$BV$165,ROW(D!A153),0)</f>
        <v>0</v>
      </c>
      <c r="F162">
        <v>0</v>
      </c>
    </row>
    <row r="163">
      <c r="A163">
        <v>9</v>
      </c>
      <c r="B163" t="str">
        <v>Kepala Tukang Batu</v>
      </c>
      <c r="D163" t="str">
        <v>Org/Hari</v>
      </c>
      <c r="E163">
        <f>HLOOKUP($C$1,D!$G$6:$BV$165,ROW(D!A154),0)</f>
        <v>0</v>
      </c>
      <c r="F163">
        <v>0</v>
      </c>
    </row>
    <row r="164">
      <c r="A164">
        <v>10</v>
      </c>
      <c r="B164" t="str">
        <v>Tukang Cat Biasa</v>
      </c>
      <c r="D164" t="str">
        <v>Org/Hari</v>
      </c>
      <c r="E164">
        <f>HLOOKUP($C$1,D!$G$6:$BV$165,ROW(D!A155),0)</f>
        <v>0</v>
      </c>
      <c r="F164">
        <v>0</v>
      </c>
    </row>
    <row r="165">
      <c r="A165">
        <v>11</v>
      </c>
      <c r="B165" t="str">
        <v>Kepala Tukang Cat</v>
      </c>
      <c r="D165" t="str">
        <v>Org/Hari</v>
      </c>
      <c r="E165">
        <f>HLOOKUP($C$1,D!$G$6:$BV$165,ROW(D!A156),0)</f>
        <v>0</v>
      </c>
      <c r="F165">
        <v>0</v>
      </c>
    </row>
    <row r="166">
      <c r="A166">
        <v>12</v>
      </c>
      <c r="B166" t="str">
        <v>Tukang Listrik</v>
      </c>
      <c r="D166" t="str">
        <v>Org/Hari</v>
      </c>
      <c r="E166">
        <f>HLOOKUP($C$1,D!$G$6:$BV$165,ROW(D!A157),0)</f>
        <v>0</v>
      </c>
      <c r="F166">
        <v>0</v>
      </c>
    </row>
    <row r="167">
      <c r="A167">
        <v>13</v>
      </c>
      <c r="B167" t="str">
        <v>Kepala Tukang Listrik</v>
      </c>
      <c r="D167" t="str">
        <v>Org/Hari</v>
      </c>
      <c r="E167">
        <f>HLOOKUP($C$1,D!$G$6:$BV$165,ROW(D!A158),0)</f>
        <v>0</v>
      </c>
      <c r="F167">
        <v>0</v>
      </c>
    </row>
    <row r="168">
      <c r="A168">
        <v>14</v>
      </c>
      <c r="B168" t="str">
        <v>Pekerja</v>
      </c>
      <c r="D168" t="str">
        <v>Org/Hari</v>
      </c>
      <c r="E168">
        <f>HLOOKUP($C$1,D!$G$6:$BV$165,ROW(D!A159),0)</f>
        <v>0</v>
      </c>
      <c r="F168">
        <v>0</v>
      </c>
    </row>
    <row r="169">
      <c r="A169">
        <v>15</v>
      </c>
      <c r="B169" t="str">
        <v xml:space="preserve">Mandor </v>
      </c>
      <c r="D169" t="str">
        <v>Org/Hari</v>
      </c>
      <c r="E169">
        <f>HLOOKUP($C$1,D!$G$6:$BV$165,ROW(D!A160),0)</f>
        <v>0</v>
      </c>
      <c r="F169">
        <v>0</v>
      </c>
    </row>
    <row r="170">
      <c r="A170" t="str">
        <v>XVII</v>
      </c>
      <c r="B170" t="str">
        <v>LAIN-lAIN</v>
      </c>
    </row>
    <row r="171">
      <c r="A171">
        <v>1</v>
      </c>
      <c r="B171" t="str">
        <v>IMB</v>
      </c>
      <c r="D171" t="str">
        <v>m2</v>
      </c>
      <c r="E171">
        <f>HLOOKUP($C$1,D!$G$6:$BV$167,ROW(D!A162),0)</f>
        <v>0</v>
      </c>
      <c r="F171">
        <v>0</v>
      </c>
    </row>
    <row r="180">
      <c r="B180" t="str">
        <v xml:space="preserve">Nanggroe Aceh Darussalam </v>
      </c>
    </row>
    <row r="181">
      <c r="B181" t="str">
        <v>Sumatera Utara</v>
      </c>
    </row>
    <row r="182">
      <c r="B182" t="str">
        <v>Sumatera Barat</v>
      </c>
    </row>
    <row r="183">
      <c r="B183" t="str">
        <v>Jambi</v>
      </c>
    </row>
    <row r="184">
      <c r="B184" t="str">
        <v>Riau</v>
      </c>
    </row>
    <row r="185">
      <c r="B185" t="str">
        <v>Kepulauan Riau</v>
      </c>
    </row>
    <row r="186">
      <c r="B186" t="str">
        <v>Sumatera Selatan</v>
      </c>
    </row>
    <row r="187">
      <c r="B187" t="str">
        <v>Bangka Belitung</v>
      </c>
    </row>
    <row r="188">
      <c r="B188" t="str">
        <v>Bengkulu</v>
      </c>
    </row>
    <row r="189">
      <c r="B189" t="str">
        <v>Lampung</v>
      </c>
    </row>
    <row r="190">
      <c r="B190" t="str">
        <v>Jawa Barat</v>
      </c>
    </row>
    <row r="191">
      <c r="B191" t="str">
        <v>Banten</v>
      </c>
    </row>
    <row r="192">
      <c r="B192" t="str">
        <v>DKI Jakarta</v>
      </c>
    </row>
    <row r="193">
      <c r="B193" t="str">
        <v>Jawa Tengah</v>
      </c>
    </row>
    <row r="194">
      <c r="B194" t="str">
        <v>DI Yogyakarta</v>
      </c>
    </row>
    <row r="195">
      <c r="B195" t="str">
        <v>Jawa Timur</v>
      </c>
    </row>
    <row r="196">
      <c r="B196" t="str">
        <v>Kalimantan Barat</v>
      </c>
    </row>
    <row r="197">
      <c r="B197" t="str">
        <v>Kalimantan Selatan</v>
      </c>
    </row>
    <row r="198">
      <c r="B198" t="str">
        <v>Kalimantan Tengah</v>
      </c>
    </row>
    <row r="199">
      <c r="B199" t="str">
        <v>Kalimantan Timur</v>
      </c>
    </row>
    <row r="200">
      <c r="B200" t="str">
        <v>Kalimantan Utara</v>
      </c>
    </row>
    <row r="201">
      <c r="B201" t="str">
        <v>Sulawesi Utara</v>
      </c>
    </row>
    <row r="202">
      <c r="B202" t="str">
        <v>Gorontalo</v>
      </c>
    </row>
    <row r="203">
      <c r="B203" t="str">
        <v>Sulawesi Tengah</v>
      </c>
    </row>
    <row r="204">
      <c r="B204" t="str">
        <v>Sulawesi Selatan</v>
      </c>
    </row>
    <row r="205">
      <c r="B205" t="str">
        <v>Sulawesi Barat</v>
      </c>
    </row>
    <row r="206">
      <c r="B206" t="str">
        <v>Sulawesi Tenggara</v>
      </c>
    </row>
    <row r="207">
      <c r="B207" t="str">
        <v>Bali</v>
      </c>
    </row>
    <row r="208">
      <c r="B208" t="str">
        <v>Nusa Tenggara Barat</v>
      </c>
    </row>
    <row r="209">
      <c r="B209" t="str">
        <v>Nusa Tenggara Timur</v>
      </c>
    </row>
    <row r="210">
      <c r="B210" t="str">
        <v>Maluku</v>
      </c>
    </row>
    <row r="211">
      <c r="B211" t="str">
        <v>Maluku Utara</v>
      </c>
    </row>
    <row r="212">
      <c r="B212" t="str">
        <v>Papua</v>
      </c>
    </row>
    <row r="213">
      <c r="B213" t="str">
        <v>Papua Barat</v>
      </c>
    </row>
    <row r="215">
      <c r="B215" t="str">
        <v xml:space="preserve">Nanggroe Aceh Darussalam </v>
      </c>
      <c r="C215" t="str">
        <v xml:space="preserve">Kabupaten Aceh Barat </v>
      </c>
    </row>
    <row r="216">
      <c r="B216" t="str">
        <v xml:space="preserve">Nanggroe Aceh Darussalam </v>
      </c>
      <c r="C216" t="str">
        <v xml:space="preserve">Kabupaten Aceh Barat Daya </v>
      </c>
    </row>
    <row r="217">
      <c r="B217" t="str">
        <v xml:space="preserve">Nanggroe Aceh Darussalam </v>
      </c>
      <c r="C217" t="str">
        <v xml:space="preserve">Kabupaten Aceh Besar </v>
      </c>
    </row>
    <row r="218">
      <c r="B218" t="str">
        <v xml:space="preserve">Nanggroe Aceh Darussalam </v>
      </c>
      <c r="C218" t="str">
        <v>Kabupaten Aceh Jaya</v>
      </c>
    </row>
    <row r="219">
      <c r="B219" t="str">
        <v xml:space="preserve">Nanggroe Aceh Darussalam </v>
      </c>
      <c r="C219" t="str">
        <v>Kabupaten Aceh Selatan</v>
      </c>
    </row>
    <row r="220">
      <c r="B220" t="str">
        <v xml:space="preserve">Nanggroe Aceh Darussalam </v>
      </c>
      <c r="C220" t="str">
        <v xml:space="preserve">Kabupaten Aceh Singkil </v>
      </c>
    </row>
    <row r="221">
      <c r="B221" t="str">
        <v xml:space="preserve">Nanggroe Aceh Darussalam </v>
      </c>
      <c r="C221" t="str">
        <v xml:space="preserve">Kabupaten Aceh Tamiang </v>
      </c>
    </row>
    <row r="222">
      <c r="B222" t="str">
        <v xml:space="preserve">Nanggroe Aceh Darussalam </v>
      </c>
      <c r="C222" t="str">
        <v>Kabupaten Aceh Tengah</v>
      </c>
    </row>
    <row r="223">
      <c r="B223" t="str">
        <v xml:space="preserve">Nanggroe Aceh Darussalam </v>
      </c>
      <c r="C223" t="str">
        <v xml:space="preserve">Kabupaten Aceh Tenggara </v>
      </c>
    </row>
    <row r="224">
      <c r="B224" t="str">
        <v xml:space="preserve">Nanggroe Aceh Darussalam </v>
      </c>
      <c r="C224" t="str">
        <v xml:space="preserve">Kabupaten Aceh Timur </v>
      </c>
    </row>
    <row r="225">
      <c r="B225" t="str">
        <v xml:space="preserve">Nanggroe Aceh Darussalam </v>
      </c>
      <c r="C225" t="str">
        <v xml:space="preserve">Kabupaten Aceh Utara </v>
      </c>
    </row>
    <row r="226">
      <c r="B226" t="str">
        <v xml:space="preserve">Nanggroe Aceh Darussalam </v>
      </c>
      <c r="C226" t="str">
        <v>Kabupaten Bener Meriah</v>
      </c>
    </row>
    <row r="227">
      <c r="B227" t="str">
        <v xml:space="preserve">Nanggroe Aceh Darussalam </v>
      </c>
      <c r="C227" t="str">
        <v>Kabupaten Bireun</v>
      </c>
    </row>
    <row r="228">
      <c r="B228" t="str">
        <v xml:space="preserve">Nanggroe Aceh Darussalam </v>
      </c>
      <c r="C228" t="str">
        <v>Kabupaten Gayo Lues</v>
      </c>
    </row>
    <row r="229">
      <c r="B229" t="str">
        <v xml:space="preserve">Nanggroe Aceh Darussalam </v>
      </c>
      <c r="C229" t="str">
        <v>Kabupaten Nagan Raya</v>
      </c>
    </row>
    <row r="230">
      <c r="B230" t="str">
        <v xml:space="preserve">Nanggroe Aceh Darussalam </v>
      </c>
      <c r="C230" t="str">
        <v>Kabupaten Pidie</v>
      </c>
    </row>
    <row r="231">
      <c r="B231" t="str">
        <v xml:space="preserve">Nanggroe Aceh Darussalam </v>
      </c>
      <c r="C231" t="str">
        <v>Kabupaten Pidie Jaya</v>
      </c>
    </row>
    <row r="232">
      <c r="B232" t="str">
        <v xml:space="preserve">Nanggroe Aceh Darussalam </v>
      </c>
      <c r="C232" t="str">
        <v>Kabupaten Simeulue</v>
      </c>
    </row>
    <row r="233">
      <c r="B233" t="str">
        <v xml:space="preserve">Nanggroe Aceh Darussalam </v>
      </c>
      <c r="C233" t="str">
        <v>Kota Banda Aceh</v>
      </c>
    </row>
    <row r="234">
      <c r="B234" t="str">
        <v xml:space="preserve">Nanggroe Aceh Darussalam </v>
      </c>
      <c r="C234" t="str">
        <v xml:space="preserve">Kota Langsa </v>
      </c>
    </row>
    <row r="235">
      <c r="B235" t="str">
        <v xml:space="preserve">Nanggroe Aceh Darussalam </v>
      </c>
      <c r="C235" t="str">
        <v>Kota Lhokseumawe</v>
      </c>
    </row>
    <row r="236">
      <c r="B236" t="str">
        <v xml:space="preserve">Nanggroe Aceh Darussalam </v>
      </c>
      <c r="C236" t="str">
        <v>Kota Sabang</v>
      </c>
    </row>
    <row r="237">
      <c r="B237" t="str">
        <v xml:space="preserve">Nanggroe Aceh Darussalam </v>
      </c>
      <c r="C237" t="str">
        <v>Kota Subulussalam</v>
      </c>
    </row>
    <row r="238">
      <c r="B238" t="str">
        <v xml:space="preserve">Nanggroe Aceh Darussalam </v>
      </c>
    </row>
    <row r="239">
      <c r="B239" t="str">
        <v>Sumatera Utara</v>
      </c>
      <c r="C239" t="str">
        <v xml:space="preserve">Kabupaten Asahan </v>
      </c>
    </row>
    <row r="240">
      <c r="B240" t="str">
        <v>Sumatera Utara</v>
      </c>
      <c r="C240" t="str">
        <v>Kabupaten Batu Bara</v>
      </c>
    </row>
    <row r="241">
      <c r="B241" t="str">
        <v>Sumatera Utara</v>
      </c>
      <c r="C241" t="str">
        <v xml:space="preserve">Kabupaten Dairi </v>
      </c>
    </row>
    <row r="242">
      <c r="B242" t="str">
        <v>Sumatera Utara</v>
      </c>
      <c r="C242" t="str">
        <v>Kabupaten Deli Serdang</v>
      </c>
    </row>
    <row r="243">
      <c r="B243" t="str">
        <v>Sumatera Utara</v>
      </c>
      <c r="C243" t="str">
        <v xml:space="preserve">Kabupaten Humbang Hasundutan </v>
      </c>
    </row>
    <row r="244">
      <c r="B244" t="str">
        <v>Sumatera Utara</v>
      </c>
      <c r="C244" t="str">
        <v>Kabupaten Karo</v>
      </c>
    </row>
    <row r="245">
      <c r="B245" t="str">
        <v>Sumatera Utara</v>
      </c>
      <c r="C245" t="str">
        <v>Kabupaten Labuhanbatu</v>
      </c>
    </row>
    <row r="246">
      <c r="B246" t="str">
        <v>Sumatera Utara</v>
      </c>
      <c r="C246" t="str">
        <v xml:space="preserve">Kabupaten Labuhanbatu Selatan </v>
      </c>
    </row>
    <row r="247">
      <c r="B247" t="str">
        <v>Sumatera Utara</v>
      </c>
      <c r="C247" t="str">
        <v>Kabupaten Labuhanbatu Utara</v>
      </c>
    </row>
    <row r="248">
      <c r="B248" t="str">
        <v>Sumatera Utara</v>
      </c>
      <c r="C248" t="str">
        <v>Kabupaten Langkat</v>
      </c>
    </row>
    <row r="249">
      <c r="B249" t="str">
        <v>Sumatera Utara</v>
      </c>
      <c r="C249" t="str">
        <v xml:space="preserve">Kabupaten Mandailing Natal </v>
      </c>
    </row>
    <row r="250">
      <c r="B250" t="str">
        <v>Sumatera Utara</v>
      </c>
      <c r="C250" t="str">
        <v>Kabupaten Nias</v>
      </c>
    </row>
    <row r="251">
      <c r="B251" t="str">
        <v>Sumatera Utara</v>
      </c>
      <c r="C251" t="str">
        <v xml:space="preserve">Kabupaten Nias Barat </v>
      </c>
    </row>
    <row r="252">
      <c r="B252" t="str">
        <v>Sumatera Utara</v>
      </c>
      <c r="C252" t="str">
        <v xml:space="preserve">Kabupaten Nias Selatan </v>
      </c>
    </row>
    <row r="253">
      <c r="B253" t="str">
        <v>Sumatera Utara</v>
      </c>
      <c r="C253" t="str">
        <v>Kabupaten Nias Utara</v>
      </c>
    </row>
    <row r="254">
      <c r="B254" t="str">
        <v>Sumatera Utara</v>
      </c>
      <c r="C254" t="str">
        <v xml:space="preserve">Kabupaten Padang Lawas </v>
      </c>
    </row>
    <row r="255">
      <c r="B255" t="str">
        <v>Sumatera Utara</v>
      </c>
      <c r="C255" t="str">
        <v xml:space="preserve">Kabupaten Padang Lawas Utara </v>
      </c>
    </row>
    <row r="256">
      <c r="B256" t="str">
        <v>Sumatera Utara</v>
      </c>
      <c r="C256" t="str">
        <v>Kabupaten Pakpak Bharat</v>
      </c>
    </row>
    <row r="257">
      <c r="B257" t="str">
        <v>Sumatera Utara</v>
      </c>
      <c r="C257" t="str">
        <v>Kabupaten Samosir</v>
      </c>
    </row>
    <row r="258">
      <c r="B258" t="str">
        <v>Sumatera Utara</v>
      </c>
      <c r="C258" t="str">
        <v xml:space="preserve">Kabupaten Serdang Bedagai </v>
      </c>
    </row>
    <row r="259">
      <c r="B259" t="str">
        <v>Sumatera Utara</v>
      </c>
      <c r="C259" t="str">
        <v>Kabupaten Simalungun</v>
      </c>
    </row>
    <row r="260">
      <c r="B260" t="str">
        <v>Sumatera Utara</v>
      </c>
      <c r="C260" t="str">
        <v xml:space="preserve">Kabupaten Tapanuli Selatan </v>
      </c>
    </row>
    <row r="261">
      <c r="B261" t="str">
        <v>Sumatera Utara</v>
      </c>
      <c r="C261" t="str">
        <v>Kabupaten Tapanuli Tengah</v>
      </c>
    </row>
    <row r="262">
      <c r="B262" t="str">
        <v>Sumatera Utara</v>
      </c>
      <c r="C262" t="str">
        <v xml:space="preserve">Kabupaten Tapanuli Utara </v>
      </c>
    </row>
    <row r="263">
      <c r="B263" t="str">
        <v>Sumatera Utara</v>
      </c>
      <c r="C263" t="str">
        <v>Kabupaten Toba Samosir</v>
      </c>
    </row>
    <row r="264">
      <c r="B264" t="str">
        <v>Sumatera Utara</v>
      </c>
      <c r="C264" t="str">
        <v xml:space="preserve">Kota Binjai </v>
      </c>
    </row>
    <row r="265">
      <c r="B265" t="str">
        <v>Sumatera Utara</v>
      </c>
      <c r="C265" t="str">
        <v xml:space="preserve">Kota Gunung Sitoli </v>
      </c>
    </row>
    <row r="266">
      <c r="B266" t="str">
        <v>Sumatera Utara</v>
      </c>
      <c r="C266" t="str">
        <v>Kota Medan</v>
      </c>
    </row>
    <row r="267">
      <c r="B267" t="str">
        <v>Sumatera Utara</v>
      </c>
      <c r="C267" t="str">
        <v xml:space="preserve">Kota Padang Sidempuan </v>
      </c>
    </row>
    <row r="268">
      <c r="B268" t="str">
        <v>Sumatera Utara</v>
      </c>
      <c r="C268" t="str">
        <v>Kota Pematang Siantar</v>
      </c>
    </row>
    <row r="269">
      <c r="B269" t="str">
        <v>Sumatera Utara</v>
      </c>
      <c r="C269" t="str">
        <v xml:space="preserve">Kota Sibolga </v>
      </c>
    </row>
    <row r="270">
      <c r="B270" t="str">
        <v>Sumatera Utara</v>
      </c>
      <c r="C270" t="str">
        <v xml:space="preserve">Kota Tanjung Balai </v>
      </c>
    </row>
    <row r="271">
      <c r="B271" t="str">
        <v>Sumatera Utara</v>
      </c>
      <c r="C271" t="str">
        <v>Kota Tebing Tinggi</v>
      </c>
    </row>
    <row r="272">
      <c r="B272" t="str">
        <v>Sumatera Utara</v>
      </c>
    </row>
    <row r="273">
      <c r="B273" t="str">
        <v>Sumatera Barat</v>
      </c>
      <c r="C273" t="str">
        <v>Kabupaten Agam</v>
      </c>
    </row>
    <row r="274">
      <c r="B274" t="str">
        <v>Sumatera Barat</v>
      </c>
      <c r="C274" t="str">
        <v>Kabupaten Dharmasraya</v>
      </c>
    </row>
    <row r="275">
      <c r="B275" t="str">
        <v>Sumatera Barat</v>
      </c>
      <c r="C275" t="str">
        <v>Kabupaten Kepulauan Mentawai</v>
      </c>
    </row>
    <row r="276">
      <c r="B276" t="str">
        <v>Sumatera Barat</v>
      </c>
      <c r="C276" t="str">
        <v>Kabupaten Lima Puluh Kota</v>
      </c>
    </row>
    <row r="277">
      <c r="B277" t="str">
        <v>Sumatera Barat</v>
      </c>
      <c r="C277" t="str">
        <v>Kabupaten Padang Pariaman</v>
      </c>
    </row>
    <row r="278">
      <c r="B278" t="str">
        <v>Sumatera Barat</v>
      </c>
      <c r="C278" t="str">
        <v>Kabupaten Pasaman</v>
      </c>
    </row>
    <row r="279">
      <c r="B279" t="str">
        <v>Sumatera Barat</v>
      </c>
      <c r="C279" t="str">
        <v>Kabupaten Pasaman Barat</v>
      </c>
    </row>
    <row r="280">
      <c r="B280" t="str">
        <v>Sumatera Barat</v>
      </c>
      <c r="C280" t="str">
        <v>Kabupaten Pesisir Selatan</v>
      </c>
    </row>
    <row r="281">
      <c r="B281" t="str">
        <v>Sumatera Barat</v>
      </c>
      <c r="C281" t="str">
        <v>Kabupaten Sijunjung</v>
      </c>
    </row>
    <row r="282">
      <c r="B282" t="str">
        <v>Sumatera Barat</v>
      </c>
      <c r="C282" t="str">
        <v>Kabupaten Solok</v>
      </c>
    </row>
    <row r="283">
      <c r="B283" t="str">
        <v>Sumatera Barat</v>
      </c>
      <c r="C283" t="str">
        <v>Kabupaten Solok Selatan</v>
      </c>
    </row>
    <row r="284">
      <c r="B284" t="str">
        <v>Sumatera Barat</v>
      </c>
      <c r="C284" t="str">
        <v>Kabupaten Tanah Datar</v>
      </c>
    </row>
    <row r="285">
      <c r="B285" t="str">
        <v>Sumatera Barat</v>
      </c>
      <c r="C285" t="str">
        <v>Kota Bukittinggi</v>
      </c>
    </row>
    <row r="286">
      <c r="B286" t="str">
        <v>Sumatera Barat</v>
      </c>
      <c r="C286" t="str">
        <v xml:space="preserve">Kota Padang </v>
      </c>
    </row>
    <row r="287">
      <c r="B287" t="str">
        <v>Sumatera Barat</v>
      </c>
      <c r="C287" t="str">
        <v>Kota Padangpanjang</v>
      </c>
    </row>
    <row r="288">
      <c r="B288" t="str">
        <v>Sumatera Barat</v>
      </c>
      <c r="C288" t="str">
        <v>Kota Pariaman</v>
      </c>
    </row>
    <row r="289">
      <c r="B289" t="str">
        <v>Sumatera Barat</v>
      </c>
      <c r="C289" t="str">
        <v>Kota Payakumbuh</v>
      </c>
    </row>
    <row r="290">
      <c r="B290" t="str">
        <v>Sumatera Barat</v>
      </c>
      <c r="C290" t="str">
        <v>Kota Sawahlunto</v>
      </c>
    </row>
    <row r="291">
      <c r="B291" t="str">
        <v>Sumatera Barat</v>
      </c>
      <c r="C291" t="str">
        <v xml:space="preserve">Kota Solok </v>
      </c>
    </row>
    <row r="292">
      <c r="B292" t="str">
        <v>Sumatera Barat</v>
      </c>
    </row>
    <row r="293">
      <c r="B293" t="str">
        <v>Jambi</v>
      </c>
      <c r="C293" t="str">
        <v xml:space="preserve">Kabupaten Batang Hari </v>
      </c>
    </row>
    <row r="294">
      <c r="B294" t="str">
        <v>Jambi</v>
      </c>
      <c r="C294" t="str">
        <v>Kabupaten Bungo</v>
      </c>
    </row>
    <row r="295">
      <c r="B295" t="str">
        <v>Jambi</v>
      </c>
      <c r="C295" t="str">
        <v>Kabupaten Kerinci</v>
      </c>
    </row>
    <row r="296">
      <c r="B296" t="str">
        <v>Jambi</v>
      </c>
      <c r="C296" t="str">
        <v>Kabupaten Merangin</v>
      </c>
    </row>
    <row r="297">
      <c r="B297" t="str">
        <v>Jambi</v>
      </c>
      <c r="C297" t="str">
        <v>Kabupaten Muaro Jambi</v>
      </c>
    </row>
    <row r="298">
      <c r="B298" t="str">
        <v>Jambi</v>
      </c>
      <c r="C298" t="str">
        <v xml:space="preserve">Kabupaten Sarolangun </v>
      </c>
    </row>
    <row r="299">
      <c r="B299" t="str">
        <v>Jambi</v>
      </c>
      <c r="C299" t="str">
        <v>Kabupaten Tanjung Jabung Barat</v>
      </c>
    </row>
    <row r="300">
      <c r="B300" t="str">
        <v>Jambi</v>
      </c>
      <c r="C300" t="str">
        <v xml:space="preserve">Kabupaten Tanjung Timur </v>
      </c>
    </row>
    <row r="301">
      <c r="B301" t="str">
        <v>Jambi</v>
      </c>
      <c r="C301" t="str">
        <v>Kabupaten Tebo</v>
      </c>
    </row>
    <row r="302">
      <c r="B302" t="str">
        <v>Jambi</v>
      </c>
      <c r="C302" t="str">
        <v>Kota Jambi</v>
      </c>
    </row>
    <row r="303">
      <c r="B303" t="str">
        <v>Jambi</v>
      </c>
      <c r="C303" t="str">
        <v>Kota Sungai Penuh</v>
      </c>
    </row>
    <row r="304">
      <c r="B304" t="str">
        <v>Jambi</v>
      </c>
    </row>
    <row r="305">
      <c r="B305" t="str">
        <v>Riau</v>
      </c>
      <c r="C305" t="str">
        <v>Kabupaten Bengkalis</v>
      </c>
    </row>
    <row r="306">
      <c r="B306" t="str">
        <v>Riau</v>
      </c>
      <c r="C306" t="str">
        <v xml:space="preserve">Kabupaten Indragiri Hilir </v>
      </c>
    </row>
    <row r="307">
      <c r="B307" t="str">
        <v>Riau</v>
      </c>
      <c r="C307" t="str">
        <v>Kabupaten Indragiri Hulu</v>
      </c>
    </row>
    <row r="308">
      <c r="B308" t="str">
        <v>Riau</v>
      </c>
      <c r="C308" t="str">
        <v>Kabupaten Kampar</v>
      </c>
    </row>
    <row r="309">
      <c r="B309" t="str">
        <v>Riau</v>
      </c>
      <c r="C309" t="str">
        <v xml:space="preserve">Kabupaten Kepulauan Meranti </v>
      </c>
    </row>
    <row r="310">
      <c r="B310" t="str">
        <v>Riau</v>
      </c>
      <c r="C310" t="str">
        <v xml:space="preserve">Kabupaten Kuantan Singingi </v>
      </c>
    </row>
    <row r="311">
      <c r="B311" t="str">
        <v>Riau</v>
      </c>
      <c r="C311" t="str">
        <v xml:space="preserve">Kabupaten Pelalawan </v>
      </c>
    </row>
    <row r="312">
      <c r="B312" t="str">
        <v>Riau</v>
      </c>
      <c r="C312" t="str">
        <v xml:space="preserve">Kabupaten Rokan Hilir </v>
      </c>
    </row>
    <row r="313">
      <c r="B313" t="str">
        <v>Riau</v>
      </c>
      <c r="C313" t="str">
        <v xml:space="preserve">Kabupaten Rokan Hulu </v>
      </c>
    </row>
    <row r="314">
      <c r="B314" t="str">
        <v>Riau</v>
      </c>
      <c r="C314" t="str">
        <v>Kabupaten Siak</v>
      </c>
    </row>
    <row r="315">
      <c r="B315" t="str">
        <v>Riau</v>
      </c>
      <c r="C315" t="str">
        <v>Kota Dumai</v>
      </c>
    </row>
    <row r="316">
      <c r="B316" t="str">
        <v>Riau</v>
      </c>
      <c r="C316" t="str">
        <v xml:space="preserve">Kota Pekanbaru </v>
      </c>
    </row>
    <row r="317">
      <c r="B317" t="str">
        <v>Riau</v>
      </c>
    </row>
    <row r="318">
      <c r="B318" t="str">
        <v>Kepulauan Riau</v>
      </c>
      <c r="C318" t="str">
        <v xml:space="preserve">Kabupaten Bintan </v>
      </c>
    </row>
    <row r="319">
      <c r="B319" t="str">
        <v>Kepulauan Riau</v>
      </c>
      <c r="C319" t="str">
        <v>Kabupaten Karimun</v>
      </c>
    </row>
    <row r="320">
      <c r="B320" t="str">
        <v>Kepulauan Riau</v>
      </c>
      <c r="C320" t="str">
        <v>Kabupaten Kepulauan Anambas</v>
      </c>
    </row>
    <row r="321">
      <c r="B321" t="str">
        <v>Kepulauan Riau</v>
      </c>
      <c r="C321" t="str">
        <v xml:space="preserve">Kabupaten Lingga </v>
      </c>
    </row>
    <row r="322">
      <c r="B322" t="str">
        <v>Kepulauan Riau</v>
      </c>
      <c r="C322" t="str">
        <v xml:space="preserve">Kabupaten Natuna </v>
      </c>
    </row>
    <row r="323">
      <c r="B323" t="str">
        <v>Kepulauan Riau</v>
      </c>
      <c r="C323" t="str">
        <v xml:space="preserve">Kota Batam </v>
      </c>
    </row>
    <row r="324">
      <c r="B324" t="str">
        <v>Kepulauan Riau</v>
      </c>
      <c r="C324" t="str">
        <v xml:space="preserve">Kota Tanjung Pinang </v>
      </c>
    </row>
    <row r="325">
      <c r="B325" t="str">
        <v>Kepulauan Riau</v>
      </c>
    </row>
    <row r="326">
      <c r="B326" t="str">
        <v>Sumatera Selatan</v>
      </c>
      <c r="C326" t="str">
        <v>Kabupaten Banyuasin</v>
      </c>
    </row>
    <row r="327">
      <c r="B327" t="str">
        <v>Sumatera Selatan</v>
      </c>
      <c r="C327" t="str">
        <v>Kabupaten Empat Lawang</v>
      </c>
    </row>
    <row r="328">
      <c r="B328" t="str">
        <v>Sumatera Selatan</v>
      </c>
      <c r="C328" t="str">
        <v xml:space="preserve">Kabupaten Lahat </v>
      </c>
    </row>
    <row r="329">
      <c r="B329" t="str">
        <v>Sumatera Selatan</v>
      </c>
      <c r="C329" t="str">
        <v>Kabupaten Muara Enim</v>
      </c>
    </row>
    <row r="330">
      <c r="B330" t="str">
        <v>Sumatera Selatan</v>
      </c>
      <c r="C330" t="str">
        <v>Kabupaten Musi Banyuasin</v>
      </c>
    </row>
    <row r="331">
      <c r="B331" t="str">
        <v>Sumatera Selatan</v>
      </c>
      <c r="C331" t="str">
        <v>Kabupaten Musi Rawas</v>
      </c>
    </row>
    <row r="332">
      <c r="B332" t="str">
        <v>Sumatera Selatan</v>
      </c>
      <c r="C332" t="str">
        <v>Kabupaten Ogan Ilir</v>
      </c>
    </row>
    <row r="333">
      <c r="B333" t="str">
        <v>Sumatera Selatan</v>
      </c>
      <c r="C333" t="str">
        <v xml:space="preserve">Kabupaten Ogan Komering Ilir </v>
      </c>
    </row>
    <row r="334">
      <c r="B334" t="str">
        <v>Sumatera Selatan</v>
      </c>
      <c r="C334" t="str">
        <v>Kabupaten Ogan Komering Ulu</v>
      </c>
    </row>
    <row r="335">
      <c r="B335" t="str">
        <v>Sumatera Selatan</v>
      </c>
      <c r="C335" t="str">
        <v>Kabupaten Ogan Komering Ulu Selatan</v>
      </c>
    </row>
    <row r="336">
      <c r="B336" t="str">
        <v>Sumatera Selatan</v>
      </c>
      <c r="C336" t="str">
        <v>Kabupaten Ogan Komering Ulu Timur</v>
      </c>
    </row>
    <row r="337">
      <c r="B337" t="str">
        <v>Sumatera Selatan</v>
      </c>
      <c r="C337" t="str">
        <v xml:space="preserve">Kota Lubuklinggau </v>
      </c>
    </row>
    <row r="338">
      <c r="B338" t="str">
        <v>Sumatera Selatan</v>
      </c>
      <c r="C338" t="str">
        <v xml:space="preserve">Kota Pagar Alam </v>
      </c>
    </row>
    <row r="339">
      <c r="B339" t="str">
        <v>Sumatera Selatan</v>
      </c>
      <c r="C339" t="str">
        <v>Kota Palembang</v>
      </c>
    </row>
    <row r="340">
      <c r="B340" t="str">
        <v>Sumatera Selatan</v>
      </c>
      <c r="C340" t="str">
        <v>Kota Prabumulih</v>
      </c>
    </row>
    <row r="341">
      <c r="B341" t="str">
        <v>Sumatera Selatan</v>
      </c>
    </row>
    <row r="342">
      <c r="B342" t="str">
        <v>Bangka Belitung</v>
      </c>
      <c r="C342" t="str">
        <v>Kabupaten Bangka</v>
      </c>
    </row>
    <row r="343">
      <c r="B343" t="str">
        <v>Bangka Belitung</v>
      </c>
      <c r="C343" t="str">
        <v xml:space="preserve">Kabupaten Bangka Barat </v>
      </c>
    </row>
    <row r="344">
      <c r="B344" t="str">
        <v>Bangka Belitung</v>
      </c>
      <c r="C344" t="str">
        <v>Kabupaten Bangka Selatan</v>
      </c>
    </row>
    <row r="345">
      <c r="B345" t="str">
        <v>Bangka Belitung</v>
      </c>
      <c r="C345" t="str">
        <v xml:space="preserve">Kabupaten Bangka Tengah </v>
      </c>
    </row>
    <row r="346">
      <c r="B346" t="str">
        <v>Bangka Belitung</v>
      </c>
      <c r="C346" t="str">
        <v xml:space="preserve">Kabupaten Belitung </v>
      </c>
    </row>
    <row r="347">
      <c r="B347" t="str">
        <v>Bangka Belitung</v>
      </c>
      <c r="C347" t="str">
        <v>Kabupaten Belitung Timur</v>
      </c>
    </row>
    <row r="348">
      <c r="B348" t="str">
        <v>Bangka Belitung</v>
      </c>
      <c r="C348" t="str">
        <v>Kota Pangkal Pinang</v>
      </c>
    </row>
    <row r="349">
      <c r="B349" t="str">
        <v>Bangka Belitung</v>
      </c>
    </row>
    <row r="350">
      <c r="B350" t="str">
        <v>Bengkulu</v>
      </c>
      <c r="C350" t="str">
        <v xml:space="preserve">Kabupaten Bengkulu Selatan </v>
      </c>
    </row>
    <row r="351">
      <c r="B351" t="str">
        <v>Bengkulu</v>
      </c>
      <c r="C351" t="str">
        <v xml:space="preserve">Kabupaten Bengkulu Tengah </v>
      </c>
    </row>
    <row r="352">
      <c r="B352" t="str">
        <v>Bengkulu</v>
      </c>
      <c r="C352" t="str">
        <v xml:space="preserve">Kabupaten Bengkulu Utara </v>
      </c>
    </row>
    <row r="353">
      <c r="B353" t="str">
        <v>Bengkulu</v>
      </c>
      <c r="C353" t="str">
        <v xml:space="preserve">Kabupaten Kaur </v>
      </c>
    </row>
    <row r="354">
      <c r="B354" t="str">
        <v>Bengkulu</v>
      </c>
      <c r="C354" t="str">
        <v xml:space="preserve">Kabupaten Kepahiang </v>
      </c>
    </row>
    <row r="355">
      <c r="B355" t="str">
        <v>Bengkulu</v>
      </c>
      <c r="C355" t="str">
        <v>Kabupaten Lebong</v>
      </c>
    </row>
    <row r="356">
      <c r="B356" t="str">
        <v>Bengkulu</v>
      </c>
      <c r="C356" t="str">
        <v>Kabupaten Mukomuko</v>
      </c>
    </row>
    <row r="357">
      <c r="B357" t="str">
        <v>Bengkulu</v>
      </c>
      <c r="C357" t="str">
        <v xml:space="preserve">Kabupaten Rejang Lebong </v>
      </c>
    </row>
    <row r="358">
      <c r="B358" t="str">
        <v>Bengkulu</v>
      </c>
      <c r="C358" t="str">
        <v>Kabupaten Seluma</v>
      </c>
    </row>
    <row r="359">
      <c r="B359" t="str">
        <v>Bengkulu</v>
      </c>
      <c r="C359" t="str">
        <v>Kota Bengkulu</v>
      </c>
    </row>
    <row r="360">
      <c r="B360" t="str">
        <v>Bengkulu</v>
      </c>
    </row>
    <row r="361">
      <c r="B361" t="str">
        <v>Lampung</v>
      </c>
      <c r="C361" t="str">
        <v xml:space="preserve">Kabupaten Lampung Barat </v>
      </c>
    </row>
    <row r="362">
      <c r="B362" t="str">
        <v>Lampung</v>
      </c>
      <c r="C362" t="str">
        <v>Kabupaten Lampung Selatan</v>
      </c>
    </row>
    <row r="363">
      <c r="B363" t="str">
        <v>Lampung</v>
      </c>
      <c r="C363" t="str">
        <v>Kabupaten Lampung Tengah</v>
      </c>
    </row>
    <row r="364">
      <c r="B364" t="str">
        <v>Lampung</v>
      </c>
      <c r="C364" t="str">
        <v>Kabupaten Lampung Timur</v>
      </c>
    </row>
    <row r="365">
      <c r="B365" t="str">
        <v>Lampung</v>
      </c>
      <c r="C365" t="str">
        <v>Kabupaten Lampung Utara</v>
      </c>
    </row>
    <row r="366">
      <c r="B366" t="str">
        <v>Lampung</v>
      </c>
      <c r="C366" t="str">
        <v xml:space="preserve">Kabupaten Mesuji </v>
      </c>
    </row>
    <row r="367">
      <c r="B367" t="str">
        <v>Lampung</v>
      </c>
      <c r="C367" t="str">
        <v>Kabupaten Pesawaran</v>
      </c>
    </row>
    <row r="368">
      <c r="B368" t="str">
        <v>Lampung</v>
      </c>
      <c r="C368" t="str">
        <v xml:space="preserve">Kabupaten Tanggamus </v>
      </c>
    </row>
    <row r="369">
      <c r="B369" t="str">
        <v>Lampung</v>
      </c>
      <c r="C369" t="str">
        <v xml:space="preserve">Kabupaten Tulang Bawang </v>
      </c>
    </row>
    <row r="370">
      <c r="B370" t="str">
        <v>Lampung</v>
      </c>
      <c r="C370" t="str">
        <v xml:space="preserve">Kabupaten Tulang Bawang Barat </v>
      </c>
    </row>
    <row r="371">
      <c r="B371" t="str">
        <v>Lampung</v>
      </c>
      <c r="C371" t="str">
        <v>Kabupaten Way Kanan</v>
      </c>
    </row>
    <row r="372">
      <c r="B372" t="str">
        <v>Lampung</v>
      </c>
      <c r="C372" t="str">
        <v xml:space="preserve">Kota Bandar Lampung </v>
      </c>
    </row>
    <row r="373">
      <c r="B373" t="str">
        <v>Lampung</v>
      </c>
      <c r="C373" t="str">
        <v>Kota Metro</v>
      </c>
    </row>
    <row r="374">
      <c r="B374" t="str">
        <v>Lampung</v>
      </c>
      <c r="C374" t="str">
        <v>Kota Pringsewu</v>
      </c>
    </row>
    <row r="375">
      <c r="B375" t="str">
        <v>Lampung</v>
      </c>
    </row>
    <row r="376">
      <c r="B376" t="str">
        <v>Jawa Barat</v>
      </c>
      <c r="C376" t="str">
        <v>Kabupaten Bandung</v>
      </c>
    </row>
    <row r="377">
      <c r="B377" t="str">
        <v>Jawa Barat</v>
      </c>
      <c r="C377" t="str">
        <v>Kabupaten Bandung Barat</v>
      </c>
    </row>
    <row r="378">
      <c r="B378" t="str">
        <v>Jawa Barat</v>
      </c>
      <c r="C378" t="str">
        <v>Kabupaten Bekasi</v>
      </c>
    </row>
    <row r="379">
      <c r="B379" t="str">
        <v>Jawa Barat</v>
      </c>
      <c r="C379" t="str">
        <v>Kabupaten Bogor</v>
      </c>
    </row>
    <row r="380">
      <c r="B380" t="str">
        <v>Jawa Barat</v>
      </c>
      <c r="C380" t="str">
        <v>Kabupaten Ciamis</v>
      </c>
    </row>
    <row r="381">
      <c r="B381" t="str">
        <v>Jawa Barat</v>
      </c>
      <c r="C381" t="str">
        <v>Kabupaten Cianjur</v>
      </c>
    </row>
    <row r="382">
      <c r="B382" t="str">
        <v>Jawa Barat</v>
      </c>
      <c r="C382" t="str">
        <v>Kabupaten Cirebon</v>
      </c>
    </row>
    <row r="383">
      <c r="B383" t="str">
        <v>Jawa Barat</v>
      </c>
      <c r="C383" t="str">
        <v>Kabupaten Garut</v>
      </c>
    </row>
    <row r="384">
      <c r="B384" t="str">
        <v>Jawa Barat</v>
      </c>
      <c r="C384" t="str">
        <v>Kabupaten Indramayu</v>
      </c>
    </row>
    <row r="385">
      <c r="B385" t="str">
        <v>Jawa Barat</v>
      </c>
      <c r="C385" t="str">
        <v xml:space="preserve">Kabupaten Karawang </v>
      </c>
    </row>
    <row r="386">
      <c r="B386" t="str">
        <v>Jawa Barat</v>
      </c>
      <c r="C386" t="str">
        <v>Kabupaten Kuningan</v>
      </c>
    </row>
    <row r="387">
      <c r="B387" t="str">
        <v>Jawa Barat</v>
      </c>
      <c r="C387" t="str">
        <v>Kabupaten Majalengka</v>
      </c>
    </row>
    <row r="388">
      <c r="B388" t="str">
        <v>Jawa Barat</v>
      </c>
      <c r="C388" t="str">
        <v>Kabupaten Purwakarta</v>
      </c>
    </row>
    <row r="389">
      <c r="B389" t="str">
        <v>Jawa Barat</v>
      </c>
      <c r="C389" t="str">
        <v>Kabupaten Subang</v>
      </c>
    </row>
    <row r="390">
      <c r="B390" t="str">
        <v>Jawa Barat</v>
      </c>
      <c r="C390" t="str">
        <v xml:space="preserve">Kabupaten Sukabumi </v>
      </c>
    </row>
    <row r="391">
      <c r="B391" t="str">
        <v>Jawa Barat</v>
      </c>
      <c r="C391" t="str">
        <v>Kabupaten Sumedang</v>
      </c>
    </row>
    <row r="392">
      <c r="B392" t="str">
        <v>Jawa Barat</v>
      </c>
      <c r="C392" t="str">
        <v>Kabupaten Tasikmalaya</v>
      </c>
    </row>
    <row r="393">
      <c r="B393" t="str">
        <v>Jawa Barat</v>
      </c>
      <c r="C393" t="str">
        <v>Kota Bandung</v>
      </c>
    </row>
    <row r="394">
      <c r="B394" t="str">
        <v>Jawa Barat</v>
      </c>
      <c r="C394" t="str">
        <v>Kota Banjar</v>
      </c>
    </row>
    <row r="395">
      <c r="B395" t="str">
        <v>Jawa Barat</v>
      </c>
      <c r="C395" t="str">
        <v>Kota Bekasi</v>
      </c>
    </row>
    <row r="396">
      <c r="B396" t="str">
        <v>Jawa Barat</v>
      </c>
      <c r="C396" t="str">
        <v>Kota Bogor</v>
      </c>
    </row>
    <row r="397">
      <c r="B397" t="str">
        <v>Jawa Barat</v>
      </c>
      <c r="C397" t="str">
        <v>Kota Cimahi</v>
      </c>
    </row>
    <row r="398">
      <c r="B398" t="str">
        <v>Jawa Barat</v>
      </c>
      <c r="C398" t="str">
        <v>Kota Cirebon</v>
      </c>
    </row>
    <row r="399">
      <c r="B399" t="str">
        <v>Jawa Barat</v>
      </c>
      <c r="C399" t="str">
        <v xml:space="preserve">Kota Depok </v>
      </c>
    </row>
    <row r="400">
      <c r="B400" t="str">
        <v>Jawa Barat</v>
      </c>
      <c r="C400" t="str">
        <v xml:space="preserve">Kota Sukabumi </v>
      </c>
    </row>
    <row r="401">
      <c r="B401" t="str">
        <v>Jawa Barat</v>
      </c>
      <c r="C401" t="str">
        <v xml:space="preserve">Kota Tasikmalaya </v>
      </c>
    </row>
    <row r="402">
      <c r="B402" t="str">
        <v>Jawa Barat</v>
      </c>
      <c r="C402" t="str">
        <v>Kabupaten Pangandaran</v>
      </c>
    </row>
    <row r="403">
      <c r="B403" t="str">
        <v>Jawa Barat</v>
      </c>
    </row>
    <row r="404">
      <c r="B404" t="str">
        <v>Banten</v>
      </c>
      <c r="C404" t="str">
        <v>Kabupaten Lebak</v>
      </c>
    </row>
    <row r="405">
      <c r="B405" t="str">
        <v>Banten</v>
      </c>
      <c r="C405" t="str">
        <v xml:space="preserve">Kabupaten Pandeglang </v>
      </c>
    </row>
    <row r="406">
      <c r="B406" t="str">
        <v>Banten</v>
      </c>
      <c r="C406" t="str">
        <v>Kabupaten Serang</v>
      </c>
    </row>
    <row r="407">
      <c r="B407" t="str">
        <v>Banten</v>
      </c>
      <c r="C407" t="str">
        <v>Kabupaten Tangerang</v>
      </c>
    </row>
    <row r="408">
      <c r="B408" t="str">
        <v>Banten</v>
      </c>
      <c r="C408" t="str">
        <v>Kota Cilegon</v>
      </c>
    </row>
    <row r="409">
      <c r="B409" t="str">
        <v>Banten</v>
      </c>
      <c r="C409" t="str">
        <v xml:space="preserve">Kota Serang </v>
      </c>
    </row>
    <row r="410">
      <c r="B410" t="str">
        <v>Banten</v>
      </c>
      <c r="C410" t="str">
        <v xml:space="preserve">Kota Tangerang </v>
      </c>
    </row>
    <row r="411">
      <c r="B411" t="str">
        <v>Banten</v>
      </c>
      <c r="C411" t="str">
        <v>Kota Tangerang Selatan</v>
      </c>
    </row>
    <row r="412">
      <c r="B412" t="str">
        <v>Banten</v>
      </c>
    </row>
    <row r="413">
      <c r="B413" t="str">
        <v>DKI Jakarta</v>
      </c>
      <c r="C413" t="str">
        <v xml:space="preserve">Kabupaten Administratif Kepulauan Seribu </v>
      </c>
    </row>
    <row r="414">
      <c r="B414" t="str">
        <v>DKI Jakarta</v>
      </c>
      <c r="C414" t="str">
        <v>Kota Administratif Jakarta Barat</v>
      </c>
    </row>
    <row r="415">
      <c r="B415" t="str">
        <v>DKI Jakarta</v>
      </c>
      <c r="C415" t="str">
        <v xml:space="preserve">Kota Administratif Jakarta Pusat </v>
      </c>
    </row>
    <row r="416">
      <c r="B416" t="str">
        <v>DKI Jakarta</v>
      </c>
      <c r="C416" t="str">
        <v xml:space="preserve">Kota Administratif Jakarta Selatan </v>
      </c>
    </row>
    <row r="417">
      <c r="B417" t="str">
        <v>DKI Jakarta</v>
      </c>
      <c r="C417" t="str">
        <v xml:space="preserve">Kota Administratif Jakarta Timur </v>
      </c>
    </row>
    <row r="418">
      <c r="B418" t="str">
        <v>DKI Jakarta</v>
      </c>
      <c r="C418" t="str">
        <v xml:space="preserve">Kota Administratif Jakarta Utara </v>
      </c>
    </row>
    <row r="419">
      <c r="B419" t="str">
        <v>DKI Jakarta</v>
      </c>
    </row>
    <row r="420">
      <c r="B420" t="str">
        <v>Jawa Tengah</v>
      </c>
      <c r="C420" t="str">
        <v>Kabupaten Banjarnegara</v>
      </c>
    </row>
    <row r="421">
      <c r="B421" t="str">
        <v>Jawa Tengah</v>
      </c>
      <c r="C421" t="str">
        <v>Kabupaten Banyumas</v>
      </c>
    </row>
    <row r="422">
      <c r="B422" t="str">
        <v>Jawa Tengah</v>
      </c>
      <c r="C422" t="str">
        <v xml:space="preserve">Kabupaten Batang </v>
      </c>
    </row>
    <row r="423">
      <c r="B423" t="str">
        <v>Jawa Tengah</v>
      </c>
      <c r="C423" t="str">
        <v xml:space="preserve">Kabupaten Blora </v>
      </c>
    </row>
    <row r="424">
      <c r="B424" t="str">
        <v>Jawa Tengah</v>
      </c>
      <c r="C424" t="str">
        <v>Kabupaten Boyolali</v>
      </c>
    </row>
    <row r="425">
      <c r="B425" t="str">
        <v>Jawa Tengah</v>
      </c>
      <c r="C425" t="str">
        <v>Kabupaten Brebes</v>
      </c>
    </row>
    <row r="426">
      <c r="B426" t="str">
        <v>Jawa Tengah</v>
      </c>
      <c r="C426" t="str">
        <v>Kabupaten Cilacap</v>
      </c>
    </row>
    <row r="427">
      <c r="B427" t="str">
        <v>Jawa Tengah</v>
      </c>
      <c r="C427" t="str">
        <v xml:space="preserve">Kabupaten Demak </v>
      </c>
    </row>
    <row r="428">
      <c r="B428" t="str">
        <v>Jawa Tengah</v>
      </c>
      <c r="C428" t="str">
        <v>Kabupaten Grobogan</v>
      </c>
    </row>
    <row r="429">
      <c r="B429" t="str">
        <v>Jawa Tengah</v>
      </c>
      <c r="C429" t="str">
        <v>Kabupaten Jepara</v>
      </c>
    </row>
    <row r="430">
      <c r="B430" t="str">
        <v>Jawa Tengah</v>
      </c>
      <c r="C430" t="str">
        <v>Kabupaten Karanganyar</v>
      </c>
    </row>
    <row r="431">
      <c r="B431" t="str">
        <v>Jawa Tengah</v>
      </c>
      <c r="C431" t="str">
        <v xml:space="preserve">Kabupaten Kebumen </v>
      </c>
    </row>
    <row r="432">
      <c r="B432" t="str">
        <v>Jawa Tengah</v>
      </c>
      <c r="C432" t="str">
        <v>Kabupaten Kendal</v>
      </c>
    </row>
    <row r="433">
      <c r="B433" t="str">
        <v>Jawa Tengah</v>
      </c>
      <c r="C433" t="str">
        <v>Kabupaten Klaten</v>
      </c>
    </row>
    <row r="434">
      <c r="B434" t="str">
        <v>Jawa Tengah</v>
      </c>
      <c r="C434" t="str">
        <v xml:space="preserve">Kabupaten Kudus </v>
      </c>
    </row>
    <row r="435">
      <c r="B435" t="str">
        <v>Jawa Tengah</v>
      </c>
      <c r="C435" t="str">
        <v>Kabupaten Magelang</v>
      </c>
    </row>
    <row r="436">
      <c r="B436" t="str">
        <v>Jawa Tengah</v>
      </c>
      <c r="C436" t="str">
        <v xml:space="preserve">Kabupaten Pati </v>
      </c>
    </row>
    <row r="437">
      <c r="B437" t="str">
        <v>Jawa Tengah</v>
      </c>
      <c r="C437" t="str">
        <v xml:space="preserve">Kabupaten Pekalongan </v>
      </c>
    </row>
    <row r="438">
      <c r="B438" t="str">
        <v>Jawa Tengah</v>
      </c>
      <c r="C438" t="str">
        <v>Kabupaten Pemalang</v>
      </c>
    </row>
    <row r="439">
      <c r="B439" t="str">
        <v>Jawa Tengah</v>
      </c>
      <c r="C439" t="str">
        <v xml:space="preserve">Kabupaten Purbalingga </v>
      </c>
    </row>
    <row r="440">
      <c r="B440" t="str">
        <v>Jawa Tengah</v>
      </c>
      <c r="C440" t="str">
        <v xml:space="preserve">Kabupaten Purworejo </v>
      </c>
    </row>
    <row r="441">
      <c r="B441" t="str">
        <v>Jawa Tengah</v>
      </c>
      <c r="C441" t="str">
        <v xml:space="preserve">Kabupaten Rembang </v>
      </c>
    </row>
    <row r="442">
      <c r="B442" t="str">
        <v>Jawa Tengah</v>
      </c>
      <c r="C442" t="str">
        <v>Kabupaten Semarang</v>
      </c>
    </row>
    <row r="443">
      <c r="B443" t="str">
        <v>Jawa Tengah</v>
      </c>
      <c r="C443" t="str">
        <v xml:space="preserve">Kabupaten Sragen </v>
      </c>
    </row>
    <row r="444">
      <c r="B444" t="str">
        <v>Jawa Tengah</v>
      </c>
      <c r="C444" t="str">
        <v xml:space="preserve">Kabupaten Sukoharjo </v>
      </c>
    </row>
    <row r="445">
      <c r="B445" t="str">
        <v>Jawa Tengah</v>
      </c>
      <c r="C445" t="str">
        <v xml:space="preserve">Kabupaten Tegal </v>
      </c>
    </row>
    <row r="446">
      <c r="B446" t="str">
        <v>Jawa Tengah</v>
      </c>
      <c r="C446" t="str">
        <v xml:space="preserve">Kabupaten Temanggung </v>
      </c>
    </row>
    <row r="447">
      <c r="B447" t="str">
        <v>Jawa Tengah</v>
      </c>
      <c r="C447" t="str">
        <v>Kabupaten Wonogiri</v>
      </c>
    </row>
    <row r="448">
      <c r="B448" t="str">
        <v>Jawa Tengah</v>
      </c>
      <c r="C448" t="str">
        <v xml:space="preserve">Kabupaten Wonosobo </v>
      </c>
    </row>
    <row r="449">
      <c r="B449" t="str">
        <v>Jawa Tengah</v>
      </c>
      <c r="C449" t="str">
        <v>Kota Magelang</v>
      </c>
    </row>
    <row r="450">
      <c r="B450" t="str">
        <v>Jawa Tengah</v>
      </c>
      <c r="C450" t="str">
        <v>Kota Pekalongan</v>
      </c>
    </row>
    <row r="451">
      <c r="B451" t="str">
        <v>Jawa Tengah</v>
      </c>
      <c r="C451" t="str">
        <v>Kota Salatiga</v>
      </c>
    </row>
    <row r="452">
      <c r="B452" t="str">
        <v>Jawa Tengah</v>
      </c>
      <c r="C452" t="str">
        <v xml:space="preserve">Kota Semarang </v>
      </c>
    </row>
    <row r="453">
      <c r="B453" t="str">
        <v>Jawa Tengah</v>
      </c>
      <c r="C453" t="str">
        <v xml:space="preserve">Kota Surakarta </v>
      </c>
    </row>
    <row r="454">
      <c r="B454" t="str">
        <v>Jawa Tengah</v>
      </c>
      <c r="C454" t="str">
        <v xml:space="preserve">Kota Tegal </v>
      </c>
    </row>
    <row r="455">
      <c r="B455" t="str">
        <v>Jawa Tengah</v>
      </c>
    </row>
    <row r="456">
      <c r="B456" t="str">
        <v>DI Yogyakarta</v>
      </c>
      <c r="C456" t="str">
        <v>Kabupaten Bantul</v>
      </c>
    </row>
    <row r="457">
      <c r="B457" t="str">
        <v>DI Yogyakarta</v>
      </c>
      <c r="C457" t="str">
        <v xml:space="preserve">Kabupaten Gunung Kidul </v>
      </c>
    </row>
    <row r="458">
      <c r="B458" t="str">
        <v>DI Yogyakarta</v>
      </c>
      <c r="C458" t="str">
        <v>Kabupaten Kulonprogo</v>
      </c>
    </row>
    <row r="459">
      <c r="B459" t="str">
        <v>DI Yogyakarta</v>
      </c>
      <c r="C459" t="str">
        <v xml:space="preserve">Kabupaten Sleman </v>
      </c>
    </row>
    <row r="460">
      <c r="B460" t="str">
        <v>DI Yogyakarta</v>
      </c>
      <c r="C460" t="str">
        <v>Kota Yogyakarta</v>
      </c>
    </row>
    <row r="461">
      <c r="B461" t="str">
        <v>DI Yogyakarta</v>
      </c>
    </row>
    <row r="462">
      <c r="B462" t="str">
        <v>Jawa Timur</v>
      </c>
      <c r="C462" t="str">
        <v>Kabupaten Bangkalan</v>
      </c>
    </row>
    <row r="463">
      <c r="B463" t="str">
        <v>Jawa Timur</v>
      </c>
      <c r="C463" t="str">
        <v xml:space="preserve">Kabupaten Banyuwangi </v>
      </c>
    </row>
    <row r="464">
      <c r="B464" t="str">
        <v>Jawa Timur</v>
      </c>
      <c r="C464" t="str">
        <v>Kabupaten Blitar</v>
      </c>
    </row>
    <row r="465">
      <c r="B465" t="str">
        <v>Jawa Timur</v>
      </c>
      <c r="C465" t="str">
        <v xml:space="preserve">Kabupaten Bojonegoro </v>
      </c>
    </row>
    <row r="466">
      <c r="B466" t="str">
        <v>Jawa Timur</v>
      </c>
      <c r="C466" t="str">
        <v xml:space="preserve">Kabupaten Bondowoso </v>
      </c>
    </row>
    <row r="467">
      <c r="B467" t="str">
        <v>Jawa Timur</v>
      </c>
      <c r="C467" t="str">
        <v xml:space="preserve">Kabupaten Gresik </v>
      </c>
    </row>
    <row r="468">
      <c r="B468" t="str">
        <v>Jawa Timur</v>
      </c>
      <c r="C468" t="str">
        <v>Kabupaten Jember</v>
      </c>
    </row>
    <row r="469">
      <c r="B469" t="str">
        <v>Jawa Timur</v>
      </c>
      <c r="C469" t="str">
        <v>Kabupaten Jombang</v>
      </c>
    </row>
    <row r="470">
      <c r="B470" t="str">
        <v>Jawa Timur</v>
      </c>
      <c r="C470" t="str">
        <v xml:space="preserve">Kabupaten Kediri </v>
      </c>
    </row>
    <row r="471">
      <c r="B471" t="str">
        <v>Jawa Timur</v>
      </c>
      <c r="C471" t="str">
        <v xml:space="preserve">Kabupaten Lamongan </v>
      </c>
    </row>
    <row r="472">
      <c r="B472" t="str">
        <v>Jawa Timur</v>
      </c>
      <c r="C472" t="str">
        <v xml:space="preserve">Kabupaten Lumajang </v>
      </c>
    </row>
    <row r="473">
      <c r="B473" t="str">
        <v>Jawa Timur</v>
      </c>
      <c r="C473" t="str">
        <v xml:space="preserve">Kabupaten Madiun </v>
      </c>
    </row>
    <row r="474">
      <c r="B474" t="str">
        <v>Jawa Timur</v>
      </c>
      <c r="C474" t="str">
        <v xml:space="preserve">Kabupaten Magetan </v>
      </c>
    </row>
    <row r="475">
      <c r="B475" t="str">
        <v>Jawa Timur</v>
      </c>
      <c r="C475" t="str">
        <v>Kabupaten Malang</v>
      </c>
    </row>
    <row r="476">
      <c r="B476" t="str">
        <v>Jawa Timur</v>
      </c>
      <c r="C476" t="str">
        <v xml:space="preserve">Kabupaten Mojokerto </v>
      </c>
    </row>
    <row r="477">
      <c r="B477" t="str">
        <v>Jawa Timur</v>
      </c>
      <c r="C477" t="str">
        <v>Kabupaten Nganjuk</v>
      </c>
    </row>
    <row r="478">
      <c r="B478" t="str">
        <v>Jawa Timur</v>
      </c>
      <c r="C478" t="str">
        <v>Kabupaten Ngawi</v>
      </c>
    </row>
    <row r="479">
      <c r="B479" t="str">
        <v>Jawa Timur</v>
      </c>
      <c r="C479" t="str">
        <v>Kabupaten Pacitan</v>
      </c>
    </row>
    <row r="480">
      <c r="B480" t="str">
        <v>Jawa Timur</v>
      </c>
      <c r="C480" t="str">
        <v xml:space="preserve">Kabupaten Pamekasan </v>
      </c>
    </row>
    <row r="481">
      <c r="B481" t="str">
        <v>Jawa Timur</v>
      </c>
      <c r="C481" t="str">
        <v xml:space="preserve">Kabupaten Pasuruan </v>
      </c>
    </row>
    <row r="482">
      <c r="B482" t="str">
        <v>Jawa Timur</v>
      </c>
      <c r="C482" t="str">
        <v>Kabupaten Ponorogo</v>
      </c>
    </row>
    <row r="483">
      <c r="B483" t="str">
        <v>Jawa Timur</v>
      </c>
      <c r="C483" t="str">
        <v>Kabupaten Probolinggo</v>
      </c>
    </row>
    <row r="484">
      <c r="B484" t="str">
        <v>Jawa Timur</v>
      </c>
      <c r="C484" t="str">
        <v>Kabupaten Sampang</v>
      </c>
    </row>
    <row r="485">
      <c r="B485" t="str">
        <v>Jawa Timur</v>
      </c>
      <c r="C485" t="str">
        <v>Kabupaten Sidoarjo</v>
      </c>
    </row>
    <row r="486">
      <c r="B486" t="str">
        <v>Jawa Timur</v>
      </c>
      <c r="C486" t="str">
        <v>Kabupaten Situbondo</v>
      </c>
    </row>
    <row r="487">
      <c r="B487" t="str">
        <v>Jawa Timur</v>
      </c>
      <c r="C487" t="str">
        <v>Kabupaten Sumenep</v>
      </c>
    </row>
    <row r="488">
      <c r="B488" t="str">
        <v>Jawa Timur</v>
      </c>
      <c r="C488" t="str">
        <v>Kabupaten Trenggalek</v>
      </c>
    </row>
    <row r="489">
      <c r="B489" t="str">
        <v>Jawa Timur</v>
      </c>
      <c r="C489" t="str">
        <v>Kabupaten Tuban</v>
      </c>
    </row>
    <row r="490">
      <c r="B490" t="str">
        <v>Jawa Timur</v>
      </c>
      <c r="C490" t="str">
        <v xml:space="preserve">Kabupaten Tulungagung </v>
      </c>
    </row>
    <row r="491">
      <c r="B491" t="str">
        <v>Jawa Timur</v>
      </c>
      <c r="C491" t="str">
        <v xml:space="preserve">Kota Batu </v>
      </c>
    </row>
    <row r="492">
      <c r="B492" t="str">
        <v>Jawa Timur</v>
      </c>
      <c r="C492" t="str">
        <v>Kota Blitar</v>
      </c>
    </row>
    <row r="493">
      <c r="B493" t="str">
        <v>Jawa Timur</v>
      </c>
      <c r="C493" t="str">
        <v xml:space="preserve">Kota Kediri </v>
      </c>
    </row>
    <row r="494">
      <c r="B494" t="str">
        <v>Jawa Timur</v>
      </c>
      <c r="C494" t="str">
        <v>Kota Madiun</v>
      </c>
    </row>
    <row r="495">
      <c r="B495" t="str">
        <v>Jawa Timur</v>
      </c>
      <c r="C495" t="str">
        <v xml:space="preserve">Kota Malang </v>
      </c>
    </row>
    <row r="496">
      <c r="B496" t="str">
        <v>Jawa Timur</v>
      </c>
      <c r="C496" t="str">
        <v>Kota Mojokerto</v>
      </c>
    </row>
    <row r="497">
      <c r="B497" t="str">
        <v>Jawa Timur</v>
      </c>
      <c r="C497" t="str">
        <v>Kota Pasuruan</v>
      </c>
    </row>
    <row r="498">
      <c r="B498" t="str">
        <v>Jawa Timur</v>
      </c>
      <c r="C498" t="str">
        <v xml:space="preserve">Kota Probolinggo </v>
      </c>
    </row>
    <row r="499">
      <c r="B499" t="str">
        <v>Jawa Timur</v>
      </c>
      <c r="C499" t="str">
        <v>Kota Surabaya</v>
      </c>
    </row>
    <row r="500">
      <c r="B500" t="str">
        <v>Jawa Timur</v>
      </c>
    </row>
    <row r="501">
      <c r="B501" t="str">
        <v>Kalimantan Barat</v>
      </c>
      <c r="C501" t="str">
        <v xml:space="preserve">Kabupaten Bengkayang </v>
      </c>
    </row>
    <row r="502">
      <c r="B502" t="str">
        <v>Kalimantan Barat</v>
      </c>
      <c r="C502" t="str">
        <v>Kabupaten Kapuas Hulu</v>
      </c>
    </row>
    <row r="503">
      <c r="B503" t="str">
        <v>Kalimantan Barat</v>
      </c>
      <c r="C503" t="str">
        <v xml:space="preserve">Kabupaten Kayong Utara </v>
      </c>
    </row>
    <row r="504">
      <c r="B504" t="str">
        <v>Kalimantan Barat</v>
      </c>
      <c r="C504" t="str">
        <v xml:space="preserve">Kabupaten Ketapang </v>
      </c>
    </row>
    <row r="505">
      <c r="B505" t="str">
        <v>Kalimantan Barat</v>
      </c>
      <c r="C505" t="str">
        <v>Kabupaten Kubu Raya</v>
      </c>
    </row>
    <row r="506">
      <c r="B506" t="str">
        <v>Kalimantan Barat</v>
      </c>
      <c r="C506" t="str">
        <v xml:space="preserve">Kabupaten Landak </v>
      </c>
    </row>
    <row r="507">
      <c r="B507" t="str">
        <v>Kalimantan Barat</v>
      </c>
      <c r="C507" t="str">
        <v xml:space="preserve">Kabupaten Melawi </v>
      </c>
    </row>
    <row r="508">
      <c r="B508" t="str">
        <v>Kalimantan Barat</v>
      </c>
      <c r="C508" t="str">
        <v>Kabupaten Pontianak</v>
      </c>
    </row>
    <row r="509">
      <c r="B509" t="str">
        <v>Kalimantan Barat</v>
      </c>
      <c r="C509" t="str">
        <v>Kabupaten Sambas</v>
      </c>
    </row>
    <row r="510">
      <c r="B510" t="str">
        <v>Kalimantan Barat</v>
      </c>
      <c r="C510" t="str">
        <v>Kabupaten Sanggau</v>
      </c>
    </row>
    <row r="511">
      <c r="B511" t="str">
        <v>Kalimantan Barat</v>
      </c>
      <c r="C511" t="str">
        <v>Kabupaten Sekadau</v>
      </c>
    </row>
    <row r="512">
      <c r="B512" t="str">
        <v>Kalimantan Barat</v>
      </c>
      <c r="C512" t="str">
        <v>Kabupaten Sintang</v>
      </c>
    </row>
    <row r="513">
      <c r="B513" t="str">
        <v>Kalimantan Barat</v>
      </c>
      <c r="C513" t="str">
        <v>Kota Pontianak</v>
      </c>
    </row>
    <row r="514">
      <c r="B514" t="str">
        <v>Kalimantan Barat</v>
      </c>
      <c r="C514" t="str">
        <v>Kota Singkawang</v>
      </c>
    </row>
    <row r="515">
      <c r="B515" t="str">
        <v>Kalimantan Barat</v>
      </c>
    </row>
    <row r="516">
      <c r="B516" t="str">
        <v>Kalimantan Selatan</v>
      </c>
      <c r="C516" t="str">
        <v>Kabupaten Balangan</v>
      </c>
    </row>
    <row r="517">
      <c r="B517" t="str">
        <v>Kalimantan Selatan</v>
      </c>
      <c r="C517" t="str">
        <v>Kabupaten Banjar</v>
      </c>
    </row>
    <row r="518">
      <c r="B518" t="str">
        <v>Kalimantan Selatan</v>
      </c>
      <c r="C518" t="str">
        <v>Kabupaten Barito Kuala</v>
      </c>
    </row>
    <row r="519">
      <c r="B519" t="str">
        <v>Kalimantan Selatan</v>
      </c>
      <c r="C519" t="str">
        <v>Kabupaten Hulu Sungai Selatan</v>
      </c>
    </row>
    <row r="520">
      <c r="B520" t="str">
        <v>Kalimantan Selatan</v>
      </c>
      <c r="C520" t="str">
        <v xml:space="preserve">Kabupaten Hulu Sungai Tengah </v>
      </c>
    </row>
    <row r="521">
      <c r="B521" t="str">
        <v>Kalimantan Selatan</v>
      </c>
      <c r="C521" t="str">
        <v xml:space="preserve">Kabupaten Hulu Sungai Utara </v>
      </c>
    </row>
    <row r="522">
      <c r="B522" t="str">
        <v>Kalimantan Selatan</v>
      </c>
      <c r="C522" t="str">
        <v xml:space="preserve">Kabupaten Kotabaru </v>
      </c>
    </row>
    <row r="523">
      <c r="B523" t="str">
        <v>Kalimantan Selatan</v>
      </c>
      <c r="C523" t="str">
        <v xml:space="preserve">Kabupaten Tabalong </v>
      </c>
    </row>
    <row r="524">
      <c r="B524" t="str">
        <v>Kalimantan Selatan</v>
      </c>
      <c r="C524" t="str">
        <v>Kabupaten Tanah Bumbu</v>
      </c>
    </row>
    <row r="525">
      <c r="B525" t="str">
        <v>Kalimantan Selatan</v>
      </c>
      <c r="C525" t="str">
        <v>Kabupaten Tanah Laut</v>
      </c>
    </row>
    <row r="526">
      <c r="B526" t="str">
        <v>Kalimantan Selatan</v>
      </c>
      <c r="C526" t="str">
        <v>Kabupaten Tapin</v>
      </c>
    </row>
    <row r="527">
      <c r="B527" t="str">
        <v>Kalimantan Selatan</v>
      </c>
      <c r="C527" t="str">
        <v>Kota Banjarbaru</v>
      </c>
    </row>
    <row r="528">
      <c r="B528" t="str">
        <v>Kalimantan Selatan</v>
      </c>
      <c r="C528" t="str">
        <v xml:space="preserve">Kota Banjarmasin </v>
      </c>
    </row>
    <row r="529">
      <c r="B529" t="str">
        <v>Kalimantan Selatan</v>
      </c>
    </row>
    <row r="530">
      <c r="B530" t="str">
        <v>Kalimantan Tengah</v>
      </c>
      <c r="C530" t="str">
        <v xml:space="preserve">Kabupaten Barito Selatan </v>
      </c>
    </row>
    <row r="531">
      <c r="B531" t="str">
        <v>Kalimantan Tengah</v>
      </c>
      <c r="C531" t="str">
        <v xml:space="preserve">Kabupaten Barito Timur </v>
      </c>
    </row>
    <row r="532">
      <c r="B532" t="str">
        <v>Kalimantan Tengah</v>
      </c>
      <c r="C532" t="str">
        <v xml:space="preserve">Kabupaten Barito Utara </v>
      </c>
    </row>
    <row r="533">
      <c r="B533" t="str">
        <v>Kalimantan Tengah</v>
      </c>
      <c r="C533" t="str">
        <v xml:space="preserve">Kabupaten Gunung Mas </v>
      </c>
    </row>
    <row r="534">
      <c r="B534" t="str">
        <v>Kalimantan Tengah</v>
      </c>
      <c r="C534" t="str">
        <v>Kabupaten Kapuas</v>
      </c>
    </row>
    <row r="535">
      <c r="B535" t="str">
        <v>Kalimantan Tengah</v>
      </c>
      <c r="C535" t="str">
        <v xml:space="preserve">Kabupaten Katingan </v>
      </c>
    </row>
    <row r="536">
      <c r="B536" t="str">
        <v>Kalimantan Tengah</v>
      </c>
      <c r="C536" t="str">
        <v xml:space="preserve">Kabupaten Kotawaringin Barat </v>
      </c>
    </row>
    <row r="537">
      <c r="B537" t="str">
        <v>Kalimantan Tengah</v>
      </c>
      <c r="C537" t="str">
        <v xml:space="preserve">Kabupaten Kotawaringin Timur </v>
      </c>
    </row>
    <row r="538">
      <c r="B538" t="str">
        <v>Kalimantan Tengah</v>
      </c>
      <c r="C538" t="str">
        <v xml:space="preserve">Kabupaten Lamandau </v>
      </c>
    </row>
    <row r="539">
      <c r="B539" t="str">
        <v>Kalimantan Tengah</v>
      </c>
      <c r="C539" t="str">
        <v>Kabupaten Seruyan</v>
      </c>
    </row>
    <row r="540">
      <c r="B540" t="str">
        <v>Kalimantan Tengah</v>
      </c>
      <c r="C540" t="str">
        <v xml:space="preserve">Kabupaten Sukamara </v>
      </c>
    </row>
    <row r="541">
      <c r="B541" t="str">
        <v>Kalimantan Tengah</v>
      </c>
      <c r="C541" t="str">
        <v xml:space="preserve">Kota Palangka Raya </v>
      </c>
    </row>
    <row r="542">
      <c r="B542" t="str">
        <v>Kalimantan Tengah</v>
      </c>
    </row>
    <row r="543">
      <c r="B543" t="str">
        <v>Kalimantan Timur</v>
      </c>
      <c r="C543" t="str">
        <v>Kabupaten Berau</v>
      </c>
    </row>
    <row r="544">
      <c r="B544" t="str">
        <v>Kalimantan Timur</v>
      </c>
      <c r="C544" t="str">
        <v>Kabupaten Bulungan</v>
      </c>
    </row>
    <row r="545">
      <c r="B545" t="str">
        <v>Kalimantan Timur</v>
      </c>
      <c r="C545" t="str">
        <v xml:space="preserve">Kabupaten Kutai Barat </v>
      </c>
    </row>
    <row r="546">
      <c r="B546" t="str">
        <v>Kalimantan Timur</v>
      </c>
      <c r="C546" t="str">
        <v xml:space="preserve">Kabupaten Kutai Kartanegara </v>
      </c>
    </row>
    <row r="547">
      <c r="B547" t="str">
        <v>Kalimantan Timur</v>
      </c>
      <c r="C547" t="str">
        <v xml:space="preserve">Kabupaten Kutai Timur </v>
      </c>
    </row>
    <row r="548">
      <c r="B548" t="str">
        <v>Kalimantan Timur</v>
      </c>
      <c r="C548" t="str">
        <v xml:space="preserve">Kabupaten Malinau </v>
      </c>
    </row>
    <row r="549">
      <c r="B549" t="str">
        <v>Kalimantan Timur</v>
      </c>
      <c r="C549" t="str">
        <v xml:space="preserve">Kabupaten Nunukan </v>
      </c>
    </row>
    <row r="550">
      <c r="B550" t="str">
        <v>Kalimantan Timur</v>
      </c>
      <c r="C550" t="str">
        <v>Kabupaten Paser</v>
      </c>
    </row>
    <row r="551">
      <c r="B551" t="str">
        <v>Kalimantan Timur</v>
      </c>
      <c r="C551" t="str">
        <v xml:space="preserve">Kabupaten Penajam Paser Utara </v>
      </c>
    </row>
    <row r="552">
      <c r="B552" t="str">
        <v>Kalimantan Timur</v>
      </c>
      <c r="C552" t="str">
        <v>Kabupaten Tana Tidung</v>
      </c>
    </row>
    <row r="553">
      <c r="B553" t="str">
        <v>Kalimantan Timur</v>
      </c>
      <c r="C553" t="str">
        <v xml:space="preserve">Kota Balikpapan </v>
      </c>
    </row>
    <row r="554">
      <c r="B554" t="str">
        <v>Kalimantan Timur</v>
      </c>
      <c r="C554" t="str">
        <v xml:space="preserve">Kota Bontang </v>
      </c>
    </row>
    <row r="555">
      <c r="B555" t="str">
        <v>Kalimantan Timur</v>
      </c>
      <c r="C555" t="str">
        <v xml:space="preserve">Kota Samarinda </v>
      </c>
    </row>
    <row r="556">
      <c r="B556" t="str">
        <v>Kalimantan Timur</v>
      </c>
      <c r="C556" t="str">
        <v>Kota Tarakan</v>
      </c>
    </row>
    <row r="557">
      <c r="B557" t="str">
        <v>Kalimantan Timur</v>
      </c>
    </row>
    <row r="558">
      <c r="B558" t="str">
        <v>Kalimantan Utara</v>
      </c>
    </row>
    <row r="559">
      <c r="B559" t="str">
        <v>Kalimantan Utara</v>
      </c>
    </row>
    <row r="560">
      <c r="B560" t="str">
        <v>Kalimantan Utara</v>
      </c>
    </row>
    <row r="561">
      <c r="B561" t="str">
        <v>Sulawesi Utara</v>
      </c>
      <c r="C561" t="str">
        <v>Kabupaten Bolaang Mongondow</v>
      </c>
    </row>
    <row r="562">
      <c r="B562" t="str">
        <v>Sulawesi Utara</v>
      </c>
      <c r="C562" t="str">
        <v>Kabupaten Bolaang Mongondow Selatan</v>
      </c>
    </row>
    <row r="563">
      <c r="B563" t="str">
        <v>Sulawesi Utara</v>
      </c>
      <c r="C563" t="str">
        <v xml:space="preserve">Kabupaten Bolaang Mongondow Timur </v>
      </c>
    </row>
    <row r="564">
      <c r="B564" t="str">
        <v>Sulawesi Utara</v>
      </c>
      <c r="C564" t="str">
        <v>Kabupaten Bolaang Mongondow Utara</v>
      </c>
    </row>
    <row r="565">
      <c r="B565" t="str">
        <v>Sulawesi Utara</v>
      </c>
      <c r="C565" t="str">
        <v>Kabupaten Kepulauan Sangihe</v>
      </c>
    </row>
    <row r="566">
      <c r="B566" t="str">
        <v>Sulawesi Utara</v>
      </c>
      <c r="C566" t="str">
        <v xml:space="preserve">Kabupaten Kepulauan Siau Tagulandung Biaro </v>
      </c>
    </row>
    <row r="567">
      <c r="B567" t="str">
        <v>Sulawesi Utara</v>
      </c>
      <c r="C567" t="str">
        <v xml:space="preserve">Kabupaten Kepulauan Talaud </v>
      </c>
    </row>
    <row r="568">
      <c r="B568" t="str">
        <v>Sulawesi Utara</v>
      </c>
      <c r="C568" t="str">
        <v xml:space="preserve">Kabupaten Minahasa </v>
      </c>
    </row>
    <row r="569">
      <c r="B569" t="str">
        <v>Sulawesi Utara</v>
      </c>
      <c r="C569" t="str">
        <v xml:space="preserve">Kabupaten Minahasa Selatan </v>
      </c>
    </row>
    <row r="570">
      <c r="B570" t="str">
        <v>Sulawesi Utara</v>
      </c>
      <c r="C570" t="str">
        <v>Kabupaten Minahasa Tenggara</v>
      </c>
    </row>
    <row r="571">
      <c r="B571" t="str">
        <v>Sulawesi Utara</v>
      </c>
      <c r="C571" t="str">
        <v>Kabupaten Minahasa Utara</v>
      </c>
    </row>
    <row r="572">
      <c r="B572" t="str">
        <v>Sulawesi Utara</v>
      </c>
      <c r="C572" t="str">
        <v xml:space="preserve">Kota Bitung </v>
      </c>
    </row>
    <row r="573">
      <c r="B573" t="str">
        <v>Sulawesi Utara</v>
      </c>
      <c r="C573" t="str">
        <v xml:space="preserve">Kota Kotamobagu </v>
      </c>
    </row>
    <row r="574">
      <c r="B574" t="str">
        <v>Sulawesi Utara</v>
      </c>
      <c r="C574" t="str">
        <v xml:space="preserve">Kota Manado </v>
      </c>
    </row>
    <row r="575">
      <c r="B575" t="str">
        <v>Sulawesi Utara</v>
      </c>
      <c r="C575" t="str">
        <v xml:space="preserve">Kota Tomohon </v>
      </c>
    </row>
    <row r="576">
      <c r="B576" t="str">
        <v>Sulawesi Utara</v>
      </c>
    </row>
    <row r="577">
      <c r="B577" t="str">
        <v>Gorontalo</v>
      </c>
      <c r="C577" t="str">
        <v xml:space="preserve">Kabupaten Boalemo </v>
      </c>
    </row>
    <row r="578">
      <c r="B578" t="str">
        <v>Gorontalo</v>
      </c>
      <c r="C578" t="str">
        <v xml:space="preserve">Kabupaten Bone Bolango </v>
      </c>
    </row>
    <row r="579">
      <c r="B579" t="str">
        <v>Gorontalo</v>
      </c>
      <c r="C579" t="str">
        <v>Kabupaten Gorontalo</v>
      </c>
    </row>
    <row r="580">
      <c r="B580" t="str">
        <v>Gorontalo</v>
      </c>
      <c r="C580" t="str">
        <v xml:space="preserve">Kabupaten Gorontalo Utara </v>
      </c>
    </row>
    <row r="581">
      <c r="B581" t="str">
        <v>Gorontalo</v>
      </c>
      <c r="C581" t="str">
        <v xml:space="preserve">Kabupaten Pohuwato </v>
      </c>
    </row>
    <row r="582">
      <c r="B582" t="str">
        <v>Gorontalo</v>
      </c>
      <c r="C582" t="str">
        <v xml:space="preserve">Kota Gorontalo </v>
      </c>
    </row>
    <row r="583">
      <c r="B583" t="str">
        <v>Gorontalo</v>
      </c>
    </row>
    <row r="584">
      <c r="B584" t="str">
        <v>Sulawesi Tengah</v>
      </c>
      <c r="C584" t="str">
        <v xml:space="preserve">Kabupaten Banggai </v>
      </c>
    </row>
    <row r="585">
      <c r="B585" t="str">
        <v>Sulawesi Tengah</v>
      </c>
      <c r="C585" t="str">
        <v>Kabupaten Banggai Kepulauan</v>
      </c>
    </row>
    <row r="586">
      <c r="B586" t="str">
        <v>Sulawesi Tengah</v>
      </c>
      <c r="C586" t="str">
        <v>Kabupaten Buol</v>
      </c>
    </row>
    <row r="587">
      <c r="B587" t="str">
        <v>Sulawesi Tengah</v>
      </c>
      <c r="C587" t="str">
        <v>Kabupaten Donggala</v>
      </c>
    </row>
    <row r="588">
      <c r="B588" t="str">
        <v>Sulawesi Tengah</v>
      </c>
      <c r="C588" t="str">
        <v xml:space="preserve">Kabupaten Morowali </v>
      </c>
    </row>
    <row r="589">
      <c r="B589" t="str">
        <v>Sulawesi Tengah</v>
      </c>
      <c r="C589" t="str">
        <v xml:space="preserve">Kabupaten Parigi Moutong </v>
      </c>
    </row>
    <row r="590">
      <c r="B590" t="str">
        <v>Sulawesi Tengah</v>
      </c>
      <c r="C590" t="str">
        <v xml:space="preserve">Kabupaten Poso </v>
      </c>
    </row>
    <row r="591">
      <c r="B591" t="str">
        <v>Sulawesi Tengah</v>
      </c>
      <c r="C591" t="str">
        <v>Kabupaten Tojo Una-una</v>
      </c>
    </row>
    <row r="592">
      <c r="B592" t="str">
        <v>Sulawesi Tengah</v>
      </c>
      <c r="C592" t="str">
        <v xml:space="preserve">Kabupaten Toli-Toli </v>
      </c>
    </row>
    <row r="593">
      <c r="B593" t="str">
        <v>Sulawesi Tengah</v>
      </c>
      <c r="C593" t="str">
        <v xml:space="preserve">Kabupaten Sigi </v>
      </c>
    </row>
    <row r="594">
      <c r="B594" t="str">
        <v>Sulawesi Tengah</v>
      </c>
      <c r="C594" t="str">
        <v xml:space="preserve">Kota Palu </v>
      </c>
    </row>
    <row r="595">
      <c r="B595" t="str">
        <v>Sulawesi Tengah</v>
      </c>
    </row>
    <row r="596">
      <c r="B596" t="str">
        <v>Sulawesi Selatan</v>
      </c>
      <c r="C596" t="str">
        <v xml:space="preserve">Kabupaten Bantaeng </v>
      </c>
    </row>
    <row r="597">
      <c r="B597" t="str">
        <v>Sulawesi Selatan</v>
      </c>
      <c r="C597" t="str">
        <v xml:space="preserve">Kabupaten Barru </v>
      </c>
    </row>
    <row r="598">
      <c r="B598" t="str">
        <v>Sulawesi Selatan</v>
      </c>
      <c r="C598" t="str">
        <v xml:space="preserve">Kabupaten Bone </v>
      </c>
    </row>
    <row r="599">
      <c r="B599" t="str">
        <v>Sulawesi Selatan</v>
      </c>
      <c r="C599" t="str">
        <v>Kabupaten Bulukumba</v>
      </c>
    </row>
    <row r="600">
      <c r="B600" t="str">
        <v>Sulawesi Selatan</v>
      </c>
      <c r="C600" t="str">
        <v xml:space="preserve">Kabupaten Enrekang </v>
      </c>
    </row>
    <row r="601">
      <c r="B601" t="str">
        <v>Sulawesi Selatan</v>
      </c>
      <c r="C601" t="str">
        <v xml:space="preserve">Kabupaten Gowa </v>
      </c>
    </row>
    <row r="602">
      <c r="B602" t="str">
        <v>Sulawesi Selatan</v>
      </c>
      <c r="C602" t="str">
        <v xml:space="preserve">Kabupaten Jeneponto </v>
      </c>
    </row>
    <row r="603">
      <c r="B603" t="str">
        <v>Sulawesi Selatan</v>
      </c>
      <c r="C603" t="str">
        <v>Kabupaten Kepulauan Selayar</v>
      </c>
    </row>
    <row r="604">
      <c r="B604" t="str">
        <v>Sulawesi Selatan</v>
      </c>
      <c r="C604" t="str">
        <v xml:space="preserve">Kabupaten Luwu </v>
      </c>
    </row>
    <row r="605">
      <c r="B605" t="str">
        <v>Sulawesi Selatan</v>
      </c>
      <c r="C605" t="str">
        <v xml:space="preserve">Kabupaten Luwu Timur </v>
      </c>
    </row>
    <row r="606">
      <c r="B606" t="str">
        <v>Sulawesi Selatan</v>
      </c>
      <c r="C606" t="str">
        <v xml:space="preserve">Kabupaten Luwu Utara </v>
      </c>
    </row>
    <row r="607">
      <c r="B607" t="str">
        <v>Sulawesi Selatan</v>
      </c>
      <c r="C607" t="str">
        <v xml:space="preserve">Kabupaten Maros </v>
      </c>
    </row>
    <row r="608">
      <c r="B608" t="str">
        <v>Sulawesi Selatan</v>
      </c>
      <c r="C608" t="str">
        <v xml:space="preserve">Kabupaten Pangkajene dan Kepulauan </v>
      </c>
    </row>
    <row r="609">
      <c r="B609" t="str">
        <v>Sulawesi Selatan</v>
      </c>
      <c r="C609" t="str">
        <v xml:space="preserve">Kabupaten Pinrang </v>
      </c>
    </row>
    <row r="610">
      <c r="B610" t="str">
        <v>Sulawesi Selatan</v>
      </c>
      <c r="C610" t="str">
        <v>Kabupaten Sidenreng Rappang</v>
      </c>
    </row>
    <row r="611">
      <c r="B611" t="str">
        <v>Sulawesi Selatan</v>
      </c>
      <c r="C611" t="str">
        <v xml:space="preserve">Kabupaten Sinjai </v>
      </c>
    </row>
    <row r="612">
      <c r="B612" t="str">
        <v>Sulawesi Selatan</v>
      </c>
      <c r="C612" t="str">
        <v xml:space="preserve">Kabupaten Soppeng </v>
      </c>
    </row>
    <row r="613">
      <c r="B613" t="str">
        <v>Sulawesi Selatan</v>
      </c>
      <c r="C613" t="str">
        <v>Kabupaten Takalar</v>
      </c>
    </row>
    <row r="614">
      <c r="B614" t="str">
        <v>Sulawesi Selatan</v>
      </c>
      <c r="C614" t="str">
        <v xml:space="preserve">Kabupaten Tana Toraja </v>
      </c>
    </row>
    <row r="615">
      <c r="B615" t="str">
        <v>Sulawesi Selatan</v>
      </c>
      <c r="C615" t="str">
        <v xml:space="preserve">Kabupaten Toraja Utara </v>
      </c>
    </row>
    <row r="616">
      <c r="B616" t="str">
        <v>Sulawesi Selatan</v>
      </c>
      <c r="C616" t="str">
        <v>Kabupaten Wajo</v>
      </c>
    </row>
    <row r="617">
      <c r="B617" t="str">
        <v>Sulawesi Selatan</v>
      </c>
      <c r="C617" t="str">
        <v xml:space="preserve">Kota Makassar </v>
      </c>
    </row>
    <row r="618">
      <c r="B618" t="str">
        <v>Sulawesi Selatan</v>
      </c>
      <c r="C618" t="str">
        <v>Kota Palopo</v>
      </c>
    </row>
    <row r="619">
      <c r="B619" t="str">
        <v>Sulawesi Selatan</v>
      </c>
      <c r="C619" t="str">
        <v>Kota Pare-Pare</v>
      </c>
    </row>
    <row r="620">
      <c r="B620" t="str">
        <v>Sulawesi Selatan</v>
      </c>
    </row>
    <row r="621">
      <c r="B621" t="str">
        <v>Sulawesi Barat</v>
      </c>
      <c r="C621" t="str">
        <v xml:space="preserve">Kabupaten Majene </v>
      </c>
    </row>
    <row r="622">
      <c r="B622" t="str">
        <v>Sulawesi Barat</v>
      </c>
      <c r="C622" t="str">
        <v xml:space="preserve">Kabupaten Mamasa </v>
      </c>
    </row>
    <row r="623">
      <c r="B623" t="str">
        <v>Sulawesi Barat</v>
      </c>
      <c r="C623" t="str">
        <v>Kabupaten Mamuju (Mamuju)</v>
      </c>
    </row>
    <row r="624">
      <c r="B624" t="str">
        <v>Sulawesi Barat</v>
      </c>
      <c r="C624" t="str">
        <v xml:space="preserve">Kabupaten Mamuju Utara </v>
      </c>
    </row>
    <row r="625">
      <c r="B625" t="str">
        <v>Sulawesi Barat</v>
      </c>
      <c r="C625" t="str">
        <v xml:space="preserve">Kabupaten Polewali Mandar </v>
      </c>
    </row>
    <row r="626">
      <c r="B626" t="str">
        <v>Sulawesi Barat</v>
      </c>
    </row>
    <row r="627">
      <c r="B627" t="str">
        <v>Sulawesi Tenggara</v>
      </c>
      <c r="C627" t="str">
        <v xml:space="preserve">Kabupaten Bombana </v>
      </c>
    </row>
    <row r="628">
      <c r="B628" t="str">
        <v>Sulawesi Tenggara</v>
      </c>
      <c r="C628" t="str">
        <v xml:space="preserve">Kabupaten Buton </v>
      </c>
    </row>
    <row r="629">
      <c r="B629" t="str">
        <v>Sulawesi Tenggara</v>
      </c>
      <c r="C629" t="str">
        <v xml:space="preserve">Kabupaten Buton Utara </v>
      </c>
    </row>
    <row r="630">
      <c r="B630" t="str">
        <v>Sulawesi Tenggara</v>
      </c>
      <c r="C630" t="str">
        <v>Kabupaten Kolaka</v>
      </c>
    </row>
    <row r="631">
      <c r="B631" t="str">
        <v>Sulawesi Tenggara</v>
      </c>
      <c r="C631" t="str">
        <v xml:space="preserve">Kabupaten Kolaka Utara </v>
      </c>
    </row>
    <row r="632">
      <c r="B632" t="str">
        <v>Sulawesi Tenggara</v>
      </c>
      <c r="C632" t="str">
        <v xml:space="preserve">Kabupaten Konawe </v>
      </c>
    </row>
    <row r="633">
      <c r="B633" t="str">
        <v>Sulawesi Tenggara</v>
      </c>
      <c r="C633" t="str">
        <v xml:space="preserve">Kabupaten Konawe Selatan </v>
      </c>
    </row>
    <row r="634">
      <c r="B634" t="str">
        <v>Sulawesi Tenggara</v>
      </c>
      <c r="C634" t="str">
        <v xml:space="preserve">Kabupaten Konawe Utara </v>
      </c>
    </row>
    <row r="635">
      <c r="B635" t="str">
        <v>Sulawesi Tenggara</v>
      </c>
      <c r="C635" t="str">
        <v xml:space="preserve">Kabupaten Muna </v>
      </c>
    </row>
    <row r="636">
      <c r="B636" t="str">
        <v>Sulawesi Tenggara</v>
      </c>
      <c r="C636" t="str">
        <v xml:space="preserve">Kabupaten Wakatobi </v>
      </c>
    </row>
    <row r="637">
      <c r="B637" t="str">
        <v>Sulawesi Tenggara</v>
      </c>
      <c r="C637" t="str">
        <v>Kota Bau-Bau</v>
      </c>
    </row>
    <row r="638">
      <c r="B638" t="str">
        <v>Sulawesi Tenggara</v>
      </c>
      <c r="C638" t="str">
        <v xml:space="preserve">Kota Kendari </v>
      </c>
    </row>
    <row r="639">
      <c r="B639" t="str">
        <v>Sulawesi Tenggara</v>
      </c>
    </row>
    <row r="640">
      <c r="B640" t="str">
        <v>Bali</v>
      </c>
      <c r="C640" t="str">
        <v xml:space="preserve">Kabupaten Badung </v>
      </c>
    </row>
    <row r="641">
      <c r="B641" t="str">
        <v>Bali</v>
      </c>
      <c r="C641" t="str">
        <v xml:space="preserve">Kabupaten Bangli </v>
      </c>
    </row>
    <row r="642">
      <c r="B642" t="str">
        <v>Bali</v>
      </c>
      <c r="C642" t="str">
        <v xml:space="preserve">Kabupaten Buleleng </v>
      </c>
    </row>
    <row r="643">
      <c r="B643" t="str">
        <v>Bali</v>
      </c>
      <c r="C643" t="str">
        <v xml:space="preserve">Kabupaten Gianyar </v>
      </c>
    </row>
    <row r="644">
      <c r="B644" t="str">
        <v>Bali</v>
      </c>
      <c r="C644" t="str">
        <v xml:space="preserve">Kabupaten Jembrana </v>
      </c>
    </row>
    <row r="645">
      <c r="B645" t="str">
        <v>Bali</v>
      </c>
      <c r="C645" t="str">
        <v xml:space="preserve">Kabupaten Karangasem </v>
      </c>
    </row>
    <row r="646">
      <c r="B646" t="str">
        <v>Bali</v>
      </c>
      <c r="C646" t="str">
        <v>Kabupaten Klungkung</v>
      </c>
    </row>
    <row r="647">
      <c r="B647" t="str">
        <v>Bali</v>
      </c>
      <c r="C647" t="str">
        <v xml:space="preserve">Kabupaten Tabanan </v>
      </c>
    </row>
    <row r="648">
      <c r="B648" t="str">
        <v>Bali</v>
      </c>
      <c r="C648" t="str">
        <v xml:space="preserve">Kota Denpasar </v>
      </c>
    </row>
    <row r="649">
      <c r="B649" t="str">
        <v>Bali</v>
      </c>
    </row>
    <row r="650">
      <c r="B650" t="str">
        <v>Nusa Tenggara Barat</v>
      </c>
      <c r="C650" t="str">
        <v>Kabupaten Bima</v>
      </c>
    </row>
    <row r="651">
      <c r="B651" t="str">
        <v>Nusa Tenggara Barat</v>
      </c>
      <c r="C651" t="str">
        <v xml:space="preserve">Kabupaten Dompu </v>
      </c>
    </row>
    <row r="652">
      <c r="B652" t="str">
        <v>Nusa Tenggara Barat</v>
      </c>
      <c r="C652" t="str">
        <v xml:space="preserve">Kabupaten Lombok Barat </v>
      </c>
    </row>
    <row r="653">
      <c r="B653" t="str">
        <v>Nusa Tenggara Barat</v>
      </c>
      <c r="C653" t="str">
        <v>Kabupaten Lombok Tengah</v>
      </c>
    </row>
    <row r="654">
      <c r="B654" t="str">
        <v>Nusa Tenggara Barat</v>
      </c>
      <c r="C654" t="str">
        <v xml:space="preserve">Kabupaten Lombok Timur </v>
      </c>
    </row>
    <row r="655">
      <c r="B655" t="str">
        <v>Nusa Tenggara Barat</v>
      </c>
      <c r="C655" t="str">
        <v xml:space="preserve">Kabupaten Lombok Utara </v>
      </c>
    </row>
    <row r="656">
      <c r="B656" t="str">
        <v>Nusa Tenggara Barat</v>
      </c>
      <c r="C656" t="str">
        <v>Kabupaten Sumbawa</v>
      </c>
    </row>
    <row r="657">
      <c r="B657" t="str">
        <v>Nusa Tenggara Barat</v>
      </c>
      <c r="C657" t="str">
        <v xml:space="preserve">Kabupaten Sumbawa Barat </v>
      </c>
    </row>
    <row r="658">
      <c r="B658" t="str">
        <v>Nusa Tenggara Barat</v>
      </c>
      <c r="C658" t="str">
        <v xml:space="preserve">Kota Bima </v>
      </c>
    </row>
    <row r="659">
      <c r="B659" t="str">
        <v>Nusa Tenggara Barat</v>
      </c>
      <c r="C659" t="str">
        <v xml:space="preserve">Kota Mataram </v>
      </c>
    </row>
    <row r="660">
      <c r="B660" t="str">
        <v>Nusa Tenggara Barat</v>
      </c>
    </row>
    <row r="661">
      <c r="B661" t="str">
        <v>Nusa Tenggara Timur</v>
      </c>
      <c r="C661" t="str">
        <v xml:space="preserve">Kabupaten Alor </v>
      </c>
    </row>
    <row r="662">
      <c r="B662" t="str">
        <v>Nusa Tenggara Timur</v>
      </c>
      <c r="C662" t="str">
        <v>Kabupaten Belu</v>
      </c>
    </row>
    <row r="663">
      <c r="B663" t="str">
        <v>Nusa Tenggara Timur</v>
      </c>
      <c r="C663" t="str">
        <v>Kabupaten Ende</v>
      </c>
    </row>
    <row r="664">
      <c r="B664" t="str">
        <v>Nusa Tenggara Timur</v>
      </c>
      <c r="C664" t="str">
        <v xml:space="preserve">Kabupaten Flores Timur </v>
      </c>
    </row>
    <row r="665">
      <c r="B665" t="str">
        <v>Nusa Tenggara Timur</v>
      </c>
      <c r="C665" t="str">
        <v xml:space="preserve">Kabupaten Kupang </v>
      </c>
    </row>
    <row r="666">
      <c r="B666" t="str">
        <v>Nusa Tenggara Timur</v>
      </c>
      <c r="C666" t="str">
        <v xml:space="preserve">Kabupaten Lembata </v>
      </c>
    </row>
    <row r="667">
      <c r="B667" t="str">
        <v>Nusa Tenggara Timur</v>
      </c>
      <c r="C667" t="str">
        <v xml:space="preserve">Kabupaten Manggarai </v>
      </c>
    </row>
    <row r="668">
      <c r="B668" t="str">
        <v>Nusa Tenggara Timur</v>
      </c>
      <c r="C668" t="str">
        <v xml:space="preserve">Kabupaten Manggarai Barat </v>
      </c>
    </row>
    <row r="669">
      <c r="B669" t="str">
        <v>Nusa Tenggara Timur</v>
      </c>
      <c r="C669" t="str">
        <v xml:space="preserve">Kabupaten Manggarai Timur </v>
      </c>
    </row>
    <row r="670">
      <c r="B670" t="str">
        <v>Nusa Tenggara Timur</v>
      </c>
      <c r="C670" t="str">
        <v xml:space="preserve">Kabupaten Nagekeo </v>
      </c>
    </row>
    <row r="671">
      <c r="B671" t="str">
        <v>Nusa Tenggara Timur</v>
      </c>
      <c r="C671" t="str">
        <v xml:space="preserve">Kabupaten Ngada </v>
      </c>
    </row>
    <row r="672">
      <c r="B672" t="str">
        <v>Nusa Tenggara Timur</v>
      </c>
      <c r="C672" t="str">
        <v>Kabupaten Rote Ndao</v>
      </c>
    </row>
    <row r="673">
      <c r="B673" t="str">
        <v>Nusa Tenggara Timur</v>
      </c>
      <c r="C673" t="str">
        <v>Kabupaten Sabu Raijua</v>
      </c>
    </row>
    <row r="674">
      <c r="B674" t="str">
        <v>Nusa Tenggara Timur</v>
      </c>
      <c r="C674" t="str">
        <v xml:space="preserve">Kabupaten Sikka </v>
      </c>
    </row>
    <row r="675">
      <c r="B675" t="str">
        <v>Nusa Tenggara Timur</v>
      </c>
      <c r="C675" t="str">
        <v xml:space="preserve">Kabupaten Sumba Barat </v>
      </c>
    </row>
    <row r="676">
      <c r="B676" t="str">
        <v>Nusa Tenggara Timur</v>
      </c>
      <c r="C676" t="str">
        <v xml:space="preserve">Kabupaten Sumba Barat Daya </v>
      </c>
    </row>
    <row r="677">
      <c r="B677" t="str">
        <v>Nusa Tenggara Timur</v>
      </c>
      <c r="C677" t="str">
        <v xml:space="preserve">Kabupaten Sumba Tengah </v>
      </c>
    </row>
    <row r="678">
      <c r="B678" t="str">
        <v>Nusa Tenggara Timur</v>
      </c>
      <c r="C678" t="str">
        <v>Kabupaten Sumba Timur</v>
      </c>
    </row>
    <row r="679">
      <c r="B679" t="str">
        <v>Nusa Tenggara Timur</v>
      </c>
      <c r="C679" t="str">
        <v xml:space="preserve">Kabupaten Timor Tengah Selatan </v>
      </c>
    </row>
    <row r="680">
      <c r="B680" t="str">
        <v>Nusa Tenggara Timur</v>
      </c>
      <c r="C680" t="str">
        <v>Kabupaten Timor Tengah Utara</v>
      </c>
    </row>
    <row r="681">
      <c r="B681" t="str">
        <v>Nusa Tenggara Timur</v>
      </c>
      <c r="C681" t="str">
        <v xml:space="preserve">Kota Kupang </v>
      </c>
    </row>
    <row r="682">
      <c r="B682" t="str">
        <v>Nusa Tenggara Timur</v>
      </c>
    </row>
    <row r="683">
      <c r="B683" t="str">
        <v>Maluku</v>
      </c>
      <c r="C683" t="str">
        <v>Kabupaten Buru</v>
      </c>
    </row>
    <row r="684">
      <c r="B684" t="str">
        <v>Maluku</v>
      </c>
      <c r="C684" t="str">
        <v>Kabupaten Buru Selatan</v>
      </c>
    </row>
    <row r="685">
      <c r="B685" t="str">
        <v>Maluku</v>
      </c>
      <c r="C685" t="str">
        <v xml:space="preserve">Kabupaten Kepulauan Aru </v>
      </c>
    </row>
    <row r="686">
      <c r="B686" t="str">
        <v>Maluku</v>
      </c>
      <c r="C686" t="str">
        <v xml:space="preserve">Kabupaten Maluku Barat Daya </v>
      </c>
    </row>
    <row r="687">
      <c r="B687" t="str">
        <v>Maluku</v>
      </c>
      <c r="C687" t="str">
        <v xml:space="preserve">Kabupaten Maluku Tengah </v>
      </c>
    </row>
    <row r="688">
      <c r="B688" t="str">
        <v>Maluku</v>
      </c>
      <c r="C688" t="str">
        <v xml:space="preserve">Kabupaten Maluku Tenggara </v>
      </c>
    </row>
    <row r="689">
      <c r="B689" t="str">
        <v>Maluku</v>
      </c>
      <c r="C689" t="str">
        <v xml:space="preserve">Kabupaten Maluku Tenggara Barat </v>
      </c>
    </row>
    <row r="690">
      <c r="B690" t="str">
        <v>Maluku</v>
      </c>
      <c r="C690" t="str">
        <v xml:space="preserve">Kabupaten Seram Bagian Barat </v>
      </c>
    </row>
    <row r="691">
      <c r="B691" t="str">
        <v>Maluku</v>
      </c>
      <c r="C691" t="str">
        <v xml:space="preserve">Kabupaten Seram Bagian Timur </v>
      </c>
    </row>
    <row r="692">
      <c r="B692" t="str">
        <v>Maluku</v>
      </c>
      <c r="C692" t="str">
        <v>Kota Ambon</v>
      </c>
    </row>
    <row r="693">
      <c r="B693" t="str">
        <v>Maluku</v>
      </c>
      <c r="C693" t="str">
        <v xml:space="preserve">Kota Tual </v>
      </c>
    </row>
    <row r="694">
      <c r="B694" t="str">
        <v>Maluku</v>
      </c>
    </row>
    <row r="695">
      <c r="B695" t="str">
        <v>Maluku Utara</v>
      </c>
      <c r="C695" t="str">
        <v>Kabupaten Halmahera Barat</v>
      </c>
    </row>
    <row r="696">
      <c r="B696" t="str">
        <v>Maluku Utara</v>
      </c>
      <c r="C696" t="str">
        <v xml:space="preserve">Kabupaten Halmahera Selatan </v>
      </c>
    </row>
    <row r="697">
      <c r="B697" t="str">
        <v>Maluku Utara</v>
      </c>
      <c r="C697" t="str">
        <v>Kabupaten Halmahera Tengah</v>
      </c>
    </row>
    <row r="698">
      <c r="B698" t="str">
        <v>Maluku Utara</v>
      </c>
      <c r="C698" t="str">
        <v xml:space="preserve">Kabupaten Halmahera Timur </v>
      </c>
    </row>
    <row r="699">
      <c r="B699" t="str">
        <v>Maluku Utara</v>
      </c>
      <c r="C699" t="str">
        <v>Kabupaten Halmahera Utara</v>
      </c>
    </row>
    <row r="700">
      <c r="B700" t="str">
        <v>Maluku Utara</v>
      </c>
      <c r="C700" t="str">
        <v xml:space="preserve">Kabupaten Kepulauan Sula </v>
      </c>
    </row>
    <row r="701">
      <c r="B701" t="str">
        <v>Maluku Utara</v>
      </c>
      <c r="C701" t="str">
        <v>Kabupaten Pulau Morotai</v>
      </c>
    </row>
    <row r="702">
      <c r="B702" t="str">
        <v>Maluku Utara</v>
      </c>
      <c r="C702" t="str">
        <v xml:space="preserve">Kota Ternate </v>
      </c>
    </row>
    <row r="703">
      <c r="B703" t="str">
        <v>Maluku Utara</v>
      </c>
      <c r="C703" t="str">
        <v>Kota Tidore Kepulauan</v>
      </c>
    </row>
    <row r="704">
      <c r="B704" t="str">
        <v>Maluku Utara</v>
      </c>
    </row>
    <row r="705">
      <c r="B705" t="str">
        <v>Papua</v>
      </c>
      <c r="C705" t="str">
        <v>Kabupaten Asmat</v>
      </c>
    </row>
    <row r="706">
      <c r="B706" t="str">
        <v>Papua</v>
      </c>
      <c r="C706" t="str">
        <v xml:space="preserve">Kabupaten Biak Numfor </v>
      </c>
    </row>
    <row r="707">
      <c r="B707" t="str">
        <v>Papua</v>
      </c>
      <c r="C707" t="str">
        <v xml:space="preserve">Kabupaten Boven Digoel </v>
      </c>
    </row>
    <row r="708">
      <c r="B708" t="str">
        <v>Papua</v>
      </c>
      <c r="C708" t="str">
        <v xml:space="preserve">Kabupaten Deiyai </v>
      </c>
    </row>
    <row r="709">
      <c r="B709" t="str">
        <v>Papua</v>
      </c>
      <c r="C709" t="str">
        <v xml:space="preserve">Kabupaten Dogiyai </v>
      </c>
    </row>
    <row r="710">
      <c r="B710" t="str">
        <v>Papua</v>
      </c>
      <c r="C710" t="str">
        <v xml:space="preserve">Kabupaten Intan Jaya </v>
      </c>
    </row>
    <row r="711">
      <c r="B711" t="str">
        <v>Papua</v>
      </c>
      <c r="C711" t="str">
        <v xml:space="preserve">Kabupaten Jayapura </v>
      </c>
    </row>
    <row r="712">
      <c r="B712" t="str">
        <v>Papua</v>
      </c>
      <c r="C712" t="str">
        <v xml:space="preserve">Kabupaten Jayawijaya </v>
      </c>
    </row>
    <row r="713">
      <c r="B713" t="str">
        <v>Papua</v>
      </c>
      <c r="C713" t="str">
        <v xml:space="preserve">Kabupaten Keerom </v>
      </c>
    </row>
    <row r="714">
      <c r="B714" t="str">
        <v>Papua</v>
      </c>
      <c r="C714" t="str">
        <v xml:space="preserve">Kabupaten Kepulauan Yapen </v>
      </c>
    </row>
    <row r="715">
      <c r="B715" t="str">
        <v>Papua</v>
      </c>
      <c r="C715" t="str">
        <v>Kabupaten Lanny Jaya</v>
      </c>
    </row>
    <row r="716">
      <c r="B716" t="str">
        <v>Papua</v>
      </c>
      <c r="C716" t="str">
        <v>Kabupaten Mamberamo Raya</v>
      </c>
    </row>
    <row r="717">
      <c r="B717" t="str">
        <v>Papua</v>
      </c>
      <c r="C717" t="str">
        <v xml:space="preserve">Kabupaten Mamberamo Tengah </v>
      </c>
    </row>
    <row r="718">
      <c r="B718" t="str">
        <v>Papua</v>
      </c>
      <c r="C718" t="str">
        <v xml:space="preserve">Kabupaten Mappi </v>
      </c>
    </row>
    <row r="719">
      <c r="B719" t="str">
        <v>Papua</v>
      </c>
      <c r="C719" t="str">
        <v>Kabupaten Merauke</v>
      </c>
    </row>
    <row r="720">
      <c r="B720" t="str">
        <v>Papua</v>
      </c>
      <c r="C720" t="str">
        <v>Kabupaten Mimika</v>
      </c>
    </row>
    <row r="721">
      <c r="B721" t="str">
        <v>Papua</v>
      </c>
      <c r="C721" t="str">
        <v>Kabupaten Nabire</v>
      </c>
    </row>
    <row r="722">
      <c r="B722" t="str">
        <v>Papua</v>
      </c>
      <c r="C722" t="str">
        <v>Kabupaten Nduga</v>
      </c>
    </row>
    <row r="723">
      <c r="B723" t="str">
        <v>Papua</v>
      </c>
      <c r="C723" t="str">
        <v xml:space="preserve">Kabupaten Paniai </v>
      </c>
    </row>
    <row r="724">
      <c r="B724" t="str">
        <v>Papua</v>
      </c>
      <c r="C724" t="str">
        <v>Kabupaten Pegunungan Bintang</v>
      </c>
    </row>
    <row r="725">
      <c r="B725" t="str">
        <v>Papua</v>
      </c>
      <c r="C725" t="str">
        <v xml:space="preserve">Kabupaten Puncak </v>
      </c>
    </row>
    <row r="726">
      <c r="B726" t="str">
        <v>Papua</v>
      </c>
      <c r="C726" t="str">
        <v xml:space="preserve">Kabupaten Puncak Jaya </v>
      </c>
    </row>
    <row r="727">
      <c r="B727" t="str">
        <v>Papua</v>
      </c>
      <c r="C727" t="str">
        <v xml:space="preserve">Kabupaten Sarmi </v>
      </c>
    </row>
    <row r="728">
      <c r="B728" t="str">
        <v>Papua</v>
      </c>
      <c r="C728" t="str">
        <v xml:space="preserve">Kabupaten Supiori </v>
      </c>
    </row>
    <row r="729">
      <c r="B729" t="str">
        <v>Papua</v>
      </c>
      <c r="C729" t="str">
        <v xml:space="preserve">Kabupaten Tolikara </v>
      </c>
    </row>
    <row r="730">
      <c r="B730" t="str">
        <v>Papua</v>
      </c>
      <c r="C730" t="str">
        <v xml:space="preserve">Kabupaten Waropen </v>
      </c>
    </row>
    <row r="731">
      <c r="B731" t="str">
        <v>Papua</v>
      </c>
      <c r="C731" t="str">
        <v xml:space="preserve">Kabupaten Yahukimo </v>
      </c>
    </row>
    <row r="732">
      <c r="B732" t="str">
        <v>Papua</v>
      </c>
      <c r="C732" t="str">
        <v>Kabupaten Yalimo</v>
      </c>
    </row>
    <row r="733">
      <c r="B733" t="str">
        <v>Papua</v>
      </c>
      <c r="C733" t="str">
        <v xml:space="preserve">Kota Jayapura </v>
      </c>
    </row>
    <row r="734">
      <c r="B734" t="str">
        <v>Papua</v>
      </c>
    </row>
    <row r="735">
      <c r="B735" t="str">
        <v>Papua Barat</v>
      </c>
      <c r="C735" t="str">
        <v xml:space="preserve">Kabupaten Fakfak </v>
      </c>
    </row>
    <row r="736">
      <c r="B736" t="str">
        <v>Papua Barat</v>
      </c>
      <c r="C736" t="str">
        <v>Kabupaten Kaimana</v>
      </c>
    </row>
    <row r="737">
      <c r="B737" t="str">
        <v>Papua Barat</v>
      </c>
      <c r="C737" t="str">
        <v xml:space="preserve">Kabupaten Manokwari </v>
      </c>
    </row>
    <row r="738">
      <c r="B738" t="str">
        <v>Papua Barat</v>
      </c>
      <c r="C738" t="str">
        <v xml:space="preserve">Kabupaten Maybrat </v>
      </c>
    </row>
    <row r="739">
      <c r="B739" t="str">
        <v>Papua Barat</v>
      </c>
      <c r="C739" t="str">
        <v xml:space="preserve">Kabupaten Raja Ampat </v>
      </c>
    </row>
    <row r="740">
      <c r="B740" t="str">
        <v>Papua Barat</v>
      </c>
      <c r="C740" t="str">
        <v xml:space="preserve">Kabupaten Sorong </v>
      </c>
    </row>
    <row r="741">
      <c r="B741" t="str">
        <v>Papua Barat</v>
      </c>
      <c r="C741" t="str">
        <v xml:space="preserve">Kabupaten Sorong Selatan </v>
      </c>
    </row>
    <row r="742">
      <c r="B742" t="str">
        <v>Papua Barat</v>
      </c>
      <c r="C742" t="str">
        <v xml:space="preserve">Kabupaten Tambraw </v>
      </c>
    </row>
    <row r="743">
      <c r="B743" t="str">
        <v>Papua Barat</v>
      </c>
      <c r="C743" t="str">
        <v xml:space="preserve">Kabupaten Teluk Bintuni </v>
      </c>
    </row>
    <row r="744">
      <c r="B744" t="str">
        <v>Papua Barat</v>
      </c>
      <c r="C744" t="str">
        <v xml:space="preserve">Kabupaten Teluk Wondama </v>
      </c>
    </row>
    <row r="745">
      <c r="B745" t="str">
        <v>Papua Barat</v>
      </c>
      <c r="C745" t="str">
        <v>Kota Sorong</v>
      </c>
    </row>
    <row r="746">
      <c r="B746" t="str">
        <v>Papua Barat</v>
      </c>
    </row>
  </sheetData>
  <hyperlinks>
    <hyperlink ref="F1" location="MENU!A1" tooltip="M E N U "/>
  </hyperlinks>
  <pageMargins left="0.5118110236220472" right="0.31496062992125984" top="0.7480314960629921" bottom="0.7480314960629921" header="0.31496062992125984" footer="0.31496062992125984"/>
  <ignoredErrors>
    <ignoredError numberStoredAsText="1" sqref="A1:F892"/>
  </ignoredErrors>
</worksheet>
</file>

<file path=xl/worksheets/sheet5.xml><?xml version="1.0" encoding="utf-8"?>
<worksheet xmlns="http://schemas.openxmlformats.org/spreadsheetml/2006/main" xmlns:r="http://schemas.openxmlformats.org/officeDocument/2006/relationships">
  <dimension ref="A2:BV715"/>
  <sheetViews>
    <sheetView workbookViewId="0" rightToLeft="0"/>
  </sheetViews>
  <sheetData>
    <row r="2">
      <c r="F2">
        <v>11</v>
      </c>
    </row>
    <row r="6">
      <c r="G6">
        <v>1</v>
      </c>
      <c r="H6" t="str">
        <v xml:space="preserve">Nanggroe Aceh Darussalam </v>
      </c>
      <c r="I6">
        <v>2</v>
      </c>
      <c r="J6" t="str">
        <v>Sumatera Utara</v>
      </c>
      <c r="K6">
        <v>3</v>
      </c>
      <c r="L6" t="str">
        <v>Sumatera Barat</v>
      </c>
      <c r="M6">
        <v>4</v>
      </c>
      <c r="N6" t="str">
        <v>Jambi</v>
      </c>
      <c r="O6">
        <v>5</v>
      </c>
      <c r="P6" t="str">
        <v>Riau</v>
      </c>
      <c r="Q6">
        <v>6</v>
      </c>
      <c r="R6" t="str">
        <v>Kepulauan Riau</v>
      </c>
      <c r="S6">
        <v>7</v>
      </c>
      <c r="T6" t="str">
        <v>Sumatera Selatan</v>
      </c>
      <c r="U6">
        <v>8</v>
      </c>
      <c r="V6" t="str">
        <v>Bangka Belitung</v>
      </c>
      <c r="W6">
        <v>9</v>
      </c>
      <c r="X6" t="str">
        <v>Bengkulu</v>
      </c>
      <c r="Y6">
        <v>10</v>
      </c>
      <c r="Z6" t="str">
        <v>Lampung</v>
      </c>
      <c r="AA6">
        <v>11</v>
      </c>
      <c r="AB6" t="str">
        <v>Jawa Barat</v>
      </c>
      <c r="AC6">
        <v>12</v>
      </c>
      <c r="AD6" t="str">
        <v>Banten</v>
      </c>
      <c r="AE6">
        <v>13</v>
      </c>
      <c r="AF6" t="str">
        <v>DKI Jakarta</v>
      </c>
      <c r="AG6">
        <v>14</v>
      </c>
      <c r="AH6" t="str">
        <v>Jawa Tengah</v>
      </c>
      <c r="AI6">
        <v>15</v>
      </c>
      <c r="AJ6" t="str">
        <v>DI Yogyakarta</v>
      </c>
      <c r="AK6">
        <v>16</v>
      </c>
      <c r="AL6" t="str">
        <v>Jawa Timur</v>
      </c>
      <c r="AM6">
        <v>17</v>
      </c>
      <c r="AN6" t="str">
        <v>Kalimantan Barat</v>
      </c>
      <c r="AO6">
        <v>18</v>
      </c>
      <c r="AP6" t="str">
        <v>Kalimantan Selatan</v>
      </c>
      <c r="AQ6">
        <v>19</v>
      </c>
      <c r="AR6" t="str">
        <v>Kalimantan Tengah</v>
      </c>
      <c r="AS6">
        <v>20</v>
      </c>
      <c r="AT6" t="str">
        <v>Kalimantan Timur</v>
      </c>
      <c r="AU6">
        <v>21</v>
      </c>
      <c r="AV6" t="str">
        <v>Kalimantan Utara</v>
      </c>
      <c r="AW6">
        <v>22</v>
      </c>
      <c r="AX6" t="str">
        <v>Sulawesi Utara</v>
      </c>
      <c r="AY6">
        <v>23</v>
      </c>
      <c r="AZ6" t="str">
        <v>Gorontalo</v>
      </c>
      <c r="BA6">
        <v>24</v>
      </c>
      <c r="BB6" t="str">
        <v>Sulawesi Tengah</v>
      </c>
      <c r="BC6">
        <v>25</v>
      </c>
      <c r="BD6" t="str">
        <v>Sulawesi Selatan</v>
      </c>
      <c r="BE6">
        <v>26</v>
      </c>
      <c r="BF6" t="str">
        <v>Sulawesi Barat</v>
      </c>
      <c r="BG6">
        <v>27</v>
      </c>
      <c r="BH6" t="str">
        <v>Sulawesi Tenggara</v>
      </c>
      <c r="BI6">
        <v>28</v>
      </c>
      <c r="BJ6" t="str">
        <v>Bali</v>
      </c>
      <c r="BK6">
        <v>29</v>
      </c>
      <c r="BL6" t="str">
        <v>Nusa Tenggara Barat</v>
      </c>
      <c r="BM6">
        <v>30</v>
      </c>
      <c r="BN6" t="str">
        <v>Nusa Tenggara Timur</v>
      </c>
      <c r="BO6">
        <v>31</v>
      </c>
      <c r="BP6" t="str">
        <v>Maluku</v>
      </c>
      <c r="BQ6">
        <v>32</v>
      </c>
      <c r="BR6" t="str">
        <v>Maluku Utara</v>
      </c>
      <c r="BS6">
        <v>33</v>
      </c>
      <c r="BT6" t="str">
        <v>Papua</v>
      </c>
      <c r="BU6">
        <v>34</v>
      </c>
      <c r="BV6" t="str">
        <v>Papua Barat</v>
      </c>
    </row>
    <row r="7">
      <c r="H7">
        <v>1</v>
      </c>
      <c r="J7">
        <v>2</v>
      </c>
      <c r="L7">
        <v>3</v>
      </c>
      <c r="N7">
        <v>4</v>
      </c>
      <c r="P7">
        <v>5</v>
      </c>
      <c r="R7">
        <v>6</v>
      </c>
      <c r="T7">
        <v>7</v>
      </c>
      <c r="V7">
        <v>8</v>
      </c>
      <c r="X7">
        <v>9</v>
      </c>
      <c r="Z7">
        <v>10</v>
      </c>
      <c r="AB7">
        <v>11</v>
      </c>
      <c r="AD7">
        <v>12</v>
      </c>
      <c r="AF7">
        <v>13</v>
      </c>
      <c r="AH7">
        <v>14</v>
      </c>
      <c r="AJ7">
        <v>15</v>
      </c>
      <c r="AL7">
        <v>16</v>
      </c>
      <c r="AN7">
        <v>17</v>
      </c>
      <c r="AP7">
        <v>18</v>
      </c>
      <c r="AR7">
        <v>19</v>
      </c>
      <c r="AT7">
        <v>20</v>
      </c>
      <c r="AV7">
        <v>21</v>
      </c>
      <c r="AX7">
        <v>22</v>
      </c>
      <c r="AZ7">
        <v>23</v>
      </c>
      <c r="BB7">
        <v>24</v>
      </c>
      <c r="BD7">
        <v>25</v>
      </c>
      <c r="BF7">
        <v>26</v>
      </c>
      <c r="BH7">
        <v>27</v>
      </c>
      <c r="BJ7">
        <v>28</v>
      </c>
      <c r="BL7">
        <v>29</v>
      </c>
      <c r="BN7">
        <v>30</v>
      </c>
      <c r="BP7">
        <v>31</v>
      </c>
      <c r="BR7">
        <v>32</v>
      </c>
      <c r="BT7">
        <v>33</v>
      </c>
      <c r="BV7">
        <v>34</v>
      </c>
    </row>
    <row r="9">
      <c r="H9">
        <v>520</v>
      </c>
      <c r="J9">
        <v>875</v>
      </c>
      <c r="L9">
        <v>900</v>
      </c>
      <c r="N9">
        <v>1042</v>
      </c>
      <c r="P9">
        <v>540</v>
      </c>
      <c r="R9">
        <v>1400</v>
      </c>
      <c r="T9">
        <v>527</v>
      </c>
      <c r="V9">
        <v>1488</v>
      </c>
      <c r="X9">
        <v>450</v>
      </c>
      <c r="Z9">
        <v>385</v>
      </c>
      <c r="AB9">
        <v>750</v>
      </c>
      <c r="AD9">
        <v>500</v>
      </c>
      <c r="AF9">
        <v>507.6</v>
      </c>
      <c r="AG9">
        <v>13</v>
      </c>
      <c r="AH9">
        <v>750</v>
      </c>
      <c r="AJ9">
        <v>400</v>
      </c>
      <c r="AL9">
        <v>800</v>
      </c>
      <c r="AN9">
        <v>425</v>
      </c>
      <c r="AP9">
        <v>700</v>
      </c>
      <c r="AR9">
        <v>600</v>
      </c>
      <c r="AT9">
        <v>577.5</v>
      </c>
      <c r="AV9" t="str">
        <v>belum ada data</v>
      </c>
      <c r="AX9">
        <v>825</v>
      </c>
      <c r="AZ9">
        <v>450</v>
      </c>
      <c r="BB9">
        <v>425</v>
      </c>
      <c r="BD9">
        <v>800</v>
      </c>
      <c r="BF9">
        <v>700</v>
      </c>
      <c r="BH9">
        <v>849</v>
      </c>
      <c r="BJ9">
        <v>1320</v>
      </c>
      <c r="BL9">
        <v>550</v>
      </c>
      <c r="BN9">
        <v>425</v>
      </c>
      <c r="BP9">
        <v>425</v>
      </c>
      <c r="BR9">
        <v>2200</v>
      </c>
      <c r="BT9">
        <v>425</v>
      </c>
      <c r="BV9">
        <v>2500</v>
      </c>
    </row>
    <row r="10">
      <c r="G10" t="str">
        <v>bataco</v>
      </c>
      <c r="H10">
        <v>5000</v>
      </c>
      <c r="J10">
        <v>3000</v>
      </c>
      <c r="K10" t="str">
        <v>Kerawang merah</v>
      </c>
      <c r="L10">
        <v>6500</v>
      </c>
      <c r="N10">
        <v>2850</v>
      </c>
      <c r="P10">
        <v>3000</v>
      </c>
      <c r="R10">
        <v>3000</v>
      </c>
      <c r="T10">
        <v>2805</v>
      </c>
      <c r="V10">
        <v>2340</v>
      </c>
      <c r="X10">
        <v>2000</v>
      </c>
      <c r="Z10">
        <v>6500</v>
      </c>
      <c r="AB10">
        <v>1500</v>
      </c>
      <c r="AD10">
        <v>8500</v>
      </c>
      <c r="AF10">
        <v>2318</v>
      </c>
      <c r="AG10">
        <v>507</v>
      </c>
      <c r="AH10">
        <v>0</v>
      </c>
      <c r="AJ10">
        <v>2400</v>
      </c>
      <c r="AL10">
        <v>5000</v>
      </c>
      <c r="AN10">
        <v>3000</v>
      </c>
      <c r="AP10">
        <v>2838</v>
      </c>
      <c r="AR10">
        <v>2900</v>
      </c>
      <c r="AT10">
        <v>3000</v>
      </c>
      <c r="AX10">
        <v>6600</v>
      </c>
      <c r="AZ10">
        <v>4000</v>
      </c>
      <c r="BB10">
        <v>3750</v>
      </c>
      <c r="BD10">
        <v>3000</v>
      </c>
      <c r="BF10">
        <v>2500</v>
      </c>
      <c r="BH10">
        <v>3000</v>
      </c>
      <c r="BJ10">
        <v>3000</v>
      </c>
      <c r="BL10">
        <v>2596</v>
      </c>
      <c r="BN10">
        <v>2888</v>
      </c>
      <c r="BP10">
        <v>4200</v>
      </c>
      <c r="BR10">
        <v>2500</v>
      </c>
      <c r="BS10" t="str">
        <v>bata tela</v>
      </c>
      <c r="BT10">
        <v>10700</v>
      </c>
      <c r="BU10" t="str">
        <v>bata tela</v>
      </c>
      <c r="BV10">
        <v>6000</v>
      </c>
    </row>
    <row r="11">
      <c r="H11">
        <v>250000</v>
      </c>
      <c r="J11">
        <v>146400</v>
      </c>
      <c r="L11">
        <v>136000</v>
      </c>
      <c r="N11">
        <v>194800</v>
      </c>
      <c r="P11">
        <v>180000</v>
      </c>
      <c r="R11">
        <v>180000</v>
      </c>
      <c r="T11">
        <v>297330</v>
      </c>
      <c r="V11">
        <v>388266</v>
      </c>
      <c r="X11">
        <v>200000</v>
      </c>
      <c r="Y11" t="str">
        <v>batu belah</v>
      </c>
      <c r="Z11">
        <v>205000</v>
      </c>
      <c r="AB11">
        <v>175000</v>
      </c>
      <c r="AD11">
        <v>264900</v>
      </c>
      <c r="AF11">
        <v>245014.25</v>
      </c>
      <c r="AG11">
        <v>2</v>
      </c>
      <c r="AH11">
        <v>0</v>
      </c>
      <c r="AJ11">
        <v>94600</v>
      </c>
      <c r="AL11">
        <v>105700</v>
      </c>
      <c r="AM11" t="str">
        <v>batu kong</v>
      </c>
      <c r="AN11">
        <v>320250</v>
      </c>
      <c r="AP11">
        <v>173300</v>
      </c>
      <c r="AR11">
        <v>307700</v>
      </c>
      <c r="AT11">
        <v>168000</v>
      </c>
      <c r="AW11" t="str">
        <v>batu gunung</v>
      </c>
      <c r="AX11">
        <v>222530</v>
      </c>
      <c r="AZ11">
        <v>130000</v>
      </c>
      <c r="BB11">
        <v>130000</v>
      </c>
      <c r="BD11">
        <v>194800</v>
      </c>
      <c r="BF11">
        <v>235000</v>
      </c>
      <c r="BH11">
        <v>151149</v>
      </c>
      <c r="BJ11">
        <v>181440</v>
      </c>
      <c r="BL11">
        <v>161920</v>
      </c>
      <c r="BN11">
        <v>131250</v>
      </c>
      <c r="BO11" t="str">
        <v>batu karang</v>
      </c>
      <c r="BP11">
        <v>250000</v>
      </c>
      <c r="BR11">
        <v>275000</v>
      </c>
      <c r="BT11">
        <v>374500</v>
      </c>
      <c r="BV11">
        <v>400000</v>
      </c>
    </row>
    <row r="12">
      <c r="H12">
        <v>320000</v>
      </c>
      <c r="J12">
        <v>217400</v>
      </c>
      <c r="L12">
        <v>315000</v>
      </c>
      <c r="N12">
        <v>290661</v>
      </c>
      <c r="P12">
        <v>211500</v>
      </c>
      <c r="R12">
        <v>350000</v>
      </c>
      <c r="T12">
        <v>297330</v>
      </c>
      <c r="V12">
        <v>456000</v>
      </c>
      <c r="X12">
        <v>300000</v>
      </c>
      <c r="Z12">
        <v>305000</v>
      </c>
      <c r="AB12">
        <v>206000</v>
      </c>
      <c r="AD12">
        <v>242400</v>
      </c>
      <c r="AF12">
        <v>248730</v>
      </c>
      <c r="AG12">
        <v>673</v>
      </c>
      <c r="AH12">
        <v>0</v>
      </c>
      <c r="AJ12">
        <v>217000</v>
      </c>
      <c r="AL12">
        <v>207800</v>
      </c>
      <c r="AN12">
        <v>634095</v>
      </c>
      <c r="AP12">
        <v>231000</v>
      </c>
      <c r="AR12">
        <v>537600</v>
      </c>
      <c r="AT12">
        <v>315000</v>
      </c>
      <c r="AX12">
        <v>426683</v>
      </c>
      <c r="AZ12">
        <v>135000</v>
      </c>
      <c r="BB12">
        <v>150000</v>
      </c>
      <c r="BD12">
        <v>398500</v>
      </c>
      <c r="BF12">
        <v>330200</v>
      </c>
      <c r="BH12">
        <v>295314</v>
      </c>
      <c r="BJ12">
        <v>189000</v>
      </c>
      <c r="BL12">
        <v>279400</v>
      </c>
      <c r="BN12">
        <v>236250</v>
      </c>
      <c r="BP12">
        <v>505000</v>
      </c>
      <c r="BR12">
        <v>300000</v>
      </c>
      <c r="BT12">
        <v>2140000</v>
      </c>
      <c r="BV12">
        <v>650000</v>
      </c>
    </row>
    <row r="13">
      <c r="H13">
        <v>300000</v>
      </c>
      <c r="J13">
        <v>217400</v>
      </c>
      <c r="L13">
        <v>225000</v>
      </c>
      <c r="N13">
        <v>290661</v>
      </c>
      <c r="P13">
        <v>211500</v>
      </c>
      <c r="R13">
        <v>350000</v>
      </c>
      <c r="T13">
        <v>297330</v>
      </c>
      <c r="V13">
        <v>450000</v>
      </c>
      <c r="X13">
        <v>225000</v>
      </c>
      <c r="Z13">
        <v>280000</v>
      </c>
      <c r="AB13">
        <v>185000</v>
      </c>
      <c r="AD13">
        <v>216200</v>
      </c>
      <c r="AF13">
        <v>249560</v>
      </c>
      <c r="AG13">
        <v>5</v>
      </c>
      <c r="AH13">
        <v>0</v>
      </c>
      <c r="AJ13">
        <v>217000</v>
      </c>
      <c r="AL13">
        <v>234650</v>
      </c>
      <c r="AN13">
        <v>516670</v>
      </c>
      <c r="AP13">
        <v>198600</v>
      </c>
      <c r="AR13">
        <v>537600</v>
      </c>
      <c r="AT13">
        <v>315000</v>
      </c>
      <c r="AW13" t="str">
        <v>split 2-3</v>
      </c>
      <c r="AX13">
        <v>365855</v>
      </c>
      <c r="AZ13">
        <v>130000</v>
      </c>
      <c r="BB13">
        <v>150000</v>
      </c>
      <c r="BD13">
        <v>345300</v>
      </c>
      <c r="BF13">
        <v>306800</v>
      </c>
      <c r="BH13">
        <v>212934</v>
      </c>
      <c r="BJ13">
        <v>189000</v>
      </c>
      <c r="BL13">
        <v>259050</v>
      </c>
      <c r="BN13">
        <v>236250</v>
      </c>
      <c r="BP13">
        <v>505000</v>
      </c>
      <c r="BR13">
        <v>300000</v>
      </c>
      <c r="BT13">
        <v>2140000</v>
      </c>
      <c r="BV13">
        <v>650000</v>
      </c>
    </row>
    <row r="14">
      <c r="H14">
        <v>150000</v>
      </c>
      <c r="J14">
        <v>190000</v>
      </c>
      <c r="L14">
        <v>123000</v>
      </c>
      <c r="N14">
        <v>179000</v>
      </c>
      <c r="P14">
        <v>120000</v>
      </c>
      <c r="R14">
        <v>185000</v>
      </c>
      <c r="T14">
        <v>263670</v>
      </c>
      <c r="U14" t="str">
        <v>batu kacang</v>
      </c>
      <c r="V14">
        <v>494600</v>
      </c>
      <c r="X14">
        <v>150000</v>
      </c>
      <c r="Z14">
        <v>223300</v>
      </c>
      <c r="AB14">
        <v>190000</v>
      </c>
      <c r="AD14">
        <v>282000</v>
      </c>
      <c r="AF14">
        <v>230833.33</v>
      </c>
      <c r="AG14">
        <v>11</v>
      </c>
      <c r="AH14">
        <v>0</v>
      </c>
      <c r="AJ14">
        <v>185000</v>
      </c>
      <c r="AL14">
        <v>112250</v>
      </c>
      <c r="AN14">
        <v>657580</v>
      </c>
      <c r="AP14">
        <v>184800</v>
      </c>
      <c r="AT14">
        <v>185000</v>
      </c>
      <c r="AX14">
        <v>297000</v>
      </c>
      <c r="AZ14">
        <v>120000</v>
      </c>
      <c r="BB14">
        <v>112000</v>
      </c>
      <c r="BD14">
        <v>270500</v>
      </c>
      <c r="BF14">
        <v>244400</v>
      </c>
      <c r="BH14">
        <v>391424</v>
      </c>
      <c r="BJ14">
        <v>189000</v>
      </c>
      <c r="BL14">
        <v>131450</v>
      </c>
      <c r="BN14">
        <v>157500</v>
      </c>
      <c r="BO14" t="str">
        <v>sirtu</v>
      </c>
      <c r="BP14">
        <v>175000</v>
      </c>
      <c r="BR14">
        <v>250000</v>
      </c>
      <c r="BT14">
        <v>267500</v>
      </c>
      <c r="BV14">
        <v>400000</v>
      </c>
    </row>
    <row r="15">
      <c r="H15">
        <v>80000</v>
      </c>
      <c r="J15">
        <v>101000</v>
      </c>
      <c r="L15">
        <v>109000</v>
      </c>
      <c r="N15">
        <v>232000</v>
      </c>
      <c r="P15">
        <v>120000</v>
      </c>
      <c r="R15">
        <v>160000</v>
      </c>
      <c r="T15">
        <v>92656</v>
      </c>
      <c r="U15" t="str">
        <v>pasir kasar</v>
      </c>
      <c r="V15">
        <v>125560</v>
      </c>
      <c r="X15">
        <v>155000</v>
      </c>
      <c r="Z15">
        <v>215000</v>
      </c>
      <c r="AB15">
        <v>250000</v>
      </c>
      <c r="AD15">
        <v>268900</v>
      </c>
      <c r="AF15">
        <v>248770</v>
      </c>
      <c r="AG15">
        <v>16</v>
      </c>
      <c r="AH15">
        <v>0</v>
      </c>
      <c r="AJ15">
        <v>177000</v>
      </c>
      <c r="AL15">
        <v>168050</v>
      </c>
      <c r="AN15">
        <v>126819</v>
      </c>
      <c r="AP15">
        <v>127100</v>
      </c>
      <c r="AR15">
        <v>120200</v>
      </c>
      <c r="AT15">
        <v>336000</v>
      </c>
      <c r="AX15">
        <v>243232</v>
      </c>
      <c r="AZ15">
        <v>90000</v>
      </c>
      <c r="BB15">
        <v>110000</v>
      </c>
      <c r="BD15">
        <v>189200</v>
      </c>
      <c r="BF15">
        <v>223600</v>
      </c>
      <c r="BH15">
        <v>199204</v>
      </c>
      <c r="BJ15">
        <v>122500</v>
      </c>
      <c r="BL15">
        <v>126115</v>
      </c>
      <c r="BN15">
        <v>183750</v>
      </c>
      <c r="BP15">
        <v>175000</v>
      </c>
      <c r="BR15">
        <v>400000</v>
      </c>
      <c r="BT15">
        <v>588500</v>
      </c>
      <c r="BV15">
        <v>400000</v>
      </c>
    </row>
    <row r="16">
      <c r="H16">
        <v>80000</v>
      </c>
      <c r="J16">
        <v>101000</v>
      </c>
      <c r="L16">
        <v>109000</v>
      </c>
      <c r="N16">
        <v>232000</v>
      </c>
      <c r="P16">
        <v>102000</v>
      </c>
      <c r="R16">
        <v>150000</v>
      </c>
      <c r="T16">
        <v>92656</v>
      </c>
      <c r="V16">
        <v>96590</v>
      </c>
      <c r="X16">
        <v>155000</v>
      </c>
      <c r="Z16">
        <v>400000</v>
      </c>
      <c r="AB16">
        <v>185000</v>
      </c>
      <c r="AD16">
        <v>274400</v>
      </c>
      <c r="AF16">
        <v>249780</v>
      </c>
      <c r="AG16">
        <v>15</v>
      </c>
      <c r="AH16">
        <v>0</v>
      </c>
      <c r="AJ16">
        <v>167250</v>
      </c>
      <c r="AL16">
        <v>144050</v>
      </c>
      <c r="AN16">
        <v>126819</v>
      </c>
      <c r="AP16">
        <v>115500</v>
      </c>
      <c r="AR16">
        <v>110700</v>
      </c>
      <c r="AT16">
        <v>157500</v>
      </c>
      <c r="AX16">
        <v>243232</v>
      </c>
      <c r="AZ16">
        <v>90000</v>
      </c>
      <c r="BB16">
        <v>110000</v>
      </c>
      <c r="BD16">
        <v>189200</v>
      </c>
      <c r="BF16">
        <v>195000</v>
      </c>
      <c r="BH16">
        <v>158014</v>
      </c>
      <c r="BJ16">
        <v>177660</v>
      </c>
      <c r="BL16">
        <v>126115</v>
      </c>
      <c r="BN16">
        <v>183750</v>
      </c>
      <c r="BP16">
        <v>250000</v>
      </c>
      <c r="BR16">
        <v>350000</v>
      </c>
      <c r="BT16">
        <v>588500</v>
      </c>
      <c r="BV16">
        <v>400000</v>
      </c>
    </row>
    <row r="17">
      <c r="H17">
        <v>75000</v>
      </c>
      <c r="J17">
        <v>79600</v>
      </c>
      <c r="L17">
        <v>90000</v>
      </c>
      <c r="N17">
        <v>194800</v>
      </c>
      <c r="P17">
        <v>96000</v>
      </c>
      <c r="R17">
        <v>130000</v>
      </c>
      <c r="T17">
        <v>80784</v>
      </c>
      <c r="V17">
        <v>87900</v>
      </c>
      <c r="X17">
        <v>150000</v>
      </c>
      <c r="Z17">
        <v>150000</v>
      </c>
      <c r="AB17">
        <v>67500</v>
      </c>
      <c r="AD17">
        <v>196500</v>
      </c>
      <c r="AF17">
        <v>248706</v>
      </c>
      <c r="AG17">
        <v>14</v>
      </c>
      <c r="AH17">
        <v>0</v>
      </c>
      <c r="AJ17">
        <v>95000</v>
      </c>
      <c r="AL17">
        <v>107200</v>
      </c>
      <c r="AN17">
        <v>126819</v>
      </c>
      <c r="AP17">
        <v>92400</v>
      </c>
      <c r="AR17">
        <v>85400</v>
      </c>
      <c r="AT17">
        <v>110250</v>
      </c>
      <c r="AX17">
        <v>186307</v>
      </c>
      <c r="AZ17">
        <v>75000</v>
      </c>
      <c r="BB17">
        <v>95000</v>
      </c>
      <c r="BD17">
        <v>150500</v>
      </c>
      <c r="BF17">
        <v>209000</v>
      </c>
      <c r="BH17">
        <v>144284</v>
      </c>
      <c r="BJ17">
        <v>128520</v>
      </c>
      <c r="BL17">
        <v>111947</v>
      </c>
      <c r="BN17">
        <v>152250</v>
      </c>
      <c r="BP17">
        <v>175000</v>
      </c>
      <c r="BR17">
        <v>200000</v>
      </c>
      <c r="BT17">
        <v>588500</v>
      </c>
      <c r="BV17">
        <v>300000</v>
      </c>
    </row>
    <row r="18">
      <c r="H18">
        <v>75000</v>
      </c>
      <c r="J18">
        <v>79600</v>
      </c>
      <c r="L18">
        <v>79000</v>
      </c>
      <c r="N18">
        <v>51000</v>
      </c>
      <c r="P18">
        <v>96000</v>
      </c>
      <c r="R18">
        <v>35000</v>
      </c>
      <c r="T18">
        <v>38148</v>
      </c>
      <c r="U18" t="str">
        <v>tanah timbunan</v>
      </c>
      <c r="V18">
        <v>64000</v>
      </c>
      <c r="X18">
        <v>57500</v>
      </c>
      <c r="Z18">
        <v>152000</v>
      </c>
      <c r="AB18">
        <v>60000</v>
      </c>
      <c r="AD18">
        <v>118500</v>
      </c>
      <c r="AF18">
        <v>177500</v>
      </c>
      <c r="AG18">
        <v>674</v>
      </c>
      <c r="AH18">
        <v>0</v>
      </c>
      <c r="AJ18">
        <v>55000</v>
      </c>
      <c r="AL18">
        <v>96300</v>
      </c>
      <c r="AN18">
        <v>187880</v>
      </c>
      <c r="AO18" t="str">
        <v>tanah merah</v>
      </c>
      <c r="AP18">
        <v>90800</v>
      </c>
      <c r="AR18">
        <v>92800</v>
      </c>
      <c r="AT18">
        <v>35000</v>
      </c>
      <c r="AX18">
        <v>72601</v>
      </c>
      <c r="AZ18">
        <v>57000</v>
      </c>
      <c r="BB18">
        <v>86625</v>
      </c>
      <c r="BD18">
        <v>120800</v>
      </c>
      <c r="BF18">
        <v>192000</v>
      </c>
      <c r="BH18">
        <v>57785</v>
      </c>
      <c r="BJ18">
        <v>85050</v>
      </c>
      <c r="BL18">
        <v>35000</v>
      </c>
      <c r="BN18">
        <v>35000</v>
      </c>
      <c r="BP18">
        <v>100000</v>
      </c>
      <c r="BR18">
        <v>35000</v>
      </c>
      <c r="BT18">
        <v>267500</v>
      </c>
      <c r="BV18">
        <v>100000</v>
      </c>
    </row>
    <row r="21">
      <c r="H21">
        <v>67500</v>
      </c>
      <c r="J21">
        <v>61250</v>
      </c>
      <c r="L21">
        <v>63000</v>
      </c>
      <c r="N21">
        <v>70000</v>
      </c>
      <c r="P21">
        <v>69600</v>
      </c>
      <c r="R21">
        <v>64000</v>
      </c>
      <c r="T21">
        <v>81345</v>
      </c>
      <c r="V21">
        <v>82500</v>
      </c>
      <c r="X21">
        <v>65200</v>
      </c>
      <c r="Z21">
        <v>80000</v>
      </c>
      <c r="AB21">
        <v>65000</v>
      </c>
      <c r="AD21">
        <v>70100</v>
      </c>
      <c r="AF21">
        <v>63200</v>
      </c>
      <c r="AG21">
        <v>26</v>
      </c>
      <c r="AH21">
        <v>0</v>
      </c>
      <c r="AJ21">
        <v>60000</v>
      </c>
      <c r="AL21">
        <v>73900</v>
      </c>
      <c r="AN21">
        <v>95818</v>
      </c>
      <c r="AP21">
        <v>80900</v>
      </c>
      <c r="AR21">
        <v>84500</v>
      </c>
      <c r="AT21">
        <v>55650</v>
      </c>
      <c r="AX21">
        <v>86570</v>
      </c>
      <c r="AZ21">
        <v>67500</v>
      </c>
      <c r="BB21">
        <v>58000</v>
      </c>
      <c r="BD21">
        <v>70000</v>
      </c>
      <c r="BF21">
        <v>62400</v>
      </c>
      <c r="BH21">
        <v>87110</v>
      </c>
      <c r="BJ21">
        <v>78600</v>
      </c>
      <c r="BL21">
        <v>59565</v>
      </c>
      <c r="BN21">
        <v>52500</v>
      </c>
      <c r="BP21">
        <v>80000</v>
      </c>
      <c r="BR21">
        <v>85000</v>
      </c>
      <c r="BT21">
        <v>133800</v>
      </c>
      <c r="BV21">
        <v>108400</v>
      </c>
    </row>
    <row r="22">
      <c r="H22">
        <v>2400</v>
      </c>
      <c r="J22">
        <v>3440</v>
      </c>
      <c r="L22">
        <v>6500</v>
      </c>
      <c r="N22">
        <v>6665</v>
      </c>
      <c r="P22">
        <v>2340</v>
      </c>
      <c r="R22">
        <v>1800</v>
      </c>
      <c r="T22">
        <v>1459</v>
      </c>
      <c r="U22" t="str">
        <v>semen putih</v>
      </c>
      <c r="V22">
        <v>2200</v>
      </c>
      <c r="X22">
        <v>1800</v>
      </c>
      <c r="Z22">
        <v>7700</v>
      </c>
      <c r="AB22">
        <v>1800</v>
      </c>
      <c r="AD22">
        <v>1600</v>
      </c>
      <c r="AF22">
        <v>2010</v>
      </c>
      <c r="AG22">
        <v>27</v>
      </c>
      <c r="AH22">
        <v>100000</v>
      </c>
      <c r="AJ22">
        <v>10000</v>
      </c>
      <c r="AL22">
        <v>2200</v>
      </c>
      <c r="AN22">
        <v>1800</v>
      </c>
      <c r="AP22">
        <v>1618</v>
      </c>
      <c r="AR22">
        <v>18600</v>
      </c>
      <c r="AT22">
        <v>1800</v>
      </c>
      <c r="AX22">
        <v>24200</v>
      </c>
      <c r="AZ22">
        <v>9000</v>
      </c>
      <c r="BB22">
        <v>1600</v>
      </c>
      <c r="BC22" t="str">
        <v>semen putih</v>
      </c>
      <c r="BD22">
        <v>3100</v>
      </c>
      <c r="BF22">
        <v>13500</v>
      </c>
      <c r="BH22">
        <v>2674</v>
      </c>
      <c r="BJ22">
        <v>13860</v>
      </c>
      <c r="BL22">
        <v>13310</v>
      </c>
      <c r="BN22">
        <v>1800</v>
      </c>
      <c r="BP22">
        <v>4000</v>
      </c>
      <c r="BR22">
        <v>18000</v>
      </c>
      <c r="BT22">
        <v>18200</v>
      </c>
      <c r="BV22">
        <v>20000</v>
      </c>
    </row>
    <row r="25">
      <c r="H25">
        <v>11000</v>
      </c>
      <c r="J25">
        <v>15000</v>
      </c>
      <c r="L25">
        <v>14500</v>
      </c>
      <c r="N25">
        <v>12350</v>
      </c>
      <c r="P25">
        <v>9766</v>
      </c>
      <c r="R25">
        <v>10000</v>
      </c>
      <c r="T25">
        <v>12566</v>
      </c>
      <c r="V25">
        <v>11455</v>
      </c>
      <c r="X25">
        <v>13400</v>
      </c>
      <c r="Z25">
        <v>18700</v>
      </c>
      <c r="AB25">
        <v>9000</v>
      </c>
      <c r="AD25">
        <v>15500</v>
      </c>
      <c r="AF25">
        <v>9583.36</v>
      </c>
      <c r="AG25">
        <v>675</v>
      </c>
      <c r="AH25">
        <v>0</v>
      </c>
      <c r="AJ25">
        <v>9200</v>
      </c>
      <c r="AL25">
        <v>14200</v>
      </c>
      <c r="AN25">
        <v>19022</v>
      </c>
      <c r="AP25">
        <v>5630.630630630631</v>
      </c>
      <c r="AR25">
        <v>7862.836363636363</v>
      </c>
      <c r="AT25">
        <v>10855.263157894737</v>
      </c>
      <c r="AX25">
        <v>24420</v>
      </c>
      <c r="AZ25">
        <v>9479</v>
      </c>
      <c r="BB25">
        <v>9193.245778611632</v>
      </c>
      <c r="BD25">
        <v>16779.27927927928</v>
      </c>
      <c r="BF25">
        <v>9235.2</v>
      </c>
      <c r="BH25">
        <v>12911.278195488721</v>
      </c>
      <c r="BJ25">
        <v>10962</v>
      </c>
      <c r="BL25">
        <v>16610</v>
      </c>
      <c r="BN25">
        <v>13406</v>
      </c>
      <c r="BP25">
        <v>8164.414414414414</v>
      </c>
      <c r="BR25">
        <v>10000</v>
      </c>
      <c r="BT25">
        <v>14066.985645933013</v>
      </c>
      <c r="BV25">
        <v>15037.593984962405</v>
      </c>
    </row>
    <row r="26">
      <c r="H26">
        <v>13500</v>
      </c>
      <c r="J26">
        <v>15000</v>
      </c>
      <c r="L26">
        <v>14500</v>
      </c>
      <c r="N26">
        <v>13585</v>
      </c>
      <c r="P26">
        <v>10183</v>
      </c>
      <c r="R26">
        <v>10500</v>
      </c>
      <c r="T26">
        <v>12566</v>
      </c>
      <c r="V26">
        <v>11489</v>
      </c>
      <c r="X26">
        <v>13500</v>
      </c>
      <c r="Z26">
        <v>18700</v>
      </c>
      <c r="AB26">
        <v>9500</v>
      </c>
      <c r="AD26">
        <v>15500</v>
      </c>
      <c r="AF26">
        <v>9264.73</v>
      </c>
      <c r="AG26">
        <v>676</v>
      </c>
      <c r="AH26">
        <v>0</v>
      </c>
      <c r="AJ26">
        <v>10500</v>
      </c>
      <c r="AL26">
        <v>14500</v>
      </c>
      <c r="AN26">
        <v>19022</v>
      </c>
      <c r="AP26">
        <v>5630.630630630631</v>
      </c>
      <c r="AR26">
        <v>7862.836363636363</v>
      </c>
      <c r="AT26">
        <v>10855.263157894737</v>
      </c>
      <c r="AX26">
        <v>33880</v>
      </c>
      <c r="AZ26">
        <v>9514</v>
      </c>
      <c r="BB26">
        <v>7911.272727272728</v>
      </c>
      <c r="BD26">
        <v>18341.43706104808</v>
      </c>
      <c r="BF26">
        <v>9235.2</v>
      </c>
      <c r="BH26">
        <v>12911.278195488721</v>
      </c>
      <c r="BJ26">
        <v>10784</v>
      </c>
      <c r="BL26">
        <v>16610</v>
      </c>
      <c r="BN26">
        <v>14255</v>
      </c>
      <c r="BP26">
        <v>8164.414414414414</v>
      </c>
      <c r="BR26">
        <v>11500</v>
      </c>
      <c r="BT26">
        <v>14066.985645933013</v>
      </c>
      <c r="BV26">
        <v>11858.97435897436</v>
      </c>
    </row>
    <row r="27">
      <c r="H27">
        <v>13500</v>
      </c>
      <c r="J27">
        <v>23500</v>
      </c>
      <c r="L27">
        <v>15500</v>
      </c>
      <c r="N27">
        <v>12070</v>
      </c>
      <c r="P27">
        <v>10500</v>
      </c>
      <c r="R27">
        <v>10500</v>
      </c>
      <c r="T27">
        <v>12566</v>
      </c>
      <c r="V27">
        <v>10500</v>
      </c>
      <c r="X27">
        <v>13500</v>
      </c>
      <c r="Z27">
        <v>16500</v>
      </c>
      <c r="AB27">
        <v>11000</v>
      </c>
      <c r="AD27">
        <v>15500</v>
      </c>
      <c r="AF27">
        <v>11475</v>
      </c>
      <c r="AG27">
        <v>160</v>
      </c>
      <c r="AH27">
        <v>0</v>
      </c>
      <c r="AJ27">
        <v>9600</v>
      </c>
      <c r="AL27">
        <v>18050</v>
      </c>
      <c r="AN27">
        <v>19022</v>
      </c>
      <c r="AP27">
        <v>5630.630630630631</v>
      </c>
      <c r="AR27">
        <v>7862.836363636363</v>
      </c>
      <c r="AT27">
        <v>10500</v>
      </c>
      <c r="AX27">
        <v>21010</v>
      </c>
      <c r="AZ27">
        <v>9750</v>
      </c>
      <c r="BB27">
        <v>10500</v>
      </c>
      <c r="BD27">
        <v>10500</v>
      </c>
      <c r="BF27">
        <v>15400</v>
      </c>
      <c r="BH27">
        <v>12911</v>
      </c>
      <c r="BJ27">
        <v>23940</v>
      </c>
      <c r="BL27">
        <v>10500</v>
      </c>
      <c r="BN27">
        <v>10500</v>
      </c>
      <c r="BP27">
        <v>10500</v>
      </c>
      <c r="BR27">
        <v>10500</v>
      </c>
      <c r="BT27">
        <v>14066.985645933013</v>
      </c>
      <c r="BV27">
        <v>10500</v>
      </c>
    </row>
    <row r="28">
      <c r="G28" t="str">
        <v>BRC T.90  x  2,40  m</v>
      </c>
      <c r="H28">
        <v>120312.5</v>
      </c>
      <c r="I28" t="str">
        <v>besi strip</v>
      </c>
      <c r="J28">
        <v>300000</v>
      </c>
      <c r="K28" t="str">
        <v>BRC</v>
      </c>
      <c r="L28">
        <v>240000</v>
      </c>
      <c r="N28">
        <v>465000</v>
      </c>
      <c r="P28">
        <v>225000</v>
      </c>
      <c r="R28">
        <v>225000</v>
      </c>
      <c r="T28">
        <v>225000</v>
      </c>
      <c r="V28">
        <v>225000</v>
      </c>
      <c r="X28">
        <v>225000</v>
      </c>
      <c r="Z28">
        <v>225000</v>
      </c>
      <c r="AA28" t="str">
        <v>BRC 120cm</v>
      </c>
      <c r="AB28">
        <v>162500</v>
      </c>
      <c r="AD28">
        <v>225000</v>
      </c>
      <c r="AF28">
        <v>225000</v>
      </c>
      <c r="AG28">
        <v>721</v>
      </c>
      <c r="AH28">
        <v>0</v>
      </c>
      <c r="AJ28">
        <v>225000</v>
      </c>
      <c r="AK28" t="str">
        <v>Pagar BRC 1,2 x 2,4 m</v>
      </c>
      <c r="AL28">
        <v>124800</v>
      </c>
      <c r="AN28">
        <v>225000</v>
      </c>
      <c r="AO28" t="str">
        <v>BRC</v>
      </c>
      <c r="AP28">
        <v>501302.0833333334</v>
      </c>
      <c r="AR28">
        <v>225000</v>
      </c>
      <c r="AT28">
        <v>225000</v>
      </c>
      <c r="AW28" t="str">
        <v>BRC</v>
      </c>
      <c r="AX28">
        <v>569250</v>
      </c>
      <c r="AZ28">
        <v>225000</v>
      </c>
      <c r="BB28">
        <v>225000</v>
      </c>
      <c r="BD28">
        <v>225000</v>
      </c>
      <c r="BF28">
        <v>225000</v>
      </c>
      <c r="BH28">
        <v>225000</v>
      </c>
      <c r="BJ28">
        <v>225000</v>
      </c>
      <c r="BL28">
        <v>225000</v>
      </c>
      <c r="BM28" t="str">
        <v>BRC</v>
      </c>
      <c r="BN28">
        <v>262500</v>
      </c>
      <c r="BP28">
        <v>225000</v>
      </c>
      <c r="BQ28" t="str">
        <v>BRC</v>
      </c>
      <c r="BR28">
        <v>170000</v>
      </c>
      <c r="BT28">
        <v>225000</v>
      </c>
      <c r="BV28">
        <v>225000</v>
      </c>
    </row>
    <row r="29">
      <c r="H29">
        <v>120000</v>
      </c>
      <c r="J29">
        <v>240000</v>
      </c>
      <c r="L29">
        <v>150000</v>
      </c>
      <c r="N29">
        <v>120000</v>
      </c>
      <c r="P29">
        <v>120000</v>
      </c>
      <c r="R29">
        <v>120000</v>
      </c>
      <c r="T29">
        <v>196350</v>
      </c>
      <c r="V29">
        <v>171310</v>
      </c>
      <c r="X29">
        <v>148500</v>
      </c>
      <c r="Z29">
        <v>285000</v>
      </c>
      <c r="AB29">
        <v>130000</v>
      </c>
      <c r="AD29">
        <v>120000</v>
      </c>
      <c r="AF29">
        <v>195000</v>
      </c>
      <c r="AG29">
        <v>677</v>
      </c>
      <c r="AH29">
        <v>0</v>
      </c>
      <c r="AJ29">
        <v>120000</v>
      </c>
      <c r="AK29" t="str">
        <v>baja rangka galvalume</v>
      </c>
      <c r="AL29">
        <v>212950</v>
      </c>
      <c r="AN29">
        <v>250819</v>
      </c>
      <c r="AP29">
        <v>120000</v>
      </c>
      <c r="AR29">
        <v>120000</v>
      </c>
      <c r="AT29">
        <v>120000</v>
      </c>
      <c r="AX29">
        <v>120000</v>
      </c>
      <c r="AZ29">
        <v>220000</v>
      </c>
      <c r="BB29">
        <v>120000</v>
      </c>
      <c r="BD29">
        <v>120000</v>
      </c>
      <c r="BF29">
        <v>120000</v>
      </c>
      <c r="BH29">
        <v>120000</v>
      </c>
      <c r="BJ29">
        <v>120000</v>
      </c>
      <c r="BL29">
        <v>120000</v>
      </c>
      <c r="BN29">
        <v>120000</v>
      </c>
      <c r="BP29">
        <v>120000</v>
      </c>
      <c r="BR29">
        <v>120000</v>
      </c>
      <c r="BT29">
        <v>120000</v>
      </c>
      <c r="BV29">
        <v>120000</v>
      </c>
    </row>
    <row r="30">
      <c r="H30">
        <v>6500</v>
      </c>
      <c r="J30">
        <v>16140</v>
      </c>
      <c r="L30">
        <v>17000</v>
      </c>
      <c r="N30">
        <v>17325</v>
      </c>
      <c r="P30">
        <v>18000</v>
      </c>
      <c r="R30">
        <v>17500</v>
      </c>
      <c r="T30">
        <v>19074</v>
      </c>
      <c r="V30">
        <v>19550</v>
      </c>
      <c r="X30">
        <v>18800</v>
      </c>
      <c r="Z30">
        <v>18700</v>
      </c>
      <c r="AB30">
        <v>16625</v>
      </c>
      <c r="AD30">
        <v>23500</v>
      </c>
      <c r="AF30">
        <v>18021</v>
      </c>
      <c r="AG30">
        <v>175</v>
      </c>
      <c r="AH30">
        <v>0</v>
      </c>
      <c r="AJ30">
        <v>13800</v>
      </c>
      <c r="AL30">
        <v>18050</v>
      </c>
      <c r="AN30">
        <v>23954</v>
      </c>
      <c r="AP30">
        <v>1756</v>
      </c>
      <c r="AR30">
        <v>29900</v>
      </c>
      <c r="AT30">
        <v>14700</v>
      </c>
      <c r="AX30">
        <v>31570</v>
      </c>
      <c r="AZ30">
        <v>20000</v>
      </c>
      <c r="BB30">
        <v>20000</v>
      </c>
      <c r="BD30">
        <v>24800</v>
      </c>
      <c r="BF30">
        <v>23600</v>
      </c>
      <c r="BH30">
        <v>30675</v>
      </c>
      <c r="BJ30">
        <v>22680</v>
      </c>
      <c r="BL30">
        <v>20009</v>
      </c>
      <c r="BN30">
        <v>23100</v>
      </c>
      <c r="BP30">
        <v>25000</v>
      </c>
      <c r="BR30">
        <v>25000</v>
      </c>
      <c r="BT30">
        <v>32100</v>
      </c>
      <c r="BV30">
        <v>30000</v>
      </c>
    </row>
    <row r="33">
      <c r="H33">
        <v>3500000</v>
      </c>
      <c r="J33">
        <v>8796600</v>
      </c>
      <c r="L33">
        <v>3300000</v>
      </c>
      <c r="N33">
        <v>3720000</v>
      </c>
      <c r="P33">
        <v>2760000</v>
      </c>
      <c r="R33">
        <v>6500000</v>
      </c>
      <c r="T33">
        <v>6732000</v>
      </c>
      <c r="V33">
        <v>3751875</v>
      </c>
      <c r="X33">
        <v>4656000</v>
      </c>
      <c r="Z33">
        <v>8250000</v>
      </c>
      <c r="AB33">
        <v>18755000</v>
      </c>
      <c r="AD33">
        <v>28741400</v>
      </c>
      <c r="AE33" t="str">
        <v>kamper samarinda oven</v>
      </c>
      <c r="AF33">
        <v>9757500</v>
      </c>
      <c r="AG33">
        <v>678</v>
      </c>
      <c r="AH33">
        <v>0</v>
      </c>
      <c r="AJ33">
        <v>12650000</v>
      </c>
      <c r="AL33">
        <v>18009150</v>
      </c>
      <c r="AN33">
        <v>14091000</v>
      </c>
      <c r="AO33" t="str">
        <v>kruing</v>
      </c>
      <c r="AP33">
        <v>4273500</v>
      </c>
      <c r="AQ33" t="str">
        <v>Ulin</v>
      </c>
      <c r="AR33">
        <v>8949900</v>
      </c>
      <c r="AT33">
        <v>20587000</v>
      </c>
      <c r="AX33">
        <v>5060000</v>
      </c>
      <c r="AZ33">
        <v>3500000</v>
      </c>
      <c r="BB33">
        <v>2500000</v>
      </c>
      <c r="BD33">
        <v>12196800</v>
      </c>
      <c r="BE33" t="str">
        <v>Ulin</v>
      </c>
      <c r="BF33">
        <v>10088000</v>
      </c>
      <c r="BH33">
        <v>4000000</v>
      </c>
      <c r="BI33" t="str">
        <v>bengkirai</v>
      </c>
      <c r="BJ33">
        <v>10678480</v>
      </c>
      <c r="BL33">
        <v>9900000</v>
      </c>
      <c r="BN33">
        <v>8400000</v>
      </c>
      <c r="BP33">
        <v>3000000</v>
      </c>
      <c r="BR33">
        <v>20587000</v>
      </c>
      <c r="BT33">
        <v>20587000</v>
      </c>
      <c r="BV33">
        <v>20587000</v>
      </c>
    </row>
    <row r="34">
      <c r="G34" t="str">
        <v>Merbou</v>
      </c>
      <c r="H34">
        <v>3000000</v>
      </c>
      <c r="J34">
        <v>6493900</v>
      </c>
      <c r="L34">
        <v>2750000</v>
      </c>
      <c r="N34">
        <v>3087500</v>
      </c>
      <c r="P34">
        <v>2400000</v>
      </c>
      <c r="R34">
        <v>6300000</v>
      </c>
      <c r="T34">
        <v>4488000</v>
      </c>
      <c r="V34">
        <v>3137562</v>
      </c>
      <c r="X34">
        <v>3245000</v>
      </c>
      <c r="Z34">
        <v>3400000</v>
      </c>
      <c r="AB34">
        <v>9000000</v>
      </c>
      <c r="AD34">
        <v>7309800</v>
      </c>
      <c r="AF34">
        <v>8819166</v>
      </c>
      <c r="AG34">
        <v>96</v>
      </c>
      <c r="AH34">
        <v>0</v>
      </c>
      <c r="AJ34">
        <v>8625000</v>
      </c>
      <c r="AL34">
        <v>9500000</v>
      </c>
      <c r="AN34">
        <v>4218750</v>
      </c>
      <c r="AP34">
        <v>4158000</v>
      </c>
      <c r="AQ34" t="str">
        <v>Palepek, Banuas</v>
      </c>
      <c r="AR34">
        <v>4269400</v>
      </c>
      <c r="AT34">
        <v>3832500</v>
      </c>
      <c r="AX34">
        <v>3478750</v>
      </c>
      <c r="AZ34">
        <v>2450000</v>
      </c>
      <c r="BB34">
        <v>1500000</v>
      </c>
      <c r="BD34">
        <v>3811500</v>
      </c>
      <c r="BF34">
        <v>6665000</v>
      </c>
      <c r="BH34">
        <v>1300000</v>
      </c>
      <c r="BJ34">
        <v>8820000</v>
      </c>
      <c r="BL34">
        <v>5507700</v>
      </c>
      <c r="BN34">
        <v>3675000</v>
      </c>
      <c r="BP34">
        <v>2800000</v>
      </c>
      <c r="BR34">
        <v>2400000</v>
      </c>
      <c r="BT34">
        <v>2086500</v>
      </c>
      <c r="BU34" t="str">
        <v>kayu besi</v>
      </c>
      <c r="BV34">
        <v>2000000</v>
      </c>
    </row>
    <row r="35">
      <c r="H35">
        <v>2800000</v>
      </c>
      <c r="J35">
        <v>3460700</v>
      </c>
      <c r="L35">
        <v>1800000</v>
      </c>
      <c r="N35">
        <v>2470000</v>
      </c>
      <c r="P35">
        <v>1800000</v>
      </c>
      <c r="R35">
        <v>5400000</v>
      </c>
      <c r="T35">
        <v>3394050</v>
      </c>
      <c r="V35">
        <v>2662663</v>
      </c>
      <c r="X35">
        <v>2750000</v>
      </c>
      <c r="Z35">
        <v>1800000</v>
      </c>
      <c r="AB35">
        <v>4500000</v>
      </c>
      <c r="AD35">
        <v>3943100</v>
      </c>
      <c r="AF35">
        <v>4284500</v>
      </c>
      <c r="AG35">
        <v>93</v>
      </c>
      <c r="AH35">
        <v>0</v>
      </c>
      <c r="AJ35">
        <v>2185000</v>
      </c>
      <c r="AL35">
        <v>5400300</v>
      </c>
      <c r="AN35">
        <v>3053500</v>
      </c>
      <c r="AP35">
        <v>3580500</v>
      </c>
      <c r="AR35">
        <v>2071400</v>
      </c>
      <c r="AT35">
        <v>2415000</v>
      </c>
      <c r="AX35">
        <v>2213750</v>
      </c>
      <c r="AZ35">
        <v>200000</v>
      </c>
      <c r="BB35">
        <v>1200000</v>
      </c>
      <c r="BD35">
        <v>2668100</v>
      </c>
      <c r="BF35">
        <v>3260400</v>
      </c>
      <c r="BH35">
        <v>1200000</v>
      </c>
      <c r="BI35" t="str">
        <v>kruing</v>
      </c>
      <c r="BJ35">
        <v>6646500</v>
      </c>
      <c r="BL35">
        <v>4436300</v>
      </c>
      <c r="BN35">
        <v>1942500</v>
      </c>
      <c r="BP35">
        <v>1750000</v>
      </c>
      <c r="BR35">
        <v>1000000</v>
      </c>
      <c r="BT35">
        <v>1926000</v>
      </c>
      <c r="BU35" t="str">
        <v>matoa</v>
      </c>
      <c r="BV35">
        <v>1400000</v>
      </c>
    </row>
    <row r="36">
      <c r="G36" t="str">
        <v>sembarang</v>
      </c>
      <c r="H36">
        <v>2300000</v>
      </c>
      <c r="J36">
        <v>2650000</v>
      </c>
      <c r="K36" t="str">
        <v>klas III</v>
      </c>
      <c r="L36">
        <v>1800000</v>
      </c>
      <c r="N36">
        <v>2310000</v>
      </c>
      <c r="P36">
        <v>1507000</v>
      </c>
      <c r="R36">
        <v>2650000</v>
      </c>
      <c r="T36">
        <v>1626900</v>
      </c>
      <c r="V36">
        <v>2587528</v>
      </c>
      <c r="X36">
        <v>2658000</v>
      </c>
      <c r="Z36">
        <v>1400000</v>
      </c>
      <c r="AB36">
        <v>2800000</v>
      </c>
      <c r="AD36">
        <v>2069800</v>
      </c>
      <c r="AF36">
        <v>3016666</v>
      </c>
      <c r="AG36">
        <v>679</v>
      </c>
      <c r="AH36">
        <v>0</v>
      </c>
      <c r="AJ36">
        <v>1820000</v>
      </c>
      <c r="AL36">
        <v>3484050</v>
      </c>
      <c r="AN36">
        <v>1409100</v>
      </c>
      <c r="AP36">
        <v>2650000</v>
      </c>
      <c r="AR36">
        <v>1865900</v>
      </c>
      <c r="AT36">
        <v>2625000</v>
      </c>
      <c r="AX36">
        <v>2213750</v>
      </c>
      <c r="AZ36">
        <v>1865900</v>
      </c>
      <c r="BB36">
        <v>1200000</v>
      </c>
      <c r="BD36">
        <v>2650000</v>
      </c>
      <c r="BF36">
        <v>2080000</v>
      </c>
      <c r="BH36">
        <v>1000000</v>
      </c>
      <c r="BI36" t="str">
        <v>albasiah</v>
      </c>
      <c r="BJ36">
        <v>2205000</v>
      </c>
      <c r="BL36">
        <v>2071000</v>
      </c>
      <c r="BN36">
        <v>1942500</v>
      </c>
      <c r="BP36">
        <v>1750000</v>
      </c>
      <c r="BR36">
        <v>1000000</v>
      </c>
      <c r="BT36">
        <v>1926000</v>
      </c>
      <c r="BU36" t="str">
        <v>begesting</v>
      </c>
      <c r="BV36">
        <v>1400000</v>
      </c>
    </row>
    <row r="37">
      <c r="H37">
        <v>16600</v>
      </c>
      <c r="J37">
        <v>20000</v>
      </c>
      <c r="L37">
        <v>20000</v>
      </c>
      <c r="N37">
        <v>24700</v>
      </c>
      <c r="P37">
        <v>20700</v>
      </c>
      <c r="R37">
        <v>16600</v>
      </c>
      <c r="T37">
        <v>16600</v>
      </c>
      <c r="V37">
        <v>17200</v>
      </c>
      <c r="X37">
        <v>17250</v>
      </c>
      <c r="Z37">
        <v>27500</v>
      </c>
      <c r="AB37">
        <v>17500</v>
      </c>
      <c r="AD37">
        <v>19500</v>
      </c>
      <c r="AF37">
        <v>16600</v>
      </c>
      <c r="AG37">
        <v>104</v>
      </c>
      <c r="AH37">
        <v>0</v>
      </c>
      <c r="AJ37">
        <v>16600</v>
      </c>
      <c r="AL37">
        <v>8400</v>
      </c>
      <c r="AN37">
        <v>6834</v>
      </c>
      <c r="AO37" t="str">
        <v>Galam</v>
      </c>
      <c r="AP37">
        <v>16200</v>
      </c>
      <c r="AR37">
        <v>32900</v>
      </c>
      <c r="AT37">
        <v>16600</v>
      </c>
      <c r="AX37">
        <v>8800</v>
      </c>
      <c r="AZ37">
        <v>31600</v>
      </c>
      <c r="BA37" t="str">
        <v>bambu</v>
      </c>
      <c r="BB37">
        <v>17325</v>
      </c>
      <c r="BD37">
        <v>16600</v>
      </c>
      <c r="BE37" t="str">
        <v>bambu</v>
      </c>
      <c r="BF37">
        <v>23400</v>
      </c>
      <c r="BH37">
        <v>5000</v>
      </c>
      <c r="BI37" t="str">
        <v>bambu</v>
      </c>
      <c r="BJ37">
        <v>15120</v>
      </c>
      <c r="BK37" t="str">
        <v>bambu</v>
      </c>
      <c r="BL37">
        <v>23650</v>
      </c>
      <c r="BN37">
        <v>16600</v>
      </c>
      <c r="BO37" t="str">
        <v>kayu perancah</v>
      </c>
      <c r="BP37">
        <v>12400</v>
      </c>
      <c r="BR37">
        <v>16600</v>
      </c>
      <c r="BT37">
        <v>42800</v>
      </c>
      <c r="BV37">
        <v>16600</v>
      </c>
    </row>
    <row r="40">
      <c r="H40">
        <v>62000</v>
      </c>
      <c r="J40">
        <v>62000</v>
      </c>
      <c r="L40">
        <v>75000</v>
      </c>
      <c r="N40">
        <v>70000</v>
      </c>
      <c r="P40">
        <v>62000</v>
      </c>
      <c r="R40">
        <v>62000</v>
      </c>
      <c r="T40">
        <v>62000</v>
      </c>
      <c r="V40">
        <v>160030</v>
      </c>
      <c r="X40">
        <v>62000</v>
      </c>
      <c r="Z40">
        <v>79200</v>
      </c>
      <c r="AB40">
        <v>71000</v>
      </c>
      <c r="AD40">
        <v>87800</v>
      </c>
      <c r="AF40">
        <v>85800</v>
      </c>
      <c r="AG40">
        <v>366</v>
      </c>
      <c r="AH40">
        <v>0</v>
      </c>
      <c r="AJ40">
        <v>62000</v>
      </c>
      <c r="AL40">
        <v>62450</v>
      </c>
      <c r="AN40">
        <v>109909</v>
      </c>
      <c r="AP40">
        <v>62000</v>
      </c>
      <c r="AR40">
        <v>143600</v>
      </c>
      <c r="AT40">
        <v>62000</v>
      </c>
      <c r="AX40">
        <v>62000</v>
      </c>
      <c r="AZ40">
        <v>80000</v>
      </c>
      <c r="BB40">
        <v>62000</v>
      </c>
      <c r="BD40">
        <v>62000</v>
      </c>
      <c r="BF40">
        <v>62000</v>
      </c>
      <c r="BH40">
        <v>62000</v>
      </c>
      <c r="BJ40">
        <v>62000</v>
      </c>
      <c r="BL40">
        <v>62000</v>
      </c>
      <c r="BN40">
        <v>62000</v>
      </c>
      <c r="BP40">
        <v>62000</v>
      </c>
      <c r="BR40">
        <v>62000</v>
      </c>
      <c r="BT40">
        <v>62000</v>
      </c>
      <c r="BV40">
        <v>62000</v>
      </c>
    </row>
    <row r="41">
      <c r="H41">
        <v>90000</v>
      </c>
      <c r="J41">
        <v>90000</v>
      </c>
      <c r="L41">
        <v>75000</v>
      </c>
      <c r="N41">
        <v>70000</v>
      </c>
      <c r="P41">
        <v>90000</v>
      </c>
      <c r="R41">
        <v>90000</v>
      </c>
      <c r="T41">
        <v>90000</v>
      </c>
      <c r="V41">
        <v>160030</v>
      </c>
      <c r="X41">
        <v>90000</v>
      </c>
      <c r="Z41">
        <v>79200</v>
      </c>
      <c r="AB41">
        <v>71000</v>
      </c>
      <c r="AD41">
        <v>225300</v>
      </c>
      <c r="AF41">
        <v>111833</v>
      </c>
      <c r="AG41">
        <v>680</v>
      </c>
      <c r="AH41">
        <v>0</v>
      </c>
      <c r="AJ41">
        <v>90000</v>
      </c>
      <c r="AL41">
        <v>62450</v>
      </c>
      <c r="AN41">
        <v>109909</v>
      </c>
      <c r="AP41">
        <v>90000</v>
      </c>
      <c r="AR41">
        <v>143600</v>
      </c>
      <c r="AT41">
        <v>90000</v>
      </c>
      <c r="AX41">
        <v>90000</v>
      </c>
      <c r="AZ41">
        <v>80000</v>
      </c>
      <c r="BB41">
        <v>90000</v>
      </c>
      <c r="BD41">
        <v>90000</v>
      </c>
      <c r="BF41">
        <v>90000</v>
      </c>
      <c r="BH41">
        <v>90000</v>
      </c>
      <c r="BJ41">
        <v>90000</v>
      </c>
      <c r="BL41">
        <v>90000</v>
      </c>
      <c r="BN41">
        <v>90000</v>
      </c>
      <c r="BP41">
        <v>90000</v>
      </c>
      <c r="BR41">
        <v>90000</v>
      </c>
      <c r="BT41">
        <v>90000</v>
      </c>
      <c r="BV41">
        <v>90000</v>
      </c>
    </row>
    <row r="42">
      <c r="H42">
        <v>155000</v>
      </c>
      <c r="J42">
        <v>155000</v>
      </c>
      <c r="L42">
        <v>75000</v>
      </c>
      <c r="N42">
        <v>118000</v>
      </c>
      <c r="P42">
        <v>155000</v>
      </c>
      <c r="R42">
        <v>155000</v>
      </c>
      <c r="T42">
        <v>155000</v>
      </c>
      <c r="V42">
        <v>160030</v>
      </c>
      <c r="X42">
        <v>155000</v>
      </c>
      <c r="Z42">
        <v>79200</v>
      </c>
      <c r="AB42">
        <v>71000</v>
      </c>
      <c r="AD42">
        <v>225300</v>
      </c>
      <c r="AF42">
        <v>114667</v>
      </c>
      <c r="AG42">
        <v>681</v>
      </c>
      <c r="AH42">
        <v>0</v>
      </c>
      <c r="AJ42">
        <v>155000</v>
      </c>
      <c r="AL42">
        <v>62450</v>
      </c>
      <c r="AN42">
        <v>109909</v>
      </c>
      <c r="AP42">
        <v>155000</v>
      </c>
      <c r="AR42">
        <v>143600</v>
      </c>
      <c r="AT42">
        <v>155000</v>
      </c>
      <c r="AX42">
        <v>155000</v>
      </c>
      <c r="AZ42">
        <v>80000</v>
      </c>
      <c r="BB42">
        <v>155000</v>
      </c>
      <c r="BD42">
        <v>155000</v>
      </c>
      <c r="BF42">
        <v>155000</v>
      </c>
      <c r="BH42">
        <v>155000</v>
      </c>
      <c r="BJ42">
        <v>155000</v>
      </c>
      <c r="BL42">
        <v>155000</v>
      </c>
      <c r="BN42">
        <v>155000</v>
      </c>
      <c r="BP42">
        <v>155000</v>
      </c>
      <c r="BR42">
        <v>155000</v>
      </c>
      <c r="BT42">
        <v>155000</v>
      </c>
      <c r="BV42">
        <v>155000</v>
      </c>
    </row>
    <row r="43">
      <c r="H43">
        <v>850000</v>
      </c>
      <c r="J43">
        <v>850000</v>
      </c>
      <c r="K43" t="str">
        <v>panil kering oven</v>
      </c>
      <c r="L43">
        <v>500000</v>
      </c>
      <c r="N43">
        <v>850000</v>
      </c>
      <c r="O43" t="str">
        <v>pintu fiber</v>
      </c>
      <c r="P43">
        <v>336000</v>
      </c>
      <c r="R43">
        <v>850000</v>
      </c>
      <c r="T43">
        <v>504900</v>
      </c>
      <c r="V43">
        <v>1008000</v>
      </c>
      <c r="X43">
        <v>850000</v>
      </c>
      <c r="Z43">
        <v>330000</v>
      </c>
      <c r="AB43">
        <v>85000</v>
      </c>
      <c r="AD43">
        <v>850000</v>
      </c>
      <c r="AF43">
        <v>850000</v>
      </c>
      <c r="AG43">
        <v>682</v>
      </c>
      <c r="AH43">
        <v>0</v>
      </c>
      <c r="AJ43">
        <v>850000</v>
      </c>
      <c r="AL43">
        <v>750000</v>
      </c>
      <c r="AN43">
        <v>3180338</v>
      </c>
      <c r="AP43">
        <v>850000</v>
      </c>
      <c r="AR43">
        <v>483900</v>
      </c>
      <c r="AT43">
        <v>850000</v>
      </c>
      <c r="AX43">
        <v>850000</v>
      </c>
      <c r="AZ43">
        <v>300000</v>
      </c>
      <c r="BB43">
        <v>850000</v>
      </c>
      <c r="BD43">
        <v>186300</v>
      </c>
      <c r="BF43">
        <v>850000</v>
      </c>
      <c r="BH43">
        <v>850000</v>
      </c>
      <c r="BJ43">
        <v>850000</v>
      </c>
      <c r="BL43">
        <v>850000</v>
      </c>
      <c r="BN43">
        <v>850000</v>
      </c>
      <c r="BP43">
        <v>850000</v>
      </c>
      <c r="BR43">
        <v>850000</v>
      </c>
      <c r="BT43">
        <v>850000</v>
      </c>
      <c r="BV43">
        <v>850000</v>
      </c>
    </row>
    <row r="44">
      <c r="H44">
        <v>25000</v>
      </c>
      <c r="J44">
        <v>8000</v>
      </c>
      <c r="L44">
        <v>16500</v>
      </c>
      <c r="N44">
        <v>31762</v>
      </c>
      <c r="P44">
        <v>18000</v>
      </c>
      <c r="R44">
        <v>30000</v>
      </c>
      <c r="T44">
        <v>6171</v>
      </c>
      <c r="V44">
        <v>13840</v>
      </c>
      <c r="X44">
        <v>27500</v>
      </c>
      <c r="Z44">
        <v>30000</v>
      </c>
      <c r="AB44">
        <v>12000</v>
      </c>
      <c r="AD44">
        <v>10500</v>
      </c>
      <c r="AF44">
        <v>10000</v>
      </c>
      <c r="AG44">
        <v>313</v>
      </c>
      <c r="AH44">
        <v>17500</v>
      </c>
      <c r="AJ44">
        <v>10000</v>
      </c>
      <c r="AL44">
        <v>18250</v>
      </c>
      <c r="AN44">
        <v>29872</v>
      </c>
      <c r="AP44">
        <v>34700</v>
      </c>
      <c r="AR44">
        <v>32200</v>
      </c>
      <c r="AT44">
        <v>10000</v>
      </c>
      <c r="AX44">
        <v>19800</v>
      </c>
      <c r="AZ44">
        <v>8000</v>
      </c>
      <c r="BB44">
        <v>11261</v>
      </c>
      <c r="BD44">
        <v>23300</v>
      </c>
      <c r="BF44">
        <v>26800</v>
      </c>
      <c r="BH44">
        <v>11805</v>
      </c>
      <c r="BJ44">
        <v>25200</v>
      </c>
      <c r="BL44">
        <v>10010</v>
      </c>
      <c r="BN44">
        <v>10000</v>
      </c>
      <c r="BP44">
        <v>25000</v>
      </c>
      <c r="BR44">
        <v>10000</v>
      </c>
      <c r="BT44">
        <v>21400</v>
      </c>
      <c r="BV44">
        <v>22500</v>
      </c>
    </row>
    <row r="45">
      <c r="H45">
        <v>135000</v>
      </c>
      <c r="J45">
        <v>150000</v>
      </c>
      <c r="L45">
        <v>125000</v>
      </c>
      <c r="N45">
        <v>255645</v>
      </c>
      <c r="P45">
        <v>253000</v>
      </c>
      <c r="R45">
        <v>253000</v>
      </c>
      <c r="T45">
        <v>253000</v>
      </c>
      <c r="V45">
        <v>180000</v>
      </c>
      <c r="X45">
        <v>291500</v>
      </c>
      <c r="Z45">
        <v>253000</v>
      </c>
      <c r="AB45">
        <v>350000</v>
      </c>
      <c r="AD45">
        <v>397600</v>
      </c>
      <c r="AF45">
        <v>357000</v>
      </c>
      <c r="AG45">
        <v>683</v>
      </c>
      <c r="AH45">
        <v>0</v>
      </c>
      <c r="AJ45">
        <v>253000</v>
      </c>
      <c r="AK45" t="str">
        <v>kunci tanam</v>
      </c>
      <c r="AL45">
        <v>199500</v>
      </c>
      <c r="AN45">
        <v>197274</v>
      </c>
      <c r="AP45">
        <v>253000</v>
      </c>
      <c r="AR45">
        <v>228300</v>
      </c>
      <c r="AT45">
        <v>253000</v>
      </c>
      <c r="AX45">
        <v>253000</v>
      </c>
      <c r="AZ45">
        <v>95000</v>
      </c>
      <c r="BB45">
        <v>253000</v>
      </c>
      <c r="BD45">
        <v>465700</v>
      </c>
      <c r="BF45">
        <v>253000</v>
      </c>
      <c r="BH45">
        <v>176050</v>
      </c>
      <c r="BJ45">
        <v>253000</v>
      </c>
      <c r="BL45">
        <v>323675</v>
      </c>
      <c r="BN45">
        <v>253000</v>
      </c>
      <c r="BP45">
        <v>125000</v>
      </c>
      <c r="BR45">
        <v>253000</v>
      </c>
      <c r="BT45">
        <v>208700</v>
      </c>
      <c r="BV45">
        <v>253000</v>
      </c>
    </row>
    <row r="46">
      <c r="H46">
        <v>242000</v>
      </c>
      <c r="J46">
        <v>33600</v>
      </c>
      <c r="L46">
        <v>242000</v>
      </c>
      <c r="N46">
        <v>242000</v>
      </c>
      <c r="P46">
        <v>242000</v>
      </c>
      <c r="R46">
        <v>242000</v>
      </c>
      <c r="T46">
        <v>242000</v>
      </c>
      <c r="V46">
        <v>242000.00000000003</v>
      </c>
      <c r="X46">
        <v>242000</v>
      </c>
      <c r="Z46">
        <v>242000</v>
      </c>
      <c r="AB46">
        <v>242000.00000000003</v>
      </c>
      <c r="AD46">
        <v>125800</v>
      </c>
      <c r="AF46">
        <v>242000</v>
      </c>
      <c r="AG46">
        <v>684</v>
      </c>
      <c r="AH46">
        <v>0</v>
      </c>
      <c r="AJ46">
        <v>242000</v>
      </c>
      <c r="AL46">
        <v>89250</v>
      </c>
      <c r="AN46">
        <v>133864</v>
      </c>
      <c r="AP46">
        <v>242000</v>
      </c>
      <c r="AR46">
        <v>242000</v>
      </c>
      <c r="AT46">
        <v>242000</v>
      </c>
      <c r="AX46">
        <v>242000</v>
      </c>
      <c r="AZ46">
        <v>242000</v>
      </c>
      <c r="BB46">
        <v>242000</v>
      </c>
      <c r="BD46">
        <v>139700</v>
      </c>
      <c r="BF46">
        <v>242000</v>
      </c>
      <c r="BH46">
        <v>242000</v>
      </c>
      <c r="BJ46">
        <v>242000</v>
      </c>
      <c r="BL46">
        <v>242000</v>
      </c>
      <c r="BN46">
        <v>242000</v>
      </c>
      <c r="BP46">
        <v>242000</v>
      </c>
      <c r="BR46">
        <v>242000</v>
      </c>
      <c r="BT46">
        <v>242000</v>
      </c>
      <c r="BV46">
        <v>242000</v>
      </c>
    </row>
    <row r="47">
      <c r="H47">
        <v>63000</v>
      </c>
      <c r="J47">
        <v>100000</v>
      </c>
      <c r="L47">
        <v>63000</v>
      </c>
      <c r="N47">
        <v>63000</v>
      </c>
      <c r="P47">
        <v>63000</v>
      </c>
      <c r="R47">
        <v>63000</v>
      </c>
      <c r="T47">
        <v>24684</v>
      </c>
      <c r="V47">
        <v>63000</v>
      </c>
      <c r="X47">
        <v>44000</v>
      </c>
      <c r="Z47">
        <v>30000</v>
      </c>
      <c r="AB47">
        <v>63000</v>
      </c>
      <c r="AD47">
        <v>63000</v>
      </c>
      <c r="AF47">
        <v>70000</v>
      </c>
      <c r="AG47">
        <v>319</v>
      </c>
      <c r="AH47">
        <v>15000</v>
      </c>
      <c r="AJ47">
        <v>63000</v>
      </c>
      <c r="AL47">
        <v>119600</v>
      </c>
      <c r="AN47">
        <v>93000</v>
      </c>
      <c r="AP47">
        <v>63000</v>
      </c>
      <c r="AR47">
        <v>63000</v>
      </c>
      <c r="AT47">
        <v>63000</v>
      </c>
      <c r="AX47">
        <v>63000</v>
      </c>
      <c r="AZ47">
        <v>63000</v>
      </c>
      <c r="BB47">
        <v>63000</v>
      </c>
      <c r="BD47">
        <v>15500</v>
      </c>
      <c r="BF47">
        <v>63000</v>
      </c>
      <c r="BH47">
        <v>63000</v>
      </c>
      <c r="BJ47">
        <v>63000</v>
      </c>
      <c r="BL47">
        <v>63000</v>
      </c>
      <c r="BN47">
        <v>63000</v>
      </c>
      <c r="BP47">
        <v>63000</v>
      </c>
      <c r="BR47">
        <v>63000</v>
      </c>
      <c r="BT47">
        <v>63000</v>
      </c>
      <c r="BV47">
        <v>63000</v>
      </c>
    </row>
    <row r="48">
      <c r="H48">
        <v>450000</v>
      </c>
      <c r="J48">
        <v>200000</v>
      </c>
      <c r="L48">
        <v>450000</v>
      </c>
      <c r="N48">
        <v>450000</v>
      </c>
      <c r="P48">
        <v>450000</v>
      </c>
      <c r="R48">
        <v>450000</v>
      </c>
      <c r="T48">
        <v>426360</v>
      </c>
      <c r="V48">
        <v>221000</v>
      </c>
      <c r="X48">
        <v>44000</v>
      </c>
      <c r="Z48">
        <v>170500</v>
      </c>
      <c r="AB48">
        <v>330000</v>
      </c>
      <c r="AD48">
        <v>229300</v>
      </c>
      <c r="AF48">
        <v>466000</v>
      </c>
      <c r="AG48">
        <v>565</v>
      </c>
      <c r="AH48">
        <v>0</v>
      </c>
      <c r="AJ48">
        <v>450000</v>
      </c>
      <c r="AL48">
        <v>160650</v>
      </c>
      <c r="AN48">
        <v>281820</v>
      </c>
      <c r="AP48">
        <v>450000</v>
      </c>
      <c r="AR48">
        <v>450000</v>
      </c>
      <c r="AT48">
        <v>450000</v>
      </c>
      <c r="AX48">
        <v>165000</v>
      </c>
      <c r="AZ48">
        <v>450000</v>
      </c>
      <c r="BB48">
        <v>450000</v>
      </c>
      <c r="BD48">
        <v>204900</v>
      </c>
      <c r="BF48">
        <v>450000</v>
      </c>
      <c r="BH48">
        <v>450000</v>
      </c>
      <c r="BJ48">
        <v>450000</v>
      </c>
      <c r="BL48">
        <v>450000</v>
      </c>
      <c r="BN48">
        <v>450000</v>
      </c>
      <c r="BP48">
        <v>450000</v>
      </c>
      <c r="BR48">
        <v>450000</v>
      </c>
      <c r="BT48">
        <v>450000</v>
      </c>
      <c r="BV48">
        <v>450000</v>
      </c>
    </row>
    <row r="49">
      <c r="H49">
        <v>75000</v>
      </c>
      <c r="J49">
        <v>57000</v>
      </c>
      <c r="L49">
        <v>215000</v>
      </c>
      <c r="N49">
        <v>75000</v>
      </c>
      <c r="P49">
        <v>30000</v>
      </c>
      <c r="R49">
        <v>75000</v>
      </c>
      <c r="T49">
        <v>75000</v>
      </c>
      <c r="V49">
        <v>75000</v>
      </c>
      <c r="X49">
        <v>137500</v>
      </c>
      <c r="Z49">
        <v>50000</v>
      </c>
      <c r="AB49">
        <v>35000</v>
      </c>
      <c r="AD49">
        <v>75000</v>
      </c>
      <c r="AF49">
        <v>90000</v>
      </c>
      <c r="AG49">
        <v>685</v>
      </c>
      <c r="AH49">
        <v>0</v>
      </c>
      <c r="AJ49">
        <v>75000</v>
      </c>
      <c r="AL49">
        <v>94500</v>
      </c>
      <c r="AN49">
        <v>107091</v>
      </c>
      <c r="AP49">
        <v>57800</v>
      </c>
      <c r="AR49">
        <v>75000</v>
      </c>
      <c r="AT49">
        <v>75000</v>
      </c>
      <c r="AX49">
        <v>165000</v>
      </c>
      <c r="AZ49">
        <v>75000</v>
      </c>
      <c r="BB49">
        <v>75075</v>
      </c>
      <c r="BD49">
        <v>83300</v>
      </c>
      <c r="BF49">
        <v>156600</v>
      </c>
      <c r="BH49">
        <v>199510</v>
      </c>
      <c r="BJ49">
        <v>126000</v>
      </c>
      <c r="BL49">
        <v>75000</v>
      </c>
      <c r="BN49">
        <v>75000</v>
      </c>
      <c r="BP49">
        <v>75000</v>
      </c>
      <c r="BR49">
        <v>75000</v>
      </c>
      <c r="BT49">
        <v>75000</v>
      </c>
      <c r="BV49">
        <v>125000</v>
      </c>
    </row>
    <row r="50">
      <c r="H50">
        <v>9009</v>
      </c>
      <c r="J50">
        <v>7500</v>
      </c>
      <c r="L50">
        <v>15000</v>
      </c>
      <c r="N50">
        <v>7500</v>
      </c>
      <c r="P50">
        <v>7020</v>
      </c>
      <c r="R50">
        <v>7500</v>
      </c>
      <c r="T50">
        <v>5610</v>
      </c>
      <c r="V50">
        <v>12480</v>
      </c>
      <c r="X50">
        <v>8800</v>
      </c>
      <c r="Z50">
        <v>12000</v>
      </c>
      <c r="AB50">
        <v>58000</v>
      </c>
      <c r="AD50">
        <v>23600</v>
      </c>
      <c r="AF50">
        <v>23000</v>
      </c>
      <c r="AG50">
        <v>318</v>
      </c>
      <c r="AH50">
        <v>8500</v>
      </c>
      <c r="AJ50">
        <v>7500</v>
      </c>
      <c r="AL50">
        <v>19900</v>
      </c>
      <c r="AN50">
        <v>18318</v>
      </c>
      <c r="AP50">
        <v>13900</v>
      </c>
      <c r="AR50">
        <v>21800</v>
      </c>
      <c r="AT50">
        <v>7500</v>
      </c>
      <c r="AX50">
        <v>9900</v>
      </c>
      <c r="AZ50">
        <v>4500</v>
      </c>
      <c r="BB50">
        <v>17325</v>
      </c>
      <c r="BD50">
        <v>11600</v>
      </c>
      <c r="BF50">
        <v>15600</v>
      </c>
      <c r="BH50">
        <v>17670</v>
      </c>
      <c r="BJ50">
        <v>13860</v>
      </c>
      <c r="BL50">
        <v>6127</v>
      </c>
      <c r="BN50">
        <v>7500</v>
      </c>
      <c r="BP50">
        <v>8000</v>
      </c>
      <c r="BR50">
        <v>7500</v>
      </c>
      <c r="BT50">
        <v>24000</v>
      </c>
      <c r="BV50">
        <v>12000</v>
      </c>
    </row>
    <row r="51">
      <c r="H51">
        <v>22523</v>
      </c>
      <c r="J51">
        <v>5000</v>
      </c>
      <c r="L51">
        <v>6500</v>
      </c>
      <c r="N51">
        <v>3550</v>
      </c>
      <c r="P51">
        <v>9600</v>
      </c>
      <c r="R51">
        <v>10000</v>
      </c>
      <c r="T51">
        <v>15147</v>
      </c>
      <c r="V51">
        <v>10000</v>
      </c>
      <c r="X51">
        <v>16500</v>
      </c>
      <c r="Z51">
        <v>10000</v>
      </c>
      <c r="AB51">
        <v>20000</v>
      </c>
      <c r="AD51">
        <v>52400</v>
      </c>
      <c r="AF51">
        <v>10000</v>
      </c>
      <c r="AG51">
        <v>317</v>
      </c>
      <c r="AH51">
        <v>10000</v>
      </c>
      <c r="AJ51">
        <v>10000</v>
      </c>
      <c r="AL51">
        <v>14300</v>
      </c>
      <c r="AN51">
        <v>10000</v>
      </c>
      <c r="AP51">
        <v>15000</v>
      </c>
      <c r="AR51">
        <v>15500</v>
      </c>
      <c r="AT51">
        <v>10000</v>
      </c>
      <c r="AX51">
        <v>8250</v>
      </c>
      <c r="AZ51">
        <v>2200</v>
      </c>
      <c r="BB51">
        <v>8663</v>
      </c>
      <c r="BD51">
        <v>10100</v>
      </c>
      <c r="BF51">
        <v>10400</v>
      </c>
      <c r="BH51">
        <v>11805</v>
      </c>
      <c r="BJ51">
        <v>11844</v>
      </c>
      <c r="BL51">
        <v>10241</v>
      </c>
      <c r="BN51">
        <v>10000</v>
      </c>
      <c r="BP51">
        <v>7000</v>
      </c>
      <c r="BR51">
        <v>10000</v>
      </c>
      <c r="BT51">
        <v>17000</v>
      </c>
      <c r="BV51">
        <v>16000</v>
      </c>
    </row>
    <row r="54">
      <c r="H54">
        <v>52500</v>
      </c>
      <c r="J54">
        <v>67000</v>
      </c>
      <c r="L54">
        <v>49500</v>
      </c>
      <c r="N54">
        <v>60200</v>
      </c>
      <c r="P54">
        <v>54000</v>
      </c>
      <c r="R54">
        <v>42000</v>
      </c>
      <c r="T54">
        <v>42636</v>
      </c>
      <c r="V54">
        <v>56466</v>
      </c>
      <c r="X54">
        <v>49500</v>
      </c>
      <c r="Z54">
        <v>44000</v>
      </c>
      <c r="AB54">
        <v>48000</v>
      </c>
      <c r="AD54">
        <v>59000</v>
      </c>
      <c r="AF54">
        <v>46965</v>
      </c>
      <c r="AG54">
        <v>223</v>
      </c>
      <c r="AH54">
        <v>49000</v>
      </c>
      <c r="AJ54">
        <v>41800</v>
      </c>
      <c r="AL54">
        <v>52250</v>
      </c>
      <c r="AN54">
        <v>77500</v>
      </c>
      <c r="AP54">
        <v>52000</v>
      </c>
      <c r="AR54">
        <v>76500</v>
      </c>
      <c r="AT54">
        <v>38325</v>
      </c>
      <c r="AX54">
        <v>82170</v>
      </c>
      <c r="AZ54">
        <v>45000</v>
      </c>
      <c r="BB54">
        <v>51975</v>
      </c>
      <c r="BD54">
        <v>61000</v>
      </c>
      <c r="BF54">
        <v>47800</v>
      </c>
      <c r="BH54">
        <v>53285</v>
      </c>
      <c r="BI54" t="str">
        <v>plywood 4mm</v>
      </c>
      <c r="BJ54">
        <v>83916</v>
      </c>
      <c r="BL54">
        <v>62700</v>
      </c>
      <c r="BN54">
        <v>42000</v>
      </c>
      <c r="BP54">
        <v>55000</v>
      </c>
      <c r="BR54">
        <v>42000</v>
      </c>
      <c r="BT54">
        <v>82500</v>
      </c>
      <c r="BV54">
        <v>67275</v>
      </c>
    </row>
    <row r="55">
      <c r="H55">
        <v>62000</v>
      </c>
      <c r="J55">
        <v>100000</v>
      </c>
      <c r="L55">
        <v>65000</v>
      </c>
      <c r="N55">
        <v>99415</v>
      </c>
      <c r="P55">
        <v>72000</v>
      </c>
      <c r="R55">
        <v>52000</v>
      </c>
      <c r="T55">
        <v>66198</v>
      </c>
      <c r="V55">
        <v>77100</v>
      </c>
      <c r="X55">
        <v>64500</v>
      </c>
      <c r="Z55">
        <v>73700</v>
      </c>
      <c r="AB55">
        <v>58000</v>
      </c>
      <c r="AD55">
        <v>72100</v>
      </c>
      <c r="AF55">
        <v>55505</v>
      </c>
      <c r="AG55">
        <v>224</v>
      </c>
      <c r="AH55">
        <v>60000</v>
      </c>
      <c r="AJ55">
        <v>55750</v>
      </c>
      <c r="AL55">
        <v>66100</v>
      </c>
      <c r="AN55">
        <v>132455</v>
      </c>
      <c r="AP55">
        <v>98200</v>
      </c>
      <c r="AR55">
        <v>100500</v>
      </c>
      <c r="AT55">
        <v>52000</v>
      </c>
      <c r="AX55">
        <v>121440</v>
      </c>
      <c r="AZ55">
        <v>65000</v>
      </c>
      <c r="BB55">
        <v>63525</v>
      </c>
      <c r="BD55">
        <v>79300</v>
      </c>
      <c r="BF55">
        <v>62900</v>
      </c>
      <c r="BH55">
        <v>65015</v>
      </c>
      <c r="BJ55">
        <v>94500</v>
      </c>
      <c r="BL55">
        <v>112200</v>
      </c>
      <c r="BN55">
        <v>52000</v>
      </c>
      <c r="BP55">
        <v>52000</v>
      </c>
      <c r="BR55">
        <v>55000</v>
      </c>
      <c r="BT55">
        <v>95000</v>
      </c>
      <c r="BV55">
        <v>80500</v>
      </c>
    </row>
    <row r="56">
      <c r="H56">
        <v>105000</v>
      </c>
      <c r="J56">
        <v>123000</v>
      </c>
      <c r="L56">
        <v>120000</v>
      </c>
      <c r="N56">
        <v>210000</v>
      </c>
      <c r="P56">
        <v>144000</v>
      </c>
      <c r="R56">
        <v>110000</v>
      </c>
      <c r="T56">
        <v>129030</v>
      </c>
      <c r="V56">
        <v>135000</v>
      </c>
      <c r="X56">
        <v>132000</v>
      </c>
      <c r="Y56" t="str">
        <v>6 mm</v>
      </c>
      <c r="Z56">
        <v>104500</v>
      </c>
      <c r="AB56">
        <v>125000</v>
      </c>
      <c r="AD56">
        <v>121800</v>
      </c>
      <c r="AF56">
        <v>155360</v>
      </c>
      <c r="AG56">
        <v>225</v>
      </c>
      <c r="AH56">
        <v>74000</v>
      </c>
      <c r="AJ56">
        <v>122650</v>
      </c>
      <c r="AL56">
        <v>120050</v>
      </c>
      <c r="AN56">
        <v>218410</v>
      </c>
      <c r="AP56">
        <v>144400</v>
      </c>
      <c r="AR56">
        <v>146500</v>
      </c>
      <c r="AT56">
        <v>110000</v>
      </c>
      <c r="AX56">
        <v>227700</v>
      </c>
      <c r="AZ56">
        <v>115000</v>
      </c>
      <c r="BB56">
        <v>110000</v>
      </c>
      <c r="BD56">
        <v>190600</v>
      </c>
      <c r="BF56">
        <v>120000</v>
      </c>
      <c r="BH56">
        <v>147125</v>
      </c>
      <c r="BJ56">
        <v>138600</v>
      </c>
      <c r="BL56">
        <v>149193</v>
      </c>
      <c r="BN56">
        <v>110000</v>
      </c>
      <c r="BP56">
        <v>110000</v>
      </c>
      <c r="BQ56" t="str">
        <v>12 mm</v>
      </c>
      <c r="BR56">
        <v>85000</v>
      </c>
      <c r="BT56">
        <v>157300</v>
      </c>
      <c r="BV56">
        <v>97750</v>
      </c>
    </row>
    <row r="59">
      <c r="H59">
        <v>65000</v>
      </c>
      <c r="J59">
        <v>51500</v>
      </c>
      <c r="L59">
        <v>58000</v>
      </c>
      <c r="N59">
        <v>70290</v>
      </c>
      <c r="P59">
        <v>46800</v>
      </c>
      <c r="R59">
        <v>34100</v>
      </c>
      <c r="T59">
        <v>38148</v>
      </c>
      <c r="V59">
        <v>43600</v>
      </c>
      <c r="X59">
        <v>61400</v>
      </c>
      <c r="Z59">
        <v>69300</v>
      </c>
      <c r="AB59">
        <v>42000</v>
      </c>
      <c r="AD59">
        <v>62900</v>
      </c>
      <c r="AF59">
        <v>43000</v>
      </c>
      <c r="AG59">
        <v>125</v>
      </c>
      <c r="AH59">
        <v>40000</v>
      </c>
      <c r="AJ59">
        <v>42350</v>
      </c>
      <c r="AL59">
        <v>45650</v>
      </c>
      <c r="AN59">
        <v>70455</v>
      </c>
      <c r="AP59">
        <v>48500</v>
      </c>
      <c r="AR59">
        <v>67600</v>
      </c>
      <c r="AT59">
        <v>42000</v>
      </c>
      <c r="AX59">
        <v>59400</v>
      </c>
      <c r="AZ59">
        <v>42500</v>
      </c>
      <c r="BB59">
        <v>87369</v>
      </c>
      <c r="BD59">
        <v>50900</v>
      </c>
      <c r="BF59">
        <v>38200</v>
      </c>
      <c r="BH59">
        <v>65515</v>
      </c>
      <c r="BJ59">
        <v>59193</v>
      </c>
      <c r="BL59">
        <v>58300</v>
      </c>
      <c r="BN59">
        <v>63000</v>
      </c>
      <c r="BP59">
        <v>47000</v>
      </c>
      <c r="BR59">
        <v>62000</v>
      </c>
      <c r="BT59">
        <v>191000</v>
      </c>
      <c r="BV59">
        <v>60500</v>
      </c>
    </row>
    <row r="60">
      <c r="G60" t="str">
        <v>marmer</v>
      </c>
      <c r="H60">
        <v>1062500</v>
      </c>
      <c r="J60">
        <v>282000</v>
      </c>
      <c r="L60">
        <v>120000</v>
      </c>
      <c r="N60">
        <v>427500</v>
      </c>
      <c r="O60" t="str">
        <v>keramik 40x40</v>
      </c>
      <c r="P60">
        <v>108000</v>
      </c>
      <c r="R60">
        <v>282000</v>
      </c>
      <c r="T60">
        <v>195228.33333333334</v>
      </c>
      <c r="V60">
        <v>153000</v>
      </c>
      <c r="X60">
        <v>282000</v>
      </c>
      <c r="Y60" t="str">
        <v>marmer 40x40</v>
      </c>
      <c r="Z60">
        <v>192500</v>
      </c>
      <c r="AB60">
        <v>162000</v>
      </c>
      <c r="AD60">
        <v>235800</v>
      </c>
      <c r="AF60">
        <v>247500</v>
      </c>
      <c r="AG60">
        <v>133</v>
      </c>
      <c r="AH60">
        <v>0</v>
      </c>
      <c r="AJ60">
        <v>282000</v>
      </c>
      <c r="AL60">
        <v>394150</v>
      </c>
      <c r="AN60">
        <v>246592</v>
      </c>
      <c r="AP60">
        <v>282000</v>
      </c>
      <c r="AR60">
        <v>203700</v>
      </c>
      <c r="AT60">
        <v>282000</v>
      </c>
      <c r="AX60">
        <v>282000</v>
      </c>
      <c r="AZ60">
        <v>282000</v>
      </c>
      <c r="BB60">
        <v>282000</v>
      </c>
      <c r="BD60">
        <v>242200</v>
      </c>
      <c r="BE60" t="str">
        <v>marmer</v>
      </c>
      <c r="BF60">
        <v>188500</v>
      </c>
      <c r="BH60">
        <v>282000</v>
      </c>
      <c r="BI60" t="str">
        <v>marmer</v>
      </c>
      <c r="BJ60">
        <v>283500</v>
      </c>
      <c r="BK60" t="str">
        <v>marmer</v>
      </c>
      <c r="BL60">
        <v>346533</v>
      </c>
      <c r="BN60">
        <v>282000</v>
      </c>
      <c r="BO60" t="str">
        <v>porselin vinil</v>
      </c>
      <c r="BP60">
        <v>243000</v>
      </c>
      <c r="BR60">
        <v>282000</v>
      </c>
      <c r="BT60">
        <v>205300</v>
      </c>
      <c r="BV60">
        <v>281000</v>
      </c>
    </row>
    <row r="61">
      <c r="H61">
        <v>10071.942446043166</v>
      </c>
      <c r="J61">
        <v>10071.942446043166</v>
      </c>
      <c r="L61">
        <v>19333.333333333332</v>
      </c>
      <c r="N61">
        <v>3265</v>
      </c>
      <c r="P61">
        <v>15600</v>
      </c>
      <c r="R61">
        <v>10071.942446043166</v>
      </c>
      <c r="T61">
        <v>3927</v>
      </c>
      <c r="V61">
        <v>14533.333333333334</v>
      </c>
      <c r="X61">
        <v>10071.942446043166</v>
      </c>
      <c r="Z61">
        <v>16500</v>
      </c>
      <c r="AB61">
        <v>35000</v>
      </c>
      <c r="AD61">
        <v>10071.942446043166</v>
      </c>
      <c r="AF61">
        <v>10072</v>
      </c>
      <c r="AG61">
        <v>686</v>
      </c>
      <c r="AH61">
        <v>0</v>
      </c>
      <c r="AJ61">
        <v>10071.942446043166</v>
      </c>
      <c r="AL61">
        <v>15216.666666666666</v>
      </c>
      <c r="AN61">
        <v>14091</v>
      </c>
      <c r="AP61">
        <v>10071.942446043166</v>
      </c>
      <c r="AR61">
        <v>17600</v>
      </c>
      <c r="AT61">
        <v>10071.942446043166</v>
      </c>
      <c r="AX61">
        <v>19800</v>
      </c>
      <c r="AZ61">
        <v>10071.942446043166</v>
      </c>
      <c r="BB61">
        <v>10071.942446043166</v>
      </c>
      <c r="BD61">
        <v>7000</v>
      </c>
      <c r="BF61">
        <v>3200</v>
      </c>
      <c r="BH61">
        <v>10071.942446043166</v>
      </c>
      <c r="BJ61">
        <v>8820</v>
      </c>
      <c r="BL61">
        <v>10071.942446043166</v>
      </c>
      <c r="BN61">
        <v>10071.942446043166</v>
      </c>
      <c r="BP61">
        <v>15666.666666666666</v>
      </c>
      <c r="BR61">
        <v>10071.942446043166</v>
      </c>
      <c r="BT61">
        <v>16100</v>
      </c>
      <c r="BV61">
        <v>10071.942446043166</v>
      </c>
    </row>
    <row r="62">
      <c r="H62">
        <v>20000</v>
      </c>
      <c r="J62">
        <v>20000</v>
      </c>
      <c r="L62">
        <v>30000</v>
      </c>
      <c r="N62">
        <v>20000</v>
      </c>
      <c r="P62">
        <v>27000</v>
      </c>
      <c r="R62">
        <v>20000</v>
      </c>
      <c r="T62">
        <v>20000</v>
      </c>
      <c r="V62">
        <v>38250</v>
      </c>
      <c r="X62">
        <v>20000</v>
      </c>
      <c r="Z62">
        <v>18700</v>
      </c>
      <c r="AB62">
        <v>40500</v>
      </c>
      <c r="AD62">
        <v>20000</v>
      </c>
      <c r="AF62">
        <v>20000</v>
      </c>
      <c r="AG62">
        <v>526</v>
      </c>
      <c r="AH62">
        <v>0</v>
      </c>
      <c r="AJ62">
        <v>20000</v>
      </c>
      <c r="AL62">
        <v>98537.5</v>
      </c>
      <c r="AN62">
        <v>61648</v>
      </c>
      <c r="AP62">
        <v>20000</v>
      </c>
      <c r="AR62">
        <v>17600</v>
      </c>
      <c r="AT62">
        <v>20000</v>
      </c>
      <c r="AX62">
        <v>70500</v>
      </c>
      <c r="AZ62">
        <v>20000</v>
      </c>
      <c r="BB62">
        <v>20000</v>
      </c>
      <c r="BD62">
        <v>23300</v>
      </c>
      <c r="BF62">
        <v>20000</v>
      </c>
      <c r="BH62">
        <v>20000</v>
      </c>
      <c r="BJ62">
        <v>20000</v>
      </c>
      <c r="BL62">
        <v>20000</v>
      </c>
      <c r="BN62">
        <v>20000</v>
      </c>
      <c r="BP62">
        <v>60750</v>
      </c>
      <c r="BR62">
        <v>20000</v>
      </c>
      <c r="BT62">
        <v>20000</v>
      </c>
      <c r="BV62">
        <v>20000</v>
      </c>
    </row>
    <row r="65">
      <c r="H65">
        <v>2500</v>
      </c>
      <c r="J65">
        <v>8000</v>
      </c>
      <c r="L65">
        <v>2500</v>
      </c>
      <c r="N65">
        <v>2500</v>
      </c>
      <c r="P65">
        <v>2500</v>
      </c>
      <c r="R65">
        <v>2500</v>
      </c>
      <c r="T65">
        <v>2805</v>
      </c>
      <c r="U65" t="str">
        <v>gtg biasa</v>
      </c>
      <c r="V65">
        <v>4600</v>
      </c>
      <c r="X65">
        <v>2500</v>
      </c>
      <c r="Y65" t="str">
        <v>palentong</v>
      </c>
      <c r="Z65">
        <v>1750</v>
      </c>
      <c r="AB65">
        <v>1800</v>
      </c>
      <c r="AD65">
        <v>7900</v>
      </c>
      <c r="AF65">
        <v>2500</v>
      </c>
      <c r="AG65">
        <v>36</v>
      </c>
      <c r="AH65">
        <v>0</v>
      </c>
      <c r="AJ65">
        <v>2500</v>
      </c>
      <c r="AL65">
        <v>2000</v>
      </c>
      <c r="AN65">
        <v>2500</v>
      </c>
      <c r="AP65">
        <v>2500</v>
      </c>
      <c r="AR65">
        <v>3700</v>
      </c>
      <c r="AT65">
        <v>2500</v>
      </c>
      <c r="AW65" t="str">
        <v>palentong</v>
      </c>
      <c r="AX65">
        <v>4400</v>
      </c>
      <c r="AZ65">
        <v>2500</v>
      </c>
      <c r="BB65">
        <v>2500</v>
      </c>
      <c r="BD65">
        <v>5600</v>
      </c>
      <c r="BF65">
        <v>10400</v>
      </c>
      <c r="BH65">
        <v>2500</v>
      </c>
      <c r="BJ65">
        <v>2520</v>
      </c>
      <c r="BL65">
        <v>1540</v>
      </c>
      <c r="BN65">
        <v>2500</v>
      </c>
      <c r="BP65">
        <v>2500</v>
      </c>
      <c r="BR65">
        <v>2500</v>
      </c>
      <c r="BT65">
        <v>2500</v>
      </c>
      <c r="BV65">
        <v>2500</v>
      </c>
    </row>
    <row r="66">
      <c r="G66" t="str">
        <v>gtg beton</v>
      </c>
      <c r="H66">
        <v>9000</v>
      </c>
      <c r="J66">
        <v>10570</v>
      </c>
      <c r="L66">
        <v>5816</v>
      </c>
      <c r="N66">
        <v>10100</v>
      </c>
      <c r="P66">
        <v>5816</v>
      </c>
      <c r="R66">
        <v>5816</v>
      </c>
      <c r="T66">
        <v>5816</v>
      </c>
      <c r="U66" t="str">
        <v>gtg keramik</v>
      </c>
      <c r="V66">
        <v>10800</v>
      </c>
      <c r="X66">
        <v>5816</v>
      </c>
      <c r="Y66" t="str">
        <v>gtg beton</v>
      </c>
      <c r="Z66">
        <v>8800</v>
      </c>
      <c r="AB66">
        <v>14000</v>
      </c>
      <c r="AD66">
        <v>6600</v>
      </c>
      <c r="AF66">
        <v>11000</v>
      </c>
      <c r="AG66">
        <v>37</v>
      </c>
      <c r="AH66">
        <v>0</v>
      </c>
      <c r="AJ66">
        <v>5816</v>
      </c>
      <c r="AL66">
        <v>10250</v>
      </c>
      <c r="AN66">
        <v>5816</v>
      </c>
      <c r="AP66">
        <v>5816</v>
      </c>
      <c r="AR66">
        <v>5816</v>
      </c>
      <c r="AT66">
        <v>5816</v>
      </c>
      <c r="AX66">
        <v>5816</v>
      </c>
      <c r="AZ66">
        <v>5816</v>
      </c>
      <c r="BB66">
        <v>5816</v>
      </c>
      <c r="BD66">
        <v>10900</v>
      </c>
      <c r="BF66">
        <v>12500</v>
      </c>
      <c r="BH66">
        <v>5816</v>
      </c>
      <c r="BJ66">
        <v>3780</v>
      </c>
      <c r="BL66">
        <v>5816</v>
      </c>
      <c r="BN66">
        <v>5816</v>
      </c>
      <c r="BP66">
        <v>5816</v>
      </c>
      <c r="BR66">
        <v>5816</v>
      </c>
      <c r="BT66">
        <v>5816</v>
      </c>
      <c r="BV66">
        <v>5816</v>
      </c>
    </row>
    <row r="67">
      <c r="H67">
        <v>2500</v>
      </c>
      <c r="J67">
        <v>2500</v>
      </c>
      <c r="L67">
        <v>2500</v>
      </c>
      <c r="N67">
        <v>2500</v>
      </c>
      <c r="P67">
        <v>2500</v>
      </c>
      <c r="R67">
        <v>2500</v>
      </c>
      <c r="T67">
        <v>2500</v>
      </c>
      <c r="V67">
        <v>4885</v>
      </c>
      <c r="X67">
        <v>2500</v>
      </c>
      <c r="Z67">
        <v>3750</v>
      </c>
      <c r="AB67">
        <v>5000</v>
      </c>
      <c r="AD67">
        <v>11000</v>
      </c>
      <c r="AF67">
        <v>2400</v>
      </c>
      <c r="AG67">
        <v>38</v>
      </c>
      <c r="AH67">
        <v>0</v>
      </c>
      <c r="AJ67">
        <v>2500</v>
      </c>
      <c r="AL67">
        <v>6050</v>
      </c>
      <c r="AN67">
        <v>2500</v>
      </c>
      <c r="AP67">
        <v>2500</v>
      </c>
      <c r="AR67">
        <v>2500</v>
      </c>
      <c r="AT67">
        <v>2500</v>
      </c>
      <c r="AW67" t="str">
        <v>nok palentong</v>
      </c>
      <c r="AX67">
        <v>2750</v>
      </c>
      <c r="AZ67">
        <v>2500</v>
      </c>
      <c r="BB67">
        <v>2500</v>
      </c>
      <c r="BD67">
        <v>9300</v>
      </c>
      <c r="BF67">
        <v>7800</v>
      </c>
      <c r="BH67">
        <v>2500</v>
      </c>
      <c r="BJ67">
        <v>2500</v>
      </c>
      <c r="BL67">
        <v>2500</v>
      </c>
      <c r="BN67">
        <v>2500</v>
      </c>
      <c r="BP67">
        <v>2500</v>
      </c>
      <c r="BR67">
        <v>2500</v>
      </c>
      <c r="BT67">
        <v>2500</v>
      </c>
      <c r="BV67">
        <v>2500</v>
      </c>
    </row>
    <row r="68">
      <c r="H68">
        <v>12463</v>
      </c>
      <c r="J68">
        <v>16000</v>
      </c>
      <c r="L68">
        <v>12463</v>
      </c>
      <c r="N68">
        <v>125500</v>
      </c>
      <c r="P68">
        <v>12463</v>
      </c>
      <c r="R68">
        <v>12463</v>
      </c>
      <c r="T68">
        <v>12463</v>
      </c>
      <c r="V68">
        <v>20374</v>
      </c>
      <c r="X68">
        <v>12463</v>
      </c>
      <c r="Z68">
        <v>8000</v>
      </c>
      <c r="AB68">
        <v>7500</v>
      </c>
      <c r="AD68">
        <v>10500</v>
      </c>
      <c r="AF68">
        <v>19400</v>
      </c>
      <c r="AG68">
        <v>39</v>
      </c>
      <c r="AH68">
        <v>0</v>
      </c>
      <c r="AJ68">
        <v>12463</v>
      </c>
      <c r="AL68">
        <v>10500</v>
      </c>
      <c r="AN68">
        <v>12463</v>
      </c>
      <c r="AP68">
        <v>12463</v>
      </c>
      <c r="AR68">
        <v>12463</v>
      </c>
      <c r="AT68">
        <v>12463</v>
      </c>
      <c r="AX68">
        <v>12463</v>
      </c>
      <c r="AZ68">
        <v>12463</v>
      </c>
      <c r="BB68">
        <v>12463</v>
      </c>
      <c r="BD68">
        <v>16300</v>
      </c>
      <c r="BF68">
        <v>12500</v>
      </c>
      <c r="BH68">
        <v>12463</v>
      </c>
      <c r="BJ68">
        <v>12463</v>
      </c>
      <c r="BL68">
        <v>12463</v>
      </c>
      <c r="BN68">
        <v>12463</v>
      </c>
      <c r="BP68">
        <v>12463</v>
      </c>
      <c r="BR68">
        <v>12463</v>
      </c>
      <c r="BT68">
        <v>12463</v>
      </c>
      <c r="BV68">
        <v>12463</v>
      </c>
    </row>
    <row r="69">
      <c r="H69">
        <v>46300</v>
      </c>
      <c r="J69">
        <v>73000</v>
      </c>
      <c r="L69">
        <v>71000</v>
      </c>
      <c r="N69">
        <v>52750</v>
      </c>
      <c r="P69">
        <v>52650</v>
      </c>
      <c r="R69">
        <v>65500</v>
      </c>
      <c r="T69">
        <v>30855</v>
      </c>
      <c r="V69">
        <v>28000</v>
      </c>
      <c r="X69">
        <v>38500</v>
      </c>
      <c r="Z69">
        <v>60500</v>
      </c>
      <c r="AB69">
        <v>38000</v>
      </c>
      <c r="AD69">
        <v>49800</v>
      </c>
      <c r="AF69">
        <v>48000</v>
      </c>
      <c r="AG69">
        <v>687</v>
      </c>
      <c r="AH69">
        <v>0</v>
      </c>
      <c r="AJ69">
        <v>38400</v>
      </c>
      <c r="AL69">
        <v>48250</v>
      </c>
      <c r="AN69">
        <v>65500</v>
      </c>
      <c r="AP69">
        <v>52000</v>
      </c>
      <c r="AR69">
        <v>13000</v>
      </c>
      <c r="AT69">
        <v>73500</v>
      </c>
      <c r="AX69">
        <v>37950</v>
      </c>
      <c r="AZ69">
        <v>100000</v>
      </c>
      <c r="BB69">
        <v>49613</v>
      </c>
      <c r="BD69">
        <v>77600</v>
      </c>
      <c r="BF69">
        <v>64500</v>
      </c>
      <c r="BH69">
        <v>64765</v>
      </c>
      <c r="BJ69">
        <v>62553</v>
      </c>
      <c r="BL69">
        <v>100991</v>
      </c>
      <c r="BN69">
        <v>36750</v>
      </c>
      <c r="BP69">
        <v>58000</v>
      </c>
      <c r="BR69">
        <v>60000</v>
      </c>
      <c r="BT69">
        <v>91000</v>
      </c>
      <c r="BV69">
        <v>97750</v>
      </c>
    </row>
    <row r="72">
      <c r="H72">
        <v>140000</v>
      </c>
      <c r="J72">
        <v>62500</v>
      </c>
      <c r="L72">
        <v>75000</v>
      </c>
      <c r="N72">
        <v>70200</v>
      </c>
      <c r="P72">
        <v>62500</v>
      </c>
      <c r="R72">
        <v>62500</v>
      </c>
      <c r="T72">
        <v>81345</v>
      </c>
      <c r="V72">
        <v>97800</v>
      </c>
      <c r="X72">
        <v>93500</v>
      </c>
      <c r="Z72">
        <v>59400</v>
      </c>
      <c r="AB72">
        <v>85000</v>
      </c>
      <c r="AD72">
        <v>98600</v>
      </c>
      <c r="AF72">
        <v>69850</v>
      </c>
      <c r="AG72">
        <v>262</v>
      </c>
      <c r="AH72">
        <v>80000</v>
      </c>
      <c r="AJ72">
        <v>78200</v>
      </c>
      <c r="AL72">
        <v>80000</v>
      </c>
      <c r="AN72">
        <v>62500</v>
      </c>
      <c r="AP72">
        <v>75100</v>
      </c>
      <c r="AR72">
        <v>110700</v>
      </c>
      <c r="AT72">
        <v>84000</v>
      </c>
      <c r="AX72">
        <v>62500</v>
      </c>
      <c r="AZ72">
        <v>70000</v>
      </c>
      <c r="BB72">
        <v>79696</v>
      </c>
      <c r="BD72">
        <v>131900</v>
      </c>
      <c r="BF72">
        <v>89732.52804141502</v>
      </c>
      <c r="BH72">
        <v>165220</v>
      </c>
      <c r="BJ72">
        <v>80042</v>
      </c>
      <c r="BL72">
        <v>88000</v>
      </c>
      <c r="BN72">
        <v>62500</v>
      </c>
      <c r="BP72">
        <v>100000</v>
      </c>
      <c r="BR72">
        <v>62500</v>
      </c>
      <c r="BT72">
        <v>299600</v>
      </c>
      <c r="BV72">
        <v>62500</v>
      </c>
    </row>
    <row r="73">
      <c r="H73">
        <v>170000</v>
      </c>
      <c r="J73">
        <v>114350</v>
      </c>
      <c r="L73">
        <v>90000</v>
      </c>
      <c r="N73">
        <v>95250</v>
      </c>
      <c r="P73">
        <v>144000</v>
      </c>
      <c r="R73">
        <v>90000</v>
      </c>
      <c r="T73">
        <v>137445</v>
      </c>
      <c r="V73">
        <v>138800</v>
      </c>
      <c r="X73">
        <v>121000</v>
      </c>
      <c r="Z73">
        <v>85800</v>
      </c>
      <c r="AB73">
        <v>95000</v>
      </c>
      <c r="AD73">
        <v>107800</v>
      </c>
      <c r="AF73">
        <v>92400</v>
      </c>
      <c r="AG73">
        <v>263</v>
      </c>
      <c r="AH73">
        <v>150000</v>
      </c>
      <c r="AJ73">
        <v>74750</v>
      </c>
      <c r="AL73">
        <v>95000</v>
      </c>
      <c r="AN73">
        <v>162046</v>
      </c>
      <c r="AP73">
        <v>96500</v>
      </c>
      <c r="AR73">
        <v>143600</v>
      </c>
      <c r="AT73">
        <v>94500</v>
      </c>
      <c r="AX73">
        <v>107470</v>
      </c>
      <c r="AZ73">
        <v>90000</v>
      </c>
      <c r="BB73">
        <v>109725</v>
      </c>
      <c r="BD73">
        <v>147500</v>
      </c>
      <c r="BF73">
        <v>101488.35202761002</v>
      </c>
      <c r="BH73">
        <v>206275</v>
      </c>
      <c r="BJ73">
        <v>186480</v>
      </c>
      <c r="BL73">
        <v>122100</v>
      </c>
      <c r="BN73">
        <v>90000</v>
      </c>
      <c r="BP73">
        <v>135000</v>
      </c>
      <c r="BR73">
        <v>190000</v>
      </c>
      <c r="BT73">
        <v>417300</v>
      </c>
      <c r="BV73">
        <v>90000</v>
      </c>
    </row>
    <row r="74">
      <c r="H74">
        <v>170000</v>
      </c>
      <c r="J74">
        <v>125000</v>
      </c>
      <c r="L74">
        <v>125000</v>
      </c>
      <c r="N74">
        <v>480000</v>
      </c>
      <c r="P74">
        <v>125000</v>
      </c>
      <c r="R74">
        <v>125000</v>
      </c>
      <c r="T74">
        <v>159885</v>
      </c>
      <c r="V74">
        <v>97500</v>
      </c>
      <c r="X74">
        <v>154000</v>
      </c>
      <c r="Z74">
        <v>158400</v>
      </c>
      <c r="AB74">
        <v>85000</v>
      </c>
      <c r="AD74">
        <v>235800</v>
      </c>
      <c r="AF74">
        <v>198000</v>
      </c>
      <c r="AG74">
        <v>688</v>
      </c>
      <c r="AH74">
        <v>0</v>
      </c>
      <c r="AJ74">
        <v>125000</v>
      </c>
      <c r="AL74">
        <v>190000</v>
      </c>
      <c r="AN74">
        <v>380457</v>
      </c>
      <c r="AP74">
        <v>125000</v>
      </c>
      <c r="AR74">
        <v>150500</v>
      </c>
      <c r="AT74">
        <v>125000</v>
      </c>
      <c r="AX74">
        <v>125000</v>
      </c>
      <c r="AZ74">
        <v>125000</v>
      </c>
      <c r="BB74">
        <v>125000</v>
      </c>
      <c r="BD74">
        <v>201800</v>
      </c>
      <c r="BF74">
        <v>125000</v>
      </c>
      <c r="BH74">
        <v>206275</v>
      </c>
      <c r="BI74" t="str">
        <v>6 mm</v>
      </c>
      <c r="BJ74">
        <v>206168</v>
      </c>
      <c r="BL74">
        <v>125000</v>
      </c>
      <c r="BN74">
        <v>125000</v>
      </c>
      <c r="BP74">
        <v>135000</v>
      </c>
      <c r="BR74">
        <v>125000</v>
      </c>
      <c r="BS74" t="str">
        <v>rayben 5mm</v>
      </c>
      <c r="BT74">
        <v>438700</v>
      </c>
      <c r="BV74">
        <v>125000</v>
      </c>
    </row>
    <row r="77">
      <c r="H77">
        <v>16000</v>
      </c>
      <c r="J77">
        <v>18000</v>
      </c>
      <c r="L77">
        <v>15500</v>
      </c>
      <c r="N77">
        <v>17325</v>
      </c>
      <c r="P77">
        <v>14400</v>
      </c>
      <c r="R77">
        <v>18000</v>
      </c>
      <c r="T77">
        <v>18513</v>
      </c>
      <c r="V77">
        <v>13300</v>
      </c>
      <c r="X77">
        <v>20000</v>
      </c>
      <c r="Z77">
        <v>18700</v>
      </c>
      <c r="AB77">
        <v>17500</v>
      </c>
      <c r="AD77">
        <v>27500</v>
      </c>
      <c r="AF77">
        <v>17800</v>
      </c>
      <c r="AG77">
        <v>333</v>
      </c>
      <c r="AH77">
        <v>16300</v>
      </c>
      <c r="AJ77">
        <v>17250</v>
      </c>
      <c r="AL77">
        <v>14500</v>
      </c>
      <c r="AN77">
        <v>25363</v>
      </c>
      <c r="AP77">
        <v>16200</v>
      </c>
      <c r="AR77">
        <v>25200</v>
      </c>
      <c r="AT77">
        <v>10500</v>
      </c>
      <c r="AX77">
        <v>23980</v>
      </c>
      <c r="AZ77">
        <v>15000</v>
      </c>
      <c r="BB77">
        <v>14000</v>
      </c>
      <c r="BD77">
        <v>31000</v>
      </c>
      <c r="BF77">
        <v>29600</v>
      </c>
      <c r="BH77">
        <v>21214</v>
      </c>
      <c r="BJ77">
        <v>20160</v>
      </c>
      <c r="BL77">
        <v>22363</v>
      </c>
      <c r="BN77">
        <v>18000</v>
      </c>
      <c r="BP77">
        <v>18000</v>
      </c>
      <c r="BR77">
        <v>27500</v>
      </c>
      <c r="BT77">
        <v>26800</v>
      </c>
      <c r="BV77">
        <v>21500</v>
      </c>
    </row>
    <row r="78">
      <c r="H78">
        <v>16000</v>
      </c>
      <c r="J78">
        <v>18000</v>
      </c>
      <c r="L78">
        <v>15500</v>
      </c>
      <c r="N78">
        <v>17325</v>
      </c>
      <c r="P78">
        <v>14400</v>
      </c>
      <c r="R78">
        <v>12000</v>
      </c>
      <c r="T78">
        <v>18513</v>
      </c>
      <c r="V78">
        <v>14550</v>
      </c>
      <c r="X78">
        <v>20000</v>
      </c>
      <c r="Z78">
        <v>18700</v>
      </c>
      <c r="AB78">
        <v>15000</v>
      </c>
      <c r="AD78">
        <v>28200</v>
      </c>
      <c r="AF78">
        <v>16420</v>
      </c>
      <c r="AG78">
        <v>333</v>
      </c>
      <c r="AH78">
        <v>16300</v>
      </c>
      <c r="AJ78">
        <v>17250</v>
      </c>
      <c r="AL78">
        <v>14500</v>
      </c>
      <c r="AN78">
        <v>25363</v>
      </c>
      <c r="AP78">
        <v>16200</v>
      </c>
      <c r="AR78">
        <v>25200</v>
      </c>
      <c r="AT78">
        <v>10500</v>
      </c>
      <c r="AX78">
        <v>23980</v>
      </c>
      <c r="AZ78">
        <v>15000</v>
      </c>
      <c r="BB78">
        <v>14000</v>
      </c>
      <c r="BD78">
        <v>23300</v>
      </c>
      <c r="BF78">
        <v>29600</v>
      </c>
      <c r="BH78">
        <v>21214</v>
      </c>
      <c r="BJ78">
        <v>17640</v>
      </c>
      <c r="BL78">
        <v>21428</v>
      </c>
      <c r="BN78">
        <v>12000</v>
      </c>
      <c r="BP78">
        <v>13000</v>
      </c>
      <c r="BR78">
        <v>27500</v>
      </c>
      <c r="BT78">
        <v>26800</v>
      </c>
      <c r="BV78">
        <v>22500</v>
      </c>
    </row>
    <row r="79">
      <c r="H79">
        <v>16000</v>
      </c>
      <c r="J79">
        <v>18000</v>
      </c>
      <c r="L79">
        <v>15500</v>
      </c>
      <c r="N79">
        <v>17325</v>
      </c>
      <c r="P79">
        <v>14400</v>
      </c>
      <c r="R79">
        <v>12000</v>
      </c>
      <c r="T79">
        <v>18513</v>
      </c>
      <c r="V79">
        <v>14550</v>
      </c>
      <c r="X79">
        <v>20000</v>
      </c>
      <c r="Z79">
        <v>18700</v>
      </c>
      <c r="AB79">
        <v>15000</v>
      </c>
      <c r="AD79">
        <v>28200</v>
      </c>
      <c r="AF79">
        <v>14800</v>
      </c>
      <c r="AG79">
        <v>333</v>
      </c>
      <c r="AH79">
        <v>16300</v>
      </c>
      <c r="AJ79">
        <v>17250</v>
      </c>
      <c r="AL79">
        <v>14500</v>
      </c>
      <c r="AN79">
        <v>25363</v>
      </c>
      <c r="AP79">
        <v>16200</v>
      </c>
      <c r="AR79">
        <v>25200</v>
      </c>
      <c r="AT79">
        <v>10500</v>
      </c>
      <c r="AX79">
        <v>23980</v>
      </c>
      <c r="AZ79">
        <v>15000</v>
      </c>
      <c r="BB79">
        <v>14000</v>
      </c>
      <c r="BD79">
        <v>23300</v>
      </c>
      <c r="BF79">
        <v>29600</v>
      </c>
      <c r="BH79">
        <v>21214</v>
      </c>
      <c r="BJ79">
        <v>17640</v>
      </c>
      <c r="BL79">
        <v>20603</v>
      </c>
      <c r="BN79">
        <v>12000</v>
      </c>
      <c r="BP79">
        <v>13000</v>
      </c>
      <c r="BR79">
        <v>27500</v>
      </c>
      <c r="BT79">
        <v>26800</v>
      </c>
      <c r="BV79">
        <v>12000</v>
      </c>
    </row>
    <row r="80">
      <c r="H80">
        <v>8000</v>
      </c>
      <c r="J80">
        <v>3700</v>
      </c>
      <c r="L80">
        <v>1410</v>
      </c>
      <c r="N80">
        <v>3700</v>
      </c>
      <c r="P80">
        <v>37000</v>
      </c>
      <c r="R80">
        <v>3700</v>
      </c>
      <c r="T80">
        <v>505</v>
      </c>
      <c r="V80">
        <v>1000</v>
      </c>
      <c r="X80">
        <v>7100</v>
      </c>
      <c r="Z80">
        <v>550</v>
      </c>
      <c r="AB80">
        <v>18500</v>
      </c>
      <c r="AD80">
        <v>3700</v>
      </c>
      <c r="AF80">
        <v>3700</v>
      </c>
      <c r="AG80">
        <v>335</v>
      </c>
      <c r="AH80">
        <v>25000</v>
      </c>
      <c r="AJ80">
        <v>250</v>
      </c>
      <c r="AL80">
        <v>3700</v>
      </c>
      <c r="AN80">
        <v>3700</v>
      </c>
      <c r="AP80">
        <v>9200</v>
      </c>
      <c r="AR80">
        <v>900</v>
      </c>
      <c r="AT80">
        <v>3700</v>
      </c>
      <c r="AX80">
        <v>3700</v>
      </c>
      <c r="AZ80">
        <v>250</v>
      </c>
      <c r="BB80">
        <v>3700</v>
      </c>
      <c r="BD80">
        <v>3700</v>
      </c>
      <c r="BF80">
        <v>3700</v>
      </c>
      <c r="BH80">
        <v>3700</v>
      </c>
      <c r="BJ80">
        <v>3700</v>
      </c>
      <c r="BL80">
        <v>3700</v>
      </c>
      <c r="BN80">
        <v>3700</v>
      </c>
      <c r="BP80">
        <v>1510</v>
      </c>
      <c r="BR80">
        <v>3700</v>
      </c>
      <c r="BT80">
        <v>1900</v>
      </c>
      <c r="BV80">
        <v>16500</v>
      </c>
    </row>
    <row r="83">
      <c r="H83">
        <v>25000</v>
      </c>
      <c r="J83">
        <v>33600</v>
      </c>
      <c r="L83">
        <v>47000</v>
      </c>
      <c r="N83">
        <v>16250</v>
      </c>
      <c r="P83">
        <v>50400</v>
      </c>
      <c r="R83">
        <v>47000</v>
      </c>
      <c r="T83">
        <v>23001</v>
      </c>
      <c r="V83">
        <v>42850</v>
      </c>
      <c r="X83">
        <v>49500</v>
      </c>
      <c r="Z83">
        <v>82500</v>
      </c>
      <c r="AB83">
        <v>45000</v>
      </c>
      <c r="AD83">
        <v>51000</v>
      </c>
      <c r="AF83">
        <v>66400</v>
      </c>
      <c r="AG83">
        <v>235</v>
      </c>
      <c r="AH83">
        <v>36500</v>
      </c>
      <c r="AJ83">
        <v>57500</v>
      </c>
      <c r="AL83">
        <v>50650</v>
      </c>
      <c r="AN83">
        <v>55659</v>
      </c>
      <c r="AP83">
        <v>46200</v>
      </c>
      <c r="AR83">
        <v>63200</v>
      </c>
      <c r="AT83">
        <v>47000</v>
      </c>
      <c r="AX83">
        <v>13750</v>
      </c>
      <c r="AZ83">
        <v>100000</v>
      </c>
      <c r="BB83">
        <v>34073</v>
      </c>
      <c r="BD83">
        <v>65200</v>
      </c>
      <c r="BF83">
        <v>102400</v>
      </c>
      <c r="BH83">
        <v>52885</v>
      </c>
      <c r="BJ83">
        <v>52038</v>
      </c>
      <c r="BL83">
        <v>56496</v>
      </c>
      <c r="BN83">
        <v>47250</v>
      </c>
      <c r="BP83">
        <v>31000</v>
      </c>
      <c r="BR83">
        <v>40000</v>
      </c>
      <c r="BT83">
        <v>53500</v>
      </c>
      <c r="BV83">
        <v>39500</v>
      </c>
    </row>
    <row r="84">
      <c r="H84">
        <v>21025</v>
      </c>
      <c r="J84">
        <v>7700</v>
      </c>
      <c r="L84">
        <v>28000</v>
      </c>
      <c r="N84">
        <v>21025</v>
      </c>
      <c r="P84">
        <v>21025</v>
      </c>
      <c r="R84">
        <v>21025</v>
      </c>
      <c r="T84">
        <v>26928</v>
      </c>
      <c r="V84">
        <v>32800</v>
      </c>
      <c r="X84">
        <v>25000</v>
      </c>
      <c r="Z84">
        <v>9350</v>
      </c>
      <c r="AB84">
        <v>25500</v>
      </c>
      <c r="AD84">
        <v>34100</v>
      </c>
      <c r="AF84">
        <v>22585</v>
      </c>
      <c r="AG84">
        <v>232</v>
      </c>
      <c r="AH84">
        <v>32000</v>
      </c>
      <c r="AJ84">
        <v>18950</v>
      </c>
      <c r="AL84">
        <v>24050</v>
      </c>
      <c r="AN84">
        <v>36213</v>
      </c>
      <c r="AP84">
        <v>21025</v>
      </c>
      <c r="AR84">
        <v>31600</v>
      </c>
      <c r="AT84">
        <v>21025</v>
      </c>
      <c r="AX84">
        <v>17050</v>
      </c>
      <c r="AZ84">
        <v>34000</v>
      </c>
      <c r="BB84">
        <v>21025</v>
      </c>
      <c r="BD84">
        <v>27900</v>
      </c>
      <c r="BF84">
        <v>16400</v>
      </c>
      <c r="BH84">
        <v>21025</v>
      </c>
      <c r="BJ84">
        <v>23940</v>
      </c>
      <c r="BL84">
        <v>27071</v>
      </c>
      <c r="BN84">
        <v>21025</v>
      </c>
      <c r="BO84" t="str">
        <v>dempul</v>
      </c>
      <c r="BP84">
        <v>34000</v>
      </c>
      <c r="BR84">
        <v>21025</v>
      </c>
      <c r="BT84">
        <v>26800</v>
      </c>
      <c r="BV84">
        <v>21025</v>
      </c>
    </row>
    <row r="85">
      <c r="H85">
        <v>30030</v>
      </c>
      <c r="J85">
        <v>33600</v>
      </c>
      <c r="L85">
        <v>25000</v>
      </c>
      <c r="N85">
        <v>16250</v>
      </c>
      <c r="P85">
        <v>11615</v>
      </c>
      <c r="R85">
        <v>11615</v>
      </c>
      <c r="T85">
        <v>11615</v>
      </c>
      <c r="V85">
        <v>14400</v>
      </c>
      <c r="X85">
        <v>49500</v>
      </c>
      <c r="Z85">
        <v>40700</v>
      </c>
      <c r="AB85">
        <v>25000</v>
      </c>
      <c r="AD85">
        <v>11615</v>
      </c>
      <c r="AF85">
        <v>12964</v>
      </c>
      <c r="AG85">
        <v>231</v>
      </c>
      <c r="AH85">
        <v>35000</v>
      </c>
      <c r="AJ85">
        <v>11615</v>
      </c>
      <c r="AL85">
        <v>24050</v>
      </c>
      <c r="AN85">
        <v>78909</v>
      </c>
      <c r="AP85">
        <v>11615</v>
      </c>
      <c r="AR85">
        <v>11615</v>
      </c>
      <c r="AT85">
        <v>11615</v>
      </c>
      <c r="AX85">
        <v>3960</v>
      </c>
      <c r="AZ85">
        <v>100000</v>
      </c>
      <c r="BB85">
        <v>11615</v>
      </c>
      <c r="BD85">
        <v>27200</v>
      </c>
      <c r="BF85">
        <v>18200</v>
      </c>
      <c r="BH85">
        <v>27079</v>
      </c>
      <c r="BJ85">
        <v>28602</v>
      </c>
      <c r="BL85">
        <v>26609</v>
      </c>
      <c r="BN85">
        <v>11615</v>
      </c>
      <c r="BP85">
        <v>25000</v>
      </c>
      <c r="BR85">
        <v>11615</v>
      </c>
      <c r="BT85">
        <v>26800</v>
      </c>
      <c r="BV85">
        <v>11615</v>
      </c>
    </row>
    <row r="86">
      <c r="H86">
        <v>27500</v>
      </c>
      <c r="J86">
        <v>21000</v>
      </c>
      <c r="L86">
        <v>27500</v>
      </c>
      <c r="N86">
        <v>27500</v>
      </c>
      <c r="P86">
        <v>27500</v>
      </c>
      <c r="R86">
        <v>27500</v>
      </c>
      <c r="T86">
        <v>28050</v>
      </c>
      <c r="V86">
        <v>32800</v>
      </c>
      <c r="X86">
        <v>27500</v>
      </c>
      <c r="Z86">
        <v>27500</v>
      </c>
      <c r="AB86">
        <v>30000</v>
      </c>
      <c r="AD86">
        <v>27500</v>
      </c>
      <c r="AF86">
        <v>50930</v>
      </c>
      <c r="AG86">
        <v>578</v>
      </c>
      <c r="AH86">
        <v>0</v>
      </c>
      <c r="AJ86">
        <v>27500</v>
      </c>
      <c r="AL86">
        <v>36050</v>
      </c>
      <c r="AN86">
        <v>27500</v>
      </c>
      <c r="AP86">
        <v>27500</v>
      </c>
      <c r="AR86">
        <v>27500</v>
      </c>
      <c r="AT86">
        <v>27500</v>
      </c>
      <c r="AX86">
        <v>27500</v>
      </c>
      <c r="AZ86">
        <v>27500</v>
      </c>
      <c r="BB86">
        <v>27500</v>
      </c>
      <c r="BD86">
        <v>40400</v>
      </c>
      <c r="BF86">
        <v>27500</v>
      </c>
      <c r="BH86">
        <v>27500</v>
      </c>
      <c r="BJ86">
        <v>39060</v>
      </c>
      <c r="BL86">
        <v>27500</v>
      </c>
      <c r="BN86">
        <v>27500</v>
      </c>
      <c r="BP86">
        <v>27500</v>
      </c>
      <c r="BR86">
        <v>27500</v>
      </c>
      <c r="BT86">
        <v>27500</v>
      </c>
      <c r="BV86">
        <v>27500</v>
      </c>
    </row>
    <row r="87">
      <c r="H87">
        <v>19000</v>
      </c>
      <c r="J87">
        <v>11410</v>
      </c>
      <c r="L87">
        <v>18000</v>
      </c>
      <c r="N87">
        <v>11410</v>
      </c>
      <c r="P87">
        <v>11410</v>
      </c>
      <c r="R87">
        <v>11410</v>
      </c>
      <c r="T87">
        <v>13464</v>
      </c>
      <c r="V87">
        <v>10671</v>
      </c>
      <c r="X87">
        <v>28750</v>
      </c>
      <c r="Z87">
        <v>22000</v>
      </c>
      <c r="AB87">
        <v>15000</v>
      </c>
      <c r="AD87">
        <v>28800</v>
      </c>
      <c r="AF87">
        <v>23695</v>
      </c>
      <c r="AG87">
        <v>254</v>
      </c>
      <c r="AH87">
        <v>10000</v>
      </c>
      <c r="AJ87">
        <v>13900</v>
      </c>
      <c r="AL87">
        <v>24050</v>
      </c>
      <c r="AN87">
        <v>31704</v>
      </c>
      <c r="AP87">
        <v>11410</v>
      </c>
      <c r="AR87">
        <v>25400</v>
      </c>
      <c r="AT87">
        <v>11410</v>
      </c>
      <c r="AX87">
        <v>11410</v>
      </c>
      <c r="AZ87">
        <v>11410</v>
      </c>
      <c r="BB87">
        <v>11410</v>
      </c>
      <c r="BD87">
        <v>16300</v>
      </c>
      <c r="BF87">
        <v>11410</v>
      </c>
      <c r="BH87">
        <v>29425</v>
      </c>
      <c r="BJ87">
        <v>34020</v>
      </c>
      <c r="BL87">
        <v>11410</v>
      </c>
      <c r="BN87">
        <v>11410</v>
      </c>
      <c r="BO87" t="str">
        <v>minyak cat</v>
      </c>
      <c r="BP87">
        <v>10000</v>
      </c>
      <c r="BR87">
        <v>11410</v>
      </c>
      <c r="BT87">
        <v>17900</v>
      </c>
      <c r="BV87">
        <v>11410</v>
      </c>
    </row>
    <row r="88">
      <c r="H88">
        <v>3500</v>
      </c>
      <c r="J88">
        <v>3000</v>
      </c>
      <c r="L88">
        <v>8000</v>
      </c>
      <c r="N88">
        <v>6850</v>
      </c>
      <c r="P88">
        <v>6850</v>
      </c>
      <c r="R88">
        <v>6850</v>
      </c>
      <c r="T88">
        <v>7854</v>
      </c>
      <c r="V88">
        <v>6850</v>
      </c>
      <c r="X88">
        <v>5500</v>
      </c>
      <c r="Z88">
        <v>3850</v>
      </c>
      <c r="AB88">
        <v>6850</v>
      </c>
      <c r="AD88">
        <v>3900</v>
      </c>
      <c r="AF88">
        <v>3420</v>
      </c>
      <c r="AG88">
        <v>233</v>
      </c>
      <c r="AH88">
        <v>5000</v>
      </c>
      <c r="AJ88">
        <v>6850</v>
      </c>
      <c r="AL88">
        <v>4900</v>
      </c>
      <c r="AN88">
        <v>3522</v>
      </c>
      <c r="AP88">
        <v>6850</v>
      </c>
      <c r="AR88">
        <v>7100</v>
      </c>
      <c r="AT88">
        <v>6850</v>
      </c>
      <c r="AX88">
        <v>5280</v>
      </c>
      <c r="AZ88">
        <v>3000</v>
      </c>
      <c r="BB88">
        <v>6850</v>
      </c>
      <c r="BD88">
        <v>3900</v>
      </c>
      <c r="BF88">
        <v>3100</v>
      </c>
      <c r="BH88">
        <v>4767</v>
      </c>
      <c r="BJ88">
        <v>3276</v>
      </c>
      <c r="BL88">
        <v>4125</v>
      </c>
      <c r="BN88">
        <v>6850</v>
      </c>
      <c r="BP88">
        <v>3000</v>
      </c>
      <c r="BR88">
        <v>6850</v>
      </c>
      <c r="BT88">
        <v>6500</v>
      </c>
      <c r="BV88">
        <v>10000</v>
      </c>
    </row>
    <row r="89">
      <c r="H89">
        <v>7500</v>
      </c>
      <c r="J89">
        <v>15000</v>
      </c>
      <c r="L89">
        <v>13000</v>
      </c>
      <c r="N89">
        <v>14437</v>
      </c>
      <c r="P89">
        <v>6000</v>
      </c>
      <c r="R89">
        <v>7500</v>
      </c>
      <c r="T89">
        <v>8415</v>
      </c>
      <c r="V89">
        <v>7500</v>
      </c>
      <c r="X89">
        <v>16500</v>
      </c>
      <c r="Z89">
        <v>12000</v>
      </c>
      <c r="AB89">
        <v>10000</v>
      </c>
      <c r="AD89">
        <v>11800</v>
      </c>
      <c r="AF89">
        <v>11100</v>
      </c>
      <c r="AG89">
        <v>576</v>
      </c>
      <c r="AH89">
        <v>0</v>
      </c>
      <c r="AJ89">
        <v>7250</v>
      </c>
      <c r="AL89">
        <v>7300</v>
      </c>
      <c r="AN89">
        <v>25081</v>
      </c>
      <c r="AP89">
        <v>7500</v>
      </c>
      <c r="AR89">
        <v>7500</v>
      </c>
      <c r="AT89">
        <v>7500</v>
      </c>
      <c r="AX89">
        <v>4510</v>
      </c>
      <c r="AZ89">
        <v>7500</v>
      </c>
      <c r="BB89">
        <v>7000</v>
      </c>
      <c r="BD89">
        <v>9300</v>
      </c>
      <c r="BF89">
        <v>7500</v>
      </c>
      <c r="BH89">
        <v>11218.5</v>
      </c>
      <c r="BJ89">
        <v>3780</v>
      </c>
      <c r="BL89">
        <v>7500</v>
      </c>
      <c r="BN89">
        <v>7500</v>
      </c>
      <c r="BP89">
        <v>7500</v>
      </c>
      <c r="BR89">
        <v>7500</v>
      </c>
      <c r="BT89">
        <v>7500</v>
      </c>
      <c r="BV89">
        <v>8750</v>
      </c>
    </row>
    <row r="90">
      <c r="H90">
        <v>35000</v>
      </c>
      <c r="J90">
        <v>23670</v>
      </c>
      <c r="L90">
        <v>110000</v>
      </c>
      <c r="N90">
        <v>25410</v>
      </c>
      <c r="P90">
        <v>180000</v>
      </c>
      <c r="R90">
        <v>35000</v>
      </c>
      <c r="T90">
        <v>67881</v>
      </c>
      <c r="V90">
        <v>22000</v>
      </c>
      <c r="X90">
        <v>22000</v>
      </c>
      <c r="Z90">
        <v>30000</v>
      </c>
      <c r="AB90">
        <v>75000</v>
      </c>
      <c r="AD90">
        <v>183400</v>
      </c>
      <c r="AF90">
        <v>49870</v>
      </c>
      <c r="AG90">
        <v>246</v>
      </c>
      <c r="AH90">
        <v>125000</v>
      </c>
      <c r="AJ90">
        <v>80000</v>
      </c>
      <c r="AL90">
        <v>21010</v>
      </c>
      <c r="AN90">
        <v>219819</v>
      </c>
      <c r="AP90">
        <v>23100</v>
      </c>
      <c r="AR90">
        <v>32040</v>
      </c>
      <c r="AT90">
        <v>35000</v>
      </c>
      <c r="AX90">
        <v>103070</v>
      </c>
      <c r="AZ90">
        <v>17000</v>
      </c>
      <c r="BB90">
        <v>40425</v>
      </c>
      <c r="BD90">
        <v>65200</v>
      </c>
      <c r="BF90">
        <v>41400</v>
      </c>
      <c r="BH90">
        <v>64615</v>
      </c>
      <c r="BJ90">
        <v>49140</v>
      </c>
      <c r="BL90">
        <v>34100</v>
      </c>
      <c r="BN90">
        <v>35000</v>
      </c>
      <c r="BP90">
        <v>45000</v>
      </c>
      <c r="BR90">
        <v>60000</v>
      </c>
      <c r="BT90">
        <v>171200</v>
      </c>
      <c r="BV90">
        <v>48750</v>
      </c>
    </row>
    <row r="91">
      <c r="H91">
        <v>22000</v>
      </c>
      <c r="J91">
        <v>18160</v>
      </c>
      <c r="L91">
        <v>16000</v>
      </c>
      <c r="N91">
        <v>13650</v>
      </c>
      <c r="P91">
        <v>25740</v>
      </c>
      <c r="R91">
        <v>11800</v>
      </c>
      <c r="T91">
        <v>15708</v>
      </c>
      <c r="V91">
        <v>13600</v>
      </c>
      <c r="X91">
        <v>20300</v>
      </c>
      <c r="Z91">
        <v>19800</v>
      </c>
      <c r="AB91">
        <v>19000</v>
      </c>
      <c r="AD91">
        <v>74700</v>
      </c>
      <c r="AF91">
        <v>19204</v>
      </c>
      <c r="AG91">
        <v>249</v>
      </c>
      <c r="AH91">
        <v>125000</v>
      </c>
      <c r="AJ91">
        <v>57500</v>
      </c>
      <c r="AL91">
        <v>15000</v>
      </c>
      <c r="AN91">
        <v>89477</v>
      </c>
      <c r="AP91">
        <v>11552</v>
      </c>
      <c r="AR91">
        <v>20440</v>
      </c>
      <c r="AT91">
        <v>11800</v>
      </c>
      <c r="AX91">
        <v>10780</v>
      </c>
      <c r="AZ91">
        <v>9000</v>
      </c>
      <c r="BB91">
        <v>11800</v>
      </c>
      <c r="BD91">
        <v>23300</v>
      </c>
      <c r="BF91">
        <v>39000</v>
      </c>
      <c r="BH91">
        <v>30891.25</v>
      </c>
      <c r="BJ91">
        <v>26082</v>
      </c>
      <c r="BL91">
        <v>11800</v>
      </c>
      <c r="BN91">
        <v>21000</v>
      </c>
      <c r="BP91">
        <v>14000</v>
      </c>
      <c r="BR91">
        <v>11800</v>
      </c>
      <c r="BT91">
        <v>42800</v>
      </c>
      <c r="BV91">
        <v>11800</v>
      </c>
    </row>
    <row r="92">
      <c r="H92">
        <v>27000</v>
      </c>
      <c r="J92">
        <v>7700</v>
      </c>
      <c r="L92">
        <v>17500</v>
      </c>
      <c r="N92">
        <v>27000</v>
      </c>
      <c r="P92">
        <v>17500</v>
      </c>
      <c r="R92">
        <v>17500</v>
      </c>
      <c r="T92">
        <v>25245</v>
      </c>
      <c r="V92">
        <v>9641</v>
      </c>
      <c r="X92">
        <v>23000</v>
      </c>
      <c r="Z92">
        <v>16500</v>
      </c>
      <c r="AB92">
        <v>15000</v>
      </c>
      <c r="AD92">
        <v>17500</v>
      </c>
      <c r="AF92">
        <v>9360</v>
      </c>
      <c r="AG92">
        <v>245</v>
      </c>
      <c r="AH92">
        <v>0</v>
      </c>
      <c r="AJ92">
        <v>12250</v>
      </c>
      <c r="AL92">
        <v>35500</v>
      </c>
      <c r="AN92">
        <v>36213</v>
      </c>
      <c r="AP92">
        <v>17500</v>
      </c>
      <c r="AR92">
        <v>11900</v>
      </c>
      <c r="AT92">
        <v>17500</v>
      </c>
      <c r="AX92">
        <v>9350</v>
      </c>
      <c r="AZ92">
        <v>34000</v>
      </c>
      <c r="BB92">
        <v>12128</v>
      </c>
      <c r="BD92">
        <v>27900</v>
      </c>
      <c r="BF92">
        <v>16400</v>
      </c>
      <c r="BH92">
        <v>9484</v>
      </c>
      <c r="BJ92">
        <v>13860</v>
      </c>
      <c r="BL92">
        <v>9185</v>
      </c>
      <c r="BN92">
        <v>17500</v>
      </c>
      <c r="BP92">
        <v>22500</v>
      </c>
      <c r="BR92">
        <v>17500</v>
      </c>
      <c r="BT92">
        <v>26800</v>
      </c>
      <c r="BV92">
        <v>70000</v>
      </c>
    </row>
    <row r="93">
      <c r="H93">
        <v>36400</v>
      </c>
      <c r="J93">
        <v>15000</v>
      </c>
      <c r="L93">
        <v>32000</v>
      </c>
      <c r="N93">
        <v>34800</v>
      </c>
      <c r="P93">
        <v>25000</v>
      </c>
      <c r="R93">
        <v>25000</v>
      </c>
      <c r="T93">
        <v>21879</v>
      </c>
      <c r="V93">
        <v>15000</v>
      </c>
      <c r="X93">
        <v>25000</v>
      </c>
      <c r="Z93">
        <v>58300</v>
      </c>
      <c r="AB93">
        <v>15000</v>
      </c>
      <c r="AD93">
        <v>25000</v>
      </c>
      <c r="AF93">
        <v>29260</v>
      </c>
      <c r="AG93">
        <v>339</v>
      </c>
      <c r="AH93">
        <v>17000</v>
      </c>
      <c r="AJ93">
        <v>25000</v>
      </c>
      <c r="AL93">
        <v>11000</v>
      </c>
      <c r="AN93">
        <v>26068</v>
      </c>
      <c r="AP93">
        <v>25000</v>
      </c>
      <c r="AR93">
        <v>25000</v>
      </c>
      <c r="AT93">
        <v>25000</v>
      </c>
      <c r="AX93">
        <v>25000</v>
      </c>
      <c r="AZ93">
        <v>25000</v>
      </c>
      <c r="BB93">
        <v>43313</v>
      </c>
      <c r="BD93">
        <v>59000</v>
      </c>
      <c r="BF93">
        <v>11400</v>
      </c>
      <c r="BH93">
        <v>17695</v>
      </c>
      <c r="BJ93">
        <v>25000</v>
      </c>
      <c r="BL93">
        <v>41195</v>
      </c>
      <c r="BN93">
        <v>25000</v>
      </c>
      <c r="BP93">
        <v>25000</v>
      </c>
      <c r="BR93">
        <v>25000</v>
      </c>
      <c r="BT93">
        <v>25700</v>
      </c>
      <c r="BV93">
        <v>22500</v>
      </c>
    </row>
    <row r="94">
      <c r="H94">
        <v>15000</v>
      </c>
      <c r="J94">
        <v>15000</v>
      </c>
      <c r="L94">
        <v>15000</v>
      </c>
      <c r="N94">
        <v>15000</v>
      </c>
      <c r="P94">
        <v>15000</v>
      </c>
      <c r="R94">
        <v>15000</v>
      </c>
      <c r="T94">
        <v>2244</v>
      </c>
      <c r="V94">
        <v>15000</v>
      </c>
      <c r="X94">
        <v>15000</v>
      </c>
      <c r="Z94">
        <v>4400</v>
      </c>
      <c r="AB94">
        <v>2000</v>
      </c>
      <c r="AD94">
        <v>3900</v>
      </c>
      <c r="AF94">
        <v>15000</v>
      </c>
      <c r="AG94">
        <v>331</v>
      </c>
      <c r="AH94">
        <v>5000</v>
      </c>
      <c r="AJ94">
        <v>15000</v>
      </c>
      <c r="AL94">
        <v>2400</v>
      </c>
      <c r="AN94">
        <v>15000</v>
      </c>
      <c r="AP94">
        <v>15000</v>
      </c>
      <c r="AR94">
        <v>15000</v>
      </c>
      <c r="AT94">
        <v>15000</v>
      </c>
      <c r="AX94">
        <v>11660</v>
      </c>
      <c r="AZ94">
        <v>15000</v>
      </c>
      <c r="BB94">
        <v>15000</v>
      </c>
      <c r="BD94">
        <v>15000</v>
      </c>
      <c r="BF94">
        <v>4400</v>
      </c>
      <c r="BH94">
        <v>15000</v>
      </c>
      <c r="BJ94">
        <v>1638</v>
      </c>
      <c r="BL94">
        <v>15000</v>
      </c>
      <c r="BN94">
        <v>15000</v>
      </c>
      <c r="BP94">
        <v>15000</v>
      </c>
      <c r="BR94">
        <v>15000</v>
      </c>
      <c r="BT94">
        <v>15000</v>
      </c>
      <c r="BV94">
        <v>15000</v>
      </c>
    </row>
    <row r="95">
      <c r="G95" t="str">
        <v>residu</v>
      </c>
      <c r="H95">
        <v>11000</v>
      </c>
      <c r="J95">
        <v>4500</v>
      </c>
      <c r="L95">
        <v>5000</v>
      </c>
      <c r="N95">
        <v>9880</v>
      </c>
      <c r="P95">
        <v>4500</v>
      </c>
      <c r="R95">
        <v>4500</v>
      </c>
      <c r="T95">
        <v>11220</v>
      </c>
      <c r="V95">
        <v>2478</v>
      </c>
      <c r="X95">
        <v>4500</v>
      </c>
      <c r="Z95">
        <v>60500</v>
      </c>
      <c r="AA95" t="str">
        <v>residu</v>
      </c>
      <c r="AB95">
        <v>4400</v>
      </c>
      <c r="AD95">
        <v>4500</v>
      </c>
      <c r="AF95">
        <v>4500</v>
      </c>
      <c r="AG95">
        <v>385</v>
      </c>
      <c r="AH95">
        <v>24000</v>
      </c>
      <c r="AJ95">
        <v>4500</v>
      </c>
      <c r="AL95">
        <v>4400</v>
      </c>
      <c r="AN95">
        <v>4500</v>
      </c>
      <c r="AP95">
        <v>4500</v>
      </c>
      <c r="AR95">
        <v>5500</v>
      </c>
      <c r="AT95">
        <v>4500</v>
      </c>
      <c r="AX95">
        <v>8800</v>
      </c>
      <c r="AZ95">
        <v>11500</v>
      </c>
      <c r="BB95">
        <v>4500</v>
      </c>
      <c r="BD95">
        <v>13200</v>
      </c>
      <c r="BF95">
        <v>4500</v>
      </c>
      <c r="BH95">
        <v>23560</v>
      </c>
      <c r="BJ95">
        <v>4500</v>
      </c>
      <c r="BL95">
        <v>4500</v>
      </c>
      <c r="BN95">
        <v>4500</v>
      </c>
      <c r="BO95" t="str">
        <v>residu</v>
      </c>
      <c r="BP95">
        <v>4500</v>
      </c>
      <c r="BR95">
        <v>4500</v>
      </c>
      <c r="BT95">
        <v>16600</v>
      </c>
      <c r="BV95">
        <v>4500</v>
      </c>
    </row>
    <row r="98">
      <c r="H98">
        <v>600000</v>
      </c>
      <c r="J98">
        <v>500000</v>
      </c>
      <c r="L98">
        <v>550000</v>
      </c>
      <c r="N98">
        <v>780200</v>
      </c>
      <c r="P98">
        <v>110000</v>
      </c>
      <c r="R98">
        <v>1636000</v>
      </c>
      <c r="T98">
        <v>1907400</v>
      </c>
      <c r="V98">
        <v>991959</v>
      </c>
      <c r="X98">
        <v>330000</v>
      </c>
      <c r="Z98">
        <v>522500</v>
      </c>
      <c r="AB98">
        <v>1757800</v>
      </c>
      <c r="AD98">
        <v>1636000</v>
      </c>
      <c r="AF98">
        <v>1700361</v>
      </c>
      <c r="AG98">
        <v>332</v>
      </c>
      <c r="AH98">
        <v>60000</v>
      </c>
      <c r="AJ98">
        <v>1636000</v>
      </c>
      <c r="AL98">
        <v>372050</v>
      </c>
      <c r="AN98">
        <v>1636000</v>
      </c>
      <c r="AP98">
        <v>346500</v>
      </c>
      <c r="AR98">
        <v>1636000</v>
      </c>
      <c r="AT98">
        <v>1636000</v>
      </c>
      <c r="AX98">
        <v>253000</v>
      </c>
      <c r="AZ98">
        <v>200000</v>
      </c>
      <c r="BB98">
        <v>653730</v>
      </c>
      <c r="BD98">
        <v>1024500</v>
      </c>
      <c r="BF98">
        <v>338500</v>
      </c>
      <c r="BH98">
        <v>494160</v>
      </c>
      <c r="BJ98">
        <v>1455300</v>
      </c>
      <c r="BL98">
        <v>1765500</v>
      </c>
      <c r="BN98">
        <v>367500</v>
      </c>
      <c r="BP98">
        <v>750000</v>
      </c>
      <c r="BR98">
        <v>1750000</v>
      </c>
      <c r="BT98">
        <v>963000</v>
      </c>
      <c r="BV98">
        <v>750000</v>
      </c>
    </row>
    <row r="99">
      <c r="H99">
        <v>1200000</v>
      </c>
      <c r="J99">
        <v>1350000</v>
      </c>
      <c r="L99">
        <v>1800000</v>
      </c>
      <c r="N99">
        <v>2875000</v>
      </c>
      <c r="P99">
        <v>1490000</v>
      </c>
      <c r="R99">
        <v>1950000</v>
      </c>
      <c r="T99">
        <v>1924230</v>
      </c>
      <c r="V99">
        <v>2373400</v>
      </c>
      <c r="X99">
        <v>1045000</v>
      </c>
      <c r="Z99">
        <v>1760000</v>
      </c>
      <c r="AB99">
        <v>1716000</v>
      </c>
      <c r="AD99">
        <v>1552400</v>
      </c>
      <c r="AF99">
        <v>4485000</v>
      </c>
      <c r="AG99">
        <v>320</v>
      </c>
      <c r="AH99">
        <v>895000</v>
      </c>
      <c r="AJ99">
        <v>966000</v>
      </c>
      <c r="AL99">
        <v>2400150</v>
      </c>
      <c r="AN99">
        <v>2254560</v>
      </c>
      <c r="AP99">
        <v>238400</v>
      </c>
      <c r="AR99">
        <v>1897500</v>
      </c>
      <c r="AT99">
        <v>1950000</v>
      </c>
      <c r="AX99">
        <v>2530000</v>
      </c>
      <c r="AZ99">
        <v>200000</v>
      </c>
      <c r="BB99">
        <v>1559250</v>
      </c>
      <c r="BD99">
        <v>1474700</v>
      </c>
      <c r="BF99">
        <v>1716000</v>
      </c>
      <c r="BH99">
        <v>2934000</v>
      </c>
      <c r="BJ99">
        <v>1701000</v>
      </c>
      <c r="BL99">
        <v>2824800</v>
      </c>
      <c r="BN99">
        <v>1575000</v>
      </c>
      <c r="BP99">
        <v>1500000</v>
      </c>
      <c r="BR99">
        <v>1850000</v>
      </c>
      <c r="BT99">
        <v>2398500</v>
      </c>
      <c r="BV99">
        <v>500000</v>
      </c>
    </row>
    <row r="100">
      <c r="H100">
        <v>200000</v>
      </c>
      <c r="J100">
        <v>159800</v>
      </c>
      <c r="L100">
        <v>175000</v>
      </c>
      <c r="N100">
        <v>265250</v>
      </c>
      <c r="P100">
        <v>218000</v>
      </c>
      <c r="R100">
        <v>259000</v>
      </c>
      <c r="T100">
        <v>195350</v>
      </c>
      <c r="V100">
        <v>219600</v>
      </c>
      <c r="X100">
        <v>209000</v>
      </c>
      <c r="Z100">
        <v>253000</v>
      </c>
      <c r="AB100">
        <v>120000</v>
      </c>
      <c r="AD100">
        <v>157200</v>
      </c>
      <c r="AF100">
        <v>213914</v>
      </c>
      <c r="AG100">
        <v>321</v>
      </c>
      <c r="AH100">
        <v>210000</v>
      </c>
      <c r="AJ100">
        <v>134000</v>
      </c>
      <c r="AL100">
        <v>141050</v>
      </c>
      <c r="AN100">
        <v>472500</v>
      </c>
      <c r="AP100">
        <v>255400</v>
      </c>
      <c r="AR100">
        <v>211100</v>
      </c>
      <c r="AT100">
        <v>259000</v>
      </c>
      <c r="AX100">
        <v>221320</v>
      </c>
      <c r="AZ100">
        <v>120000</v>
      </c>
      <c r="BB100">
        <v>214830</v>
      </c>
      <c r="BD100">
        <v>279400</v>
      </c>
      <c r="BF100">
        <v>229100</v>
      </c>
      <c r="BH100">
        <v>189180</v>
      </c>
      <c r="BJ100">
        <v>157500</v>
      </c>
      <c r="BL100">
        <v>176550</v>
      </c>
      <c r="BN100">
        <v>315000</v>
      </c>
      <c r="BP100">
        <v>200000</v>
      </c>
      <c r="BR100">
        <v>250000</v>
      </c>
      <c r="BT100">
        <v>925600</v>
      </c>
      <c r="BV100">
        <v>183000</v>
      </c>
    </row>
    <row r="101">
      <c r="H101">
        <v>1217000</v>
      </c>
      <c r="J101">
        <v>800000</v>
      </c>
      <c r="L101">
        <v>1217000</v>
      </c>
      <c r="N101">
        <v>1217000</v>
      </c>
      <c r="P101">
        <v>520000</v>
      </c>
      <c r="R101">
        <v>1217000</v>
      </c>
      <c r="T101">
        <v>1365474</v>
      </c>
      <c r="V101">
        <v>1248240</v>
      </c>
      <c r="X101">
        <v>880000</v>
      </c>
      <c r="Z101">
        <v>781000</v>
      </c>
      <c r="AB101">
        <v>990000</v>
      </c>
      <c r="AD101">
        <v>2777200</v>
      </c>
      <c r="AF101">
        <v>1700361</v>
      </c>
      <c r="AG101">
        <v>583</v>
      </c>
      <c r="AH101">
        <v>0</v>
      </c>
      <c r="AJ101">
        <v>1217000</v>
      </c>
      <c r="AL101">
        <v>658240</v>
      </c>
      <c r="AN101">
        <v>1217000</v>
      </c>
      <c r="AP101">
        <v>225200</v>
      </c>
      <c r="AR101">
        <v>917100</v>
      </c>
      <c r="AT101">
        <v>1217000</v>
      </c>
      <c r="AX101">
        <v>1897500</v>
      </c>
      <c r="AZ101">
        <v>360000</v>
      </c>
      <c r="BB101">
        <v>329175</v>
      </c>
      <c r="BD101">
        <v>1319500</v>
      </c>
      <c r="BF101">
        <v>925600</v>
      </c>
      <c r="BH101">
        <v>1217000</v>
      </c>
      <c r="BJ101">
        <v>1638000</v>
      </c>
      <c r="BL101">
        <v>2059750</v>
      </c>
      <c r="BN101">
        <v>472500</v>
      </c>
      <c r="BP101">
        <v>450000</v>
      </c>
      <c r="BR101">
        <v>1200000</v>
      </c>
      <c r="BT101">
        <v>1235900</v>
      </c>
      <c r="BV101">
        <v>1217000</v>
      </c>
    </row>
    <row r="102">
      <c r="H102">
        <v>545738</v>
      </c>
      <c r="J102">
        <v>417500</v>
      </c>
      <c r="L102">
        <v>285000</v>
      </c>
      <c r="N102">
        <v>300000</v>
      </c>
      <c r="P102">
        <v>286700</v>
      </c>
      <c r="R102">
        <v>300000</v>
      </c>
      <c r="T102">
        <v>252450</v>
      </c>
      <c r="V102">
        <v>219660</v>
      </c>
      <c r="X102">
        <v>286000</v>
      </c>
      <c r="Z102">
        <v>193600</v>
      </c>
      <c r="AB102">
        <v>125000</v>
      </c>
      <c r="AD102">
        <v>421800</v>
      </c>
      <c r="AF102">
        <v>300000</v>
      </c>
      <c r="AG102">
        <v>585</v>
      </c>
      <c r="AH102">
        <v>0</v>
      </c>
      <c r="AJ102">
        <v>300000</v>
      </c>
      <c r="AL102">
        <v>275000</v>
      </c>
      <c r="AN102">
        <v>300000</v>
      </c>
      <c r="AP102">
        <v>346000</v>
      </c>
      <c r="AR102">
        <v>232400</v>
      </c>
      <c r="AT102">
        <v>300000</v>
      </c>
      <c r="AX102">
        <v>379500</v>
      </c>
      <c r="AZ102">
        <v>300000</v>
      </c>
      <c r="BB102">
        <v>300000</v>
      </c>
      <c r="BD102">
        <v>388100</v>
      </c>
      <c r="BF102">
        <v>338500</v>
      </c>
      <c r="BH102">
        <v>353400</v>
      </c>
      <c r="BJ102">
        <v>258300</v>
      </c>
      <c r="BL102">
        <v>882750</v>
      </c>
      <c r="BN102">
        <v>300000</v>
      </c>
      <c r="BP102">
        <v>300000</v>
      </c>
      <c r="BR102">
        <v>600000</v>
      </c>
      <c r="BT102">
        <v>1235900</v>
      </c>
      <c r="BV102">
        <v>2739000</v>
      </c>
    </row>
    <row r="103">
      <c r="H103">
        <v>181000</v>
      </c>
      <c r="J103">
        <v>181000</v>
      </c>
      <c r="L103">
        <v>181000</v>
      </c>
      <c r="N103">
        <v>181000</v>
      </c>
      <c r="P103">
        <v>181000</v>
      </c>
      <c r="R103">
        <v>181000</v>
      </c>
      <c r="T103">
        <v>364650</v>
      </c>
      <c r="V103">
        <v>181000</v>
      </c>
      <c r="X103">
        <v>181000</v>
      </c>
      <c r="Z103">
        <v>181000</v>
      </c>
      <c r="AB103">
        <v>50000</v>
      </c>
      <c r="AD103">
        <v>181000</v>
      </c>
      <c r="AF103">
        <v>181000</v>
      </c>
      <c r="AG103">
        <v>689</v>
      </c>
      <c r="AH103">
        <v>0</v>
      </c>
      <c r="AJ103">
        <v>181000</v>
      </c>
      <c r="AL103">
        <v>181000</v>
      </c>
      <c r="AN103">
        <v>181000</v>
      </c>
      <c r="AP103">
        <v>181000</v>
      </c>
      <c r="AR103">
        <v>232400</v>
      </c>
      <c r="AT103">
        <v>181000</v>
      </c>
      <c r="AX103">
        <v>181000</v>
      </c>
      <c r="AZ103">
        <v>181000</v>
      </c>
      <c r="BB103">
        <v>181000</v>
      </c>
      <c r="BD103">
        <v>181000</v>
      </c>
      <c r="BF103">
        <v>195000</v>
      </c>
      <c r="BH103">
        <v>181000</v>
      </c>
      <c r="BJ103">
        <v>157500</v>
      </c>
      <c r="BL103">
        <v>181000</v>
      </c>
      <c r="BN103">
        <v>181000</v>
      </c>
      <c r="BP103">
        <v>181000</v>
      </c>
      <c r="BR103">
        <v>181000</v>
      </c>
      <c r="BT103">
        <v>181000</v>
      </c>
      <c r="BV103">
        <v>70000</v>
      </c>
    </row>
    <row r="104">
      <c r="H104">
        <v>598000</v>
      </c>
      <c r="J104">
        <v>598000</v>
      </c>
      <c r="L104">
        <v>598000</v>
      </c>
      <c r="N104">
        <v>598000</v>
      </c>
      <c r="P104">
        <v>598000</v>
      </c>
      <c r="R104">
        <v>598000</v>
      </c>
      <c r="T104">
        <v>598000</v>
      </c>
      <c r="V104">
        <v>598000</v>
      </c>
      <c r="X104">
        <v>598000</v>
      </c>
      <c r="Z104">
        <v>500500</v>
      </c>
      <c r="AB104">
        <v>375000</v>
      </c>
      <c r="AD104">
        <v>598000</v>
      </c>
      <c r="AF104">
        <v>598000</v>
      </c>
      <c r="AG104">
        <v>690</v>
      </c>
      <c r="AH104">
        <v>0</v>
      </c>
      <c r="AJ104">
        <v>598000</v>
      </c>
      <c r="AL104">
        <v>598000</v>
      </c>
      <c r="AN104">
        <v>598000</v>
      </c>
      <c r="AP104">
        <v>598000</v>
      </c>
      <c r="AR104">
        <v>598000</v>
      </c>
      <c r="AT104">
        <v>598000</v>
      </c>
      <c r="AX104">
        <v>598000</v>
      </c>
      <c r="AZ104">
        <v>598000</v>
      </c>
      <c r="BB104">
        <v>598000</v>
      </c>
      <c r="BD104">
        <v>598000</v>
      </c>
      <c r="BF104">
        <v>598000</v>
      </c>
      <c r="BH104">
        <v>598000</v>
      </c>
      <c r="BJ104">
        <v>94500</v>
      </c>
      <c r="BL104">
        <v>598000</v>
      </c>
      <c r="BN104">
        <v>598000</v>
      </c>
      <c r="BP104">
        <v>598000</v>
      </c>
      <c r="BR104">
        <v>598000</v>
      </c>
      <c r="BT104">
        <v>598000</v>
      </c>
      <c r="BV104">
        <v>598000</v>
      </c>
    </row>
    <row r="105">
      <c r="H105">
        <v>297000</v>
      </c>
      <c r="J105">
        <v>20180</v>
      </c>
      <c r="L105">
        <v>297000</v>
      </c>
      <c r="N105">
        <v>297000</v>
      </c>
      <c r="P105">
        <v>297000</v>
      </c>
      <c r="R105">
        <v>297000</v>
      </c>
      <c r="T105">
        <v>297000</v>
      </c>
      <c r="V105">
        <v>297000</v>
      </c>
      <c r="X105">
        <v>297000</v>
      </c>
      <c r="Z105">
        <v>50000</v>
      </c>
      <c r="AB105">
        <v>70000</v>
      </c>
      <c r="AD105">
        <v>297000</v>
      </c>
      <c r="AF105">
        <v>297000</v>
      </c>
      <c r="AG105">
        <v>332</v>
      </c>
      <c r="AH105">
        <v>60000</v>
      </c>
      <c r="AJ105">
        <v>297000</v>
      </c>
      <c r="AL105">
        <v>51900</v>
      </c>
      <c r="AN105">
        <v>297000</v>
      </c>
      <c r="AP105">
        <v>297000</v>
      </c>
      <c r="AR105">
        <v>297000</v>
      </c>
      <c r="AT105">
        <v>297000</v>
      </c>
      <c r="AX105">
        <v>31570</v>
      </c>
      <c r="AZ105">
        <v>25000</v>
      </c>
      <c r="BB105">
        <v>297000</v>
      </c>
      <c r="BD105">
        <v>297000</v>
      </c>
      <c r="BF105">
        <v>20300</v>
      </c>
      <c r="BH105">
        <v>52860</v>
      </c>
      <c r="BJ105">
        <v>41580</v>
      </c>
      <c r="BL105">
        <v>297000</v>
      </c>
      <c r="BN105">
        <v>297000</v>
      </c>
      <c r="BP105">
        <v>110000</v>
      </c>
      <c r="BR105">
        <v>297000</v>
      </c>
      <c r="BT105">
        <v>297000</v>
      </c>
      <c r="BV105">
        <v>297000</v>
      </c>
    </row>
    <row r="106">
      <c r="H106">
        <v>44000</v>
      </c>
      <c r="J106">
        <v>37000</v>
      </c>
      <c r="L106">
        <v>44000</v>
      </c>
      <c r="N106">
        <v>44000</v>
      </c>
      <c r="P106">
        <v>44000</v>
      </c>
      <c r="R106">
        <v>44000</v>
      </c>
      <c r="T106">
        <v>44000</v>
      </c>
      <c r="V106">
        <v>44000</v>
      </c>
      <c r="X106">
        <v>44000</v>
      </c>
      <c r="Z106">
        <v>44000</v>
      </c>
      <c r="AB106">
        <v>35000</v>
      </c>
      <c r="AD106">
        <v>44000</v>
      </c>
      <c r="AF106">
        <v>44000</v>
      </c>
      <c r="AG106">
        <v>328</v>
      </c>
      <c r="AH106">
        <v>75000</v>
      </c>
      <c r="AJ106">
        <v>44000</v>
      </c>
      <c r="AL106">
        <v>44000</v>
      </c>
      <c r="AN106">
        <v>44000</v>
      </c>
      <c r="AP106">
        <v>44000</v>
      </c>
      <c r="AR106">
        <v>44000</v>
      </c>
      <c r="AT106">
        <v>44000</v>
      </c>
      <c r="AX106">
        <v>44000</v>
      </c>
      <c r="AZ106">
        <v>44000</v>
      </c>
      <c r="BB106">
        <v>44000</v>
      </c>
      <c r="BD106">
        <v>41900</v>
      </c>
      <c r="BF106">
        <v>85300</v>
      </c>
      <c r="BH106">
        <v>44000</v>
      </c>
      <c r="BJ106">
        <v>44100</v>
      </c>
      <c r="BL106">
        <v>44000</v>
      </c>
      <c r="BN106">
        <v>44000</v>
      </c>
      <c r="BP106">
        <v>44000</v>
      </c>
      <c r="BR106">
        <v>44000</v>
      </c>
      <c r="BT106">
        <v>44000</v>
      </c>
      <c r="BV106">
        <v>44000</v>
      </c>
    </row>
    <row r="107">
      <c r="H107">
        <v>299000</v>
      </c>
      <c r="J107">
        <v>140000</v>
      </c>
      <c r="L107">
        <v>299000</v>
      </c>
      <c r="N107">
        <v>75200</v>
      </c>
      <c r="P107">
        <v>299000</v>
      </c>
      <c r="R107">
        <v>299000</v>
      </c>
      <c r="T107">
        <v>299000</v>
      </c>
      <c r="V107">
        <v>299000</v>
      </c>
      <c r="X107">
        <v>104500</v>
      </c>
      <c r="Z107">
        <v>299000</v>
      </c>
      <c r="AB107">
        <v>275000</v>
      </c>
      <c r="AD107">
        <v>144100</v>
      </c>
      <c r="AF107">
        <v>299000</v>
      </c>
      <c r="AG107">
        <v>691</v>
      </c>
      <c r="AH107">
        <v>0</v>
      </c>
      <c r="AJ107">
        <v>299000</v>
      </c>
      <c r="AL107">
        <v>299000</v>
      </c>
      <c r="AN107">
        <v>299000</v>
      </c>
      <c r="AP107">
        <v>299000</v>
      </c>
      <c r="AR107">
        <v>131600</v>
      </c>
      <c r="AT107">
        <v>299000</v>
      </c>
      <c r="AX107">
        <v>299000</v>
      </c>
      <c r="AZ107">
        <v>299000</v>
      </c>
      <c r="BB107">
        <v>299000</v>
      </c>
      <c r="BD107">
        <v>55900</v>
      </c>
      <c r="BF107">
        <v>299000</v>
      </c>
      <c r="BH107">
        <v>299000</v>
      </c>
      <c r="BJ107">
        <v>299000</v>
      </c>
      <c r="BL107">
        <v>299000</v>
      </c>
      <c r="BN107">
        <v>299000</v>
      </c>
      <c r="BP107">
        <v>299000</v>
      </c>
      <c r="BR107">
        <v>299000</v>
      </c>
      <c r="BT107">
        <v>299000</v>
      </c>
      <c r="BV107">
        <v>299000</v>
      </c>
    </row>
    <row r="108">
      <c r="G108" t="str">
        <v>bak cuci piring</v>
      </c>
      <c r="H108">
        <v>225225</v>
      </c>
      <c r="J108">
        <v>250000</v>
      </c>
      <c r="L108">
        <v>250000</v>
      </c>
      <c r="N108">
        <v>250000</v>
      </c>
      <c r="P108">
        <v>250000</v>
      </c>
      <c r="R108">
        <v>250000</v>
      </c>
      <c r="T108">
        <v>250000</v>
      </c>
      <c r="V108">
        <v>250000</v>
      </c>
      <c r="X108">
        <v>357500</v>
      </c>
      <c r="Z108">
        <v>250000</v>
      </c>
      <c r="AB108">
        <v>192500</v>
      </c>
      <c r="AD108">
        <v>1141300</v>
      </c>
      <c r="AF108">
        <v>250000</v>
      </c>
      <c r="AG108">
        <v>692</v>
      </c>
      <c r="AH108">
        <v>0</v>
      </c>
      <c r="AJ108">
        <v>250000</v>
      </c>
      <c r="AL108">
        <v>700900</v>
      </c>
      <c r="AN108">
        <v>250000</v>
      </c>
      <c r="AP108">
        <v>250000</v>
      </c>
      <c r="AR108">
        <v>250000</v>
      </c>
      <c r="AT108">
        <v>250000</v>
      </c>
      <c r="AX108">
        <v>250000</v>
      </c>
      <c r="AZ108">
        <v>225000</v>
      </c>
      <c r="BB108">
        <v>250000</v>
      </c>
      <c r="BD108">
        <v>341500</v>
      </c>
      <c r="BF108">
        <v>364700</v>
      </c>
      <c r="BH108">
        <v>353400</v>
      </c>
      <c r="BJ108">
        <v>250000</v>
      </c>
      <c r="BL108">
        <v>250000</v>
      </c>
      <c r="BN108">
        <v>250000</v>
      </c>
      <c r="BP108">
        <v>250000</v>
      </c>
      <c r="BR108">
        <v>250000</v>
      </c>
      <c r="BT108">
        <v>963000</v>
      </c>
      <c r="BV108">
        <v>250000</v>
      </c>
    </row>
    <row r="109">
      <c r="H109">
        <v>21450</v>
      </c>
      <c r="J109">
        <v>6500</v>
      </c>
      <c r="L109">
        <v>115000</v>
      </c>
      <c r="N109">
        <v>14910</v>
      </c>
      <c r="P109">
        <v>115000</v>
      </c>
      <c r="R109">
        <v>115000</v>
      </c>
      <c r="T109">
        <v>115000</v>
      </c>
      <c r="V109">
        <v>115000</v>
      </c>
      <c r="X109">
        <v>33000</v>
      </c>
      <c r="Z109">
        <v>28000</v>
      </c>
      <c r="AB109">
        <v>165000</v>
      </c>
      <c r="AD109">
        <v>115000</v>
      </c>
      <c r="AF109">
        <v>115000</v>
      </c>
      <c r="AG109">
        <v>693</v>
      </c>
      <c r="AH109">
        <v>0</v>
      </c>
      <c r="AJ109">
        <v>115000</v>
      </c>
      <c r="AL109">
        <v>115000</v>
      </c>
      <c r="AN109">
        <v>46500</v>
      </c>
      <c r="AP109">
        <v>115000</v>
      </c>
      <c r="AR109">
        <v>19000</v>
      </c>
      <c r="AT109">
        <v>115000</v>
      </c>
      <c r="AX109">
        <v>56870</v>
      </c>
      <c r="AZ109">
        <v>26000</v>
      </c>
      <c r="BB109">
        <v>115000</v>
      </c>
      <c r="BD109">
        <v>32600</v>
      </c>
      <c r="BF109">
        <v>19200</v>
      </c>
      <c r="BH109">
        <v>23535</v>
      </c>
      <c r="BJ109">
        <v>25200</v>
      </c>
      <c r="BL109">
        <v>115000</v>
      </c>
      <c r="BN109">
        <v>115000</v>
      </c>
      <c r="BP109">
        <v>115000</v>
      </c>
      <c r="BR109">
        <v>115000</v>
      </c>
      <c r="BT109">
        <v>115000</v>
      </c>
      <c r="BV109">
        <v>50000</v>
      </c>
    </row>
    <row r="112">
      <c r="H112">
        <v>220000</v>
      </c>
      <c r="J112">
        <v>65000</v>
      </c>
      <c r="L112">
        <v>190000</v>
      </c>
      <c r="N112">
        <v>70000</v>
      </c>
      <c r="P112">
        <v>120000</v>
      </c>
      <c r="R112">
        <v>70000</v>
      </c>
      <c r="T112">
        <v>62832</v>
      </c>
      <c r="V112">
        <v>70500</v>
      </c>
      <c r="X112">
        <v>71500</v>
      </c>
      <c r="Z112">
        <v>77000</v>
      </c>
      <c r="AB112">
        <v>59000</v>
      </c>
      <c r="AD112">
        <v>69000</v>
      </c>
      <c r="AF112">
        <v>70000</v>
      </c>
      <c r="AG112">
        <v>213</v>
      </c>
      <c r="AH112">
        <v>0</v>
      </c>
      <c r="AJ112">
        <v>70000</v>
      </c>
      <c r="AL112">
        <v>71850</v>
      </c>
      <c r="AN112">
        <v>81727</v>
      </c>
      <c r="AP112">
        <v>70000</v>
      </c>
      <c r="AR112">
        <v>89800</v>
      </c>
      <c r="AT112">
        <v>70000</v>
      </c>
      <c r="AX112">
        <v>98670</v>
      </c>
      <c r="AZ112">
        <v>62500</v>
      </c>
      <c r="BB112">
        <v>86626</v>
      </c>
      <c r="BD112">
        <v>83300</v>
      </c>
      <c r="BF112">
        <v>134200</v>
      </c>
      <c r="BH112">
        <v>100205</v>
      </c>
      <c r="BJ112">
        <v>78120</v>
      </c>
      <c r="BL112">
        <v>70620</v>
      </c>
      <c r="BN112">
        <v>70000</v>
      </c>
      <c r="BO112" t="str">
        <v>triplek</v>
      </c>
      <c r="BP112">
        <v>55000</v>
      </c>
      <c r="BR112">
        <v>70000</v>
      </c>
      <c r="BT112">
        <v>120000</v>
      </c>
      <c r="BV112">
        <v>143750</v>
      </c>
    </row>
    <row r="113">
      <c r="H113">
        <v>8500</v>
      </c>
      <c r="J113">
        <v>13450</v>
      </c>
      <c r="L113">
        <v>19000</v>
      </c>
      <c r="N113">
        <v>30000</v>
      </c>
      <c r="P113">
        <v>18000</v>
      </c>
      <c r="R113">
        <v>8500</v>
      </c>
      <c r="T113">
        <v>15708</v>
      </c>
      <c r="V113">
        <v>9000</v>
      </c>
      <c r="X113">
        <v>8500</v>
      </c>
      <c r="Z113">
        <v>27500</v>
      </c>
      <c r="AB113">
        <v>8500</v>
      </c>
      <c r="AD113">
        <v>22900</v>
      </c>
      <c r="AF113">
        <v>8500</v>
      </c>
      <c r="AG113">
        <v>694</v>
      </c>
      <c r="AH113">
        <v>0</v>
      </c>
      <c r="AJ113">
        <v>8500</v>
      </c>
      <c r="AL113">
        <v>18050</v>
      </c>
      <c r="AN113">
        <v>8500</v>
      </c>
      <c r="AP113">
        <v>8500</v>
      </c>
      <c r="AR113">
        <v>8500</v>
      </c>
      <c r="AT113">
        <v>8500</v>
      </c>
      <c r="AW113" t="str">
        <v>list kayu</v>
      </c>
      <c r="AX113">
        <v>6270</v>
      </c>
      <c r="AZ113">
        <v>19500</v>
      </c>
      <c r="BB113">
        <v>8500</v>
      </c>
      <c r="BD113">
        <v>8400</v>
      </c>
      <c r="BF113">
        <v>25500</v>
      </c>
      <c r="BH113">
        <v>29400</v>
      </c>
      <c r="BJ113">
        <v>8500</v>
      </c>
      <c r="BL113">
        <v>8500</v>
      </c>
      <c r="BN113">
        <v>8500</v>
      </c>
      <c r="BP113">
        <v>8500</v>
      </c>
      <c r="BR113">
        <v>8500</v>
      </c>
      <c r="BT113">
        <v>8500</v>
      </c>
      <c r="BV113">
        <v>20125</v>
      </c>
    </row>
    <row r="114">
      <c r="H114">
        <v>50000</v>
      </c>
      <c r="J114">
        <v>76000</v>
      </c>
      <c r="L114">
        <v>50000</v>
      </c>
      <c r="N114">
        <v>100000</v>
      </c>
      <c r="P114">
        <v>50000</v>
      </c>
      <c r="R114">
        <v>50000</v>
      </c>
      <c r="T114">
        <v>50000</v>
      </c>
      <c r="V114">
        <v>50000</v>
      </c>
      <c r="X114">
        <v>71500</v>
      </c>
      <c r="Z114">
        <v>50000</v>
      </c>
      <c r="AB114">
        <v>50000</v>
      </c>
      <c r="AD114">
        <v>50000</v>
      </c>
      <c r="AF114">
        <v>50000</v>
      </c>
      <c r="AG114">
        <v>695</v>
      </c>
      <c r="AH114">
        <v>0</v>
      </c>
      <c r="AJ114">
        <v>50000</v>
      </c>
      <c r="AL114">
        <v>50000</v>
      </c>
      <c r="AN114">
        <v>178955</v>
      </c>
      <c r="AP114">
        <v>50000</v>
      </c>
      <c r="AR114">
        <v>50000</v>
      </c>
      <c r="AT114">
        <v>50000</v>
      </c>
      <c r="AX114">
        <v>50000</v>
      </c>
      <c r="AZ114">
        <v>50000</v>
      </c>
      <c r="BB114">
        <v>50000</v>
      </c>
      <c r="BD114">
        <v>50000</v>
      </c>
      <c r="BE114" t="str">
        <v>besi hollow</v>
      </c>
      <c r="BF114">
        <v>86300</v>
      </c>
      <c r="BH114">
        <v>50000</v>
      </c>
      <c r="BJ114">
        <v>50000</v>
      </c>
      <c r="BL114">
        <v>50000</v>
      </c>
      <c r="BN114">
        <v>50000</v>
      </c>
      <c r="BP114">
        <v>50000</v>
      </c>
      <c r="BR114">
        <v>50000</v>
      </c>
      <c r="BT114">
        <v>50000</v>
      </c>
      <c r="BV114">
        <v>50000</v>
      </c>
    </row>
    <row r="117">
      <c r="H117">
        <v>3430</v>
      </c>
      <c r="J117">
        <v>4800</v>
      </c>
      <c r="L117">
        <v>3430</v>
      </c>
      <c r="N117">
        <v>8550</v>
      </c>
      <c r="P117">
        <v>4210.526315789473</v>
      </c>
      <c r="R117">
        <v>3430</v>
      </c>
      <c r="T117">
        <v>14025</v>
      </c>
      <c r="V117">
        <v>4608</v>
      </c>
      <c r="X117">
        <v>2500</v>
      </c>
      <c r="Z117">
        <v>5500</v>
      </c>
      <c r="AA117" t="str">
        <v>rucika</v>
      </c>
      <c r="AB117">
        <v>5625</v>
      </c>
      <c r="AD117">
        <v>5575</v>
      </c>
      <c r="AF117">
        <v>3932.5</v>
      </c>
      <c r="AG117">
        <v>186</v>
      </c>
      <c r="AH117">
        <v>23000</v>
      </c>
      <c r="AJ117">
        <v>3430</v>
      </c>
      <c r="AL117">
        <v>7008.333333333333</v>
      </c>
      <c r="AN117">
        <v>5460.25</v>
      </c>
      <c r="AP117">
        <v>6650</v>
      </c>
      <c r="AR117">
        <v>6075</v>
      </c>
      <c r="AT117">
        <v>3430</v>
      </c>
      <c r="AX117">
        <v>3430</v>
      </c>
      <c r="AZ117">
        <v>3500</v>
      </c>
      <c r="BB117">
        <v>3750</v>
      </c>
      <c r="BD117">
        <v>5825</v>
      </c>
      <c r="BF117">
        <v>6375</v>
      </c>
      <c r="BH117">
        <v>8922.5</v>
      </c>
      <c r="BJ117">
        <v>7182</v>
      </c>
      <c r="BL117">
        <v>5225</v>
      </c>
      <c r="BN117">
        <v>3150</v>
      </c>
      <c r="BP117">
        <v>5000</v>
      </c>
      <c r="BR117">
        <v>3430</v>
      </c>
      <c r="BT117">
        <v>6250</v>
      </c>
      <c r="BV117">
        <v>7500</v>
      </c>
    </row>
    <row r="118">
      <c r="H118">
        <v>4717.5</v>
      </c>
      <c r="J118">
        <v>6500</v>
      </c>
      <c r="L118">
        <v>4717.5</v>
      </c>
      <c r="N118">
        <v>11785</v>
      </c>
      <c r="P118">
        <v>6105.263157894737</v>
      </c>
      <c r="R118">
        <v>4717.5</v>
      </c>
      <c r="T118">
        <v>19074</v>
      </c>
      <c r="V118">
        <v>6293</v>
      </c>
      <c r="X118">
        <v>3750</v>
      </c>
      <c r="Z118">
        <v>7700</v>
      </c>
      <c r="AA118" t="str">
        <v>rucika</v>
      </c>
      <c r="AB118">
        <v>6250</v>
      </c>
      <c r="AD118">
        <v>7200</v>
      </c>
      <c r="AF118">
        <v>5417.5</v>
      </c>
      <c r="AG118">
        <v>187</v>
      </c>
      <c r="AH118">
        <v>31000</v>
      </c>
      <c r="AJ118">
        <v>4717.5</v>
      </c>
      <c r="AL118">
        <v>12762.5</v>
      </c>
      <c r="AN118">
        <v>8384</v>
      </c>
      <c r="AP118">
        <v>7800</v>
      </c>
      <c r="AR118">
        <v>7275</v>
      </c>
      <c r="AT118">
        <v>4717.5</v>
      </c>
      <c r="AX118">
        <v>31570</v>
      </c>
      <c r="AZ118">
        <v>4250</v>
      </c>
      <c r="BB118">
        <v>5000</v>
      </c>
      <c r="BD118">
        <v>7600</v>
      </c>
      <c r="BF118">
        <v>7925</v>
      </c>
      <c r="BH118">
        <v>10388.75</v>
      </c>
      <c r="BJ118">
        <v>10332</v>
      </c>
      <c r="BL118">
        <v>7007</v>
      </c>
      <c r="BN118">
        <v>5250</v>
      </c>
      <c r="BP118">
        <v>6250</v>
      </c>
      <c r="BR118">
        <v>4717.5</v>
      </c>
      <c r="BT118">
        <v>8033.333333333333</v>
      </c>
      <c r="BV118">
        <v>9375</v>
      </c>
    </row>
    <row r="119">
      <c r="H119">
        <v>6470</v>
      </c>
      <c r="J119">
        <v>6470</v>
      </c>
      <c r="L119">
        <v>6470</v>
      </c>
      <c r="N119">
        <v>16000</v>
      </c>
      <c r="P119">
        <v>8000</v>
      </c>
      <c r="R119">
        <v>6470</v>
      </c>
      <c r="T119">
        <v>26367</v>
      </c>
      <c r="V119">
        <v>8775</v>
      </c>
      <c r="X119">
        <v>5000</v>
      </c>
      <c r="Z119">
        <v>9900</v>
      </c>
      <c r="AA119" t="str">
        <v>rucika</v>
      </c>
      <c r="AB119">
        <v>6750</v>
      </c>
      <c r="AD119">
        <v>10150</v>
      </c>
      <c r="AF119">
        <v>7397.5</v>
      </c>
      <c r="AG119">
        <v>188</v>
      </c>
      <c r="AH119">
        <v>45000</v>
      </c>
      <c r="AJ119">
        <v>6470</v>
      </c>
      <c r="AL119">
        <v>10616.666666666666</v>
      </c>
      <c r="AN119">
        <v>12329.5</v>
      </c>
      <c r="AP119">
        <v>8675</v>
      </c>
      <c r="AR119">
        <v>10375</v>
      </c>
      <c r="AT119">
        <v>6470</v>
      </c>
      <c r="AX119">
        <v>37950</v>
      </c>
      <c r="AZ119">
        <v>6470</v>
      </c>
      <c r="BB119">
        <v>6470</v>
      </c>
      <c r="BD119">
        <v>10400</v>
      </c>
      <c r="BF119">
        <v>9025</v>
      </c>
      <c r="BH119">
        <v>11855</v>
      </c>
      <c r="BJ119">
        <v>11088</v>
      </c>
      <c r="BL119">
        <v>10802</v>
      </c>
      <c r="BN119">
        <v>6470</v>
      </c>
      <c r="BP119">
        <v>8750</v>
      </c>
      <c r="BR119">
        <v>6470</v>
      </c>
      <c r="BT119">
        <v>8566.666666666666</v>
      </c>
      <c r="BV119">
        <v>11250</v>
      </c>
    </row>
    <row r="120">
      <c r="H120">
        <v>22000</v>
      </c>
      <c r="J120">
        <v>20000</v>
      </c>
      <c r="L120">
        <v>14212.5</v>
      </c>
      <c r="N120">
        <v>38200</v>
      </c>
      <c r="P120">
        <v>16842.105263157893</v>
      </c>
      <c r="R120">
        <v>14212.5</v>
      </c>
      <c r="T120">
        <v>58344</v>
      </c>
      <c r="V120">
        <v>17659</v>
      </c>
      <c r="X120">
        <v>10000</v>
      </c>
      <c r="Z120">
        <v>19500</v>
      </c>
      <c r="AA120" t="str">
        <v>rucika</v>
      </c>
      <c r="AB120">
        <v>11250</v>
      </c>
      <c r="AD120">
        <v>21300</v>
      </c>
      <c r="AF120">
        <v>16307.5</v>
      </c>
      <c r="AG120">
        <v>190</v>
      </c>
      <c r="AH120">
        <v>62000</v>
      </c>
      <c r="AJ120">
        <v>14212.5</v>
      </c>
      <c r="AL120">
        <v>29008.333333333332</v>
      </c>
      <c r="AN120">
        <v>18670.5</v>
      </c>
      <c r="AP120">
        <v>16450</v>
      </c>
      <c r="AR120">
        <v>13625</v>
      </c>
      <c r="AT120">
        <v>14212.5</v>
      </c>
      <c r="AX120">
        <v>72710</v>
      </c>
      <c r="AZ120">
        <v>7500</v>
      </c>
      <c r="BB120">
        <v>13138.25</v>
      </c>
      <c r="BD120">
        <v>23600</v>
      </c>
      <c r="BF120">
        <v>20750</v>
      </c>
      <c r="BH120">
        <v>26517.5</v>
      </c>
      <c r="BJ120">
        <v>28980</v>
      </c>
      <c r="BL120">
        <v>14212.5</v>
      </c>
      <c r="BN120">
        <v>12600</v>
      </c>
      <c r="BP120">
        <v>20000</v>
      </c>
      <c r="BR120">
        <v>14212.5</v>
      </c>
      <c r="BT120">
        <v>15166.666666666666</v>
      </c>
      <c r="BV120">
        <v>26875</v>
      </c>
    </row>
    <row r="121">
      <c r="H121">
        <v>25000</v>
      </c>
      <c r="J121">
        <v>28000</v>
      </c>
      <c r="L121">
        <v>14212.5</v>
      </c>
      <c r="N121">
        <v>57000</v>
      </c>
      <c r="P121">
        <v>26315.78947368421</v>
      </c>
      <c r="R121">
        <v>14212.5</v>
      </c>
      <c r="T121">
        <v>123701</v>
      </c>
      <c r="V121">
        <v>33989</v>
      </c>
      <c r="X121">
        <v>12500</v>
      </c>
      <c r="Z121">
        <v>27500</v>
      </c>
      <c r="AA121" t="str">
        <v>rucika</v>
      </c>
      <c r="AB121">
        <v>18750</v>
      </c>
      <c r="AD121">
        <v>40125</v>
      </c>
      <c r="AF121">
        <v>32120</v>
      </c>
      <c r="AG121">
        <v>191</v>
      </c>
      <c r="AH121">
        <v>79000</v>
      </c>
      <c r="AJ121">
        <v>14212.5</v>
      </c>
      <c r="AL121">
        <v>53016.666666666664</v>
      </c>
      <c r="AN121">
        <v>35579.75</v>
      </c>
      <c r="AP121">
        <v>18200</v>
      </c>
      <c r="AR121">
        <v>29375</v>
      </c>
      <c r="AT121">
        <v>14212.5</v>
      </c>
      <c r="AX121">
        <v>88770</v>
      </c>
      <c r="AZ121">
        <v>15000</v>
      </c>
      <c r="BB121">
        <v>21656.25</v>
      </c>
      <c r="BD121">
        <v>46725</v>
      </c>
      <c r="BF121">
        <v>35275</v>
      </c>
      <c r="BH121">
        <v>47045</v>
      </c>
      <c r="BJ121">
        <v>51282</v>
      </c>
      <c r="BL121">
        <v>14212.5</v>
      </c>
      <c r="BN121">
        <v>26250</v>
      </c>
      <c r="BP121">
        <v>46250</v>
      </c>
      <c r="BR121">
        <v>14212.5</v>
      </c>
      <c r="BT121">
        <v>22300</v>
      </c>
      <c r="BV121">
        <v>37500</v>
      </c>
    </row>
    <row r="122">
      <c r="H122">
        <v>30000</v>
      </c>
      <c r="J122">
        <v>43000</v>
      </c>
      <c r="L122">
        <v>46460</v>
      </c>
      <c r="N122">
        <v>84000</v>
      </c>
      <c r="P122">
        <v>40000</v>
      </c>
      <c r="R122">
        <v>46460</v>
      </c>
      <c r="T122">
        <v>188777</v>
      </c>
      <c r="V122">
        <v>53251</v>
      </c>
      <c r="X122">
        <v>17500</v>
      </c>
      <c r="Z122">
        <v>44000</v>
      </c>
      <c r="AA122" t="str">
        <v>rucika</v>
      </c>
      <c r="AB122">
        <v>31250</v>
      </c>
      <c r="AD122">
        <v>66475</v>
      </c>
      <c r="AF122">
        <v>53240</v>
      </c>
      <c r="AG122">
        <v>192</v>
      </c>
      <c r="AH122">
        <v>108000</v>
      </c>
      <c r="AJ122">
        <v>46460</v>
      </c>
      <c r="AL122">
        <v>76016.66666666667</v>
      </c>
      <c r="AN122">
        <v>53898</v>
      </c>
      <c r="AP122">
        <v>46460</v>
      </c>
      <c r="AR122">
        <v>37975</v>
      </c>
      <c r="AT122">
        <v>46460</v>
      </c>
      <c r="AX122">
        <v>131230</v>
      </c>
      <c r="AZ122">
        <v>22500</v>
      </c>
      <c r="BB122">
        <v>23750</v>
      </c>
      <c r="BD122">
        <v>77775</v>
      </c>
      <c r="BF122">
        <v>47200</v>
      </c>
      <c r="BH122">
        <v>73437.5</v>
      </c>
      <c r="BJ122">
        <v>68985</v>
      </c>
      <c r="BL122">
        <v>46460</v>
      </c>
      <c r="BN122">
        <v>42000</v>
      </c>
      <c r="BP122">
        <v>62000</v>
      </c>
      <c r="BR122">
        <v>46460</v>
      </c>
      <c r="BT122">
        <v>33000</v>
      </c>
      <c r="BV122">
        <v>47500</v>
      </c>
    </row>
    <row r="123">
      <c r="H123">
        <v>16500</v>
      </c>
      <c r="J123">
        <v>45000</v>
      </c>
      <c r="L123">
        <v>45000</v>
      </c>
      <c r="N123">
        <v>45000</v>
      </c>
      <c r="P123">
        <v>17550</v>
      </c>
      <c r="R123">
        <v>45000</v>
      </c>
      <c r="T123">
        <v>45000</v>
      </c>
      <c r="V123">
        <v>25200</v>
      </c>
      <c r="X123">
        <v>45000</v>
      </c>
      <c r="Z123">
        <v>45000</v>
      </c>
      <c r="AB123">
        <v>80000</v>
      </c>
      <c r="AD123">
        <v>91700</v>
      </c>
      <c r="AF123">
        <v>45000</v>
      </c>
      <c r="AG123">
        <v>696</v>
      </c>
      <c r="AH123">
        <v>0</v>
      </c>
      <c r="AJ123">
        <v>45000</v>
      </c>
      <c r="AL123">
        <v>45000</v>
      </c>
      <c r="AN123">
        <v>45000</v>
      </c>
      <c r="AP123">
        <v>45000</v>
      </c>
      <c r="AR123">
        <v>45000</v>
      </c>
      <c r="AT123">
        <v>45000</v>
      </c>
      <c r="AX123">
        <v>56870</v>
      </c>
      <c r="AZ123">
        <v>26000</v>
      </c>
      <c r="BB123">
        <v>45000</v>
      </c>
      <c r="BD123">
        <v>45000</v>
      </c>
      <c r="BF123">
        <v>31200</v>
      </c>
      <c r="BH123">
        <v>53535</v>
      </c>
      <c r="BJ123">
        <v>25200</v>
      </c>
      <c r="BL123">
        <v>45000</v>
      </c>
      <c r="BN123">
        <v>45000</v>
      </c>
      <c r="BP123">
        <v>45000</v>
      </c>
      <c r="BR123">
        <v>45000</v>
      </c>
      <c r="BT123">
        <v>46100</v>
      </c>
      <c r="BV123">
        <v>45000</v>
      </c>
    </row>
    <row r="124">
      <c r="H124">
        <v>35000</v>
      </c>
      <c r="J124">
        <v>35000</v>
      </c>
      <c r="L124">
        <v>35000</v>
      </c>
      <c r="N124">
        <v>35000</v>
      </c>
      <c r="P124">
        <v>35000</v>
      </c>
      <c r="R124">
        <v>35000</v>
      </c>
      <c r="T124">
        <v>35000</v>
      </c>
      <c r="V124">
        <v>49199</v>
      </c>
      <c r="X124">
        <v>35000</v>
      </c>
      <c r="Z124">
        <v>35000</v>
      </c>
      <c r="AB124">
        <v>35000</v>
      </c>
      <c r="AD124">
        <v>35000</v>
      </c>
      <c r="AF124">
        <v>35000</v>
      </c>
      <c r="AG124">
        <v>697</v>
      </c>
      <c r="AH124">
        <v>0</v>
      </c>
      <c r="AJ124">
        <v>35000</v>
      </c>
      <c r="AL124">
        <v>35000</v>
      </c>
      <c r="AN124">
        <v>35000</v>
      </c>
      <c r="AP124">
        <v>35000</v>
      </c>
      <c r="AR124">
        <v>35000</v>
      </c>
      <c r="AT124">
        <v>35000</v>
      </c>
      <c r="AX124">
        <v>35000</v>
      </c>
      <c r="AZ124">
        <v>35000</v>
      </c>
      <c r="BB124">
        <v>35000</v>
      </c>
      <c r="BD124">
        <v>35000</v>
      </c>
      <c r="BF124">
        <v>35000</v>
      </c>
      <c r="BH124">
        <v>35940</v>
      </c>
      <c r="BJ124">
        <v>35000</v>
      </c>
      <c r="BL124">
        <v>35000</v>
      </c>
      <c r="BN124">
        <v>35000</v>
      </c>
      <c r="BP124">
        <v>35000</v>
      </c>
      <c r="BR124">
        <v>35000</v>
      </c>
      <c r="BT124">
        <v>35000</v>
      </c>
      <c r="BV124">
        <v>35000</v>
      </c>
    </row>
    <row r="125">
      <c r="H125">
        <v>1864000</v>
      </c>
      <c r="J125">
        <v>500000</v>
      </c>
      <c r="L125">
        <v>1500000</v>
      </c>
      <c r="N125">
        <v>1864000</v>
      </c>
      <c r="P125">
        <v>1080000</v>
      </c>
      <c r="R125">
        <v>1864000</v>
      </c>
      <c r="T125">
        <v>1864000</v>
      </c>
      <c r="V125">
        <v>1774450</v>
      </c>
      <c r="X125">
        <v>1864000</v>
      </c>
      <c r="Z125">
        <v>1100000</v>
      </c>
      <c r="AB125">
        <v>1150000</v>
      </c>
      <c r="AD125">
        <v>949800</v>
      </c>
      <c r="AF125">
        <v>1864000</v>
      </c>
      <c r="AG125">
        <v>698</v>
      </c>
      <c r="AH125">
        <v>0</v>
      </c>
      <c r="AJ125">
        <v>1864000</v>
      </c>
      <c r="AL125">
        <v>1864000</v>
      </c>
      <c r="AN125">
        <v>2091751</v>
      </c>
      <c r="AP125">
        <v>866300</v>
      </c>
      <c r="AR125">
        <v>1864000</v>
      </c>
      <c r="AT125">
        <v>1864000</v>
      </c>
      <c r="AX125">
        <v>1864000</v>
      </c>
      <c r="AZ125">
        <v>1864000</v>
      </c>
      <c r="BB125">
        <v>3869250</v>
      </c>
      <c r="BD125">
        <v>1940400</v>
      </c>
      <c r="BF125">
        <v>858700</v>
      </c>
      <c r="BH125">
        <v>1864000</v>
      </c>
      <c r="BJ125">
        <v>1512000</v>
      </c>
      <c r="BL125">
        <v>1864000</v>
      </c>
      <c r="BN125">
        <v>1864000</v>
      </c>
      <c r="BP125">
        <v>1864000</v>
      </c>
      <c r="BR125">
        <v>1750000</v>
      </c>
      <c r="BT125">
        <v>3745000</v>
      </c>
      <c r="BV125">
        <v>1800000</v>
      </c>
    </row>
    <row r="126">
      <c r="H126">
        <v>1116500</v>
      </c>
      <c r="J126">
        <v>1116500</v>
      </c>
      <c r="L126">
        <v>1116500</v>
      </c>
      <c r="N126">
        <v>1116500</v>
      </c>
      <c r="P126">
        <v>1116500</v>
      </c>
      <c r="R126">
        <v>1116500</v>
      </c>
      <c r="T126">
        <v>1116500</v>
      </c>
      <c r="V126">
        <v>90000</v>
      </c>
      <c r="X126">
        <v>1116500</v>
      </c>
      <c r="Z126">
        <v>550000</v>
      </c>
      <c r="AB126">
        <v>650000</v>
      </c>
      <c r="AD126">
        <v>1486900</v>
      </c>
      <c r="AF126">
        <v>1116500</v>
      </c>
      <c r="AG126">
        <v>699</v>
      </c>
      <c r="AH126">
        <v>0</v>
      </c>
      <c r="AJ126">
        <v>1116500</v>
      </c>
      <c r="AL126">
        <v>1116500</v>
      </c>
      <c r="AN126">
        <v>1045875</v>
      </c>
      <c r="AP126">
        <v>519800</v>
      </c>
      <c r="AR126">
        <v>1116500</v>
      </c>
      <c r="AT126">
        <v>1116500</v>
      </c>
      <c r="AX126">
        <v>1116500</v>
      </c>
      <c r="AZ126">
        <v>1116500</v>
      </c>
      <c r="BB126">
        <v>1116500</v>
      </c>
      <c r="BD126">
        <v>1319500</v>
      </c>
      <c r="BF126">
        <v>1116500</v>
      </c>
      <c r="BH126">
        <v>1116500</v>
      </c>
      <c r="BJ126">
        <v>932400</v>
      </c>
      <c r="BL126">
        <v>1116500</v>
      </c>
      <c r="BN126">
        <v>1116500</v>
      </c>
      <c r="BP126">
        <v>1116500</v>
      </c>
      <c r="BR126">
        <v>1116500</v>
      </c>
      <c r="BT126">
        <v>2664900</v>
      </c>
      <c r="BV126">
        <v>1300000</v>
      </c>
    </row>
    <row r="127">
      <c r="H127">
        <v>58500</v>
      </c>
      <c r="J127">
        <v>25000</v>
      </c>
      <c r="L127">
        <v>25000</v>
      </c>
      <c r="N127">
        <v>25000</v>
      </c>
      <c r="P127">
        <v>25000</v>
      </c>
      <c r="R127">
        <v>25000</v>
      </c>
      <c r="T127">
        <v>25000</v>
      </c>
      <c r="V127">
        <v>25000</v>
      </c>
      <c r="X127">
        <v>25000</v>
      </c>
      <c r="Z127">
        <v>25000</v>
      </c>
      <c r="AB127">
        <v>50000</v>
      </c>
      <c r="AD127">
        <v>25000</v>
      </c>
      <c r="AF127">
        <v>25000</v>
      </c>
      <c r="AG127">
        <v>700</v>
      </c>
      <c r="AH127">
        <v>0</v>
      </c>
      <c r="AJ127">
        <v>25000</v>
      </c>
      <c r="AL127">
        <v>25000</v>
      </c>
      <c r="AN127">
        <v>25000</v>
      </c>
      <c r="AP127">
        <v>25000</v>
      </c>
      <c r="AR127">
        <v>25000</v>
      </c>
      <c r="AT127">
        <v>25000</v>
      </c>
      <c r="AX127">
        <v>25000</v>
      </c>
      <c r="AZ127">
        <v>25000</v>
      </c>
      <c r="BB127">
        <v>25000</v>
      </c>
      <c r="BD127">
        <v>25000</v>
      </c>
      <c r="BF127">
        <v>25000</v>
      </c>
      <c r="BH127">
        <v>25000</v>
      </c>
      <c r="BJ127">
        <v>25000</v>
      </c>
      <c r="BL127">
        <v>25000</v>
      </c>
      <c r="BN127">
        <v>25000</v>
      </c>
      <c r="BP127">
        <v>25000</v>
      </c>
      <c r="BR127">
        <v>25000</v>
      </c>
      <c r="BT127">
        <v>25000</v>
      </c>
      <c r="BV127">
        <v>25000</v>
      </c>
    </row>
    <row r="128">
      <c r="H128">
        <v>35000</v>
      </c>
      <c r="J128">
        <v>35000</v>
      </c>
      <c r="L128">
        <v>35000</v>
      </c>
      <c r="N128">
        <v>35000</v>
      </c>
      <c r="P128">
        <v>35000</v>
      </c>
      <c r="R128">
        <v>35000</v>
      </c>
      <c r="T128">
        <v>35000</v>
      </c>
      <c r="V128">
        <v>35000</v>
      </c>
      <c r="X128">
        <v>35000</v>
      </c>
      <c r="Z128">
        <v>93500</v>
      </c>
      <c r="AB128">
        <v>35000</v>
      </c>
      <c r="AD128">
        <v>35000</v>
      </c>
      <c r="AF128">
        <v>35000</v>
      </c>
      <c r="AG128">
        <v>701</v>
      </c>
      <c r="AH128">
        <v>0</v>
      </c>
      <c r="AJ128">
        <v>35000</v>
      </c>
      <c r="AL128">
        <v>35000</v>
      </c>
      <c r="AN128">
        <v>35000</v>
      </c>
      <c r="AP128">
        <v>35000</v>
      </c>
      <c r="AR128">
        <v>35000</v>
      </c>
      <c r="AT128">
        <v>35000</v>
      </c>
      <c r="AX128">
        <v>35000</v>
      </c>
      <c r="AZ128">
        <v>35000</v>
      </c>
      <c r="BB128">
        <v>35000</v>
      </c>
      <c r="BD128">
        <v>35000</v>
      </c>
      <c r="BF128">
        <v>35000</v>
      </c>
      <c r="BH128">
        <v>35000</v>
      </c>
      <c r="BJ128">
        <v>35000</v>
      </c>
      <c r="BL128">
        <v>35000</v>
      </c>
      <c r="BN128">
        <v>35000</v>
      </c>
      <c r="BP128">
        <v>35000</v>
      </c>
      <c r="BR128">
        <v>35000</v>
      </c>
      <c r="BT128">
        <v>35000</v>
      </c>
      <c r="BV128">
        <v>35000</v>
      </c>
    </row>
    <row r="129">
      <c r="H129">
        <v>950000</v>
      </c>
      <c r="J129">
        <v>950000</v>
      </c>
      <c r="L129">
        <v>950000</v>
      </c>
      <c r="N129">
        <v>950000</v>
      </c>
      <c r="P129">
        <v>950000</v>
      </c>
      <c r="R129">
        <v>950000</v>
      </c>
      <c r="T129">
        <v>950000</v>
      </c>
      <c r="V129">
        <v>950000</v>
      </c>
      <c r="X129">
        <v>950000</v>
      </c>
      <c r="Y129" t="str">
        <v>jet pump</v>
      </c>
      <c r="Z129">
        <v>4180000</v>
      </c>
      <c r="AB129">
        <v>2800000</v>
      </c>
      <c r="AD129">
        <v>950000</v>
      </c>
      <c r="AF129">
        <v>950000</v>
      </c>
      <c r="AG129">
        <v>702</v>
      </c>
      <c r="AH129">
        <v>0</v>
      </c>
      <c r="AJ129">
        <v>950000</v>
      </c>
      <c r="AL129">
        <v>950000</v>
      </c>
      <c r="AN129">
        <v>950000</v>
      </c>
      <c r="AP129">
        <v>2301800</v>
      </c>
      <c r="AR129">
        <v>950000</v>
      </c>
      <c r="AT129">
        <v>950000</v>
      </c>
      <c r="AX129">
        <v>950000</v>
      </c>
      <c r="AZ129">
        <v>780000</v>
      </c>
      <c r="BB129">
        <v>854700</v>
      </c>
      <c r="BD129">
        <v>950000</v>
      </c>
      <c r="BF129">
        <v>950000</v>
      </c>
      <c r="BH129">
        <v>950000</v>
      </c>
      <c r="BJ129">
        <v>3465000</v>
      </c>
      <c r="BL129">
        <v>950000</v>
      </c>
      <c r="BN129">
        <v>950000</v>
      </c>
      <c r="BO129" t="str">
        <v>80 watt nasional</v>
      </c>
      <c r="BP129">
        <v>1500000</v>
      </c>
      <c r="BR129">
        <v>950000</v>
      </c>
      <c r="BT129">
        <v>5329700</v>
      </c>
      <c r="BV129">
        <v>826000</v>
      </c>
    </row>
    <row r="130">
      <c r="H130">
        <v>585000</v>
      </c>
      <c r="J130">
        <v>550000</v>
      </c>
      <c r="L130">
        <v>550000</v>
      </c>
      <c r="N130">
        <v>550000</v>
      </c>
      <c r="P130">
        <v>556200</v>
      </c>
      <c r="R130">
        <v>550000</v>
      </c>
      <c r="T130">
        <v>550000</v>
      </c>
      <c r="V130">
        <v>550000</v>
      </c>
      <c r="X130">
        <v>495000</v>
      </c>
      <c r="Y130" t="str">
        <v>submersible</v>
      </c>
      <c r="Z130">
        <v>13970000</v>
      </c>
      <c r="AA130" t="str">
        <v>sanyo</v>
      </c>
      <c r="AB130">
        <v>1050000</v>
      </c>
      <c r="AD130">
        <v>550000</v>
      </c>
      <c r="AF130">
        <v>550000</v>
      </c>
      <c r="AG130">
        <v>342</v>
      </c>
      <c r="AH130">
        <v>0</v>
      </c>
      <c r="AJ130">
        <v>550000</v>
      </c>
      <c r="AL130">
        <v>550000</v>
      </c>
      <c r="AN130">
        <v>550000</v>
      </c>
      <c r="AP130">
        <v>433100</v>
      </c>
      <c r="AR130">
        <v>722300</v>
      </c>
      <c r="AT130">
        <v>1076250</v>
      </c>
      <c r="AX130">
        <v>550000</v>
      </c>
      <c r="AZ130">
        <v>500000</v>
      </c>
      <c r="BB130">
        <v>550000</v>
      </c>
      <c r="BD130">
        <v>550000</v>
      </c>
      <c r="BF130">
        <v>550000</v>
      </c>
      <c r="BH130">
        <v>550000</v>
      </c>
      <c r="BJ130">
        <v>1386000</v>
      </c>
      <c r="BL130">
        <v>550000</v>
      </c>
      <c r="BN130">
        <v>550000</v>
      </c>
      <c r="BO130" t="str">
        <v>100 watt sanyo</v>
      </c>
      <c r="BP130">
        <v>1050000</v>
      </c>
      <c r="BR130">
        <v>550000</v>
      </c>
      <c r="BT130">
        <v>802500</v>
      </c>
      <c r="BV130">
        <v>2026000</v>
      </c>
    </row>
    <row r="133">
      <c r="H133">
        <v>150000</v>
      </c>
      <c r="J133">
        <v>150000</v>
      </c>
      <c r="L133">
        <v>150000</v>
      </c>
      <c r="N133">
        <v>115500</v>
      </c>
      <c r="P133">
        <v>150000</v>
      </c>
      <c r="R133">
        <v>150000</v>
      </c>
      <c r="T133">
        <v>150000</v>
      </c>
      <c r="V133">
        <v>150000</v>
      </c>
      <c r="X133">
        <v>150000</v>
      </c>
      <c r="Z133">
        <v>110000</v>
      </c>
      <c r="AB133">
        <v>150000</v>
      </c>
      <c r="AD133">
        <v>569236.641221374</v>
      </c>
      <c r="AF133">
        <v>150000</v>
      </c>
      <c r="AG133">
        <v>703</v>
      </c>
      <c r="AH133">
        <v>0</v>
      </c>
      <c r="AJ133">
        <v>150000</v>
      </c>
      <c r="AL133">
        <v>150000</v>
      </c>
      <c r="AN133">
        <v>150000</v>
      </c>
      <c r="AP133">
        <v>150000</v>
      </c>
      <c r="AR133">
        <v>150000</v>
      </c>
      <c r="AT133">
        <v>150000</v>
      </c>
      <c r="AX133">
        <v>150000</v>
      </c>
      <c r="AZ133">
        <v>150000</v>
      </c>
      <c r="BB133">
        <v>150000</v>
      </c>
      <c r="BD133">
        <v>357000</v>
      </c>
      <c r="BF133">
        <v>307500</v>
      </c>
      <c r="BH133">
        <v>150000</v>
      </c>
      <c r="BJ133">
        <v>150000</v>
      </c>
      <c r="BL133">
        <v>150000</v>
      </c>
      <c r="BN133">
        <v>150000</v>
      </c>
      <c r="BP133">
        <v>300000</v>
      </c>
      <c r="BR133">
        <v>150000</v>
      </c>
      <c r="BT133">
        <v>150000</v>
      </c>
      <c r="BV133">
        <v>150000</v>
      </c>
    </row>
    <row r="134">
      <c r="H134">
        <v>84500</v>
      </c>
      <c r="J134">
        <v>50000</v>
      </c>
      <c r="L134">
        <v>50000</v>
      </c>
      <c r="N134">
        <v>86625</v>
      </c>
      <c r="P134">
        <v>50000</v>
      </c>
      <c r="R134">
        <v>50000</v>
      </c>
      <c r="T134">
        <v>16830</v>
      </c>
      <c r="V134">
        <v>180000</v>
      </c>
      <c r="X134">
        <v>50000</v>
      </c>
      <c r="Z134">
        <v>50000</v>
      </c>
      <c r="AB134">
        <v>16500</v>
      </c>
      <c r="AD134">
        <v>28015.26717557252</v>
      </c>
      <c r="AF134">
        <v>50000</v>
      </c>
      <c r="AG134">
        <v>704</v>
      </c>
      <c r="AH134">
        <v>0</v>
      </c>
      <c r="AJ134">
        <v>50000</v>
      </c>
      <c r="AL134">
        <v>50000</v>
      </c>
      <c r="AN134">
        <v>50000</v>
      </c>
      <c r="AP134">
        <v>50000</v>
      </c>
      <c r="AR134">
        <v>43400</v>
      </c>
      <c r="AT134">
        <v>50000</v>
      </c>
      <c r="AX134">
        <v>50000</v>
      </c>
      <c r="AZ134">
        <v>18000</v>
      </c>
      <c r="BB134">
        <v>50000</v>
      </c>
      <c r="BD134">
        <v>62100</v>
      </c>
      <c r="BF134">
        <v>50000</v>
      </c>
      <c r="BH134">
        <v>58725</v>
      </c>
      <c r="BJ134">
        <v>75600</v>
      </c>
      <c r="BL134">
        <v>50000</v>
      </c>
      <c r="BN134">
        <v>50000</v>
      </c>
      <c r="BO134" t="str">
        <v>MCB 10 A</v>
      </c>
      <c r="BP134">
        <v>45000</v>
      </c>
      <c r="BR134">
        <v>50000</v>
      </c>
      <c r="BT134">
        <v>80300</v>
      </c>
      <c r="BV134">
        <v>50000</v>
      </c>
    </row>
    <row r="135">
      <c r="H135">
        <v>71500</v>
      </c>
      <c r="J135">
        <v>50000</v>
      </c>
      <c r="L135">
        <v>50000</v>
      </c>
      <c r="N135">
        <v>63525</v>
      </c>
      <c r="P135">
        <v>50000</v>
      </c>
      <c r="R135">
        <v>50000</v>
      </c>
      <c r="T135">
        <v>50000</v>
      </c>
      <c r="V135">
        <v>180000</v>
      </c>
      <c r="X135">
        <v>50000</v>
      </c>
      <c r="Z135">
        <v>50000</v>
      </c>
      <c r="AB135">
        <v>15000</v>
      </c>
      <c r="AD135">
        <v>23969.465648854963</v>
      </c>
      <c r="AF135">
        <v>50000</v>
      </c>
      <c r="AG135">
        <v>705</v>
      </c>
      <c r="AH135">
        <v>0</v>
      </c>
      <c r="AJ135">
        <v>50000</v>
      </c>
      <c r="AL135">
        <v>50000</v>
      </c>
      <c r="AN135">
        <v>50000</v>
      </c>
      <c r="AP135">
        <v>50000</v>
      </c>
      <c r="AR135">
        <v>43400</v>
      </c>
      <c r="AT135">
        <v>50000</v>
      </c>
      <c r="AX135">
        <v>50000</v>
      </c>
      <c r="AZ135">
        <v>18000</v>
      </c>
      <c r="BB135">
        <v>50000</v>
      </c>
      <c r="BD135">
        <v>62100</v>
      </c>
      <c r="BF135">
        <v>50000</v>
      </c>
      <c r="BH135">
        <v>58725</v>
      </c>
      <c r="BJ135">
        <v>75600</v>
      </c>
      <c r="BL135">
        <v>50000</v>
      </c>
      <c r="BN135">
        <v>50000</v>
      </c>
      <c r="BP135">
        <v>45000</v>
      </c>
      <c r="BR135">
        <v>50000</v>
      </c>
      <c r="BT135">
        <v>80300</v>
      </c>
      <c r="BV135">
        <v>50000</v>
      </c>
    </row>
    <row r="136">
      <c r="H136">
        <v>14025</v>
      </c>
      <c r="J136">
        <v>14025</v>
      </c>
      <c r="L136">
        <v>10800</v>
      </c>
      <c r="N136">
        <v>14025</v>
      </c>
      <c r="P136">
        <v>14025</v>
      </c>
      <c r="R136">
        <v>14025</v>
      </c>
      <c r="T136">
        <v>8135</v>
      </c>
      <c r="V136">
        <v>3333</v>
      </c>
      <c r="X136">
        <v>14025</v>
      </c>
      <c r="Z136">
        <v>8800</v>
      </c>
      <c r="AB136">
        <v>7500</v>
      </c>
      <c r="AD136">
        <v>22213.74045801527</v>
      </c>
      <c r="AF136">
        <v>14025</v>
      </c>
      <c r="AG136">
        <v>706</v>
      </c>
      <c r="AH136">
        <v>0</v>
      </c>
      <c r="AJ136">
        <v>14025</v>
      </c>
      <c r="AL136">
        <v>14025</v>
      </c>
      <c r="AN136">
        <v>14025</v>
      </c>
      <c r="AP136">
        <v>14025</v>
      </c>
      <c r="AR136">
        <v>14025</v>
      </c>
      <c r="AT136">
        <v>14025</v>
      </c>
      <c r="AX136">
        <v>14025</v>
      </c>
      <c r="AZ136">
        <v>4000</v>
      </c>
      <c r="BB136">
        <v>14025</v>
      </c>
      <c r="BD136">
        <v>6200</v>
      </c>
      <c r="BF136">
        <v>14025</v>
      </c>
      <c r="BH136">
        <v>14025</v>
      </c>
      <c r="BJ136">
        <v>14025</v>
      </c>
      <c r="BL136">
        <v>14025</v>
      </c>
      <c r="BN136">
        <v>14025</v>
      </c>
      <c r="BP136">
        <v>10000</v>
      </c>
      <c r="BR136">
        <v>14025</v>
      </c>
      <c r="BT136">
        <v>14025</v>
      </c>
      <c r="BV136">
        <v>11400</v>
      </c>
    </row>
    <row r="137">
      <c r="H137">
        <v>18900</v>
      </c>
      <c r="J137">
        <v>18900</v>
      </c>
      <c r="L137">
        <v>12600</v>
      </c>
      <c r="N137">
        <v>18900</v>
      </c>
      <c r="P137">
        <v>18900</v>
      </c>
      <c r="R137">
        <v>18900</v>
      </c>
      <c r="T137">
        <v>18900</v>
      </c>
      <c r="V137">
        <v>4887</v>
      </c>
      <c r="X137">
        <v>18900</v>
      </c>
      <c r="Z137">
        <v>12100</v>
      </c>
      <c r="AB137">
        <v>9700</v>
      </c>
      <c r="AD137">
        <v>22213.74045801527</v>
      </c>
      <c r="AF137">
        <v>18900</v>
      </c>
      <c r="AG137">
        <v>707</v>
      </c>
      <c r="AH137">
        <v>0</v>
      </c>
      <c r="AJ137">
        <v>18900</v>
      </c>
      <c r="AL137">
        <v>18900</v>
      </c>
      <c r="AN137">
        <v>18900</v>
      </c>
      <c r="AP137">
        <v>18900</v>
      </c>
      <c r="AR137">
        <v>18900</v>
      </c>
      <c r="AT137">
        <v>13650</v>
      </c>
      <c r="AX137">
        <v>18900</v>
      </c>
      <c r="AZ137">
        <v>7000</v>
      </c>
      <c r="BB137">
        <v>18900</v>
      </c>
      <c r="BD137">
        <v>11600</v>
      </c>
      <c r="BF137">
        <v>18900</v>
      </c>
      <c r="BH137">
        <v>18900</v>
      </c>
      <c r="BJ137">
        <v>8820</v>
      </c>
      <c r="BL137">
        <v>18900</v>
      </c>
      <c r="BN137">
        <v>18900</v>
      </c>
      <c r="BP137">
        <v>12000</v>
      </c>
      <c r="BR137">
        <v>18900</v>
      </c>
      <c r="BT137">
        <v>18900</v>
      </c>
      <c r="BV137">
        <v>15000</v>
      </c>
    </row>
    <row r="138">
      <c r="H138">
        <v>15000</v>
      </c>
      <c r="J138">
        <v>15000</v>
      </c>
      <c r="L138">
        <v>15000</v>
      </c>
      <c r="N138">
        <v>15000</v>
      </c>
      <c r="P138">
        <v>15000</v>
      </c>
      <c r="R138">
        <v>15000</v>
      </c>
      <c r="T138">
        <v>15000</v>
      </c>
      <c r="V138">
        <v>15000</v>
      </c>
      <c r="X138">
        <v>15000</v>
      </c>
      <c r="Z138">
        <v>15000</v>
      </c>
      <c r="AB138">
        <v>15000</v>
      </c>
      <c r="AD138">
        <v>4970</v>
      </c>
      <c r="AF138">
        <v>15000</v>
      </c>
      <c r="AG138">
        <v>708</v>
      </c>
      <c r="AH138">
        <v>0</v>
      </c>
      <c r="AJ138">
        <v>15000</v>
      </c>
      <c r="AL138">
        <v>15000</v>
      </c>
      <c r="AN138">
        <v>15000</v>
      </c>
      <c r="AP138">
        <v>15000</v>
      </c>
      <c r="AR138">
        <v>15000</v>
      </c>
      <c r="AT138">
        <v>15000</v>
      </c>
      <c r="AX138">
        <v>15000</v>
      </c>
      <c r="AZ138">
        <v>15000</v>
      </c>
      <c r="BB138">
        <v>15000</v>
      </c>
      <c r="BD138">
        <v>15000</v>
      </c>
      <c r="BF138">
        <v>15000</v>
      </c>
      <c r="BH138">
        <v>15000</v>
      </c>
      <c r="BJ138">
        <v>15000</v>
      </c>
      <c r="BL138">
        <v>15000</v>
      </c>
      <c r="BN138">
        <v>15000</v>
      </c>
      <c r="BP138">
        <v>15000</v>
      </c>
      <c r="BR138">
        <v>15000</v>
      </c>
      <c r="BT138">
        <v>15000</v>
      </c>
      <c r="BV138">
        <v>15000</v>
      </c>
    </row>
    <row r="139">
      <c r="H139">
        <v>3003</v>
      </c>
      <c r="J139">
        <v>5000</v>
      </c>
      <c r="L139">
        <v>5000</v>
      </c>
      <c r="N139">
        <v>5000</v>
      </c>
      <c r="P139">
        <v>5000</v>
      </c>
      <c r="R139">
        <v>5000</v>
      </c>
      <c r="T139">
        <v>5000</v>
      </c>
      <c r="V139">
        <v>5000</v>
      </c>
      <c r="X139">
        <v>5000</v>
      </c>
      <c r="Z139">
        <v>5000</v>
      </c>
      <c r="AB139">
        <v>5000</v>
      </c>
      <c r="AD139">
        <v>5000</v>
      </c>
      <c r="AF139">
        <v>5000</v>
      </c>
      <c r="AG139">
        <v>709</v>
      </c>
      <c r="AH139">
        <v>0</v>
      </c>
      <c r="AJ139">
        <v>5000</v>
      </c>
      <c r="AL139">
        <v>5000</v>
      </c>
      <c r="AN139">
        <v>5000</v>
      </c>
      <c r="AP139">
        <v>5000</v>
      </c>
      <c r="AR139">
        <v>5000</v>
      </c>
      <c r="AT139">
        <v>5000</v>
      </c>
      <c r="AX139">
        <v>5000</v>
      </c>
      <c r="AZ139">
        <v>5000</v>
      </c>
      <c r="BB139">
        <v>5000</v>
      </c>
      <c r="BD139">
        <v>5000</v>
      </c>
      <c r="BF139">
        <v>5000</v>
      </c>
      <c r="BH139">
        <v>5000</v>
      </c>
      <c r="BJ139">
        <v>5000</v>
      </c>
      <c r="BL139">
        <v>5000</v>
      </c>
      <c r="BN139">
        <v>5000</v>
      </c>
      <c r="BP139">
        <v>7000</v>
      </c>
      <c r="BR139">
        <v>5000</v>
      </c>
      <c r="BT139">
        <v>5000</v>
      </c>
      <c r="BV139">
        <v>5000</v>
      </c>
    </row>
    <row r="140">
      <c r="H140">
        <v>13970</v>
      </c>
      <c r="J140">
        <v>7300</v>
      </c>
      <c r="L140">
        <v>17000</v>
      </c>
      <c r="N140">
        <v>16550</v>
      </c>
      <c r="P140">
        <v>15000</v>
      </c>
      <c r="R140">
        <v>15000</v>
      </c>
      <c r="T140">
        <v>19074</v>
      </c>
      <c r="V140">
        <v>18546</v>
      </c>
      <c r="X140">
        <v>16500</v>
      </c>
      <c r="Z140">
        <v>29700</v>
      </c>
      <c r="AB140">
        <v>13000</v>
      </c>
      <c r="AD140">
        <v>11374.045801526718</v>
      </c>
      <c r="AF140">
        <v>15000</v>
      </c>
      <c r="AG140">
        <v>710</v>
      </c>
      <c r="AH140">
        <v>0</v>
      </c>
      <c r="AJ140">
        <v>15000</v>
      </c>
      <c r="AL140">
        <v>14700</v>
      </c>
      <c r="AN140">
        <v>15000</v>
      </c>
      <c r="AP140">
        <v>10400</v>
      </c>
      <c r="AR140">
        <v>15000</v>
      </c>
      <c r="AT140">
        <v>15000</v>
      </c>
      <c r="AX140">
        <v>16390</v>
      </c>
      <c r="AZ140">
        <v>8000</v>
      </c>
      <c r="BB140">
        <v>15000</v>
      </c>
      <c r="BD140">
        <v>11600</v>
      </c>
      <c r="BF140">
        <v>16100</v>
      </c>
      <c r="BH140">
        <v>14151</v>
      </c>
      <c r="BJ140">
        <v>16380</v>
      </c>
      <c r="BL140">
        <v>16500</v>
      </c>
      <c r="BN140">
        <v>15000</v>
      </c>
      <c r="BP140">
        <v>8000</v>
      </c>
      <c r="BR140">
        <v>15000</v>
      </c>
      <c r="BT140">
        <v>32100</v>
      </c>
      <c r="BV140">
        <v>18750</v>
      </c>
    </row>
    <row r="141">
      <c r="H141">
        <v>25025</v>
      </c>
      <c r="J141">
        <v>7300</v>
      </c>
      <c r="L141">
        <v>18500</v>
      </c>
      <c r="N141">
        <v>18525</v>
      </c>
      <c r="P141">
        <v>18900</v>
      </c>
      <c r="R141">
        <v>18900</v>
      </c>
      <c r="T141">
        <v>8976</v>
      </c>
      <c r="V141">
        <v>22200</v>
      </c>
      <c r="X141">
        <v>19800</v>
      </c>
      <c r="Z141">
        <v>40000</v>
      </c>
      <c r="AB141">
        <v>15000</v>
      </c>
      <c r="AD141">
        <v>15190.839694656488</v>
      </c>
      <c r="AF141">
        <v>18900</v>
      </c>
      <c r="AG141">
        <v>711</v>
      </c>
      <c r="AH141">
        <v>0</v>
      </c>
      <c r="AJ141">
        <v>18900</v>
      </c>
      <c r="AL141">
        <v>14700</v>
      </c>
      <c r="AN141">
        <v>18900</v>
      </c>
      <c r="AP141">
        <v>15000</v>
      </c>
      <c r="AR141">
        <v>18900</v>
      </c>
      <c r="AT141">
        <v>18900</v>
      </c>
      <c r="AX141">
        <v>19690</v>
      </c>
      <c r="AZ141">
        <v>8500</v>
      </c>
      <c r="BB141">
        <v>15246</v>
      </c>
      <c r="BD141">
        <v>11600</v>
      </c>
      <c r="BF141">
        <v>20800</v>
      </c>
      <c r="BH141">
        <v>17670</v>
      </c>
      <c r="BJ141">
        <v>25200</v>
      </c>
      <c r="BL141">
        <v>18900</v>
      </c>
      <c r="BN141">
        <v>18900</v>
      </c>
      <c r="BP141">
        <v>8000</v>
      </c>
      <c r="BR141">
        <v>18900</v>
      </c>
      <c r="BT141">
        <v>35400</v>
      </c>
      <c r="BV141">
        <v>22500</v>
      </c>
    </row>
    <row r="142">
      <c r="H142">
        <v>20350</v>
      </c>
      <c r="J142">
        <v>15000</v>
      </c>
      <c r="L142">
        <v>18500</v>
      </c>
      <c r="N142">
        <v>18525</v>
      </c>
      <c r="P142">
        <v>29250</v>
      </c>
      <c r="R142">
        <v>15000</v>
      </c>
      <c r="T142">
        <v>6732</v>
      </c>
      <c r="V142">
        <v>17800</v>
      </c>
      <c r="X142">
        <v>16500</v>
      </c>
      <c r="Z142">
        <v>29700</v>
      </c>
      <c r="AB142">
        <v>13000</v>
      </c>
      <c r="AD142">
        <v>12595.419847328245</v>
      </c>
      <c r="AF142">
        <v>15000</v>
      </c>
      <c r="AG142">
        <v>302</v>
      </c>
      <c r="AH142">
        <v>14300</v>
      </c>
      <c r="AJ142">
        <v>15000</v>
      </c>
      <c r="AL142">
        <v>24500</v>
      </c>
      <c r="AN142">
        <v>15000</v>
      </c>
      <c r="AP142">
        <v>16200</v>
      </c>
      <c r="AR142">
        <v>15000</v>
      </c>
      <c r="AT142">
        <v>12600</v>
      </c>
      <c r="AX142">
        <v>16390</v>
      </c>
      <c r="AZ142">
        <v>9000</v>
      </c>
      <c r="BB142">
        <v>16170</v>
      </c>
      <c r="BD142">
        <v>11600</v>
      </c>
      <c r="BF142">
        <v>20300</v>
      </c>
      <c r="BH142">
        <v>16497</v>
      </c>
      <c r="BJ142">
        <v>25200</v>
      </c>
      <c r="BL142">
        <v>129470</v>
      </c>
      <c r="BN142">
        <v>15000</v>
      </c>
      <c r="BP142">
        <v>45000</v>
      </c>
      <c r="BR142">
        <v>15000</v>
      </c>
      <c r="BT142">
        <v>27900</v>
      </c>
      <c r="BV142">
        <v>17500</v>
      </c>
    </row>
    <row r="143">
      <c r="H143">
        <v>43575</v>
      </c>
      <c r="J143">
        <v>43575</v>
      </c>
      <c r="L143">
        <v>43575</v>
      </c>
      <c r="N143">
        <v>43575</v>
      </c>
      <c r="P143">
        <v>43575</v>
      </c>
      <c r="R143">
        <v>43575</v>
      </c>
      <c r="T143">
        <v>43575</v>
      </c>
      <c r="V143">
        <v>43575</v>
      </c>
      <c r="X143">
        <v>43575</v>
      </c>
      <c r="Z143">
        <v>43575</v>
      </c>
      <c r="AB143">
        <v>43575</v>
      </c>
      <c r="AD143">
        <v>43575</v>
      </c>
      <c r="AF143">
        <v>43575</v>
      </c>
      <c r="AG143">
        <v>712</v>
      </c>
      <c r="AH143">
        <v>0</v>
      </c>
      <c r="AJ143">
        <v>43575</v>
      </c>
      <c r="AL143">
        <v>43575</v>
      </c>
      <c r="AN143">
        <v>43575</v>
      </c>
      <c r="AP143">
        <v>43575</v>
      </c>
      <c r="AR143">
        <v>43575</v>
      </c>
      <c r="AT143">
        <v>43575</v>
      </c>
      <c r="AX143">
        <v>43575</v>
      </c>
      <c r="AZ143">
        <v>43575</v>
      </c>
      <c r="BB143">
        <v>43575</v>
      </c>
      <c r="BD143">
        <v>43575</v>
      </c>
      <c r="BF143">
        <v>43575</v>
      </c>
      <c r="BH143">
        <v>43575</v>
      </c>
      <c r="BJ143">
        <v>43575</v>
      </c>
      <c r="BL143">
        <v>43575</v>
      </c>
      <c r="BN143">
        <v>43575</v>
      </c>
      <c r="BP143">
        <v>43575</v>
      </c>
      <c r="BR143">
        <v>43575</v>
      </c>
      <c r="BT143">
        <v>43575</v>
      </c>
      <c r="BV143">
        <v>43575</v>
      </c>
    </row>
    <row r="144">
      <c r="H144">
        <v>43575</v>
      </c>
      <c r="J144">
        <v>43575</v>
      </c>
      <c r="L144">
        <v>43575</v>
      </c>
      <c r="N144">
        <v>43575</v>
      </c>
      <c r="P144">
        <v>43575</v>
      </c>
      <c r="R144">
        <v>43575</v>
      </c>
      <c r="T144">
        <v>43575</v>
      </c>
      <c r="V144">
        <v>43575</v>
      </c>
      <c r="X144">
        <v>43575</v>
      </c>
      <c r="Z144">
        <v>43575</v>
      </c>
      <c r="AB144">
        <v>43575</v>
      </c>
      <c r="AD144">
        <v>43575</v>
      </c>
      <c r="AF144">
        <v>43575</v>
      </c>
      <c r="AG144">
        <v>713</v>
      </c>
      <c r="AH144">
        <v>0</v>
      </c>
      <c r="AJ144">
        <v>43575</v>
      </c>
      <c r="AL144">
        <v>43575</v>
      </c>
      <c r="AN144">
        <v>43575</v>
      </c>
      <c r="AP144">
        <v>43575</v>
      </c>
      <c r="AR144">
        <v>43575</v>
      </c>
      <c r="AT144">
        <v>43575</v>
      </c>
      <c r="AX144">
        <v>43575</v>
      </c>
      <c r="AZ144">
        <v>43575</v>
      </c>
      <c r="BB144">
        <v>43575</v>
      </c>
      <c r="BD144">
        <v>43575</v>
      </c>
      <c r="BF144">
        <v>43575</v>
      </c>
      <c r="BH144">
        <v>43575</v>
      </c>
      <c r="BJ144">
        <v>43575</v>
      </c>
      <c r="BL144">
        <v>43575</v>
      </c>
      <c r="BN144">
        <v>43575</v>
      </c>
      <c r="BP144">
        <v>43575</v>
      </c>
      <c r="BR144">
        <v>43575</v>
      </c>
      <c r="BT144">
        <v>43575</v>
      </c>
      <c r="BV144">
        <v>43575</v>
      </c>
    </row>
    <row r="145">
      <c r="H145">
        <v>173460</v>
      </c>
      <c r="J145">
        <v>173460</v>
      </c>
      <c r="L145">
        <v>173460</v>
      </c>
      <c r="N145">
        <v>173460</v>
      </c>
      <c r="P145">
        <v>173460</v>
      </c>
      <c r="R145">
        <v>173460</v>
      </c>
      <c r="T145">
        <v>173460</v>
      </c>
      <c r="V145">
        <v>108000</v>
      </c>
      <c r="X145">
        <v>173460</v>
      </c>
      <c r="Z145">
        <v>173460</v>
      </c>
      <c r="AB145">
        <v>100000</v>
      </c>
      <c r="AD145">
        <v>326300</v>
      </c>
      <c r="AF145">
        <v>173460</v>
      </c>
      <c r="AG145">
        <v>714</v>
      </c>
      <c r="AH145">
        <v>0</v>
      </c>
      <c r="AJ145">
        <v>173460</v>
      </c>
      <c r="AL145">
        <v>173460</v>
      </c>
      <c r="AN145">
        <v>173460</v>
      </c>
      <c r="AP145">
        <v>173460</v>
      </c>
      <c r="AR145">
        <v>173460</v>
      </c>
      <c r="AT145">
        <v>173460</v>
      </c>
      <c r="AX145">
        <v>73920</v>
      </c>
      <c r="AZ145">
        <v>34000</v>
      </c>
      <c r="BB145">
        <v>173460</v>
      </c>
      <c r="BD145">
        <v>54300</v>
      </c>
      <c r="BF145">
        <v>173460</v>
      </c>
      <c r="BH145">
        <v>173460</v>
      </c>
      <c r="BJ145">
        <v>173460</v>
      </c>
      <c r="BL145">
        <v>173460</v>
      </c>
      <c r="BN145">
        <v>173460</v>
      </c>
      <c r="BP145">
        <v>173460</v>
      </c>
      <c r="BR145">
        <v>173460</v>
      </c>
      <c r="BT145">
        <v>173460</v>
      </c>
      <c r="BV145">
        <v>173460</v>
      </c>
    </row>
    <row r="146">
      <c r="H146">
        <v>49400</v>
      </c>
      <c r="J146">
        <v>75000</v>
      </c>
      <c r="L146">
        <v>75000</v>
      </c>
      <c r="N146">
        <v>75000</v>
      </c>
      <c r="P146">
        <v>75000</v>
      </c>
      <c r="R146">
        <v>75000</v>
      </c>
      <c r="T146">
        <v>75000</v>
      </c>
      <c r="V146">
        <v>81272</v>
      </c>
      <c r="X146">
        <v>75000</v>
      </c>
      <c r="Z146">
        <v>49500</v>
      </c>
      <c r="AB146">
        <v>75000</v>
      </c>
      <c r="AD146">
        <v>75000</v>
      </c>
      <c r="AF146">
        <v>75000</v>
      </c>
      <c r="AG146">
        <v>715</v>
      </c>
      <c r="AH146">
        <v>0</v>
      </c>
      <c r="AJ146">
        <v>75000</v>
      </c>
      <c r="AL146">
        <v>75000</v>
      </c>
      <c r="AN146">
        <v>75000</v>
      </c>
      <c r="AP146">
        <v>75000</v>
      </c>
      <c r="AR146">
        <v>75000</v>
      </c>
      <c r="AT146">
        <v>75000</v>
      </c>
      <c r="AX146">
        <v>75000</v>
      </c>
      <c r="AZ146">
        <v>75000</v>
      </c>
      <c r="BB146">
        <v>75000</v>
      </c>
      <c r="BD146">
        <v>77600</v>
      </c>
      <c r="BF146">
        <v>75000</v>
      </c>
      <c r="BH146">
        <v>75000</v>
      </c>
      <c r="BJ146">
        <v>75000</v>
      </c>
      <c r="BL146">
        <v>75000</v>
      </c>
      <c r="BN146">
        <v>75000</v>
      </c>
      <c r="BP146">
        <v>75000</v>
      </c>
      <c r="BR146">
        <v>75000</v>
      </c>
      <c r="BT146">
        <v>75000</v>
      </c>
      <c r="BV146">
        <v>75000</v>
      </c>
    </row>
    <row r="147">
      <c r="H147">
        <v>250000</v>
      </c>
      <c r="J147">
        <v>250000</v>
      </c>
      <c r="L147">
        <v>250000</v>
      </c>
      <c r="N147">
        <v>170050</v>
      </c>
      <c r="P147">
        <v>300000</v>
      </c>
      <c r="R147">
        <v>250000</v>
      </c>
      <c r="T147">
        <v>72930</v>
      </c>
      <c r="V147">
        <v>84000</v>
      </c>
      <c r="X147">
        <v>250000</v>
      </c>
      <c r="Z147">
        <v>29700</v>
      </c>
      <c r="AB147">
        <v>250000</v>
      </c>
      <c r="AD147">
        <v>89007.63358778626</v>
      </c>
      <c r="AF147">
        <v>250000</v>
      </c>
      <c r="AG147">
        <v>716</v>
      </c>
      <c r="AH147">
        <v>0</v>
      </c>
      <c r="AJ147">
        <v>250000</v>
      </c>
      <c r="AL147">
        <v>80850</v>
      </c>
      <c r="AN147">
        <v>250000</v>
      </c>
      <c r="AP147">
        <v>250000</v>
      </c>
      <c r="AR147">
        <v>97200</v>
      </c>
      <c r="AT147">
        <v>250000</v>
      </c>
      <c r="AX147">
        <v>250000</v>
      </c>
      <c r="AZ147">
        <v>250000</v>
      </c>
      <c r="BB147">
        <v>250000</v>
      </c>
      <c r="BD147">
        <v>77600</v>
      </c>
      <c r="BF147">
        <v>32800</v>
      </c>
      <c r="BH147">
        <v>217080</v>
      </c>
      <c r="BJ147">
        <v>250000</v>
      </c>
      <c r="BL147">
        <v>250000</v>
      </c>
      <c r="BN147">
        <v>250000</v>
      </c>
      <c r="BP147">
        <v>250000</v>
      </c>
      <c r="BR147">
        <v>250000</v>
      </c>
      <c r="BT147">
        <v>250000</v>
      </c>
      <c r="BV147">
        <v>250000</v>
      </c>
    </row>
    <row r="148">
      <c r="H148">
        <v>375000</v>
      </c>
      <c r="J148">
        <v>375000</v>
      </c>
      <c r="L148">
        <v>375000</v>
      </c>
      <c r="N148">
        <v>179025</v>
      </c>
      <c r="P148">
        <v>375000</v>
      </c>
      <c r="R148">
        <v>375000</v>
      </c>
      <c r="T148">
        <v>84150</v>
      </c>
      <c r="V148">
        <v>375000</v>
      </c>
      <c r="X148">
        <v>375000</v>
      </c>
      <c r="Z148">
        <v>375000</v>
      </c>
      <c r="AB148">
        <v>310000</v>
      </c>
      <c r="AD148">
        <v>120076.3358778626</v>
      </c>
      <c r="AF148">
        <v>375000</v>
      </c>
      <c r="AG148">
        <v>717</v>
      </c>
      <c r="AH148">
        <v>0</v>
      </c>
      <c r="AJ148">
        <v>375000</v>
      </c>
      <c r="AL148">
        <v>110513</v>
      </c>
      <c r="AN148">
        <v>375000</v>
      </c>
      <c r="AP148">
        <v>375000</v>
      </c>
      <c r="AR148">
        <v>100400</v>
      </c>
      <c r="AT148">
        <v>375000</v>
      </c>
      <c r="AX148">
        <v>213730</v>
      </c>
      <c r="AZ148">
        <v>375000</v>
      </c>
      <c r="BB148">
        <v>375000</v>
      </c>
      <c r="BD148">
        <v>375000</v>
      </c>
      <c r="BF148">
        <v>41600</v>
      </c>
      <c r="BH148">
        <v>322650</v>
      </c>
      <c r="BJ148">
        <v>375000</v>
      </c>
      <c r="BL148">
        <v>375000</v>
      </c>
      <c r="BN148">
        <v>375000</v>
      </c>
      <c r="BP148">
        <v>60000</v>
      </c>
      <c r="BR148">
        <v>375000</v>
      </c>
      <c r="BT148">
        <v>375000</v>
      </c>
      <c r="BV148">
        <v>375000</v>
      </c>
    </row>
    <row r="150">
      <c r="A150" t="str">
        <v xml:space="preserve">Nanggroe Aceh Darussalam </v>
      </c>
    </row>
    <row r="151">
      <c r="A151" t="str">
        <v>Sumatera Utara</v>
      </c>
      <c r="H151">
        <v>120000</v>
      </c>
      <c r="J151">
        <v>80000</v>
      </c>
      <c r="L151">
        <v>80000</v>
      </c>
      <c r="N151">
        <v>75000</v>
      </c>
      <c r="P151">
        <v>75000</v>
      </c>
      <c r="R151">
        <v>80000</v>
      </c>
      <c r="T151">
        <v>77000</v>
      </c>
      <c r="V151">
        <v>99000</v>
      </c>
      <c r="X151">
        <v>75000</v>
      </c>
      <c r="Z151">
        <v>80000</v>
      </c>
      <c r="AB151">
        <v>62700</v>
      </c>
      <c r="AD151">
        <v>82730</v>
      </c>
      <c r="AF151">
        <v>115441</v>
      </c>
      <c r="AG151">
        <v>400</v>
      </c>
      <c r="AH151">
        <v>90000</v>
      </c>
      <c r="AJ151">
        <v>49500</v>
      </c>
      <c r="AL151">
        <v>42000</v>
      </c>
      <c r="AN151">
        <v>77000</v>
      </c>
      <c r="AP151">
        <v>87000</v>
      </c>
      <c r="AR151">
        <v>101200</v>
      </c>
      <c r="AT151">
        <v>84000</v>
      </c>
      <c r="AX151">
        <v>75240</v>
      </c>
      <c r="AZ151">
        <v>80000</v>
      </c>
      <c r="BB151">
        <v>75000</v>
      </c>
      <c r="BD151">
        <v>75000</v>
      </c>
      <c r="BF151">
        <v>70000</v>
      </c>
      <c r="BH151">
        <v>65000</v>
      </c>
      <c r="BJ151">
        <v>69300</v>
      </c>
      <c r="BL151">
        <v>62150</v>
      </c>
      <c r="BN151">
        <v>54600</v>
      </c>
      <c r="BP151">
        <v>58000</v>
      </c>
      <c r="BR151">
        <v>85000</v>
      </c>
      <c r="BT151">
        <v>125000</v>
      </c>
      <c r="BV151">
        <v>85000</v>
      </c>
    </row>
    <row r="152">
      <c r="A152" t="str">
        <v>Sumatera Barat</v>
      </c>
      <c r="H152">
        <v>120000</v>
      </c>
      <c r="J152">
        <v>80000</v>
      </c>
      <c r="L152">
        <v>80000</v>
      </c>
      <c r="N152">
        <v>75000</v>
      </c>
      <c r="P152">
        <v>75000</v>
      </c>
      <c r="R152">
        <v>75000</v>
      </c>
      <c r="T152">
        <v>77000</v>
      </c>
      <c r="V152">
        <v>99000</v>
      </c>
      <c r="X152">
        <v>75000</v>
      </c>
      <c r="Z152">
        <v>75000</v>
      </c>
      <c r="AB152">
        <v>62700</v>
      </c>
      <c r="AD152">
        <v>82730</v>
      </c>
      <c r="AF152">
        <v>115441</v>
      </c>
      <c r="AG152">
        <v>400</v>
      </c>
      <c r="AH152">
        <v>90000</v>
      </c>
      <c r="AJ152">
        <v>49500</v>
      </c>
      <c r="AL152">
        <v>42000</v>
      </c>
      <c r="AN152">
        <v>77000</v>
      </c>
      <c r="AP152">
        <v>87000</v>
      </c>
      <c r="AR152">
        <v>101200</v>
      </c>
      <c r="AT152">
        <v>84000</v>
      </c>
      <c r="AX152">
        <v>75240</v>
      </c>
      <c r="AZ152">
        <v>80000</v>
      </c>
      <c r="BB152">
        <v>75000</v>
      </c>
      <c r="BD152">
        <v>75000</v>
      </c>
      <c r="BF152">
        <v>70000</v>
      </c>
      <c r="BH152">
        <v>65000</v>
      </c>
      <c r="BJ152">
        <v>69300</v>
      </c>
      <c r="BL152">
        <v>62150</v>
      </c>
      <c r="BN152">
        <v>54600</v>
      </c>
      <c r="BP152">
        <v>58000</v>
      </c>
      <c r="BR152">
        <v>85000</v>
      </c>
      <c r="BT152">
        <v>125000</v>
      </c>
      <c r="BV152">
        <v>85000</v>
      </c>
    </row>
    <row r="153">
      <c r="A153" t="str">
        <v>Jambi</v>
      </c>
      <c r="H153">
        <v>150000</v>
      </c>
      <c r="J153">
        <v>90000</v>
      </c>
      <c r="L153">
        <v>85000</v>
      </c>
      <c r="N153">
        <v>85000</v>
      </c>
      <c r="P153">
        <v>90000</v>
      </c>
      <c r="R153">
        <v>85000</v>
      </c>
      <c r="T153">
        <v>88000</v>
      </c>
      <c r="V153">
        <v>125000</v>
      </c>
      <c r="X153">
        <v>80000</v>
      </c>
      <c r="Z153">
        <v>75000</v>
      </c>
      <c r="AB153">
        <v>68900</v>
      </c>
      <c r="AD153">
        <v>82730</v>
      </c>
      <c r="AF153">
        <v>132928</v>
      </c>
      <c r="AG153">
        <v>398</v>
      </c>
      <c r="AH153">
        <v>90000</v>
      </c>
      <c r="AJ153">
        <v>49500</v>
      </c>
      <c r="AL153">
        <v>52500</v>
      </c>
      <c r="AN153">
        <v>82500</v>
      </c>
      <c r="AP153">
        <v>87000</v>
      </c>
      <c r="AR153">
        <v>151800</v>
      </c>
      <c r="AT153">
        <v>84000</v>
      </c>
      <c r="AX153">
        <v>111320</v>
      </c>
      <c r="AZ153">
        <v>90000</v>
      </c>
      <c r="BB153">
        <v>80000</v>
      </c>
      <c r="BD153">
        <v>80000</v>
      </c>
      <c r="BF153">
        <v>75000</v>
      </c>
      <c r="BH153">
        <v>70000</v>
      </c>
      <c r="BJ153">
        <v>75600</v>
      </c>
      <c r="BL153">
        <v>68360</v>
      </c>
      <c r="BN153">
        <v>68250</v>
      </c>
      <c r="BP153">
        <v>70000</v>
      </c>
      <c r="BR153">
        <v>85000</v>
      </c>
      <c r="BT153">
        <v>150000</v>
      </c>
      <c r="BV153">
        <v>95000</v>
      </c>
    </row>
    <row r="154">
      <c r="A154" t="str">
        <v>Riau</v>
      </c>
      <c r="H154">
        <v>120000</v>
      </c>
      <c r="J154">
        <v>55000</v>
      </c>
      <c r="L154">
        <v>80000</v>
      </c>
      <c r="N154">
        <v>75000</v>
      </c>
      <c r="P154">
        <v>75000</v>
      </c>
      <c r="R154">
        <v>80000</v>
      </c>
      <c r="T154">
        <v>77000</v>
      </c>
      <c r="V154">
        <v>99000</v>
      </c>
      <c r="X154">
        <v>75000</v>
      </c>
      <c r="Z154">
        <v>75000</v>
      </c>
      <c r="AB154">
        <v>62700</v>
      </c>
      <c r="AD154">
        <v>82730</v>
      </c>
      <c r="AF154">
        <v>115457</v>
      </c>
      <c r="AG154">
        <v>401</v>
      </c>
      <c r="AH154">
        <v>90000</v>
      </c>
      <c r="AJ154">
        <v>52000</v>
      </c>
      <c r="AL154">
        <v>52500</v>
      </c>
      <c r="AN154">
        <v>77000</v>
      </c>
      <c r="AP154">
        <v>87000</v>
      </c>
      <c r="AR154">
        <v>101200</v>
      </c>
      <c r="AT154">
        <v>89250</v>
      </c>
      <c r="AX154">
        <v>75240</v>
      </c>
      <c r="AZ154">
        <v>80000</v>
      </c>
      <c r="BB154">
        <v>75000</v>
      </c>
      <c r="BD154">
        <v>75000</v>
      </c>
      <c r="BF154">
        <v>70000</v>
      </c>
      <c r="BH154">
        <v>65000</v>
      </c>
      <c r="BJ154">
        <v>75600</v>
      </c>
      <c r="BL154">
        <v>64630</v>
      </c>
      <c r="BN154">
        <v>54600</v>
      </c>
      <c r="BP154">
        <v>58000</v>
      </c>
      <c r="BR154">
        <v>85000</v>
      </c>
      <c r="BT154">
        <v>125000</v>
      </c>
      <c r="BV154">
        <v>85000</v>
      </c>
    </row>
    <row r="155">
      <c r="A155" t="str">
        <v>Kepulauan Riau</v>
      </c>
      <c r="H155">
        <v>120000</v>
      </c>
      <c r="J155">
        <v>80000</v>
      </c>
      <c r="L155">
        <v>80000</v>
      </c>
      <c r="N155">
        <v>75000</v>
      </c>
      <c r="P155">
        <v>75000</v>
      </c>
      <c r="R155">
        <v>80000</v>
      </c>
      <c r="T155">
        <v>77000</v>
      </c>
      <c r="V155">
        <v>99000</v>
      </c>
      <c r="X155">
        <v>75000</v>
      </c>
      <c r="Z155">
        <v>75000</v>
      </c>
      <c r="AB155">
        <v>62700</v>
      </c>
      <c r="AD155">
        <v>82730</v>
      </c>
      <c r="AF155">
        <v>115457</v>
      </c>
      <c r="AG155">
        <v>401</v>
      </c>
      <c r="AH155">
        <v>90000</v>
      </c>
      <c r="AJ155">
        <v>52000</v>
      </c>
      <c r="AL155">
        <v>52500</v>
      </c>
      <c r="AN155">
        <v>77000</v>
      </c>
      <c r="AP155">
        <v>87000</v>
      </c>
      <c r="AR155">
        <v>101200</v>
      </c>
      <c r="AT155">
        <v>89250</v>
      </c>
      <c r="AX155">
        <v>75240</v>
      </c>
      <c r="AZ155">
        <v>80000</v>
      </c>
      <c r="BB155">
        <v>75000</v>
      </c>
      <c r="BD155">
        <v>75000</v>
      </c>
      <c r="BF155">
        <v>70000</v>
      </c>
      <c r="BH155">
        <v>65000</v>
      </c>
      <c r="BJ155">
        <v>75600</v>
      </c>
      <c r="BL155">
        <v>64630</v>
      </c>
      <c r="BN155">
        <v>54600</v>
      </c>
      <c r="BP155">
        <v>58000</v>
      </c>
      <c r="BR155">
        <v>85000</v>
      </c>
      <c r="BT155">
        <v>125000</v>
      </c>
      <c r="BV155">
        <v>85000</v>
      </c>
    </row>
    <row r="156">
      <c r="A156" t="str">
        <v>Sumatera Selatan</v>
      </c>
      <c r="H156">
        <v>150000</v>
      </c>
      <c r="J156">
        <v>90000</v>
      </c>
      <c r="L156">
        <v>85000</v>
      </c>
      <c r="N156">
        <v>85000</v>
      </c>
      <c r="P156">
        <v>90000</v>
      </c>
      <c r="R156">
        <v>85000</v>
      </c>
      <c r="T156">
        <v>88000</v>
      </c>
      <c r="V156">
        <v>125000</v>
      </c>
      <c r="X156">
        <v>80000</v>
      </c>
      <c r="Z156">
        <v>75000</v>
      </c>
      <c r="AB156">
        <v>68900</v>
      </c>
      <c r="AD156">
        <v>82730</v>
      </c>
      <c r="AF156">
        <v>132928</v>
      </c>
      <c r="AG156">
        <v>398</v>
      </c>
      <c r="AH156">
        <v>90000</v>
      </c>
      <c r="AJ156">
        <v>52000</v>
      </c>
      <c r="AL156">
        <v>52500</v>
      </c>
      <c r="AN156">
        <v>82500</v>
      </c>
      <c r="AP156">
        <v>87000</v>
      </c>
      <c r="AR156">
        <v>151800</v>
      </c>
      <c r="AT156">
        <v>89250</v>
      </c>
      <c r="AX156">
        <v>111320</v>
      </c>
      <c r="AZ156">
        <v>90000</v>
      </c>
      <c r="BB156">
        <v>80000</v>
      </c>
      <c r="BD156">
        <v>80000</v>
      </c>
      <c r="BF156">
        <v>75000</v>
      </c>
      <c r="BH156">
        <v>70000</v>
      </c>
      <c r="BJ156">
        <v>81900</v>
      </c>
      <c r="BL156">
        <v>70950</v>
      </c>
      <c r="BN156">
        <v>68250</v>
      </c>
      <c r="BP156">
        <v>70000</v>
      </c>
      <c r="BR156">
        <v>85000</v>
      </c>
      <c r="BT156">
        <v>150000</v>
      </c>
      <c r="BV156">
        <v>95000</v>
      </c>
    </row>
    <row r="157">
      <c r="A157" t="str">
        <v>Bangka Belitung</v>
      </c>
      <c r="H157">
        <v>120000</v>
      </c>
      <c r="J157">
        <v>80000</v>
      </c>
      <c r="L157">
        <v>80000</v>
      </c>
      <c r="N157">
        <v>75000</v>
      </c>
      <c r="P157">
        <v>75000</v>
      </c>
      <c r="R157">
        <v>65700</v>
      </c>
      <c r="T157">
        <v>77000</v>
      </c>
      <c r="V157">
        <v>99000</v>
      </c>
      <c r="X157">
        <v>75000</v>
      </c>
      <c r="Z157">
        <v>75000</v>
      </c>
      <c r="AB157">
        <v>62700</v>
      </c>
      <c r="AD157">
        <v>82730</v>
      </c>
      <c r="AF157">
        <v>115457</v>
      </c>
      <c r="AG157">
        <v>399</v>
      </c>
      <c r="AH157">
        <v>90000</v>
      </c>
      <c r="AJ157">
        <v>47000</v>
      </c>
      <c r="AL157">
        <v>42000</v>
      </c>
      <c r="AN157">
        <v>77000</v>
      </c>
      <c r="AP157">
        <v>87000</v>
      </c>
      <c r="AR157">
        <v>101200</v>
      </c>
      <c r="AT157">
        <v>89250</v>
      </c>
      <c r="AX157">
        <v>75240</v>
      </c>
      <c r="AZ157">
        <v>80000</v>
      </c>
      <c r="BB157">
        <v>75000</v>
      </c>
      <c r="BD157">
        <v>75000</v>
      </c>
      <c r="BF157">
        <v>70000</v>
      </c>
      <c r="BH157">
        <v>65000</v>
      </c>
      <c r="BJ157">
        <v>69300</v>
      </c>
      <c r="BL157">
        <v>62150</v>
      </c>
      <c r="BN157">
        <v>54600</v>
      </c>
      <c r="BP157">
        <v>58000</v>
      </c>
      <c r="BR157">
        <v>75000</v>
      </c>
      <c r="BT157">
        <v>125000</v>
      </c>
      <c r="BV157">
        <v>85000</v>
      </c>
    </row>
    <row r="158">
      <c r="A158" t="str">
        <v>Bengkulu</v>
      </c>
      <c r="H158">
        <v>120000</v>
      </c>
      <c r="J158">
        <v>55000</v>
      </c>
      <c r="L158">
        <v>80000</v>
      </c>
      <c r="N158">
        <v>75000</v>
      </c>
      <c r="P158">
        <v>75000</v>
      </c>
      <c r="R158">
        <v>70000</v>
      </c>
      <c r="T158">
        <v>77000</v>
      </c>
      <c r="V158">
        <v>99000</v>
      </c>
      <c r="X158">
        <v>75000</v>
      </c>
      <c r="Z158">
        <v>75000</v>
      </c>
      <c r="AB158">
        <v>62700</v>
      </c>
      <c r="AD158">
        <v>82730</v>
      </c>
      <c r="AF158">
        <v>115457</v>
      </c>
      <c r="AG158">
        <v>399</v>
      </c>
      <c r="AH158">
        <v>90000</v>
      </c>
      <c r="AJ158">
        <v>47000</v>
      </c>
      <c r="AL158">
        <v>42000</v>
      </c>
      <c r="AN158">
        <v>77000</v>
      </c>
      <c r="AP158">
        <v>87000</v>
      </c>
      <c r="AR158">
        <v>101200</v>
      </c>
      <c r="AT158">
        <v>89250</v>
      </c>
      <c r="AX158">
        <v>75240</v>
      </c>
      <c r="AZ158">
        <v>80000</v>
      </c>
      <c r="BB158">
        <v>75000</v>
      </c>
      <c r="BD158">
        <v>75000</v>
      </c>
      <c r="BF158">
        <v>70000</v>
      </c>
      <c r="BH158">
        <v>65000</v>
      </c>
      <c r="BJ158">
        <v>69300</v>
      </c>
      <c r="BL158">
        <v>62150</v>
      </c>
      <c r="BN158">
        <v>54600</v>
      </c>
      <c r="BP158">
        <v>58000</v>
      </c>
      <c r="BR158">
        <v>85000</v>
      </c>
      <c r="BT158">
        <v>125000</v>
      </c>
      <c r="BV158">
        <v>85000</v>
      </c>
    </row>
    <row r="159">
      <c r="A159" t="str">
        <v>Lampung</v>
      </c>
      <c r="H159">
        <v>150000</v>
      </c>
      <c r="J159">
        <v>90000</v>
      </c>
      <c r="L159">
        <v>85000</v>
      </c>
      <c r="N159">
        <v>85000</v>
      </c>
      <c r="P159">
        <v>90000</v>
      </c>
      <c r="R159">
        <v>75600</v>
      </c>
      <c r="T159">
        <v>88000</v>
      </c>
      <c r="V159">
        <v>125000</v>
      </c>
      <c r="X159">
        <v>80000</v>
      </c>
      <c r="Z159">
        <v>75000</v>
      </c>
      <c r="AB159">
        <v>68900</v>
      </c>
      <c r="AD159">
        <v>82730</v>
      </c>
      <c r="AF159">
        <v>132928</v>
      </c>
      <c r="AG159">
        <v>398</v>
      </c>
      <c r="AH159">
        <v>90000</v>
      </c>
      <c r="AJ159">
        <v>47000</v>
      </c>
      <c r="AL159">
        <v>52500</v>
      </c>
      <c r="AN159">
        <v>82500</v>
      </c>
      <c r="AP159">
        <v>87000</v>
      </c>
      <c r="AR159">
        <v>151800</v>
      </c>
      <c r="AT159">
        <v>89250</v>
      </c>
      <c r="AX159">
        <v>111320</v>
      </c>
      <c r="AZ159">
        <v>90000</v>
      </c>
      <c r="BB159">
        <v>80000</v>
      </c>
      <c r="BD159">
        <v>80000</v>
      </c>
      <c r="BF159">
        <v>75000</v>
      </c>
      <c r="BH159">
        <v>70000</v>
      </c>
      <c r="BJ159">
        <v>75600</v>
      </c>
      <c r="BL159">
        <v>68360</v>
      </c>
      <c r="BN159">
        <v>68250</v>
      </c>
      <c r="BP159">
        <v>70000</v>
      </c>
      <c r="BR159">
        <v>85000</v>
      </c>
      <c r="BT159">
        <v>150000</v>
      </c>
      <c r="BV159">
        <v>95000</v>
      </c>
    </row>
    <row r="160">
      <c r="A160" t="str">
        <v>Jawa Barat</v>
      </c>
      <c r="H160">
        <v>120000</v>
      </c>
      <c r="J160">
        <v>80000</v>
      </c>
      <c r="L160">
        <v>80000</v>
      </c>
      <c r="N160">
        <v>75000</v>
      </c>
      <c r="P160">
        <v>75000</v>
      </c>
      <c r="R160">
        <v>80000</v>
      </c>
      <c r="T160">
        <v>77000</v>
      </c>
      <c r="V160">
        <v>99000</v>
      </c>
      <c r="X160">
        <v>75000</v>
      </c>
      <c r="Z160">
        <v>75000</v>
      </c>
      <c r="AB160">
        <v>62700</v>
      </c>
      <c r="AD160">
        <v>82730</v>
      </c>
      <c r="AF160">
        <v>115457</v>
      </c>
      <c r="AG160">
        <v>402</v>
      </c>
      <c r="AH160">
        <v>90000</v>
      </c>
      <c r="AJ160">
        <v>47000</v>
      </c>
      <c r="AL160">
        <v>47250</v>
      </c>
      <c r="AN160">
        <v>77000</v>
      </c>
      <c r="AP160">
        <v>87000</v>
      </c>
      <c r="AR160">
        <v>94900</v>
      </c>
      <c r="AT160">
        <v>84000</v>
      </c>
      <c r="AX160">
        <v>75240</v>
      </c>
      <c r="AZ160">
        <v>80000</v>
      </c>
      <c r="BB160">
        <v>75000</v>
      </c>
      <c r="BD160">
        <v>75000</v>
      </c>
      <c r="BF160">
        <v>70000</v>
      </c>
      <c r="BH160">
        <v>65000</v>
      </c>
      <c r="BJ160">
        <v>69300</v>
      </c>
      <c r="BL160">
        <v>62150</v>
      </c>
      <c r="BN160">
        <v>54600</v>
      </c>
      <c r="BP160">
        <v>58000</v>
      </c>
      <c r="BR160">
        <v>85000</v>
      </c>
      <c r="BT160">
        <v>125000</v>
      </c>
      <c r="BV160">
        <v>85000</v>
      </c>
    </row>
    <row r="161">
      <c r="A161" t="str">
        <v>Banten</v>
      </c>
      <c r="H161">
        <v>150000</v>
      </c>
      <c r="J161">
        <v>90000</v>
      </c>
      <c r="L161">
        <v>85000</v>
      </c>
      <c r="N161">
        <v>85000</v>
      </c>
      <c r="P161">
        <v>90000</v>
      </c>
      <c r="R161">
        <v>85000</v>
      </c>
      <c r="T161">
        <v>88000</v>
      </c>
      <c r="V161">
        <v>125000</v>
      </c>
      <c r="X161">
        <v>80000</v>
      </c>
      <c r="Z161">
        <v>75000</v>
      </c>
      <c r="AB161">
        <v>68900</v>
      </c>
      <c r="AD161">
        <v>82730</v>
      </c>
      <c r="AF161">
        <v>132928</v>
      </c>
      <c r="AG161">
        <v>398</v>
      </c>
      <c r="AH161">
        <v>90000</v>
      </c>
      <c r="AJ161">
        <v>47000</v>
      </c>
      <c r="AL161">
        <v>52500</v>
      </c>
      <c r="AN161">
        <v>82500</v>
      </c>
      <c r="AP161">
        <v>87000</v>
      </c>
      <c r="AR161">
        <v>151800</v>
      </c>
      <c r="AT161">
        <v>84000</v>
      </c>
      <c r="AX161">
        <v>111320</v>
      </c>
      <c r="AZ161">
        <v>90000</v>
      </c>
      <c r="BB161">
        <v>80000</v>
      </c>
      <c r="BD161">
        <v>80000</v>
      </c>
      <c r="BF161">
        <v>75000</v>
      </c>
      <c r="BH161">
        <v>70000</v>
      </c>
      <c r="BJ161">
        <v>75600</v>
      </c>
      <c r="BL161">
        <v>62150</v>
      </c>
      <c r="BN161">
        <v>68250</v>
      </c>
      <c r="BP161">
        <v>70000</v>
      </c>
      <c r="BR161">
        <v>85000</v>
      </c>
      <c r="BT161">
        <v>150000</v>
      </c>
      <c r="BV161">
        <v>95000</v>
      </c>
    </row>
    <row r="162">
      <c r="A162" t="str">
        <v>DKI Jakarta</v>
      </c>
      <c r="H162">
        <v>120000</v>
      </c>
      <c r="J162">
        <v>80000</v>
      </c>
      <c r="L162">
        <v>80000</v>
      </c>
      <c r="N162">
        <v>75000</v>
      </c>
      <c r="P162">
        <v>75000</v>
      </c>
      <c r="R162">
        <v>100000</v>
      </c>
      <c r="T162">
        <v>77000</v>
      </c>
      <c r="V162">
        <v>99000</v>
      </c>
      <c r="X162">
        <v>75000</v>
      </c>
      <c r="Z162">
        <v>75000</v>
      </c>
      <c r="AB162">
        <v>62700</v>
      </c>
      <c r="AD162">
        <v>82730</v>
      </c>
      <c r="AF162">
        <v>115457</v>
      </c>
      <c r="AG162">
        <v>408</v>
      </c>
      <c r="AH162">
        <v>0</v>
      </c>
      <c r="AJ162">
        <v>47000</v>
      </c>
      <c r="AL162">
        <v>50000</v>
      </c>
      <c r="AN162">
        <v>77000</v>
      </c>
      <c r="AP162">
        <v>87000</v>
      </c>
      <c r="AR162">
        <v>126500</v>
      </c>
      <c r="AT162">
        <v>89250</v>
      </c>
      <c r="AX162">
        <v>75240</v>
      </c>
      <c r="AZ162">
        <v>80000</v>
      </c>
      <c r="BB162">
        <v>75000</v>
      </c>
      <c r="BD162">
        <v>75000</v>
      </c>
      <c r="BF162">
        <v>70000</v>
      </c>
      <c r="BH162">
        <v>65000</v>
      </c>
      <c r="BJ162">
        <v>69300</v>
      </c>
      <c r="BL162">
        <v>67100</v>
      </c>
      <c r="BN162">
        <v>54600</v>
      </c>
      <c r="BP162">
        <v>58000</v>
      </c>
      <c r="BR162">
        <v>100000</v>
      </c>
      <c r="BT162">
        <v>125000</v>
      </c>
      <c r="BV162">
        <v>85000</v>
      </c>
    </row>
    <row r="163">
      <c r="A163" t="str">
        <v>Jawa Tengah</v>
      </c>
      <c r="H163">
        <v>150000</v>
      </c>
      <c r="J163">
        <v>90000</v>
      </c>
      <c r="L163">
        <v>85000</v>
      </c>
      <c r="N163">
        <v>85000</v>
      </c>
      <c r="P163">
        <v>90000</v>
      </c>
      <c r="R163">
        <v>110000</v>
      </c>
      <c r="T163">
        <v>88000</v>
      </c>
      <c r="V163">
        <v>125000</v>
      </c>
      <c r="X163">
        <v>80000</v>
      </c>
      <c r="Z163">
        <v>75000</v>
      </c>
      <c r="AB163">
        <v>68900</v>
      </c>
      <c r="AD163">
        <v>82730</v>
      </c>
      <c r="AF163">
        <v>132928</v>
      </c>
      <c r="AG163">
        <v>398</v>
      </c>
      <c r="AH163">
        <v>90000</v>
      </c>
      <c r="AJ163">
        <v>47000</v>
      </c>
      <c r="AL163">
        <v>52500</v>
      </c>
      <c r="AN163">
        <v>82500</v>
      </c>
      <c r="AP163">
        <v>87000</v>
      </c>
      <c r="AR163">
        <v>151800</v>
      </c>
      <c r="AT163">
        <v>89250</v>
      </c>
      <c r="AX163">
        <v>111320</v>
      </c>
      <c r="AZ163">
        <v>90000</v>
      </c>
      <c r="BB163">
        <v>80000</v>
      </c>
      <c r="BD163">
        <v>80000</v>
      </c>
      <c r="BF163">
        <v>75000</v>
      </c>
      <c r="BH163">
        <v>70000</v>
      </c>
      <c r="BJ163">
        <v>75600</v>
      </c>
      <c r="BL163">
        <v>72090</v>
      </c>
      <c r="BN163">
        <v>68250</v>
      </c>
      <c r="BP163">
        <v>70000</v>
      </c>
      <c r="BR163">
        <v>85000</v>
      </c>
      <c r="BT163">
        <v>150000</v>
      </c>
      <c r="BV163">
        <v>95000</v>
      </c>
    </row>
    <row r="164">
      <c r="A164" t="str">
        <v>DI Yogyakarta</v>
      </c>
      <c r="H164">
        <v>90000</v>
      </c>
      <c r="J164">
        <v>55000</v>
      </c>
      <c r="L164">
        <v>65000</v>
      </c>
      <c r="N164">
        <v>65000</v>
      </c>
      <c r="P164">
        <v>65000</v>
      </c>
      <c r="R164">
        <v>60000</v>
      </c>
      <c r="T164">
        <v>49500</v>
      </c>
      <c r="V164">
        <v>85000</v>
      </c>
      <c r="X164">
        <v>67500</v>
      </c>
      <c r="Z164">
        <v>50000</v>
      </c>
      <c r="AB164">
        <v>53400</v>
      </c>
      <c r="AD164">
        <v>76360</v>
      </c>
      <c r="AF164">
        <v>98019</v>
      </c>
      <c r="AG164">
        <v>410</v>
      </c>
      <c r="AH164">
        <v>75000</v>
      </c>
      <c r="AJ164">
        <v>40000</v>
      </c>
      <c r="AL164">
        <v>35000</v>
      </c>
      <c r="AN164">
        <v>71500</v>
      </c>
      <c r="AP164">
        <v>69000</v>
      </c>
      <c r="AR164">
        <v>88600</v>
      </c>
      <c r="AT164">
        <v>78750</v>
      </c>
      <c r="AX164">
        <v>73920</v>
      </c>
      <c r="AZ164">
        <v>50000</v>
      </c>
      <c r="BB164">
        <v>45000</v>
      </c>
      <c r="BD164">
        <v>62000</v>
      </c>
      <c r="BF164">
        <v>55000</v>
      </c>
      <c r="BH164">
        <v>55000</v>
      </c>
      <c r="BJ164">
        <v>53000</v>
      </c>
      <c r="BL164">
        <v>45070</v>
      </c>
      <c r="BN164">
        <v>54600</v>
      </c>
      <c r="BP164">
        <v>50000</v>
      </c>
      <c r="BR164">
        <v>70000</v>
      </c>
      <c r="BT164">
        <v>90000</v>
      </c>
      <c r="BV164">
        <v>70000</v>
      </c>
    </row>
    <row r="165">
      <c r="A165" t="str">
        <v>Jawa Timur</v>
      </c>
      <c r="H165">
        <v>120000</v>
      </c>
      <c r="J165">
        <v>80000</v>
      </c>
      <c r="L165">
        <v>80000</v>
      </c>
      <c r="N165">
        <v>85000</v>
      </c>
      <c r="P165">
        <v>90000</v>
      </c>
      <c r="R165">
        <v>120000</v>
      </c>
      <c r="T165">
        <v>110000</v>
      </c>
      <c r="V165">
        <v>155000</v>
      </c>
      <c r="X165">
        <v>80000</v>
      </c>
      <c r="Z165">
        <v>75000</v>
      </c>
      <c r="AB165">
        <v>75300</v>
      </c>
      <c r="AD165">
        <v>89090</v>
      </c>
      <c r="AF165">
        <v>150382</v>
      </c>
      <c r="AG165">
        <v>397</v>
      </c>
      <c r="AH165">
        <v>90000</v>
      </c>
      <c r="AJ165">
        <v>44000</v>
      </c>
      <c r="AL165">
        <v>63000</v>
      </c>
      <c r="AN165">
        <v>82500</v>
      </c>
      <c r="AP165">
        <v>87000</v>
      </c>
      <c r="AR165">
        <v>164500</v>
      </c>
      <c r="AT165">
        <v>110250</v>
      </c>
      <c r="AX165">
        <v>90640</v>
      </c>
      <c r="AZ165">
        <v>60000</v>
      </c>
      <c r="BB165">
        <v>80000</v>
      </c>
      <c r="BD165">
        <v>80000</v>
      </c>
      <c r="BF165">
        <v>65000</v>
      </c>
      <c r="BH165">
        <v>65000</v>
      </c>
      <c r="BJ165">
        <v>85000</v>
      </c>
      <c r="BL165">
        <v>66000</v>
      </c>
      <c r="BN165">
        <v>68250</v>
      </c>
      <c r="BP165">
        <v>75000</v>
      </c>
      <c r="BR165">
        <v>100000</v>
      </c>
      <c r="BT165">
        <v>175000</v>
      </c>
      <c r="BV165">
        <v>100000</v>
      </c>
    </row>
    <row r="166">
      <c r="A166" t="str">
        <v>Kalimantan Barat</v>
      </c>
    </row>
    <row r="167">
      <c r="A167" t="str">
        <v>Kalimantan Selatan</v>
      </c>
      <c r="H167">
        <v>15000</v>
      </c>
      <c r="J167">
        <v>15000</v>
      </c>
      <c r="L167">
        <v>15000</v>
      </c>
      <c r="N167">
        <v>15000</v>
      </c>
      <c r="P167">
        <v>15000</v>
      </c>
      <c r="R167">
        <v>15000</v>
      </c>
      <c r="T167">
        <v>15000</v>
      </c>
      <c r="V167">
        <v>15000</v>
      </c>
      <c r="X167">
        <v>15000</v>
      </c>
      <c r="Z167">
        <v>15000</v>
      </c>
      <c r="AB167">
        <v>15000</v>
      </c>
      <c r="AD167">
        <v>15000</v>
      </c>
      <c r="AF167">
        <v>15000</v>
      </c>
      <c r="AG167">
        <v>722</v>
      </c>
      <c r="AH167">
        <v>0</v>
      </c>
      <c r="AJ167">
        <v>15000</v>
      </c>
      <c r="AL167">
        <v>15000</v>
      </c>
      <c r="AN167">
        <v>15000</v>
      </c>
      <c r="AP167">
        <v>15000</v>
      </c>
      <c r="AR167">
        <v>15000</v>
      </c>
      <c r="AT167">
        <v>15000</v>
      </c>
      <c r="AX167">
        <v>15000</v>
      </c>
      <c r="AZ167">
        <v>15000</v>
      </c>
      <c r="BB167">
        <v>15000</v>
      </c>
      <c r="BD167">
        <v>15000</v>
      </c>
      <c r="BF167">
        <v>15000</v>
      </c>
      <c r="BH167">
        <v>15000</v>
      </c>
      <c r="BJ167">
        <v>15000</v>
      </c>
      <c r="BL167">
        <v>15000</v>
      </c>
      <c r="BN167">
        <v>15000</v>
      </c>
      <c r="BP167">
        <v>15000</v>
      </c>
      <c r="BR167">
        <v>15000</v>
      </c>
      <c r="BT167">
        <v>15000</v>
      </c>
      <c r="BV167">
        <v>15000</v>
      </c>
    </row>
    <row r="168">
      <c r="A168" t="str">
        <v>Kalimantan Tengah</v>
      </c>
    </row>
    <row r="169">
      <c r="A169" t="str">
        <v>Kalimantan Timur</v>
      </c>
    </row>
    <row r="170">
      <c r="A170" t="str">
        <v>Kalimantan Utara</v>
      </c>
    </row>
    <row r="171">
      <c r="A171" t="str">
        <v>Sulawesi Utara</v>
      </c>
    </row>
    <row r="172">
      <c r="A172" t="str">
        <v>Gorontalo</v>
      </c>
    </row>
    <row r="173">
      <c r="A173" t="str">
        <v>Sulawesi Tengah</v>
      </c>
    </row>
    <row r="174">
      <c r="A174" t="str">
        <v>Sulawesi Selatan</v>
      </c>
    </row>
    <row r="175">
      <c r="A175" t="str">
        <v>Sulawesi Barat</v>
      </c>
    </row>
    <row r="176">
      <c r="A176" t="str">
        <v>Sulawesi Tenggara</v>
      </c>
    </row>
    <row r="177">
      <c r="A177" t="str">
        <v>Bali</v>
      </c>
    </row>
    <row r="178">
      <c r="A178" t="str">
        <v>Nusa Tenggara Barat</v>
      </c>
    </row>
    <row r="179">
      <c r="A179" t="str">
        <v>Nusa Tenggara Timur</v>
      </c>
    </row>
    <row r="180">
      <c r="A180" t="str">
        <v>Maluku</v>
      </c>
    </row>
    <row r="181">
      <c r="A181" t="str">
        <v>Maluku Utara</v>
      </c>
    </row>
    <row r="182">
      <c r="A182" t="str">
        <v>Papua</v>
      </c>
    </row>
    <row r="183">
      <c r="A183" t="str">
        <v>Papua Barat</v>
      </c>
    </row>
    <row r="185">
      <c r="A185" t="str">
        <v xml:space="preserve">Nanggroe Aceh Darussalam </v>
      </c>
      <c r="B185" t="str">
        <v xml:space="preserve">Kabupaten Aceh Barat </v>
      </c>
    </row>
    <row r="186">
      <c r="A186" t="str">
        <v xml:space="preserve">Nanggroe Aceh Darussalam </v>
      </c>
      <c r="B186" t="str">
        <v xml:space="preserve">Kabupaten Aceh Barat Daya </v>
      </c>
    </row>
    <row r="187">
      <c r="A187" t="str">
        <v xml:space="preserve">Nanggroe Aceh Darussalam </v>
      </c>
      <c r="B187" t="str">
        <v xml:space="preserve">Kabupaten Aceh Besar </v>
      </c>
    </row>
    <row r="188">
      <c r="A188" t="str">
        <v xml:space="preserve">Nanggroe Aceh Darussalam </v>
      </c>
      <c r="B188" t="str">
        <v>Kabupaten Aceh Jaya</v>
      </c>
    </row>
    <row r="189">
      <c r="A189" t="str">
        <v xml:space="preserve">Nanggroe Aceh Darussalam </v>
      </c>
      <c r="B189" t="str">
        <v>Kabupaten Aceh Selatan</v>
      </c>
    </row>
    <row r="190">
      <c r="A190" t="str">
        <v xml:space="preserve">Nanggroe Aceh Darussalam </v>
      </c>
      <c r="B190" t="str">
        <v xml:space="preserve">Kabupaten Aceh Singkil </v>
      </c>
    </row>
    <row r="191">
      <c r="A191" t="str">
        <v xml:space="preserve">Nanggroe Aceh Darussalam </v>
      </c>
      <c r="B191" t="str">
        <v xml:space="preserve">Kabupaten Aceh Tamiang </v>
      </c>
    </row>
    <row r="192">
      <c r="A192" t="str">
        <v xml:space="preserve">Nanggroe Aceh Darussalam </v>
      </c>
      <c r="B192" t="str">
        <v>Kabupaten Aceh Tengah</v>
      </c>
    </row>
    <row r="193">
      <c r="A193" t="str">
        <v xml:space="preserve">Nanggroe Aceh Darussalam </v>
      </c>
      <c r="B193" t="str">
        <v xml:space="preserve">Kabupaten Aceh Tenggara </v>
      </c>
    </row>
    <row r="194">
      <c r="A194" t="str">
        <v xml:space="preserve">Nanggroe Aceh Darussalam </v>
      </c>
      <c r="B194" t="str">
        <v xml:space="preserve">Kabupaten Aceh Timur </v>
      </c>
    </row>
    <row r="195">
      <c r="A195" t="str">
        <v xml:space="preserve">Nanggroe Aceh Darussalam </v>
      </c>
      <c r="B195" t="str">
        <v xml:space="preserve">Kabupaten Aceh Utara </v>
      </c>
    </row>
    <row r="196">
      <c r="A196" t="str">
        <v xml:space="preserve">Nanggroe Aceh Darussalam </v>
      </c>
      <c r="B196" t="str">
        <v>Kabupaten Bener Meriah</v>
      </c>
    </row>
    <row r="197">
      <c r="A197" t="str">
        <v xml:space="preserve">Nanggroe Aceh Darussalam </v>
      </c>
      <c r="B197" t="str">
        <v>Kabupaten Bireun</v>
      </c>
    </row>
    <row r="198">
      <c r="A198" t="str">
        <v xml:space="preserve">Nanggroe Aceh Darussalam </v>
      </c>
      <c r="B198" t="str">
        <v>Kabupaten Gayo Lues</v>
      </c>
    </row>
    <row r="199">
      <c r="A199" t="str">
        <v xml:space="preserve">Nanggroe Aceh Darussalam </v>
      </c>
      <c r="B199" t="str">
        <v>Kabupaten Nagan Raya</v>
      </c>
    </row>
    <row r="200">
      <c r="A200" t="str">
        <v xml:space="preserve">Nanggroe Aceh Darussalam </v>
      </c>
      <c r="B200" t="str">
        <v>Kabupaten Pidie</v>
      </c>
    </row>
    <row r="201">
      <c r="A201" t="str">
        <v xml:space="preserve">Nanggroe Aceh Darussalam </v>
      </c>
      <c r="B201" t="str">
        <v>Kabupaten Pidie Jaya</v>
      </c>
    </row>
    <row r="202">
      <c r="A202" t="str">
        <v xml:space="preserve">Nanggroe Aceh Darussalam </v>
      </c>
      <c r="B202" t="str">
        <v>Kabupaten Simeulue</v>
      </c>
    </row>
    <row r="203">
      <c r="A203" t="str">
        <v xml:space="preserve">Nanggroe Aceh Darussalam </v>
      </c>
      <c r="B203" t="str">
        <v>Kota Banda Aceh</v>
      </c>
    </row>
    <row r="204">
      <c r="A204" t="str">
        <v xml:space="preserve">Nanggroe Aceh Darussalam </v>
      </c>
      <c r="B204" t="str">
        <v xml:space="preserve">Kota Langsa </v>
      </c>
    </row>
    <row r="205">
      <c r="A205" t="str">
        <v xml:space="preserve">Nanggroe Aceh Darussalam </v>
      </c>
      <c r="B205" t="str">
        <v>Kota Lhokseumawe</v>
      </c>
    </row>
    <row r="206">
      <c r="A206" t="str">
        <v xml:space="preserve">Nanggroe Aceh Darussalam </v>
      </c>
      <c r="B206" t="str">
        <v>Kota Sabang</v>
      </c>
    </row>
    <row r="207">
      <c r="A207" t="str">
        <v xml:space="preserve">Nanggroe Aceh Darussalam </v>
      </c>
      <c r="B207" t="str">
        <v>Kota Subulussalam</v>
      </c>
    </row>
    <row r="208">
      <c r="A208" t="str">
        <v xml:space="preserve">Nanggroe Aceh Darussalam </v>
      </c>
    </row>
    <row r="209">
      <c r="A209" t="str">
        <v>Sumatera Utara</v>
      </c>
      <c r="B209" t="str">
        <v xml:space="preserve">Kabupaten Asahan </v>
      </c>
    </row>
    <row r="210">
      <c r="A210" t="str">
        <v>Sumatera Utara</v>
      </c>
      <c r="B210" t="str">
        <v>Kabupaten Batu Bara</v>
      </c>
    </row>
    <row r="211">
      <c r="A211" t="str">
        <v>Sumatera Utara</v>
      </c>
      <c r="B211" t="str">
        <v xml:space="preserve">Kabupaten Dairi </v>
      </c>
    </row>
    <row r="212">
      <c r="A212" t="str">
        <v>Sumatera Utara</v>
      </c>
      <c r="B212" t="str">
        <v>Kabupaten Deli Serdang</v>
      </c>
    </row>
    <row r="213">
      <c r="A213" t="str">
        <v>Sumatera Utara</v>
      </c>
      <c r="B213" t="str">
        <v xml:space="preserve">Kabupaten Humbang Hasundutan </v>
      </c>
    </row>
    <row r="214">
      <c r="A214" t="str">
        <v>Sumatera Utara</v>
      </c>
      <c r="B214" t="str">
        <v>Kabupaten Karo</v>
      </c>
    </row>
    <row r="215">
      <c r="A215" t="str">
        <v>Sumatera Utara</v>
      </c>
      <c r="B215" t="str">
        <v>Kabupaten Labuhanbatu</v>
      </c>
    </row>
    <row r="216">
      <c r="A216" t="str">
        <v>Sumatera Utara</v>
      </c>
      <c r="B216" t="str">
        <v xml:space="preserve">Kabupaten Labuhanbatu Selatan </v>
      </c>
    </row>
    <row r="217">
      <c r="A217" t="str">
        <v>Sumatera Utara</v>
      </c>
      <c r="B217" t="str">
        <v>Kabupaten Labuhanbatu Utara</v>
      </c>
    </row>
    <row r="218">
      <c r="A218" t="str">
        <v>Sumatera Utara</v>
      </c>
      <c r="B218" t="str">
        <v>Kabupaten Langkat</v>
      </c>
    </row>
    <row r="219">
      <c r="A219" t="str">
        <v>Sumatera Utara</v>
      </c>
      <c r="B219" t="str">
        <v xml:space="preserve">Kabupaten Mandailing Natal </v>
      </c>
    </row>
    <row r="220">
      <c r="A220" t="str">
        <v>Sumatera Utara</v>
      </c>
      <c r="B220" t="str">
        <v>Kabupaten Nias</v>
      </c>
    </row>
    <row r="221">
      <c r="A221" t="str">
        <v>Sumatera Utara</v>
      </c>
      <c r="B221" t="str">
        <v xml:space="preserve">Kabupaten Nias Barat </v>
      </c>
    </row>
    <row r="222">
      <c r="A222" t="str">
        <v>Sumatera Utara</v>
      </c>
      <c r="B222" t="str">
        <v xml:space="preserve">Kabupaten Nias Selatan </v>
      </c>
    </row>
    <row r="223">
      <c r="A223" t="str">
        <v>Sumatera Utara</v>
      </c>
      <c r="B223" t="str">
        <v>Kabupaten Nias Utara</v>
      </c>
    </row>
    <row r="224">
      <c r="A224" t="str">
        <v>Sumatera Utara</v>
      </c>
      <c r="B224" t="str">
        <v xml:space="preserve">Kabupaten Padang Lawas </v>
      </c>
    </row>
    <row r="225">
      <c r="A225" t="str">
        <v>Sumatera Utara</v>
      </c>
      <c r="B225" t="str">
        <v xml:space="preserve">Kabupaten Padang Lawas Utara </v>
      </c>
    </row>
    <row r="226">
      <c r="A226" t="str">
        <v>Sumatera Utara</v>
      </c>
      <c r="B226" t="str">
        <v>Kabupaten Pakpak Bharat</v>
      </c>
    </row>
    <row r="227">
      <c r="A227" t="str">
        <v>Sumatera Utara</v>
      </c>
      <c r="B227" t="str">
        <v>Kabupaten Samosir</v>
      </c>
    </row>
    <row r="228">
      <c r="A228" t="str">
        <v>Sumatera Utara</v>
      </c>
      <c r="B228" t="str">
        <v xml:space="preserve">Kabupaten Serdang Bedagai </v>
      </c>
    </row>
    <row r="229">
      <c r="A229" t="str">
        <v>Sumatera Utara</v>
      </c>
      <c r="B229" t="str">
        <v>Kabupaten Simalungun</v>
      </c>
    </row>
    <row r="230">
      <c r="A230" t="str">
        <v>Sumatera Utara</v>
      </c>
      <c r="B230" t="str">
        <v xml:space="preserve">Kabupaten Tapanuli Selatan </v>
      </c>
    </row>
    <row r="231">
      <c r="A231" t="str">
        <v>Sumatera Utara</v>
      </c>
      <c r="B231" t="str">
        <v>Kabupaten Tapanuli Tengah</v>
      </c>
    </row>
    <row r="232">
      <c r="A232" t="str">
        <v>Sumatera Utara</v>
      </c>
      <c r="B232" t="str">
        <v xml:space="preserve">Kabupaten Tapanuli Utara </v>
      </c>
    </row>
    <row r="233">
      <c r="A233" t="str">
        <v>Sumatera Utara</v>
      </c>
      <c r="B233" t="str">
        <v>Kabupaten Toba Samosir</v>
      </c>
    </row>
    <row r="234">
      <c r="A234" t="str">
        <v>Sumatera Utara</v>
      </c>
      <c r="B234" t="str">
        <v xml:space="preserve">Kota Binjai </v>
      </c>
    </row>
    <row r="235">
      <c r="A235" t="str">
        <v>Sumatera Utara</v>
      </c>
      <c r="B235" t="str">
        <v xml:space="preserve">Kota Gunung Sitoli </v>
      </c>
    </row>
    <row r="236">
      <c r="A236" t="str">
        <v>Sumatera Utara</v>
      </c>
      <c r="B236" t="str">
        <v>Kota Medan</v>
      </c>
    </row>
    <row r="237">
      <c r="A237" t="str">
        <v>Sumatera Utara</v>
      </c>
      <c r="B237" t="str">
        <v xml:space="preserve">Kota Padang Sidempuan </v>
      </c>
    </row>
    <row r="238">
      <c r="A238" t="str">
        <v>Sumatera Utara</v>
      </c>
      <c r="B238" t="str">
        <v>Kota Pematang Siantar</v>
      </c>
    </row>
    <row r="239">
      <c r="A239" t="str">
        <v>Sumatera Utara</v>
      </c>
      <c r="B239" t="str">
        <v xml:space="preserve">Kota Sibolga </v>
      </c>
    </row>
    <row r="240">
      <c r="A240" t="str">
        <v>Sumatera Utara</v>
      </c>
      <c r="B240" t="str">
        <v xml:space="preserve">Kota Tanjung Balai </v>
      </c>
    </row>
    <row r="241">
      <c r="A241" t="str">
        <v>Sumatera Utara</v>
      </c>
      <c r="B241" t="str">
        <v>Kota Tebing Tinggi</v>
      </c>
    </row>
    <row r="242">
      <c r="A242" t="str">
        <v>Sumatera Utara</v>
      </c>
    </row>
    <row r="243">
      <c r="A243" t="str">
        <v>Sumatera Barat</v>
      </c>
      <c r="B243" t="str">
        <v>Kabupaten Agam</v>
      </c>
    </row>
    <row r="244">
      <c r="A244" t="str">
        <v>Sumatera Barat</v>
      </c>
      <c r="B244" t="str">
        <v>Kabupaten Dharmasraya</v>
      </c>
    </row>
    <row r="245">
      <c r="A245" t="str">
        <v>Sumatera Barat</v>
      </c>
      <c r="B245" t="str">
        <v>Kabupaten Kepulauan Mentawai</v>
      </c>
    </row>
    <row r="246">
      <c r="A246" t="str">
        <v>Sumatera Barat</v>
      </c>
      <c r="B246" t="str">
        <v>Kabupaten Lima Puluh Kota</v>
      </c>
    </row>
    <row r="247">
      <c r="A247" t="str">
        <v>Sumatera Barat</v>
      </c>
      <c r="B247" t="str">
        <v>Kabupaten Padang Pariaman</v>
      </c>
    </row>
    <row r="248">
      <c r="A248" t="str">
        <v>Sumatera Barat</v>
      </c>
      <c r="B248" t="str">
        <v>Kabupaten Pasaman</v>
      </c>
    </row>
    <row r="249">
      <c r="A249" t="str">
        <v>Sumatera Barat</v>
      </c>
      <c r="B249" t="str">
        <v>Kabupaten Pasaman Barat</v>
      </c>
    </row>
    <row r="250">
      <c r="A250" t="str">
        <v>Sumatera Barat</v>
      </c>
      <c r="B250" t="str">
        <v>Kabupaten Pesisir Selatan</v>
      </c>
    </row>
    <row r="251">
      <c r="A251" t="str">
        <v>Sumatera Barat</v>
      </c>
      <c r="B251" t="str">
        <v>Kabupaten Sijunjung</v>
      </c>
    </row>
    <row r="252">
      <c r="A252" t="str">
        <v>Sumatera Barat</v>
      </c>
      <c r="B252" t="str">
        <v>Kabupaten Solok</v>
      </c>
    </row>
    <row r="253">
      <c r="A253" t="str">
        <v>Sumatera Barat</v>
      </c>
      <c r="B253" t="str">
        <v>Kabupaten Solok Selatan</v>
      </c>
    </row>
    <row r="254">
      <c r="A254" t="str">
        <v>Sumatera Barat</v>
      </c>
      <c r="B254" t="str">
        <v>Kabupaten Tanah Datar</v>
      </c>
    </row>
    <row r="255">
      <c r="A255" t="str">
        <v>Sumatera Barat</v>
      </c>
      <c r="B255" t="str">
        <v>Kota Bukittinggi</v>
      </c>
    </row>
    <row r="256">
      <c r="A256" t="str">
        <v>Sumatera Barat</v>
      </c>
      <c r="B256" t="str">
        <v xml:space="preserve">Kota Padang </v>
      </c>
    </row>
    <row r="257">
      <c r="A257" t="str">
        <v>Sumatera Barat</v>
      </c>
      <c r="B257" t="str">
        <v>Kota Padangpanjang</v>
      </c>
    </row>
    <row r="258">
      <c r="A258" t="str">
        <v>Sumatera Barat</v>
      </c>
      <c r="B258" t="str">
        <v>Kota Pariaman</v>
      </c>
    </row>
    <row r="259">
      <c r="A259" t="str">
        <v>Sumatera Barat</v>
      </c>
      <c r="B259" t="str">
        <v>Kota Payakumbuh</v>
      </c>
    </row>
    <row r="260">
      <c r="A260" t="str">
        <v>Sumatera Barat</v>
      </c>
      <c r="B260" t="str">
        <v>Kota Sawahlunto</v>
      </c>
    </row>
    <row r="261">
      <c r="A261" t="str">
        <v>Sumatera Barat</v>
      </c>
      <c r="B261" t="str">
        <v xml:space="preserve">Kota Solok </v>
      </c>
    </row>
    <row r="262">
      <c r="A262" t="str">
        <v>Sumatera Barat</v>
      </c>
    </row>
    <row r="263">
      <c r="A263" t="str">
        <v>Jambi</v>
      </c>
      <c r="B263" t="str">
        <v xml:space="preserve">Kabupaten Batang Hari </v>
      </c>
    </row>
    <row r="264">
      <c r="A264" t="str">
        <v>Jambi</v>
      </c>
      <c r="B264" t="str">
        <v>Kabupaten Bungo</v>
      </c>
    </row>
    <row r="265">
      <c r="A265" t="str">
        <v>Jambi</v>
      </c>
      <c r="B265" t="str">
        <v>Kabupaten Kerinci</v>
      </c>
    </row>
    <row r="266">
      <c r="A266" t="str">
        <v>Jambi</v>
      </c>
      <c r="B266" t="str">
        <v>Kabupaten Merangin</v>
      </c>
    </row>
    <row r="267">
      <c r="A267" t="str">
        <v>Jambi</v>
      </c>
      <c r="B267" t="str">
        <v>Kabupaten Muaro Jambi</v>
      </c>
    </row>
    <row r="268">
      <c r="A268" t="str">
        <v>Jambi</v>
      </c>
      <c r="B268" t="str">
        <v xml:space="preserve">Kabupaten Sarolangun </v>
      </c>
    </row>
    <row r="269">
      <c r="A269" t="str">
        <v>Jambi</v>
      </c>
      <c r="B269" t="str">
        <v>Kabupaten Tanjung Jabung Barat</v>
      </c>
    </row>
    <row r="270">
      <c r="A270" t="str">
        <v>Jambi</v>
      </c>
      <c r="B270" t="str">
        <v xml:space="preserve">Kabupaten Tanjung Timur </v>
      </c>
    </row>
    <row r="271">
      <c r="A271" t="str">
        <v>Jambi</v>
      </c>
      <c r="B271" t="str">
        <v>Kabupaten Tebo</v>
      </c>
    </row>
    <row r="272">
      <c r="A272" t="str">
        <v>Jambi</v>
      </c>
      <c r="B272" t="str">
        <v>Kota Jambi</v>
      </c>
    </row>
    <row r="273">
      <c r="A273" t="str">
        <v>Jambi</v>
      </c>
      <c r="B273" t="str">
        <v>Kota Sungai Penuh</v>
      </c>
    </row>
    <row r="274">
      <c r="A274" t="str">
        <v>Jambi</v>
      </c>
    </row>
    <row r="275">
      <c r="A275" t="str">
        <v>Riau</v>
      </c>
      <c r="B275" t="str">
        <v>Kabupaten Bengkalis</v>
      </c>
    </row>
    <row r="276">
      <c r="A276" t="str">
        <v>Riau</v>
      </c>
      <c r="B276" t="str">
        <v xml:space="preserve">Kabupaten Indragiri Hilir </v>
      </c>
    </row>
    <row r="277">
      <c r="A277" t="str">
        <v>Riau</v>
      </c>
      <c r="B277" t="str">
        <v>Kabupaten Indragiri Hulu</v>
      </c>
    </row>
    <row r="278">
      <c r="A278" t="str">
        <v>Riau</v>
      </c>
      <c r="B278" t="str">
        <v>Kabupaten Kampar</v>
      </c>
    </row>
    <row r="279">
      <c r="A279" t="str">
        <v>Riau</v>
      </c>
      <c r="B279" t="str">
        <v xml:space="preserve">Kabupaten Kepulauan Meranti </v>
      </c>
    </row>
    <row r="280">
      <c r="A280" t="str">
        <v>Riau</v>
      </c>
      <c r="B280" t="str">
        <v xml:space="preserve">Kabupaten Kuantan Singingi </v>
      </c>
    </row>
    <row r="281">
      <c r="A281" t="str">
        <v>Riau</v>
      </c>
      <c r="B281" t="str">
        <v xml:space="preserve">Kabupaten Pelalawan </v>
      </c>
    </row>
    <row r="282">
      <c r="A282" t="str">
        <v>Riau</v>
      </c>
      <c r="B282" t="str">
        <v xml:space="preserve">Kabupaten Rokan Hilir </v>
      </c>
    </row>
    <row r="283">
      <c r="A283" t="str">
        <v>Riau</v>
      </c>
      <c r="B283" t="str">
        <v xml:space="preserve">Kabupaten Rokan Hulu </v>
      </c>
    </row>
    <row r="284">
      <c r="A284" t="str">
        <v>Riau</v>
      </c>
      <c r="B284" t="str">
        <v>Kabupaten Siak</v>
      </c>
    </row>
    <row r="285">
      <c r="A285" t="str">
        <v>Riau</v>
      </c>
      <c r="B285" t="str">
        <v>Kota Dumai</v>
      </c>
    </row>
    <row r="286">
      <c r="A286" t="str">
        <v>Riau</v>
      </c>
      <c r="B286" t="str">
        <v xml:space="preserve">Kota Pekanbaru </v>
      </c>
    </row>
    <row r="287">
      <c r="A287" t="str">
        <v>Riau</v>
      </c>
    </row>
    <row r="288">
      <c r="A288" t="str">
        <v>Kepulauan Riau</v>
      </c>
      <c r="B288" t="str">
        <v xml:space="preserve">Kabupaten Bintan </v>
      </c>
    </row>
    <row r="289">
      <c r="A289" t="str">
        <v>Kepulauan Riau</v>
      </c>
      <c r="B289" t="str">
        <v>Kabupaten Karimun</v>
      </c>
    </row>
    <row r="290">
      <c r="A290" t="str">
        <v>Kepulauan Riau</v>
      </c>
      <c r="B290" t="str">
        <v>Kabupaten Kepulauan Anambas</v>
      </c>
    </row>
    <row r="291">
      <c r="A291" t="str">
        <v>Kepulauan Riau</v>
      </c>
      <c r="B291" t="str">
        <v xml:space="preserve">Kabupaten Lingga </v>
      </c>
    </row>
    <row r="292">
      <c r="A292" t="str">
        <v>Kepulauan Riau</v>
      </c>
      <c r="B292" t="str">
        <v xml:space="preserve">Kabupaten Natuna </v>
      </c>
    </row>
    <row r="293">
      <c r="A293" t="str">
        <v>Kepulauan Riau</v>
      </c>
      <c r="B293" t="str">
        <v xml:space="preserve">Kota Batam </v>
      </c>
    </row>
    <row r="294">
      <c r="A294" t="str">
        <v>Kepulauan Riau</v>
      </c>
      <c r="B294" t="str">
        <v xml:space="preserve">Kota Tanjung Pinang </v>
      </c>
    </row>
    <row r="295">
      <c r="A295" t="str">
        <v>Kepulauan Riau</v>
      </c>
    </row>
    <row r="296">
      <c r="A296" t="str">
        <v>Sumatera Selatan</v>
      </c>
      <c r="B296" t="str">
        <v>Kabupaten Banyuasin</v>
      </c>
    </row>
    <row r="297">
      <c r="A297" t="str">
        <v>Sumatera Selatan</v>
      </c>
      <c r="B297" t="str">
        <v>Kabupaten Empat Lawang</v>
      </c>
    </row>
    <row r="298">
      <c r="A298" t="str">
        <v>Sumatera Selatan</v>
      </c>
      <c r="B298" t="str">
        <v xml:space="preserve">Kabupaten Lahat </v>
      </c>
    </row>
    <row r="299">
      <c r="A299" t="str">
        <v>Sumatera Selatan</v>
      </c>
      <c r="B299" t="str">
        <v>Kabupaten Muara Enim</v>
      </c>
    </row>
    <row r="300">
      <c r="A300" t="str">
        <v>Sumatera Selatan</v>
      </c>
      <c r="B300" t="str">
        <v>Kabupaten Musi Banyuasin</v>
      </c>
    </row>
    <row r="301">
      <c r="A301" t="str">
        <v>Sumatera Selatan</v>
      </c>
      <c r="B301" t="str">
        <v>Kabupaten Musi Rawas</v>
      </c>
    </row>
    <row r="302">
      <c r="A302" t="str">
        <v>Sumatera Selatan</v>
      </c>
      <c r="B302" t="str">
        <v>Kabupaten Ogan Ilir</v>
      </c>
    </row>
    <row r="303">
      <c r="A303" t="str">
        <v>Sumatera Selatan</v>
      </c>
      <c r="B303" t="str">
        <v xml:space="preserve">Kabupaten Ogan Komering Ilir </v>
      </c>
    </row>
    <row r="304">
      <c r="A304" t="str">
        <v>Sumatera Selatan</v>
      </c>
      <c r="B304" t="str">
        <v>Kabupaten Ogan Komering Ulu</v>
      </c>
    </row>
    <row r="305">
      <c r="A305" t="str">
        <v>Sumatera Selatan</v>
      </c>
      <c r="B305" t="str">
        <v>Kabupaten Ogan Komering Ulu Selatan</v>
      </c>
    </row>
    <row r="306">
      <c r="A306" t="str">
        <v>Sumatera Selatan</v>
      </c>
      <c r="B306" t="str">
        <v>Kabupaten Ogan Komering Ulu Timur</v>
      </c>
    </row>
    <row r="307">
      <c r="A307" t="str">
        <v>Sumatera Selatan</v>
      </c>
      <c r="B307" t="str">
        <v xml:space="preserve">Kota Lubuklinggau </v>
      </c>
    </row>
    <row r="308">
      <c r="A308" t="str">
        <v>Sumatera Selatan</v>
      </c>
      <c r="B308" t="str">
        <v xml:space="preserve">Kota Pagar Alam </v>
      </c>
    </row>
    <row r="309">
      <c r="A309" t="str">
        <v>Sumatera Selatan</v>
      </c>
      <c r="B309" t="str">
        <v>Kota Palembang</v>
      </c>
    </row>
    <row r="310">
      <c r="A310" t="str">
        <v>Sumatera Selatan</v>
      </c>
      <c r="B310" t="str">
        <v>Kota Prabumulih</v>
      </c>
    </row>
    <row r="311">
      <c r="A311" t="str">
        <v>Sumatera Selatan</v>
      </c>
    </row>
    <row r="312">
      <c r="A312" t="str">
        <v>Bangka Belitung</v>
      </c>
      <c r="B312" t="str">
        <v>Kabupaten Bangka</v>
      </c>
    </row>
    <row r="313">
      <c r="A313" t="str">
        <v>Bangka Belitung</v>
      </c>
      <c r="B313" t="str">
        <v xml:space="preserve">Kabupaten Bangka Barat </v>
      </c>
    </row>
    <row r="314">
      <c r="A314" t="str">
        <v>Bangka Belitung</v>
      </c>
      <c r="B314" t="str">
        <v>Kabupaten Bangka Selatan</v>
      </c>
    </row>
    <row r="315">
      <c r="A315" t="str">
        <v>Bangka Belitung</v>
      </c>
      <c r="B315" t="str">
        <v xml:space="preserve">Kabupaten Bangka Tengah </v>
      </c>
    </row>
    <row r="316">
      <c r="A316" t="str">
        <v>Bangka Belitung</v>
      </c>
      <c r="B316" t="str">
        <v xml:space="preserve">Kabupaten Belitung </v>
      </c>
    </row>
    <row r="317">
      <c r="A317" t="str">
        <v>Bangka Belitung</v>
      </c>
      <c r="B317" t="str">
        <v>Kabupaten Belitung Timur</v>
      </c>
    </row>
    <row r="318">
      <c r="A318" t="str">
        <v>Bangka Belitung</v>
      </c>
      <c r="B318" t="str">
        <v>Kota Pangkal Pinang</v>
      </c>
    </row>
    <row r="319">
      <c r="A319" t="str">
        <v>Bangka Belitung</v>
      </c>
    </row>
    <row r="320">
      <c r="A320" t="str">
        <v>Bengkulu</v>
      </c>
      <c r="B320" t="str">
        <v xml:space="preserve">Kabupaten Bengkulu Selatan </v>
      </c>
    </row>
    <row r="321">
      <c r="A321" t="str">
        <v>Bengkulu</v>
      </c>
      <c r="B321" t="str">
        <v xml:space="preserve">Kabupaten Bengkulu Tengah </v>
      </c>
    </row>
    <row r="322">
      <c r="A322" t="str">
        <v>Bengkulu</v>
      </c>
      <c r="B322" t="str">
        <v xml:space="preserve">Kabupaten Bengkulu Utara </v>
      </c>
    </row>
    <row r="323">
      <c r="A323" t="str">
        <v>Bengkulu</v>
      </c>
      <c r="B323" t="str">
        <v xml:space="preserve">Kabupaten Kaur </v>
      </c>
    </row>
    <row r="324">
      <c r="A324" t="str">
        <v>Bengkulu</v>
      </c>
      <c r="B324" t="str">
        <v xml:space="preserve">Kabupaten Kepahiang </v>
      </c>
    </row>
    <row r="325">
      <c r="A325" t="str">
        <v>Bengkulu</v>
      </c>
      <c r="B325" t="str">
        <v>Kabupaten Lebong</v>
      </c>
    </row>
    <row r="326">
      <c r="A326" t="str">
        <v>Bengkulu</v>
      </c>
      <c r="B326" t="str">
        <v>Kabupaten Mukomuko</v>
      </c>
    </row>
    <row r="327">
      <c r="A327" t="str">
        <v>Bengkulu</v>
      </c>
      <c r="B327" t="str">
        <v xml:space="preserve">Kabupaten Rejang Lebong </v>
      </c>
    </row>
    <row r="328">
      <c r="A328" t="str">
        <v>Bengkulu</v>
      </c>
      <c r="B328" t="str">
        <v>Kabupaten Seluma</v>
      </c>
    </row>
    <row r="329">
      <c r="A329" t="str">
        <v>Bengkulu</v>
      </c>
      <c r="B329" t="str">
        <v>Kota Bengkulu</v>
      </c>
    </row>
    <row r="330">
      <c r="A330" t="str">
        <v>Bengkulu</v>
      </c>
    </row>
    <row r="331">
      <c r="A331" t="str">
        <v>Lampung</v>
      </c>
      <c r="B331" t="str">
        <v xml:space="preserve">Kabupaten Lampung Barat </v>
      </c>
    </row>
    <row r="332">
      <c r="A332" t="str">
        <v>Lampung</v>
      </c>
      <c r="B332" t="str">
        <v>Kabupaten Lampung Selatan</v>
      </c>
    </row>
    <row r="333">
      <c r="A333" t="str">
        <v>Lampung</v>
      </c>
      <c r="B333" t="str">
        <v>Kabupaten Lampung Tengah</v>
      </c>
    </row>
    <row r="334">
      <c r="A334" t="str">
        <v>Lampung</v>
      </c>
      <c r="B334" t="str">
        <v>Kabupaten Lampung Timur</v>
      </c>
    </row>
    <row r="335">
      <c r="A335" t="str">
        <v>Lampung</v>
      </c>
      <c r="B335" t="str">
        <v>Kabupaten Lampung Utara</v>
      </c>
    </row>
    <row r="336">
      <c r="A336" t="str">
        <v>Lampung</v>
      </c>
      <c r="B336" t="str">
        <v xml:space="preserve">Kabupaten Mesuji </v>
      </c>
    </row>
    <row r="337">
      <c r="A337" t="str">
        <v>Lampung</v>
      </c>
      <c r="B337" t="str">
        <v>Kabupaten Pesawaran</v>
      </c>
    </row>
    <row r="338">
      <c r="A338" t="str">
        <v>Lampung</v>
      </c>
      <c r="B338" t="str">
        <v xml:space="preserve">Kabupaten Tanggamus </v>
      </c>
    </row>
    <row r="339">
      <c r="A339" t="str">
        <v>Lampung</v>
      </c>
      <c r="B339" t="str">
        <v xml:space="preserve">Kabupaten Tulang Bawang </v>
      </c>
    </row>
    <row r="340">
      <c r="A340" t="str">
        <v>Lampung</v>
      </c>
      <c r="B340" t="str">
        <v xml:space="preserve">Kabupaten Tulang Bawang Barat </v>
      </c>
    </row>
    <row r="341">
      <c r="A341" t="str">
        <v>Lampung</v>
      </c>
      <c r="B341" t="str">
        <v>Kabupaten Way Kanan</v>
      </c>
    </row>
    <row r="342">
      <c r="A342" t="str">
        <v>Lampung</v>
      </c>
      <c r="B342" t="str">
        <v xml:space="preserve">Kota Bandar Lampung </v>
      </c>
    </row>
    <row r="343">
      <c r="A343" t="str">
        <v>Lampung</v>
      </c>
      <c r="B343" t="str">
        <v>Kota Metro</v>
      </c>
    </row>
    <row r="344">
      <c r="A344" t="str">
        <v>Lampung</v>
      </c>
      <c r="B344" t="str">
        <v>Kota Pringsewu</v>
      </c>
    </row>
    <row r="345">
      <c r="A345" t="str">
        <v>Lampung</v>
      </c>
    </row>
    <row r="346">
      <c r="A346" t="str">
        <v>Jawa Barat</v>
      </c>
      <c r="B346" t="str">
        <v>Kabupaten Bandung</v>
      </c>
    </row>
    <row r="347">
      <c r="A347" t="str">
        <v>Jawa Barat</v>
      </c>
      <c r="B347" t="str">
        <v>Kabupaten Bandung Barat</v>
      </c>
    </row>
    <row r="348">
      <c r="A348" t="str">
        <v>Jawa Barat</v>
      </c>
      <c r="B348" t="str">
        <v>Kabupaten Bekasi</v>
      </c>
    </row>
    <row r="349">
      <c r="A349" t="str">
        <v>Jawa Barat</v>
      </c>
      <c r="B349" t="str">
        <v>Kabupaten Bogor</v>
      </c>
    </row>
    <row r="350">
      <c r="A350" t="str">
        <v>Jawa Barat</v>
      </c>
      <c r="B350" t="str">
        <v>Kabupaten Ciamis</v>
      </c>
    </row>
    <row r="351">
      <c r="A351" t="str">
        <v>Jawa Barat</v>
      </c>
      <c r="B351" t="str">
        <v>Kabupaten Cianjur</v>
      </c>
    </row>
    <row r="352">
      <c r="A352" t="str">
        <v>Jawa Barat</v>
      </c>
      <c r="B352" t="str">
        <v>Kabupaten Cirebon</v>
      </c>
    </row>
    <row r="353">
      <c r="A353" t="str">
        <v>Jawa Barat</v>
      </c>
      <c r="B353" t="str">
        <v>Kabupaten Garut</v>
      </c>
    </row>
    <row r="354">
      <c r="A354" t="str">
        <v>Jawa Barat</v>
      </c>
      <c r="B354" t="str">
        <v>Kabupaten Indramayu</v>
      </c>
    </row>
    <row r="355">
      <c r="A355" t="str">
        <v>Jawa Barat</v>
      </c>
      <c r="B355" t="str">
        <v xml:space="preserve">Kabupaten Karawang </v>
      </c>
    </row>
    <row r="356">
      <c r="A356" t="str">
        <v>Jawa Barat</v>
      </c>
      <c r="B356" t="str">
        <v>Kabupaten Kuningan</v>
      </c>
    </row>
    <row r="357">
      <c r="A357" t="str">
        <v>Jawa Barat</v>
      </c>
      <c r="B357" t="str">
        <v>Kabupaten Majalengka</v>
      </c>
    </row>
    <row r="358">
      <c r="A358" t="str">
        <v>Jawa Barat</v>
      </c>
      <c r="B358" t="str">
        <v>Kabupaten Purwakarta</v>
      </c>
    </row>
    <row r="359">
      <c r="A359" t="str">
        <v>Jawa Barat</v>
      </c>
      <c r="B359" t="str">
        <v>Kabupaten Subang</v>
      </c>
    </row>
    <row r="360">
      <c r="A360" t="str">
        <v>Jawa Barat</v>
      </c>
      <c r="B360" t="str">
        <v xml:space="preserve">Kabupaten Sukabumi </v>
      </c>
    </row>
    <row r="361">
      <c r="A361" t="str">
        <v>Jawa Barat</v>
      </c>
      <c r="B361" t="str">
        <v>Kabupaten Sumedang</v>
      </c>
    </row>
    <row r="362">
      <c r="A362" t="str">
        <v>Jawa Barat</v>
      </c>
      <c r="B362" t="str">
        <v>Kabupaten Tasikmalaya</v>
      </c>
    </row>
    <row r="363">
      <c r="A363" t="str">
        <v>Jawa Barat</v>
      </c>
      <c r="B363" t="str">
        <v>Kota Bandung</v>
      </c>
    </row>
    <row r="364">
      <c r="A364" t="str">
        <v>Jawa Barat</v>
      </c>
      <c r="B364" t="str">
        <v>Kota Banjar</v>
      </c>
    </row>
    <row r="365">
      <c r="A365" t="str">
        <v>Jawa Barat</v>
      </c>
      <c r="B365" t="str">
        <v>Kota Bekasi</v>
      </c>
    </row>
    <row r="366">
      <c r="A366" t="str">
        <v>Jawa Barat</v>
      </c>
      <c r="B366" t="str">
        <v>Kota Bogor</v>
      </c>
    </row>
    <row r="367">
      <c r="A367" t="str">
        <v>Jawa Barat</v>
      </c>
      <c r="B367" t="str">
        <v>Kota Cimahi</v>
      </c>
    </row>
    <row r="368">
      <c r="A368" t="str">
        <v>Jawa Barat</v>
      </c>
      <c r="B368" t="str">
        <v>Kota Cirebon</v>
      </c>
    </row>
    <row r="369">
      <c r="A369" t="str">
        <v>Jawa Barat</v>
      </c>
      <c r="B369" t="str">
        <v xml:space="preserve">Kota Depok </v>
      </c>
    </row>
    <row r="370">
      <c r="A370" t="str">
        <v>Jawa Barat</v>
      </c>
      <c r="B370" t="str">
        <v xml:space="preserve">Kota Sukabumi </v>
      </c>
    </row>
    <row r="371">
      <c r="A371" t="str">
        <v>Jawa Barat</v>
      </c>
      <c r="B371" t="str">
        <v xml:space="preserve">Kota Tasikmalaya </v>
      </c>
    </row>
    <row r="372">
      <c r="A372" t="str">
        <v>Jawa Barat</v>
      </c>
    </row>
    <row r="373">
      <c r="A373" t="str">
        <v>Banten</v>
      </c>
      <c r="B373" t="str">
        <v>Kabupaten Lebak</v>
      </c>
    </row>
    <row r="374">
      <c r="A374" t="str">
        <v>Banten</v>
      </c>
      <c r="B374" t="str">
        <v xml:space="preserve">Kabupaten Pandeglang </v>
      </c>
    </row>
    <row r="375">
      <c r="A375" t="str">
        <v>Banten</v>
      </c>
      <c r="B375" t="str">
        <v>Kabupaten Serang</v>
      </c>
    </row>
    <row r="376">
      <c r="A376" t="str">
        <v>Banten</v>
      </c>
      <c r="B376" t="str">
        <v>Kabupaten Tangerang</v>
      </c>
    </row>
    <row r="377">
      <c r="A377" t="str">
        <v>Banten</v>
      </c>
      <c r="B377" t="str">
        <v>Kota Cilegon</v>
      </c>
    </row>
    <row r="378">
      <c r="A378" t="str">
        <v>Banten</v>
      </c>
      <c r="B378" t="str">
        <v xml:space="preserve">Kota Serang </v>
      </c>
    </row>
    <row r="379">
      <c r="A379" t="str">
        <v>Banten</v>
      </c>
      <c r="B379" t="str">
        <v xml:space="preserve">Kota Tangerang </v>
      </c>
    </row>
    <row r="380">
      <c r="A380" t="str">
        <v>Banten</v>
      </c>
      <c r="B380" t="str">
        <v>Kota Tangerang Selatan</v>
      </c>
    </row>
    <row r="381">
      <c r="A381" t="str">
        <v>Banten</v>
      </c>
    </row>
    <row r="382">
      <c r="A382" t="str">
        <v>DKI Jakarta</v>
      </c>
      <c r="B382" t="str">
        <v xml:space="preserve">Kabupaten Administratif Kepulauan Seribu </v>
      </c>
    </row>
    <row r="383">
      <c r="A383" t="str">
        <v>DKI Jakarta</v>
      </c>
      <c r="B383" t="str">
        <v>Kota Administratif Jakarta Barat</v>
      </c>
    </row>
    <row r="384">
      <c r="A384" t="str">
        <v>DKI Jakarta</v>
      </c>
      <c r="B384" t="str">
        <v xml:space="preserve">Kota Administratif Jakarta Pusat </v>
      </c>
    </row>
    <row r="385">
      <c r="A385" t="str">
        <v>DKI Jakarta</v>
      </c>
      <c r="B385" t="str">
        <v xml:space="preserve">Kota Administratif Jakarta Selatan </v>
      </c>
    </row>
    <row r="386">
      <c r="A386" t="str">
        <v>DKI Jakarta</v>
      </c>
      <c r="B386" t="str">
        <v xml:space="preserve">Kota Administratif Jakarta Timur </v>
      </c>
    </row>
    <row r="387">
      <c r="A387" t="str">
        <v>DKI Jakarta</v>
      </c>
      <c r="B387" t="str">
        <v xml:space="preserve">Kota Administratif Jakarta Utara </v>
      </c>
    </row>
    <row r="388">
      <c r="A388" t="str">
        <v>DKI Jakarta</v>
      </c>
    </row>
    <row r="389">
      <c r="A389" t="str">
        <v>Jawa Tengah</v>
      </c>
      <c r="B389" t="str">
        <v>Kabupaten Banjarnegara</v>
      </c>
    </row>
    <row r="390">
      <c r="A390" t="str">
        <v>Jawa Tengah</v>
      </c>
      <c r="B390" t="str">
        <v>Kabupaten Banyumas</v>
      </c>
    </row>
    <row r="391">
      <c r="A391" t="str">
        <v>Jawa Tengah</v>
      </c>
      <c r="B391" t="str">
        <v xml:space="preserve">Kabupaten Batang </v>
      </c>
    </row>
    <row r="392">
      <c r="A392" t="str">
        <v>Jawa Tengah</v>
      </c>
      <c r="B392" t="str">
        <v xml:space="preserve">Kabupaten Blora </v>
      </c>
    </row>
    <row r="393">
      <c r="A393" t="str">
        <v>Jawa Tengah</v>
      </c>
      <c r="B393" t="str">
        <v>Kabupaten Boyolali</v>
      </c>
    </row>
    <row r="394">
      <c r="A394" t="str">
        <v>Jawa Tengah</v>
      </c>
      <c r="B394" t="str">
        <v>Kabupaten Brebes</v>
      </c>
    </row>
    <row r="395">
      <c r="A395" t="str">
        <v>Jawa Tengah</v>
      </c>
      <c r="B395" t="str">
        <v>Kabupaten Cilacap</v>
      </c>
    </row>
    <row r="396">
      <c r="A396" t="str">
        <v>Jawa Tengah</v>
      </c>
      <c r="B396" t="str">
        <v xml:space="preserve">Kabupaten Demak </v>
      </c>
    </row>
    <row r="397">
      <c r="A397" t="str">
        <v>Jawa Tengah</v>
      </c>
      <c r="B397" t="str">
        <v>Kabupaten Grobogan</v>
      </c>
    </row>
    <row r="398">
      <c r="A398" t="str">
        <v>Jawa Tengah</v>
      </c>
      <c r="B398" t="str">
        <v>Kabupaten Jepara</v>
      </c>
    </row>
    <row r="399">
      <c r="A399" t="str">
        <v>Jawa Tengah</v>
      </c>
      <c r="B399" t="str">
        <v>Kabupaten Karanganyar</v>
      </c>
    </row>
    <row r="400">
      <c r="A400" t="str">
        <v>Jawa Tengah</v>
      </c>
      <c r="B400" t="str">
        <v xml:space="preserve">Kabupaten Kebumen </v>
      </c>
    </row>
    <row r="401">
      <c r="A401" t="str">
        <v>Jawa Tengah</v>
      </c>
      <c r="B401" t="str">
        <v>Kabupaten Kendal</v>
      </c>
    </row>
    <row r="402">
      <c r="A402" t="str">
        <v>Jawa Tengah</v>
      </c>
      <c r="B402" t="str">
        <v>Kabupaten Klaten</v>
      </c>
    </row>
    <row r="403">
      <c r="A403" t="str">
        <v>Jawa Tengah</v>
      </c>
      <c r="B403" t="str">
        <v xml:space="preserve">Kabupaten Kudus </v>
      </c>
    </row>
    <row r="404">
      <c r="A404" t="str">
        <v>Jawa Tengah</v>
      </c>
      <c r="B404" t="str">
        <v>Kabupaten Magelang</v>
      </c>
    </row>
    <row r="405">
      <c r="A405" t="str">
        <v>Jawa Tengah</v>
      </c>
      <c r="B405" t="str">
        <v xml:space="preserve">Kabupaten Pati </v>
      </c>
    </row>
    <row r="406">
      <c r="A406" t="str">
        <v>Jawa Tengah</v>
      </c>
      <c r="B406" t="str">
        <v xml:space="preserve">Kabupaten Pekalongan </v>
      </c>
    </row>
    <row r="407">
      <c r="A407" t="str">
        <v>Jawa Tengah</v>
      </c>
      <c r="B407" t="str">
        <v>Kabupaten Pemalang</v>
      </c>
    </row>
    <row r="408">
      <c r="A408" t="str">
        <v>Jawa Tengah</v>
      </c>
      <c r="B408" t="str">
        <v xml:space="preserve">Kabupaten Purbalingga </v>
      </c>
    </row>
    <row r="409">
      <c r="A409" t="str">
        <v>Jawa Tengah</v>
      </c>
      <c r="B409" t="str">
        <v xml:space="preserve">Kabupaten Purworejo </v>
      </c>
    </row>
    <row r="410">
      <c r="A410" t="str">
        <v>Jawa Tengah</v>
      </c>
      <c r="B410" t="str">
        <v xml:space="preserve">Kabupaten Rembang </v>
      </c>
    </row>
    <row r="411">
      <c r="A411" t="str">
        <v>Jawa Tengah</v>
      </c>
      <c r="B411" t="str">
        <v>Kabupaten Semarang</v>
      </c>
    </row>
    <row r="412">
      <c r="A412" t="str">
        <v>Jawa Tengah</v>
      </c>
      <c r="B412" t="str">
        <v xml:space="preserve">Kabupaten Sragen </v>
      </c>
    </row>
    <row r="413">
      <c r="A413" t="str">
        <v>Jawa Tengah</v>
      </c>
      <c r="B413" t="str">
        <v xml:space="preserve">Kabupaten Sukoharjo </v>
      </c>
    </row>
    <row r="414">
      <c r="A414" t="str">
        <v>Jawa Tengah</v>
      </c>
      <c r="B414" t="str">
        <v xml:space="preserve">Kabupaten Tegal </v>
      </c>
    </row>
    <row r="415">
      <c r="A415" t="str">
        <v>Jawa Tengah</v>
      </c>
      <c r="B415" t="str">
        <v xml:space="preserve">Kabupaten Temanggung </v>
      </c>
    </row>
    <row r="416">
      <c r="A416" t="str">
        <v>Jawa Tengah</v>
      </c>
      <c r="B416" t="str">
        <v>Kabupaten Wonogiri</v>
      </c>
    </row>
    <row r="417">
      <c r="A417" t="str">
        <v>Jawa Tengah</v>
      </c>
      <c r="B417" t="str">
        <v xml:space="preserve">Kabupaten Wonosobo </v>
      </c>
    </row>
    <row r="418">
      <c r="A418" t="str">
        <v>Jawa Tengah</v>
      </c>
      <c r="B418" t="str">
        <v>Kota Magelang</v>
      </c>
    </row>
    <row r="419">
      <c r="A419" t="str">
        <v>Jawa Tengah</v>
      </c>
      <c r="B419" t="str">
        <v>Kota Pekalongan</v>
      </c>
    </row>
    <row r="420">
      <c r="A420" t="str">
        <v>Jawa Tengah</v>
      </c>
      <c r="B420" t="str">
        <v>Kota Salatiga</v>
      </c>
    </row>
    <row r="421">
      <c r="A421" t="str">
        <v>Jawa Tengah</v>
      </c>
      <c r="B421" t="str">
        <v xml:space="preserve">Kota Semarang </v>
      </c>
    </row>
    <row r="422">
      <c r="A422" t="str">
        <v>Jawa Tengah</v>
      </c>
      <c r="B422" t="str">
        <v xml:space="preserve">Kota Surakarta </v>
      </c>
    </row>
    <row r="423">
      <c r="A423" t="str">
        <v>Jawa Tengah</v>
      </c>
      <c r="B423" t="str">
        <v xml:space="preserve">Kota Tegal </v>
      </c>
    </row>
    <row r="424">
      <c r="A424" t="str">
        <v>Jawa Tengah</v>
      </c>
    </row>
    <row r="425">
      <c r="A425" t="str">
        <v>DI Yogyakarta</v>
      </c>
      <c r="B425" t="str">
        <v>Kabupaten Bantul</v>
      </c>
    </row>
    <row r="426">
      <c r="A426" t="str">
        <v>DI Yogyakarta</v>
      </c>
      <c r="B426" t="str">
        <v xml:space="preserve">Kabupaten Gunung Kidul </v>
      </c>
    </row>
    <row r="427">
      <c r="A427" t="str">
        <v>DI Yogyakarta</v>
      </c>
      <c r="B427" t="str">
        <v>Kabupaten Kulonprogo</v>
      </c>
    </row>
    <row r="428">
      <c r="A428" t="str">
        <v>DI Yogyakarta</v>
      </c>
      <c r="B428" t="str">
        <v xml:space="preserve">Kabupaten Sleman </v>
      </c>
    </row>
    <row r="429">
      <c r="A429" t="str">
        <v>DI Yogyakarta</v>
      </c>
      <c r="B429" t="str">
        <v>Kota Yogyakarta</v>
      </c>
    </row>
    <row r="430">
      <c r="A430" t="str">
        <v>DI Yogyakarta</v>
      </c>
    </row>
    <row r="431">
      <c r="A431" t="str">
        <v>Jawa Timur</v>
      </c>
      <c r="B431" t="str">
        <v>Kabupaten Bangkalan</v>
      </c>
    </row>
    <row r="432">
      <c r="A432" t="str">
        <v>Jawa Timur</v>
      </c>
      <c r="B432" t="str">
        <v xml:space="preserve">Kabupaten Banyuwangi </v>
      </c>
    </row>
    <row r="433">
      <c r="A433" t="str">
        <v>Jawa Timur</v>
      </c>
      <c r="B433" t="str">
        <v>Kabupaten Blitar</v>
      </c>
    </row>
    <row r="434">
      <c r="A434" t="str">
        <v>Jawa Timur</v>
      </c>
      <c r="B434" t="str">
        <v xml:space="preserve">Kabupaten Bojonegoro </v>
      </c>
    </row>
    <row r="435">
      <c r="A435" t="str">
        <v>Jawa Timur</v>
      </c>
      <c r="B435" t="str">
        <v xml:space="preserve">Kabupaten Bondowoso </v>
      </c>
    </row>
    <row r="436">
      <c r="A436" t="str">
        <v>Jawa Timur</v>
      </c>
      <c r="B436" t="str">
        <v xml:space="preserve">Kabupaten Gresik </v>
      </c>
    </row>
    <row r="437">
      <c r="A437" t="str">
        <v>Jawa Timur</v>
      </c>
      <c r="B437" t="str">
        <v>Kabupaten Jember</v>
      </c>
    </row>
    <row r="438">
      <c r="A438" t="str">
        <v>Jawa Timur</v>
      </c>
      <c r="B438" t="str">
        <v>Kabupaten Jombang</v>
      </c>
    </row>
    <row r="439">
      <c r="A439" t="str">
        <v>Jawa Timur</v>
      </c>
      <c r="B439" t="str">
        <v xml:space="preserve">Kabupaten Kediri </v>
      </c>
    </row>
    <row r="440">
      <c r="A440" t="str">
        <v>Jawa Timur</v>
      </c>
      <c r="B440" t="str">
        <v xml:space="preserve">Kabupaten Lamongan </v>
      </c>
    </row>
    <row r="441">
      <c r="A441" t="str">
        <v>Jawa Timur</v>
      </c>
      <c r="B441" t="str">
        <v xml:space="preserve">Kabupaten Lumajang </v>
      </c>
    </row>
    <row r="442">
      <c r="A442" t="str">
        <v>Jawa Timur</v>
      </c>
      <c r="B442" t="str">
        <v xml:space="preserve">Kabupaten Madiun </v>
      </c>
    </row>
    <row r="443">
      <c r="A443" t="str">
        <v>Jawa Timur</v>
      </c>
      <c r="B443" t="str">
        <v xml:space="preserve">Kabupaten Magetan </v>
      </c>
    </row>
    <row r="444">
      <c r="A444" t="str">
        <v>Jawa Timur</v>
      </c>
      <c r="B444" t="str">
        <v>Kabupaten Malang</v>
      </c>
    </row>
    <row r="445">
      <c r="A445" t="str">
        <v>Jawa Timur</v>
      </c>
      <c r="B445" t="str">
        <v xml:space="preserve">Kabupaten Mojokerto </v>
      </c>
    </row>
    <row r="446">
      <c r="A446" t="str">
        <v>Jawa Timur</v>
      </c>
      <c r="B446" t="str">
        <v>Kabupaten Nganjuk</v>
      </c>
    </row>
    <row r="447">
      <c r="A447" t="str">
        <v>Jawa Timur</v>
      </c>
      <c r="B447" t="str">
        <v>Kabupaten Ngawi</v>
      </c>
    </row>
    <row r="448">
      <c r="A448" t="str">
        <v>Jawa Timur</v>
      </c>
      <c r="B448" t="str">
        <v>Kabupaten Pacitan</v>
      </c>
    </row>
    <row r="449">
      <c r="A449" t="str">
        <v>Jawa Timur</v>
      </c>
      <c r="B449" t="str">
        <v xml:space="preserve">Kabupaten Pamekasan </v>
      </c>
    </row>
    <row r="450">
      <c r="A450" t="str">
        <v>Jawa Timur</v>
      </c>
      <c r="B450" t="str">
        <v xml:space="preserve">Kabupaten Pasuruan </v>
      </c>
    </row>
    <row r="451">
      <c r="A451" t="str">
        <v>Jawa Timur</v>
      </c>
      <c r="B451" t="str">
        <v>Kabupaten Ponorogo</v>
      </c>
    </row>
    <row r="452">
      <c r="A452" t="str">
        <v>Jawa Timur</v>
      </c>
      <c r="B452" t="str">
        <v>Kabupaten Probolinggo</v>
      </c>
    </row>
    <row r="453">
      <c r="A453" t="str">
        <v>Jawa Timur</v>
      </c>
      <c r="B453" t="str">
        <v>Kabupaten Sampang</v>
      </c>
    </row>
    <row r="454">
      <c r="A454" t="str">
        <v>Jawa Timur</v>
      </c>
      <c r="B454" t="str">
        <v>Kabupaten Sidoarjo</v>
      </c>
    </row>
    <row r="455">
      <c r="A455" t="str">
        <v>Jawa Timur</v>
      </c>
      <c r="B455" t="str">
        <v>Kabupaten Situbondo</v>
      </c>
    </row>
    <row r="456">
      <c r="A456" t="str">
        <v>Jawa Timur</v>
      </c>
      <c r="B456" t="str">
        <v>Kabupaten Sumenep</v>
      </c>
    </row>
    <row r="457">
      <c r="A457" t="str">
        <v>Jawa Timur</v>
      </c>
      <c r="B457" t="str">
        <v>Kabupaten Trenggalek</v>
      </c>
    </row>
    <row r="458">
      <c r="A458" t="str">
        <v>Jawa Timur</v>
      </c>
      <c r="B458" t="str">
        <v>Kabupaten Tuban</v>
      </c>
    </row>
    <row r="459">
      <c r="A459" t="str">
        <v>Jawa Timur</v>
      </c>
      <c r="B459" t="str">
        <v xml:space="preserve">Kabupaten Tulungagung </v>
      </c>
    </row>
    <row r="460">
      <c r="A460" t="str">
        <v>Jawa Timur</v>
      </c>
      <c r="B460" t="str">
        <v xml:space="preserve">Kota Batu </v>
      </c>
    </row>
    <row r="461">
      <c r="A461" t="str">
        <v>Jawa Timur</v>
      </c>
      <c r="B461" t="str">
        <v>Kota Blitar</v>
      </c>
    </row>
    <row r="462">
      <c r="A462" t="str">
        <v>Jawa Timur</v>
      </c>
      <c r="B462" t="str">
        <v xml:space="preserve">Kota Kediri </v>
      </c>
    </row>
    <row r="463">
      <c r="A463" t="str">
        <v>Jawa Timur</v>
      </c>
      <c r="B463" t="str">
        <v>Kota Madiun</v>
      </c>
    </row>
    <row r="464">
      <c r="A464" t="str">
        <v>Jawa Timur</v>
      </c>
      <c r="B464" t="str">
        <v xml:space="preserve">Kota Malang </v>
      </c>
    </row>
    <row r="465">
      <c r="A465" t="str">
        <v>Jawa Timur</v>
      </c>
      <c r="B465" t="str">
        <v>Kota Mojokerto</v>
      </c>
    </row>
    <row r="466">
      <c r="A466" t="str">
        <v>Jawa Timur</v>
      </c>
      <c r="B466" t="str">
        <v>Kota Pasuruan</v>
      </c>
    </row>
    <row r="467">
      <c r="A467" t="str">
        <v>Jawa Timur</v>
      </c>
      <c r="B467" t="str">
        <v xml:space="preserve">Kota Probolinggo </v>
      </c>
    </row>
    <row r="468">
      <c r="A468" t="str">
        <v>Jawa Timur</v>
      </c>
      <c r="B468" t="str">
        <v>Kota Surabaya</v>
      </c>
    </row>
    <row r="469">
      <c r="A469" t="str">
        <v>Jawa Timur</v>
      </c>
    </row>
    <row r="470">
      <c r="A470" t="str">
        <v>Kalimantan Barat</v>
      </c>
      <c r="B470" t="str">
        <v xml:space="preserve">Kabupaten Bengkayang </v>
      </c>
    </row>
    <row r="471">
      <c r="A471" t="str">
        <v>Kalimantan Barat</v>
      </c>
      <c r="B471" t="str">
        <v>Kabupaten Kapuas Hulu</v>
      </c>
    </row>
    <row r="472">
      <c r="A472" t="str">
        <v>Kalimantan Barat</v>
      </c>
      <c r="B472" t="str">
        <v xml:space="preserve">Kabupaten Kayong Utara </v>
      </c>
    </row>
    <row r="473">
      <c r="A473" t="str">
        <v>Kalimantan Barat</v>
      </c>
      <c r="B473" t="str">
        <v xml:space="preserve">Kabupaten Ketapang </v>
      </c>
    </row>
    <row r="474">
      <c r="A474" t="str">
        <v>Kalimantan Barat</v>
      </c>
      <c r="B474" t="str">
        <v>Kabupaten Kubu Raya</v>
      </c>
    </row>
    <row r="475">
      <c r="A475" t="str">
        <v>Kalimantan Barat</v>
      </c>
      <c r="B475" t="str">
        <v xml:space="preserve">Kabupaten Landak </v>
      </c>
    </row>
    <row r="476">
      <c r="A476" t="str">
        <v>Kalimantan Barat</v>
      </c>
      <c r="B476" t="str">
        <v xml:space="preserve">Kabupaten Melawi </v>
      </c>
    </row>
    <row r="477">
      <c r="A477" t="str">
        <v>Kalimantan Barat</v>
      </c>
      <c r="B477" t="str">
        <v>Kabupaten Pontianak</v>
      </c>
    </row>
    <row r="478">
      <c r="A478" t="str">
        <v>Kalimantan Barat</v>
      </c>
      <c r="B478" t="str">
        <v>Kabupaten Sambas</v>
      </c>
    </row>
    <row r="479">
      <c r="A479" t="str">
        <v>Kalimantan Barat</v>
      </c>
      <c r="B479" t="str">
        <v>Kabupaten Sanggau</v>
      </c>
    </row>
    <row r="480">
      <c r="A480" t="str">
        <v>Kalimantan Barat</v>
      </c>
      <c r="B480" t="str">
        <v>Kabupaten Sekadau</v>
      </c>
    </row>
    <row r="481">
      <c r="A481" t="str">
        <v>Kalimantan Barat</v>
      </c>
      <c r="B481" t="str">
        <v>Kabupaten Sintang</v>
      </c>
    </row>
    <row r="482">
      <c r="A482" t="str">
        <v>Kalimantan Barat</v>
      </c>
      <c r="B482" t="str">
        <v>Kota Pontianak</v>
      </c>
    </row>
    <row r="483">
      <c r="A483" t="str">
        <v>Kalimantan Barat</v>
      </c>
      <c r="B483" t="str">
        <v>Kota Singkawang</v>
      </c>
    </row>
    <row r="484">
      <c r="A484" t="str">
        <v>Kalimantan Barat</v>
      </c>
    </row>
    <row r="485">
      <c r="A485" t="str">
        <v>Kalimantan Selatan</v>
      </c>
      <c r="B485" t="str">
        <v>Kabupaten Balangan</v>
      </c>
    </row>
    <row r="486">
      <c r="A486" t="str">
        <v>Kalimantan Selatan</v>
      </c>
      <c r="B486" t="str">
        <v>Kabupaten Banjar</v>
      </c>
    </row>
    <row r="487">
      <c r="A487" t="str">
        <v>Kalimantan Selatan</v>
      </c>
      <c r="B487" t="str">
        <v>Kabupaten Barito Kuala</v>
      </c>
    </row>
    <row r="488">
      <c r="A488" t="str">
        <v>Kalimantan Selatan</v>
      </c>
      <c r="B488" t="str">
        <v>Kabupaten Hulu Sungai Selatan</v>
      </c>
    </row>
    <row r="489">
      <c r="A489" t="str">
        <v>Kalimantan Selatan</v>
      </c>
      <c r="B489" t="str">
        <v xml:space="preserve">Kabupaten Hulu Sungai Tengah </v>
      </c>
    </row>
    <row r="490">
      <c r="A490" t="str">
        <v>Kalimantan Selatan</v>
      </c>
      <c r="B490" t="str">
        <v xml:space="preserve">Kabupaten Hulu Sungai Utara </v>
      </c>
    </row>
    <row r="491">
      <c r="A491" t="str">
        <v>Kalimantan Selatan</v>
      </c>
      <c r="B491" t="str">
        <v xml:space="preserve">Kabupaten Kotabaru </v>
      </c>
    </row>
    <row r="492">
      <c r="A492" t="str">
        <v>Kalimantan Selatan</v>
      </c>
      <c r="B492" t="str">
        <v xml:space="preserve">Kabupaten Tabalong </v>
      </c>
    </row>
    <row r="493">
      <c r="A493" t="str">
        <v>Kalimantan Selatan</v>
      </c>
      <c r="B493" t="str">
        <v>Kabupaten Tanah Bumbu</v>
      </c>
    </row>
    <row r="494">
      <c r="A494" t="str">
        <v>Kalimantan Selatan</v>
      </c>
      <c r="B494" t="str">
        <v>Kabupaten Tanah Laut</v>
      </c>
    </row>
    <row r="495">
      <c r="A495" t="str">
        <v>Kalimantan Selatan</v>
      </c>
      <c r="B495" t="str">
        <v>Kabupaten Tapin</v>
      </c>
    </row>
    <row r="496">
      <c r="A496" t="str">
        <v>Kalimantan Selatan</v>
      </c>
      <c r="B496" t="str">
        <v>Kota Banjarbaru</v>
      </c>
    </row>
    <row r="497">
      <c r="A497" t="str">
        <v>Kalimantan Selatan</v>
      </c>
      <c r="B497" t="str">
        <v xml:space="preserve">Kota Banjarmasin </v>
      </c>
    </row>
    <row r="498">
      <c r="A498" t="str">
        <v>Kalimantan Selatan</v>
      </c>
    </row>
    <row r="499">
      <c r="A499" t="str">
        <v>Kalimantan Tengah</v>
      </c>
      <c r="B499" t="str">
        <v xml:space="preserve">Kabupaten Barito Selatan </v>
      </c>
    </row>
    <row r="500">
      <c r="A500" t="str">
        <v>Kalimantan Tengah</v>
      </c>
      <c r="B500" t="str">
        <v xml:space="preserve">Kabupaten Barito Timur </v>
      </c>
    </row>
    <row r="501">
      <c r="A501" t="str">
        <v>Kalimantan Tengah</v>
      </c>
      <c r="B501" t="str">
        <v xml:space="preserve">Kabupaten Barito Utara </v>
      </c>
    </row>
    <row r="502">
      <c r="A502" t="str">
        <v>Kalimantan Tengah</v>
      </c>
      <c r="B502" t="str">
        <v xml:space="preserve">Kabupaten Gunung Mas </v>
      </c>
    </row>
    <row r="503">
      <c r="A503" t="str">
        <v>Kalimantan Tengah</v>
      </c>
      <c r="B503" t="str">
        <v>Kabupaten Kapuas</v>
      </c>
    </row>
    <row r="504">
      <c r="A504" t="str">
        <v>Kalimantan Tengah</v>
      </c>
      <c r="B504" t="str">
        <v xml:space="preserve">Kabupaten Katingan </v>
      </c>
    </row>
    <row r="505">
      <c r="A505" t="str">
        <v>Kalimantan Tengah</v>
      </c>
      <c r="B505" t="str">
        <v xml:space="preserve">Kabupaten Kotawaringin Barat </v>
      </c>
    </row>
    <row r="506">
      <c r="A506" t="str">
        <v>Kalimantan Tengah</v>
      </c>
      <c r="B506" t="str">
        <v xml:space="preserve">Kabupaten Kotawaringin Timur </v>
      </c>
    </row>
    <row r="507">
      <c r="A507" t="str">
        <v>Kalimantan Tengah</v>
      </c>
      <c r="B507" t="str">
        <v xml:space="preserve">Kabupaten Lamandau </v>
      </c>
    </row>
    <row r="508">
      <c r="A508" t="str">
        <v>Kalimantan Tengah</v>
      </c>
      <c r="B508" t="str">
        <v>Kabupaten Seruyan</v>
      </c>
    </row>
    <row r="509">
      <c r="A509" t="str">
        <v>Kalimantan Tengah</v>
      </c>
      <c r="B509" t="str">
        <v xml:space="preserve">Kabupaten Sukamara </v>
      </c>
    </row>
    <row r="510">
      <c r="A510" t="str">
        <v>Kalimantan Tengah</v>
      </c>
      <c r="B510" t="str">
        <v xml:space="preserve">Kota Palangka Raya </v>
      </c>
    </row>
    <row r="511">
      <c r="A511" t="str">
        <v>Kalimantan Tengah</v>
      </c>
    </row>
    <row r="512">
      <c r="A512" t="str">
        <v>Kalimantan Timur</v>
      </c>
      <c r="B512" t="str">
        <v>Kabupaten Berau</v>
      </c>
    </row>
    <row r="513">
      <c r="A513" t="str">
        <v>Kalimantan Timur</v>
      </c>
      <c r="B513" t="str">
        <v>Kabupaten Bulungan</v>
      </c>
    </row>
    <row r="514">
      <c r="A514" t="str">
        <v>Kalimantan Timur</v>
      </c>
      <c r="B514" t="str">
        <v xml:space="preserve">Kabupaten Kutai Barat </v>
      </c>
    </row>
    <row r="515">
      <c r="A515" t="str">
        <v>Kalimantan Timur</v>
      </c>
      <c r="B515" t="str">
        <v xml:space="preserve">Kabupaten Kutai Kartanegara </v>
      </c>
    </row>
    <row r="516">
      <c r="A516" t="str">
        <v>Kalimantan Timur</v>
      </c>
      <c r="B516" t="str">
        <v xml:space="preserve">Kabupaten Kutai Timur </v>
      </c>
    </row>
    <row r="517">
      <c r="A517" t="str">
        <v>Kalimantan Timur</v>
      </c>
      <c r="B517" t="str">
        <v xml:space="preserve">Kabupaten Malinau </v>
      </c>
    </row>
    <row r="518">
      <c r="A518" t="str">
        <v>Kalimantan Timur</v>
      </c>
      <c r="B518" t="str">
        <v xml:space="preserve">Kabupaten Nunukan </v>
      </c>
    </row>
    <row r="519">
      <c r="A519" t="str">
        <v>Kalimantan Timur</v>
      </c>
      <c r="B519" t="str">
        <v>Kabupaten Paser</v>
      </c>
    </row>
    <row r="520">
      <c r="A520" t="str">
        <v>Kalimantan Timur</v>
      </c>
      <c r="B520" t="str">
        <v xml:space="preserve">Kabupaten Penajam Paser Utara </v>
      </c>
    </row>
    <row r="521">
      <c r="A521" t="str">
        <v>Kalimantan Timur</v>
      </c>
      <c r="B521" t="str">
        <v>Kabupaten Tana Tidung</v>
      </c>
    </row>
    <row r="522">
      <c r="A522" t="str">
        <v>Kalimantan Timur</v>
      </c>
      <c r="B522" t="str">
        <v xml:space="preserve">Kota Balikpapan </v>
      </c>
    </row>
    <row r="523">
      <c r="A523" t="str">
        <v>Kalimantan Timur</v>
      </c>
      <c r="B523" t="str">
        <v xml:space="preserve">Kota Bontang </v>
      </c>
    </row>
    <row r="524">
      <c r="A524" t="str">
        <v>Kalimantan Timur</v>
      </c>
      <c r="B524" t="str">
        <v xml:space="preserve">Kota Samarinda </v>
      </c>
    </row>
    <row r="525">
      <c r="A525" t="str">
        <v>Kalimantan Timur</v>
      </c>
      <c r="B525" t="str">
        <v>Kota Tarakan</v>
      </c>
    </row>
    <row r="526">
      <c r="A526" t="str">
        <v>Kalimantan Timur</v>
      </c>
    </row>
    <row r="527">
      <c r="A527" t="str">
        <v>Kalimantan Utara</v>
      </c>
    </row>
    <row r="528">
      <c r="A528" t="str">
        <v>Kalimantan Utara</v>
      </c>
    </row>
    <row r="529">
      <c r="A529" t="str">
        <v>Kalimantan Utara</v>
      </c>
    </row>
    <row r="530">
      <c r="A530" t="str">
        <v>Sulawesi Utara</v>
      </c>
      <c r="B530" t="str">
        <v>Kabupaten Bolaang Mongondow</v>
      </c>
    </row>
    <row r="531">
      <c r="A531" t="str">
        <v>Sulawesi Utara</v>
      </c>
      <c r="B531" t="str">
        <v>Kabupaten Bolaang Mongondow Selatan</v>
      </c>
    </row>
    <row r="532">
      <c r="A532" t="str">
        <v>Sulawesi Utara</v>
      </c>
      <c r="B532" t="str">
        <v xml:space="preserve">Kabupaten Bolaang Mongondow Timur </v>
      </c>
    </row>
    <row r="533">
      <c r="A533" t="str">
        <v>Sulawesi Utara</v>
      </c>
      <c r="B533" t="str">
        <v>Kabupaten Bolaang Mongondow Utara</v>
      </c>
    </row>
    <row r="534">
      <c r="A534" t="str">
        <v>Sulawesi Utara</v>
      </c>
      <c r="B534" t="str">
        <v>Kabupaten Kepulauan Sangihe</v>
      </c>
    </row>
    <row r="535">
      <c r="A535" t="str">
        <v>Sulawesi Utara</v>
      </c>
      <c r="B535" t="str">
        <v xml:space="preserve">Kabupaten Kepulauan Siau Tagulandung Biaro </v>
      </c>
    </row>
    <row r="536">
      <c r="A536" t="str">
        <v>Sulawesi Utara</v>
      </c>
      <c r="B536" t="str">
        <v xml:space="preserve">Kabupaten Kepulauan Talaud </v>
      </c>
    </row>
    <row r="537">
      <c r="A537" t="str">
        <v>Sulawesi Utara</v>
      </c>
      <c r="B537" t="str">
        <v xml:space="preserve">Kabupaten Minahasa </v>
      </c>
    </row>
    <row r="538">
      <c r="A538" t="str">
        <v>Sulawesi Utara</v>
      </c>
      <c r="B538" t="str">
        <v xml:space="preserve">Kabupaten Minahasa Selatan </v>
      </c>
    </row>
    <row r="539">
      <c r="A539" t="str">
        <v>Sulawesi Utara</v>
      </c>
      <c r="B539" t="str">
        <v>Kabupaten Minahasa Tenggara</v>
      </c>
    </row>
    <row r="540">
      <c r="A540" t="str">
        <v>Sulawesi Utara</v>
      </c>
      <c r="B540" t="str">
        <v>Kabupaten Minahasa Utara</v>
      </c>
    </row>
    <row r="541">
      <c r="A541" t="str">
        <v>Sulawesi Utara</v>
      </c>
      <c r="B541" t="str">
        <v xml:space="preserve">Kota Bitung </v>
      </c>
    </row>
    <row r="542">
      <c r="A542" t="str">
        <v>Sulawesi Utara</v>
      </c>
      <c r="B542" t="str">
        <v xml:space="preserve">Kota Kotamobagu </v>
      </c>
    </row>
    <row r="543">
      <c r="A543" t="str">
        <v>Sulawesi Utara</v>
      </c>
      <c r="B543" t="str">
        <v xml:space="preserve">Kota Manado </v>
      </c>
    </row>
    <row r="544">
      <c r="A544" t="str">
        <v>Sulawesi Utara</v>
      </c>
      <c r="B544" t="str">
        <v xml:space="preserve">Kota Tomohon </v>
      </c>
    </row>
    <row r="545">
      <c r="A545" t="str">
        <v>Sulawesi Utara</v>
      </c>
    </row>
    <row r="546">
      <c r="A546" t="str">
        <v>Gorontalo</v>
      </c>
      <c r="B546" t="str">
        <v xml:space="preserve">Kabupaten Boalemo </v>
      </c>
    </row>
    <row r="547">
      <c r="A547" t="str">
        <v>Gorontalo</v>
      </c>
      <c r="B547" t="str">
        <v xml:space="preserve">Kabupaten Bone Bolango </v>
      </c>
    </row>
    <row r="548">
      <c r="A548" t="str">
        <v>Gorontalo</v>
      </c>
      <c r="B548" t="str">
        <v>Kabupaten Gorontalo</v>
      </c>
    </row>
    <row r="549">
      <c r="A549" t="str">
        <v>Gorontalo</v>
      </c>
      <c r="B549" t="str">
        <v xml:space="preserve">Kabupaten Gorontalo Utara </v>
      </c>
    </row>
    <row r="550">
      <c r="A550" t="str">
        <v>Gorontalo</v>
      </c>
      <c r="B550" t="str">
        <v xml:space="preserve">Kabupaten Pohuwato </v>
      </c>
    </row>
    <row r="551">
      <c r="A551" t="str">
        <v>Gorontalo</v>
      </c>
      <c r="B551" t="str">
        <v xml:space="preserve">Kota Gorontalo </v>
      </c>
    </row>
    <row r="552">
      <c r="A552" t="str">
        <v>Gorontalo</v>
      </c>
    </row>
    <row r="553">
      <c r="A553" t="str">
        <v>Sulawesi Tengah</v>
      </c>
      <c r="B553" t="str">
        <v xml:space="preserve">Kabupaten Banggai </v>
      </c>
    </row>
    <row r="554">
      <c r="A554" t="str">
        <v>Sulawesi Tengah</v>
      </c>
      <c r="B554" t="str">
        <v>Kabupaten Banggai Kepulauan</v>
      </c>
    </row>
    <row r="555">
      <c r="A555" t="str">
        <v>Sulawesi Tengah</v>
      </c>
      <c r="B555" t="str">
        <v>Kabupaten Buol</v>
      </c>
    </row>
    <row r="556">
      <c r="A556" t="str">
        <v>Sulawesi Tengah</v>
      </c>
      <c r="B556" t="str">
        <v>Kabupaten Donggala</v>
      </c>
    </row>
    <row r="557">
      <c r="A557" t="str">
        <v>Sulawesi Tengah</v>
      </c>
      <c r="B557" t="str">
        <v xml:space="preserve">Kabupaten Morowali </v>
      </c>
    </row>
    <row r="558">
      <c r="A558" t="str">
        <v>Sulawesi Tengah</v>
      </c>
      <c r="B558" t="str">
        <v xml:space="preserve">Kabupaten Parigi Moutong </v>
      </c>
    </row>
    <row r="559">
      <c r="A559" t="str">
        <v>Sulawesi Tengah</v>
      </c>
      <c r="B559" t="str">
        <v xml:space="preserve">Kabupaten Poso </v>
      </c>
    </row>
    <row r="560">
      <c r="A560" t="str">
        <v>Sulawesi Tengah</v>
      </c>
      <c r="B560" t="str">
        <v>Kabupaten Tojo Una-una</v>
      </c>
    </row>
    <row r="561">
      <c r="A561" t="str">
        <v>Sulawesi Tengah</v>
      </c>
      <c r="B561" t="str">
        <v xml:space="preserve">Kabupaten Toli-Toli </v>
      </c>
    </row>
    <row r="562">
      <c r="A562" t="str">
        <v>Sulawesi Tengah</v>
      </c>
      <c r="B562" t="str">
        <v xml:space="preserve">Kabupaten Sigi </v>
      </c>
    </row>
    <row r="563">
      <c r="A563" t="str">
        <v>Sulawesi Tengah</v>
      </c>
      <c r="B563" t="str">
        <v xml:space="preserve">Kota Palu </v>
      </c>
    </row>
    <row r="564">
      <c r="A564" t="str">
        <v>Sulawesi Tengah</v>
      </c>
    </row>
    <row r="565">
      <c r="A565" t="str">
        <v>Sulawesi Selatan</v>
      </c>
      <c r="B565" t="str">
        <v xml:space="preserve">Kabupaten Bantaeng </v>
      </c>
    </row>
    <row r="566">
      <c r="A566" t="str">
        <v>Sulawesi Selatan</v>
      </c>
      <c r="B566" t="str">
        <v xml:space="preserve">Kabupaten Barru </v>
      </c>
    </row>
    <row r="567">
      <c r="A567" t="str">
        <v>Sulawesi Selatan</v>
      </c>
      <c r="B567" t="str">
        <v xml:space="preserve">Kabupaten Bone </v>
      </c>
    </row>
    <row r="568">
      <c r="A568" t="str">
        <v>Sulawesi Selatan</v>
      </c>
      <c r="B568" t="str">
        <v>Kabupaten Bulukumba</v>
      </c>
    </row>
    <row r="569">
      <c r="A569" t="str">
        <v>Sulawesi Selatan</v>
      </c>
      <c r="B569" t="str">
        <v xml:space="preserve">Kabupaten Enrekang </v>
      </c>
    </row>
    <row r="570">
      <c r="A570" t="str">
        <v>Sulawesi Selatan</v>
      </c>
      <c r="B570" t="str">
        <v xml:space="preserve">Kabupaten Gowa </v>
      </c>
    </row>
    <row r="571">
      <c r="A571" t="str">
        <v>Sulawesi Selatan</v>
      </c>
      <c r="B571" t="str">
        <v xml:space="preserve">Kabupaten Jeneponto </v>
      </c>
    </row>
    <row r="572">
      <c r="A572" t="str">
        <v>Sulawesi Selatan</v>
      </c>
      <c r="B572" t="str">
        <v>Kabupaten Kepulauan Selayar</v>
      </c>
    </row>
    <row r="573">
      <c r="A573" t="str">
        <v>Sulawesi Selatan</v>
      </c>
      <c r="B573" t="str">
        <v xml:space="preserve">Kabupaten Luwu </v>
      </c>
    </row>
    <row r="574">
      <c r="A574" t="str">
        <v>Sulawesi Selatan</v>
      </c>
      <c r="B574" t="str">
        <v xml:space="preserve">Kabupaten Luwu Timur </v>
      </c>
    </row>
    <row r="575">
      <c r="A575" t="str">
        <v>Sulawesi Selatan</v>
      </c>
      <c r="B575" t="str">
        <v xml:space="preserve">Kabupaten Luwu Utara </v>
      </c>
    </row>
    <row r="576">
      <c r="A576" t="str">
        <v>Sulawesi Selatan</v>
      </c>
      <c r="B576" t="str">
        <v xml:space="preserve">Kabupaten Maros </v>
      </c>
    </row>
    <row r="577">
      <c r="A577" t="str">
        <v>Sulawesi Selatan</v>
      </c>
      <c r="B577" t="str">
        <v xml:space="preserve">Kabupaten Pangkajene dan Kepulauan </v>
      </c>
    </row>
    <row r="578">
      <c r="A578" t="str">
        <v>Sulawesi Selatan</v>
      </c>
      <c r="B578" t="str">
        <v xml:space="preserve">Kabupaten Pinrang </v>
      </c>
    </row>
    <row r="579">
      <c r="A579" t="str">
        <v>Sulawesi Selatan</v>
      </c>
      <c r="B579" t="str">
        <v>Kabupaten Sidenreng Rappang</v>
      </c>
    </row>
    <row r="580">
      <c r="A580" t="str">
        <v>Sulawesi Selatan</v>
      </c>
      <c r="B580" t="str">
        <v xml:space="preserve">Kabupaten Sinjai </v>
      </c>
    </row>
    <row r="581">
      <c r="A581" t="str">
        <v>Sulawesi Selatan</v>
      </c>
      <c r="B581" t="str">
        <v xml:space="preserve">Kabupaten Soppeng </v>
      </c>
    </row>
    <row r="582">
      <c r="A582" t="str">
        <v>Sulawesi Selatan</v>
      </c>
      <c r="B582" t="str">
        <v>Kabupaten Takalar</v>
      </c>
    </row>
    <row r="583">
      <c r="A583" t="str">
        <v>Sulawesi Selatan</v>
      </c>
      <c r="B583" t="str">
        <v xml:space="preserve">Kabupaten Tana Toraja </v>
      </c>
    </row>
    <row r="584">
      <c r="A584" t="str">
        <v>Sulawesi Selatan</v>
      </c>
      <c r="B584" t="str">
        <v xml:space="preserve">Kabupaten Toraja Utara </v>
      </c>
    </row>
    <row r="585">
      <c r="A585" t="str">
        <v>Sulawesi Selatan</v>
      </c>
      <c r="B585" t="str">
        <v>Kabupaten Wajo</v>
      </c>
    </row>
    <row r="586">
      <c r="A586" t="str">
        <v>Sulawesi Selatan</v>
      </c>
      <c r="B586" t="str">
        <v xml:space="preserve">Kota Makassar </v>
      </c>
    </row>
    <row r="587">
      <c r="A587" t="str">
        <v>Sulawesi Selatan</v>
      </c>
      <c r="B587" t="str">
        <v>Kota Palopo</v>
      </c>
    </row>
    <row r="588">
      <c r="A588" t="str">
        <v>Sulawesi Selatan</v>
      </c>
      <c r="B588" t="str">
        <v>Kota Pare-Pare</v>
      </c>
    </row>
    <row r="589">
      <c r="A589" t="str">
        <v>Sulawesi Selatan</v>
      </c>
    </row>
    <row r="590">
      <c r="A590" t="str">
        <v>Sulawesi Barat</v>
      </c>
      <c r="B590" t="str">
        <v xml:space="preserve">Kabupaten Majene </v>
      </c>
    </row>
    <row r="591">
      <c r="A591" t="str">
        <v>Sulawesi Barat</v>
      </c>
      <c r="B591" t="str">
        <v xml:space="preserve">Kabupaten Mamasa </v>
      </c>
    </row>
    <row r="592">
      <c r="A592" t="str">
        <v>Sulawesi Barat</v>
      </c>
      <c r="B592" t="str">
        <v>Kabupaten Mamuju (Mamuju)</v>
      </c>
    </row>
    <row r="593">
      <c r="A593" t="str">
        <v>Sulawesi Barat</v>
      </c>
      <c r="B593" t="str">
        <v xml:space="preserve">Kabupaten Mamuju Utara </v>
      </c>
    </row>
    <row r="594">
      <c r="A594" t="str">
        <v>Sulawesi Barat</v>
      </c>
      <c r="B594" t="str">
        <v xml:space="preserve">Kabupaten Polewali Mandar </v>
      </c>
    </row>
    <row r="595">
      <c r="A595" t="str">
        <v>Sulawesi Barat</v>
      </c>
    </row>
    <row r="596">
      <c r="A596" t="str">
        <v>Sulawesi Tenggara</v>
      </c>
      <c r="B596" t="str">
        <v xml:space="preserve">Kabupaten Bombana </v>
      </c>
    </row>
    <row r="597">
      <c r="A597" t="str">
        <v>Sulawesi Tenggara</v>
      </c>
      <c r="B597" t="str">
        <v xml:space="preserve">Kabupaten Buton </v>
      </c>
    </row>
    <row r="598">
      <c r="A598" t="str">
        <v>Sulawesi Tenggara</v>
      </c>
      <c r="B598" t="str">
        <v xml:space="preserve">Kabupaten Buton Utara </v>
      </c>
    </row>
    <row r="599">
      <c r="A599" t="str">
        <v>Sulawesi Tenggara</v>
      </c>
      <c r="B599" t="str">
        <v>Kabupaten Kolaka</v>
      </c>
    </row>
    <row r="600">
      <c r="A600" t="str">
        <v>Sulawesi Tenggara</v>
      </c>
      <c r="B600" t="str">
        <v xml:space="preserve">Kabupaten Kolaka Utara </v>
      </c>
    </row>
    <row r="601">
      <c r="A601" t="str">
        <v>Sulawesi Tenggara</v>
      </c>
      <c r="B601" t="str">
        <v xml:space="preserve">Kabupaten Konawe </v>
      </c>
    </row>
    <row r="602">
      <c r="A602" t="str">
        <v>Sulawesi Tenggara</v>
      </c>
      <c r="B602" t="str">
        <v xml:space="preserve">Kabupaten Konawe Selatan </v>
      </c>
    </row>
    <row r="603">
      <c r="A603" t="str">
        <v>Sulawesi Tenggara</v>
      </c>
      <c r="B603" t="str">
        <v xml:space="preserve">Kabupaten Konawe Utara </v>
      </c>
    </row>
    <row r="604">
      <c r="A604" t="str">
        <v>Sulawesi Tenggara</v>
      </c>
      <c r="B604" t="str">
        <v xml:space="preserve">Kabupaten Muna </v>
      </c>
    </row>
    <row r="605">
      <c r="A605" t="str">
        <v>Sulawesi Tenggara</v>
      </c>
      <c r="B605" t="str">
        <v xml:space="preserve">Kabupaten Wakatobi </v>
      </c>
    </row>
    <row r="606">
      <c r="A606" t="str">
        <v>Sulawesi Tenggara</v>
      </c>
      <c r="B606" t="str">
        <v>Kota Bau-Bau</v>
      </c>
    </row>
    <row r="607">
      <c r="A607" t="str">
        <v>Sulawesi Tenggara</v>
      </c>
      <c r="B607" t="str">
        <v xml:space="preserve">Kota Kendari </v>
      </c>
    </row>
    <row r="608">
      <c r="A608" t="str">
        <v>Sulawesi Tenggara</v>
      </c>
    </row>
    <row r="609">
      <c r="A609" t="str">
        <v>Bali</v>
      </c>
      <c r="B609" t="str">
        <v xml:space="preserve">Kabupaten Badung </v>
      </c>
    </row>
    <row r="610">
      <c r="A610" t="str">
        <v>Bali</v>
      </c>
      <c r="B610" t="str">
        <v xml:space="preserve">Kabupaten Bangli </v>
      </c>
    </row>
    <row r="611">
      <c r="A611" t="str">
        <v>Bali</v>
      </c>
      <c r="B611" t="str">
        <v xml:space="preserve">Kabupaten Buleleng </v>
      </c>
    </row>
    <row r="612">
      <c r="A612" t="str">
        <v>Bali</v>
      </c>
      <c r="B612" t="str">
        <v xml:space="preserve">Kabupaten Gianyar </v>
      </c>
    </row>
    <row r="613">
      <c r="A613" t="str">
        <v>Bali</v>
      </c>
      <c r="B613" t="str">
        <v xml:space="preserve">Kabupaten Jembrana </v>
      </c>
    </row>
    <row r="614">
      <c r="A614" t="str">
        <v>Bali</v>
      </c>
      <c r="B614" t="str">
        <v xml:space="preserve">Kabupaten Karangasem </v>
      </c>
    </row>
    <row r="615">
      <c r="A615" t="str">
        <v>Bali</v>
      </c>
      <c r="B615" t="str">
        <v>Kabupaten Klungkung</v>
      </c>
    </row>
    <row r="616">
      <c r="A616" t="str">
        <v>Bali</v>
      </c>
      <c r="B616" t="str">
        <v xml:space="preserve">Kabupaten Tabanan </v>
      </c>
    </row>
    <row r="617">
      <c r="A617" t="str">
        <v>Bali</v>
      </c>
      <c r="B617" t="str">
        <v xml:space="preserve">Kota Denpasar </v>
      </c>
    </row>
    <row r="618">
      <c r="A618" t="str">
        <v>Bali</v>
      </c>
    </row>
    <row r="619">
      <c r="A619" t="str">
        <v>Nusa Tenggara Barat</v>
      </c>
      <c r="B619" t="str">
        <v>Kabupaten Bima</v>
      </c>
    </row>
    <row r="620">
      <c r="A620" t="str">
        <v>Nusa Tenggara Barat</v>
      </c>
      <c r="B620" t="str">
        <v xml:space="preserve">Kabupaten Dompu </v>
      </c>
    </row>
    <row r="621">
      <c r="A621" t="str">
        <v>Nusa Tenggara Barat</v>
      </c>
      <c r="B621" t="str">
        <v xml:space="preserve">Kabupaten Lombok Barat </v>
      </c>
    </row>
    <row r="622">
      <c r="A622" t="str">
        <v>Nusa Tenggara Barat</v>
      </c>
      <c r="B622" t="str">
        <v>Kabupaten Lombok Tengah</v>
      </c>
    </row>
    <row r="623">
      <c r="A623" t="str">
        <v>Nusa Tenggara Barat</v>
      </c>
      <c r="B623" t="str">
        <v xml:space="preserve">Kabupaten Lombok Timur </v>
      </c>
    </row>
    <row r="624">
      <c r="A624" t="str">
        <v>Nusa Tenggara Barat</v>
      </c>
      <c r="B624" t="str">
        <v xml:space="preserve">Kabupaten Lombok Utara </v>
      </c>
    </row>
    <row r="625">
      <c r="A625" t="str">
        <v>Nusa Tenggara Barat</v>
      </c>
      <c r="B625" t="str">
        <v>Kabupaten Sumbawa</v>
      </c>
    </row>
    <row r="626">
      <c r="A626" t="str">
        <v>Nusa Tenggara Barat</v>
      </c>
      <c r="B626" t="str">
        <v xml:space="preserve">Kabupaten Sumbawa Barat </v>
      </c>
    </row>
    <row r="627">
      <c r="A627" t="str">
        <v>Nusa Tenggara Barat</v>
      </c>
      <c r="B627" t="str">
        <v xml:space="preserve">Kota Bima </v>
      </c>
    </row>
    <row r="628">
      <c r="A628" t="str">
        <v>Nusa Tenggara Barat</v>
      </c>
      <c r="B628" t="str">
        <v xml:space="preserve">Kota Mataram </v>
      </c>
    </row>
    <row r="629">
      <c r="A629" t="str">
        <v>Nusa Tenggara Barat</v>
      </c>
    </row>
    <row r="630">
      <c r="A630" t="str">
        <v>Nusa Tenggara Timur</v>
      </c>
      <c r="B630" t="str">
        <v xml:space="preserve">Kabupaten Alor </v>
      </c>
    </row>
    <row r="631">
      <c r="A631" t="str">
        <v>Nusa Tenggara Timur</v>
      </c>
      <c r="B631" t="str">
        <v>Kabupaten Belu</v>
      </c>
    </row>
    <row r="632">
      <c r="A632" t="str">
        <v>Nusa Tenggara Timur</v>
      </c>
      <c r="B632" t="str">
        <v>Kabupaten Ende</v>
      </c>
    </row>
    <row r="633">
      <c r="A633" t="str">
        <v>Nusa Tenggara Timur</v>
      </c>
      <c r="B633" t="str">
        <v xml:space="preserve">Kabupaten Flores Timur </v>
      </c>
    </row>
    <row r="634">
      <c r="A634" t="str">
        <v>Nusa Tenggara Timur</v>
      </c>
      <c r="B634" t="str">
        <v xml:space="preserve">Kabupaten Kupang </v>
      </c>
    </row>
    <row r="635">
      <c r="A635" t="str">
        <v>Nusa Tenggara Timur</v>
      </c>
      <c r="B635" t="str">
        <v xml:space="preserve">Kabupaten Lembata </v>
      </c>
    </row>
    <row r="636">
      <c r="A636" t="str">
        <v>Nusa Tenggara Timur</v>
      </c>
      <c r="B636" t="str">
        <v xml:space="preserve">Kabupaten Manggarai </v>
      </c>
    </row>
    <row r="637">
      <c r="A637" t="str">
        <v>Nusa Tenggara Timur</v>
      </c>
      <c r="B637" t="str">
        <v xml:space="preserve">Kabupaten Manggarai Barat </v>
      </c>
    </row>
    <row r="638">
      <c r="A638" t="str">
        <v>Nusa Tenggara Timur</v>
      </c>
      <c r="B638" t="str">
        <v xml:space="preserve">Kabupaten Manggarai Timur </v>
      </c>
    </row>
    <row r="639">
      <c r="A639" t="str">
        <v>Nusa Tenggara Timur</v>
      </c>
      <c r="B639" t="str">
        <v xml:space="preserve">Kabupaten Nagekeo </v>
      </c>
    </row>
    <row r="640">
      <c r="A640" t="str">
        <v>Nusa Tenggara Timur</v>
      </c>
      <c r="B640" t="str">
        <v xml:space="preserve">Kabupaten Ngada </v>
      </c>
    </row>
    <row r="641">
      <c r="A641" t="str">
        <v>Nusa Tenggara Timur</v>
      </c>
      <c r="B641" t="str">
        <v>Kabupaten Rote Ndao</v>
      </c>
    </row>
    <row r="642">
      <c r="A642" t="str">
        <v>Nusa Tenggara Timur</v>
      </c>
      <c r="B642" t="str">
        <v>Kabupaten Sabu Raijua</v>
      </c>
    </row>
    <row r="643">
      <c r="A643" t="str">
        <v>Nusa Tenggara Timur</v>
      </c>
      <c r="B643" t="str">
        <v xml:space="preserve">Kabupaten Sikka </v>
      </c>
    </row>
    <row r="644">
      <c r="A644" t="str">
        <v>Nusa Tenggara Timur</v>
      </c>
      <c r="B644" t="str">
        <v xml:space="preserve">Kabupaten Sumba Barat </v>
      </c>
    </row>
    <row r="645">
      <c r="A645" t="str">
        <v>Nusa Tenggara Timur</v>
      </c>
      <c r="B645" t="str">
        <v xml:space="preserve">Kabupaten Sumba Barat Daya </v>
      </c>
    </row>
    <row r="646">
      <c r="A646" t="str">
        <v>Nusa Tenggara Timur</v>
      </c>
      <c r="B646" t="str">
        <v xml:space="preserve">Kabupaten Sumba Tengah </v>
      </c>
    </row>
    <row r="647">
      <c r="A647" t="str">
        <v>Nusa Tenggara Timur</v>
      </c>
      <c r="B647" t="str">
        <v>Kabupaten Sumba Timur</v>
      </c>
    </row>
    <row r="648">
      <c r="A648" t="str">
        <v>Nusa Tenggara Timur</v>
      </c>
      <c r="B648" t="str">
        <v xml:space="preserve">Kabupaten Timor Tengah Selatan </v>
      </c>
    </row>
    <row r="649">
      <c r="A649" t="str">
        <v>Nusa Tenggara Timur</v>
      </c>
      <c r="B649" t="str">
        <v>Kabupaten Timor Tengah Utara</v>
      </c>
    </row>
    <row r="650">
      <c r="A650" t="str">
        <v>Nusa Tenggara Timur</v>
      </c>
      <c r="B650" t="str">
        <v xml:space="preserve">Kota Kupang </v>
      </c>
    </row>
    <row r="651">
      <c r="A651" t="str">
        <v>Nusa Tenggara Timur</v>
      </c>
    </row>
    <row r="652">
      <c r="A652" t="str">
        <v>Maluku</v>
      </c>
      <c r="B652" t="str">
        <v>Kabupaten Buru</v>
      </c>
    </row>
    <row r="653">
      <c r="A653" t="str">
        <v>Maluku</v>
      </c>
      <c r="B653" t="str">
        <v>Kabupaten Buru Selatan</v>
      </c>
    </row>
    <row r="654">
      <c r="A654" t="str">
        <v>Maluku</v>
      </c>
      <c r="B654" t="str">
        <v xml:space="preserve">Kabupaten Kepulauan Aru </v>
      </c>
    </row>
    <row r="655">
      <c r="A655" t="str">
        <v>Maluku</v>
      </c>
      <c r="B655" t="str">
        <v xml:space="preserve">Kabupaten Maluku Barat Daya </v>
      </c>
    </row>
    <row r="656">
      <c r="A656" t="str">
        <v>Maluku</v>
      </c>
      <c r="B656" t="str">
        <v xml:space="preserve">Kabupaten Maluku Tengah </v>
      </c>
    </row>
    <row r="657">
      <c r="A657" t="str">
        <v>Maluku</v>
      </c>
      <c r="B657" t="str">
        <v xml:space="preserve">Kabupaten Maluku Tenggara </v>
      </c>
    </row>
    <row r="658">
      <c r="A658" t="str">
        <v>Maluku</v>
      </c>
      <c r="B658" t="str">
        <v xml:space="preserve">Kabupaten Maluku Tenggara Barat </v>
      </c>
    </row>
    <row r="659">
      <c r="A659" t="str">
        <v>Maluku</v>
      </c>
      <c r="B659" t="str">
        <v xml:space="preserve">Kabupaten Seram Bagian Barat </v>
      </c>
    </row>
    <row r="660">
      <c r="A660" t="str">
        <v>Maluku</v>
      </c>
      <c r="B660" t="str">
        <v xml:space="preserve">Kabupaten Seram Bagian Timur </v>
      </c>
    </row>
    <row r="661">
      <c r="A661" t="str">
        <v>Maluku</v>
      </c>
      <c r="B661" t="str">
        <v>Kota Ambon</v>
      </c>
    </row>
    <row r="662">
      <c r="A662" t="str">
        <v>Maluku</v>
      </c>
      <c r="B662" t="str">
        <v xml:space="preserve">Kota Tual </v>
      </c>
    </row>
    <row r="663">
      <c r="A663" t="str">
        <v>Maluku</v>
      </c>
    </row>
    <row r="664">
      <c r="A664" t="str">
        <v>Maluku Utara</v>
      </c>
      <c r="B664" t="str">
        <v>Kabupaten Halmahera Barat</v>
      </c>
    </row>
    <row r="665">
      <c r="A665" t="str">
        <v>Maluku Utara</v>
      </c>
      <c r="B665" t="str">
        <v xml:space="preserve">Kabupaten Halmahera Selatan </v>
      </c>
    </row>
    <row r="666">
      <c r="A666" t="str">
        <v>Maluku Utara</v>
      </c>
      <c r="B666" t="str">
        <v>Kabupaten Halmahera Tengah</v>
      </c>
    </row>
    <row r="667">
      <c r="A667" t="str">
        <v>Maluku Utara</v>
      </c>
      <c r="B667" t="str">
        <v xml:space="preserve">Kabupaten Halmahera Timur </v>
      </c>
    </row>
    <row r="668">
      <c r="A668" t="str">
        <v>Maluku Utara</v>
      </c>
      <c r="B668" t="str">
        <v>Kabupaten Halmahera Utara</v>
      </c>
    </row>
    <row r="669">
      <c r="A669" t="str">
        <v>Maluku Utara</v>
      </c>
      <c r="B669" t="str">
        <v xml:space="preserve">Kabupaten Kepulauan Sula </v>
      </c>
    </row>
    <row r="670">
      <c r="A670" t="str">
        <v>Maluku Utara</v>
      </c>
      <c r="B670" t="str">
        <v>Kabupaten Pulau Morotai</v>
      </c>
    </row>
    <row r="671">
      <c r="A671" t="str">
        <v>Maluku Utara</v>
      </c>
      <c r="B671" t="str">
        <v xml:space="preserve">Kota Ternate </v>
      </c>
    </row>
    <row r="672">
      <c r="A672" t="str">
        <v>Maluku Utara</v>
      </c>
      <c r="B672" t="str">
        <v>Kota Tidore Kepulauan</v>
      </c>
    </row>
    <row r="673">
      <c r="A673" t="str">
        <v>Maluku Utara</v>
      </c>
    </row>
    <row r="674">
      <c r="A674" t="str">
        <v>Papua</v>
      </c>
      <c r="B674" t="str">
        <v>Kabupaten Asmat</v>
      </c>
    </row>
    <row r="675">
      <c r="A675" t="str">
        <v>Papua</v>
      </c>
      <c r="B675" t="str">
        <v xml:space="preserve">Kabupaten Biak Numfor </v>
      </c>
    </row>
    <row r="676">
      <c r="A676" t="str">
        <v>Papua</v>
      </c>
      <c r="B676" t="str">
        <v xml:space="preserve">Kabupaten Boven Digoel </v>
      </c>
    </row>
    <row r="677">
      <c r="A677" t="str">
        <v>Papua</v>
      </c>
      <c r="B677" t="str">
        <v xml:space="preserve">Kabupaten Deiyai </v>
      </c>
    </row>
    <row r="678">
      <c r="A678" t="str">
        <v>Papua</v>
      </c>
      <c r="B678" t="str">
        <v xml:space="preserve">Kabupaten Dogiyai </v>
      </c>
    </row>
    <row r="679">
      <c r="A679" t="str">
        <v>Papua</v>
      </c>
      <c r="B679" t="str">
        <v xml:space="preserve">Kabupaten Intan Jaya </v>
      </c>
    </row>
    <row r="680">
      <c r="A680" t="str">
        <v>Papua</v>
      </c>
      <c r="B680" t="str">
        <v xml:space="preserve">Kabupaten Jayapura </v>
      </c>
    </row>
    <row r="681">
      <c r="A681" t="str">
        <v>Papua</v>
      </c>
      <c r="B681" t="str">
        <v xml:space="preserve">Kabupaten Jayawijaya </v>
      </c>
    </row>
    <row r="682">
      <c r="A682" t="str">
        <v>Papua</v>
      </c>
      <c r="B682" t="str">
        <v xml:space="preserve">Kabupaten Keerom </v>
      </c>
    </row>
    <row r="683">
      <c r="A683" t="str">
        <v>Papua</v>
      </c>
      <c r="B683" t="str">
        <v xml:space="preserve">Kabupaten Kepulauan Yapen </v>
      </c>
    </row>
    <row r="684">
      <c r="A684" t="str">
        <v>Papua</v>
      </c>
      <c r="B684" t="str">
        <v>Kabupaten Lanny Jaya</v>
      </c>
    </row>
    <row r="685">
      <c r="A685" t="str">
        <v>Papua</v>
      </c>
      <c r="B685" t="str">
        <v>Kabupaten Mamberamo Raya</v>
      </c>
    </row>
    <row r="686">
      <c r="A686" t="str">
        <v>Papua</v>
      </c>
      <c r="B686" t="str">
        <v xml:space="preserve">Kabupaten Mamberamo Tengah </v>
      </c>
    </row>
    <row r="687">
      <c r="A687" t="str">
        <v>Papua</v>
      </c>
      <c r="B687" t="str">
        <v xml:space="preserve">Kabupaten Mappi </v>
      </c>
    </row>
    <row r="688">
      <c r="A688" t="str">
        <v>Papua</v>
      </c>
      <c r="B688" t="str">
        <v>Kabupaten Merauke</v>
      </c>
    </row>
    <row r="689">
      <c r="A689" t="str">
        <v>Papua</v>
      </c>
      <c r="B689" t="str">
        <v>Kabupaten Mimika</v>
      </c>
    </row>
    <row r="690">
      <c r="A690" t="str">
        <v>Papua</v>
      </c>
      <c r="B690" t="str">
        <v>Kabupaten Nabire</v>
      </c>
    </row>
    <row r="691">
      <c r="A691" t="str">
        <v>Papua</v>
      </c>
      <c r="B691" t="str">
        <v>Kabupaten Nduga</v>
      </c>
    </row>
    <row r="692">
      <c r="A692" t="str">
        <v>Papua</v>
      </c>
      <c r="B692" t="str">
        <v xml:space="preserve">Kabupaten Paniai </v>
      </c>
    </row>
    <row r="693">
      <c r="A693" t="str">
        <v>Papua</v>
      </c>
      <c r="B693" t="str">
        <v>Kabupaten Pegunungan Bintang</v>
      </c>
    </row>
    <row r="694">
      <c r="A694" t="str">
        <v>Papua</v>
      </c>
      <c r="B694" t="str">
        <v xml:space="preserve">Kabupaten Puncak </v>
      </c>
    </row>
    <row r="695">
      <c r="A695" t="str">
        <v>Papua</v>
      </c>
      <c r="B695" t="str">
        <v xml:space="preserve">Kabupaten Puncak Jaya </v>
      </c>
    </row>
    <row r="696">
      <c r="A696" t="str">
        <v>Papua</v>
      </c>
      <c r="B696" t="str">
        <v xml:space="preserve">Kabupaten Sarmi </v>
      </c>
    </row>
    <row r="697">
      <c r="A697" t="str">
        <v>Papua</v>
      </c>
      <c r="B697" t="str">
        <v xml:space="preserve">Kabupaten Supiori </v>
      </c>
    </row>
    <row r="698">
      <c r="A698" t="str">
        <v>Papua</v>
      </c>
      <c r="B698" t="str">
        <v xml:space="preserve">Kabupaten Tolikara </v>
      </c>
    </row>
    <row r="699">
      <c r="A699" t="str">
        <v>Papua</v>
      </c>
      <c r="B699" t="str">
        <v xml:space="preserve">Kabupaten Waropen </v>
      </c>
    </row>
    <row r="700">
      <c r="A700" t="str">
        <v>Papua</v>
      </c>
      <c r="B700" t="str">
        <v xml:space="preserve">Kabupaten Yahukimo </v>
      </c>
    </row>
    <row r="701">
      <c r="A701" t="str">
        <v>Papua</v>
      </c>
      <c r="B701" t="str">
        <v>Kabupaten Yalimo</v>
      </c>
    </row>
    <row r="702">
      <c r="A702" t="str">
        <v>Papua</v>
      </c>
      <c r="B702" t="str">
        <v xml:space="preserve">Kota Jayapura </v>
      </c>
    </row>
    <row r="703">
      <c r="A703" t="str">
        <v>Papua</v>
      </c>
    </row>
    <row r="704">
      <c r="A704" t="str">
        <v>Papua Barat</v>
      </c>
      <c r="B704" t="str">
        <v xml:space="preserve">Kabupaten Fakfak </v>
      </c>
    </row>
    <row r="705">
      <c r="A705" t="str">
        <v>Papua Barat</v>
      </c>
      <c r="B705" t="str">
        <v>Kabupaten Kaimana</v>
      </c>
    </row>
    <row r="706">
      <c r="A706" t="str">
        <v>Papua Barat</v>
      </c>
      <c r="B706" t="str">
        <v xml:space="preserve">Kabupaten Manokwari </v>
      </c>
    </row>
    <row r="707">
      <c r="A707" t="str">
        <v>Papua Barat</v>
      </c>
      <c r="B707" t="str">
        <v xml:space="preserve">Kabupaten Maybrat </v>
      </c>
    </row>
    <row r="708">
      <c r="A708" t="str">
        <v>Papua Barat</v>
      </c>
      <c r="B708" t="str">
        <v xml:space="preserve">Kabupaten Raja Ampat </v>
      </c>
    </row>
    <row r="709">
      <c r="A709" t="str">
        <v>Papua Barat</v>
      </c>
      <c r="B709" t="str">
        <v xml:space="preserve">Kabupaten Sorong </v>
      </c>
    </row>
    <row r="710">
      <c r="A710" t="str">
        <v>Papua Barat</v>
      </c>
      <c r="B710" t="str">
        <v xml:space="preserve">Kabupaten Sorong Selatan </v>
      </c>
    </row>
    <row r="711">
      <c r="A711" t="str">
        <v>Papua Barat</v>
      </c>
      <c r="B711" t="str">
        <v xml:space="preserve">Kabupaten Tambraw </v>
      </c>
    </row>
    <row r="712">
      <c r="A712" t="str">
        <v>Papua Barat</v>
      </c>
      <c r="B712" t="str">
        <v xml:space="preserve">Kabupaten Teluk Bintuni </v>
      </c>
    </row>
    <row r="713">
      <c r="A713" t="str">
        <v>Papua Barat</v>
      </c>
      <c r="B713" t="str">
        <v xml:space="preserve">Kabupaten Teluk Wondama </v>
      </c>
    </row>
    <row r="714">
      <c r="A714" t="str">
        <v>Papua Barat</v>
      </c>
      <c r="B714" t="str">
        <v>Kota Sorong</v>
      </c>
    </row>
    <row r="715">
      <c r="A715" t="str">
        <v>Papua Barat</v>
      </c>
    </row>
  </sheetData>
  <pageMargins left="0.75" right="0.75" top="1" bottom="1" header="0.5" footer="0.5"/>
  <ignoredErrors>
    <ignoredError numberStoredAsText="1" sqref="A2:BV715"/>
  </ignoredErrors>
</worksheet>
</file>

<file path=xl/worksheets/sheet6.xml><?xml version="1.0" encoding="utf-8"?>
<worksheet xmlns="http://schemas.openxmlformats.org/spreadsheetml/2006/main" xmlns:r="http://schemas.openxmlformats.org/officeDocument/2006/relationships">
  <dimension ref="B1:J24"/>
  <sheetViews>
    <sheetView workbookViewId="0" rightToLeft="0"/>
  </sheetViews>
  <sheetData>
    <row r="1">
      <c r="I1" t="str">
        <v xml:space="preserve">M E N U </v>
      </c>
    </row>
    <row r="2">
      <c r="B2" t="str">
        <v>HARGA SATUAN BANGUNAN GEDUNG NEGARA</v>
      </c>
    </row>
    <row r="4">
      <c r="B4" t="str">
        <v>Tahun</v>
      </c>
      <c r="C4">
        <f>'Isi Data'!C3</f>
        <v>2017</v>
      </c>
    </row>
    <row r="5">
      <c r="B5" t="str">
        <v>Provinsi</v>
      </c>
      <c r="C5" t="str">
        <f>'Isi Data'!C1</f>
        <v>Jawa Tengah</v>
      </c>
    </row>
    <row r="6">
      <c r="B6" t="str">
        <f>'Isi Data'!C2</f>
        <v xml:space="preserve">Kabupaten Batang </v>
      </c>
    </row>
    <row r="7">
      <c r="E7" t="str">
        <v>( dalam Rupiah)</v>
      </c>
    </row>
    <row r="8">
      <c r="B8" t="str">
        <v>GEDUNG NEGARA</v>
      </c>
      <c r="H8" t="str">
        <v>A.</v>
      </c>
      <c r="I8" t="str">
        <v>Gedung Tidak Sederhana</v>
      </c>
      <c r="J8">
        <f>B10</f>
        <v>6560000</v>
      </c>
    </row>
    <row r="9">
      <c r="B9" t="str">
        <v>TIDAK SEDERHANA</v>
      </c>
      <c r="D9" t="str">
        <v>SEDERHANA</v>
      </c>
      <c r="H9" t="str">
        <v>B.</v>
      </c>
      <c r="I9" t="str">
        <v>Gedung Sederhana</v>
      </c>
      <c r="J9">
        <f>D10</f>
        <v>14140000</v>
      </c>
    </row>
    <row r="10">
      <c r="B10">
        <f>'RAB - GTS'!I26</f>
        <v>6560000</v>
      </c>
      <c r="D10">
        <f>'RAB - GS'!H24</f>
        <v>14140000</v>
      </c>
      <c r="H10" t="str">
        <v>C.</v>
      </c>
      <c r="I10" t="str">
        <v>Rumah Tipe A</v>
      </c>
      <c r="J10">
        <f>B14</f>
        <v>19070000</v>
      </c>
    </row>
    <row r="11">
      <c r="H11" t="str">
        <v>D.</v>
      </c>
      <c r="I11" t="str">
        <v>Rumah Tipe B</v>
      </c>
      <c r="J11">
        <f>C14</f>
        <v>23270000</v>
      </c>
    </row>
    <row r="12">
      <c r="B12" t="str">
        <v>RUMAH NEGARA</v>
      </c>
      <c r="H12" t="str">
        <v>E.</v>
      </c>
      <c r="I12" t="str">
        <v>Rumah Tipe C,D,E</v>
      </c>
      <c r="J12">
        <f>D14</f>
        <v>14910000</v>
      </c>
    </row>
    <row r="13">
      <c r="B13" t="str">
        <v>TIPE A</v>
      </c>
      <c r="C13" t="str">
        <v>TIPE B</v>
      </c>
      <c r="D13" t="str">
        <v>TIPE C,D,E</v>
      </c>
    </row>
    <row r="14">
      <c r="B14">
        <f>'RAB - rumahA'!H24</f>
        <v>19070000</v>
      </c>
      <c r="C14">
        <f>'RAB - RumahB'!H24</f>
        <v>23270000</v>
      </c>
      <c r="D14">
        <f>'RAB - RumahC'!H24</f>
        <v>14910000</v>
      </c>
      <c r="H14" t="str">
        <v>F.</v>
      </c>
      <c r="I14" t="str">
        <v>Pagar Gedung negara</v>
      </c>
    </row>
    <row r="15">
      <c r="H15">
        <v>1</v>
      </c>
      <c r="I15" t="str">
        <v>- Depan</v>
      </c>
      <c r="J15">
        <f>B19</f>
        <v>7480000</v>
      </c>
    </row>
    <row r="16">
      <c r="B16" t="str">
        <v>PAGAR GEDUNG NEGARA</v>
      </c>
      <c r="H16">
        <v>2</v>
      </c>
      <c r="I16" t="str">
        <v>- Belakang</v>
      </c>
      <c r="J16">
        <f>C19</f>
        <v>14380000</v>
      </c>
    </row>
    <row r="17">
      <c r="B17" t="str">
        <v>DEPAN</v>
      </c>
      <c r="C17" t="str">
        <v>BELAKANG</v>
      </c>
      <c r="D17" t="str">
        <v>SAMPING</v>
      </c>
      <c r="H17">
        <v>3</v>
      </c>
      <c r="I17" t="str">
        <v>- Samping</v>
      </c>
      <c r="J17">
        <f>D19</f>
        <v>11720000</v>
      </c>
    </row>
    <row r="18">
      <c r="B18" t="str">
        <v>BT; T. 1,50 M</v>
      </c>
      <c r="C18" t="str">
        <v>T. 3 M</v>
      </c>
      <c r="D18" t="str">
        <v>T. 2 M</v>
      </c>
    </row>
    <row r="19">
      <c r="B19">
        <f>'RAB - PG'!H7</f>
        <v>7480000</v>
      </c>
      <c r="C19">
        <f>'RAB - PG'!H67</f>
        <v>14380000</v>
      </c>
      <c r="D19">
        <f>'RAB - PG'!H37</f>
        <v>11720000</v>
      </c>
      <c r="H19" t="str">
        <v>G.</v>
      </c>
      <c r="I19" t="str">
        <v>Pagar Rumah Negara</v>
      </c>
    </row>
    <row r="20">
      <c r="H20">
        <v>1</v>
      </c>
      <c r="I20" t="str">
        <v>- Depan</v>
      </c>
      <c r="J20">
        <f>B24</f>
        <v>8340000</v>
      </c>
    </row>
    <row r="21">
      <c r="B21" t="str">
        <v>PAGAR RUMAH NEGARA</v>
      </c>
      <c r="H21">
        <v>2</v>
      </c>
      <c r="I21" t="str">
        <v>- Belakang</v>
      </c>
      <c r="J21">
        <f>C24</f>
        <v>14380000</v>
      </c>
    </row>
    <row r="22">
      <c r="B22" t="str">
        <v>DEPAN</v>
      </c>
      <c r="C22" t="str">
        <v>BELAKANG</v>
      </c>
      <c r="D22" t="str">
        <v>SAMPING</v>
      </c>
      <c r="H22">
        <v>3</v>
      </c>
      <c r="I22" t="str">
        <v>- Samping</v>
      </c>
      <c r="J22">
        <f>D24</f>
        <v>11500000</v>
      </c>
    </row>
    <row r="23">
      <c r="B23" t="str">
        <v>BH; T. 1,50 M</v>
      </c>
      <c r="C23" t="str">
        <v>T. 2,5 M</v>
      </c>
      <c r="D23" t="str">
        <v>T. 2 M</v>
      </c>
    </row>
    <row r="24">
      <c r="B24">
        <f>'RAB - PR'!H7</f>
        <v>8340000</v>
      </c>
      <c r="C24">
        <f>'RAB - PR'!H67</f>
        <v>14380000</v>
      </c>
      <c r="D24">
        <f>'RAB - PR'!H37</f>
        <v>11500000</v>
      </c>
    </row>
  </sheetData>
  <mergeCells count="8">
    <mergeCell ref="B8:E8"/>
    <mergeCell ref="B12:D12"/>
    <mergeCell ref="B16:D16"/>
    <mergeCell ref="B21:D21"/>
    <mergeCell ref="D9:E9"/>
    <mergeCell ref="B9:C9"/>
    <mergeCell ref="B10:C10"/>
    <mergeCell ref="D10:E10"/>
  </mergeCells>
  <hyperlinks>
    <hyperlink ref="I1" location="MENU!A1" tooltip="M E N U "/>
  </hyperlinks>
  <pageMargins left="0.35433070866141736" right="0.1968503937007874" top="1.3779527559055118" bottom="0.984251968503937" header="0.5118110236220472" footer="0.5118110236220472"/>
  <ignoredErrors>
    <ignoredError numberStoredAsText="1" sqref="B1:J24"/>
  </ignoredErrors>
</worksheet>
</file>

<file path=xl/worksheets/sheet7.xml><?xml version="1.0" encoding="utf-8"?>
<worksheet xmlns="http://schemas.openxmlformats.org/spreadsheetml/2006/main" xmlns:r="http://schemas.openxmlformats.org/officeDocument/2006/relationships">
  <dimension ref="B1:J63"/>
  <sheetViews>
    <sheetView workbookViewId="0" rightToLeft="0"/>
  </sheetViews>
  <sheetData>
    <row r="1">
      <c r="B1" t="str">
        <v xml:space="preserve">SURAT KEPUTUSAN </v>
      </c>
      <c r="J1" t="str">
        <v xml:space="preserve">M E N U </v>
      </c>
    </row>
    <row r="2">
      <c r="B2" t="str">
        <f>UPPER('Isi Data'!C5)</f>
        <v>WALIKOTA DENPASAR</v>
      </c>
    </row>
    <row r="4">
      <c r="B4" t="str">
        <f>"NOMOR : "&amp;'Isi Data'!C4</f>
        <v>NOMOR : Simb/12/12/2013</v>
      </c>
    </row>
    <row r="6">
      <c r="B6" t="str">
        <v>TENTANG</v>
      </c>
    </row>
    <row r="8">
      <c r="B8" t="str">
        <v xml:space="preserve">HARGA SATUAN PEMBANGUNAN </v>
      </c>
    </row>
    <row r="9">
      <c r="B9" t="str">
        <v>GEDUNG NEGARA, RUMAH NEGARA DAN PAGAR</v>
      </c>
    </row>
    <row r="11">
      <c r="B11" t="str">
        <v>Mengingat :</v>
      </c>
    </row>
    <row r="12">
      <c r="B12" t="str">
        <v xml:space="preserve">1. </v>
      </c>
      <c r="C12" t="str">
        <v>Bahwa bangunan gedung negara merupakan Tanggung jawab pemerintah.</v>
      </c>
    </row>
    <row r="13">
      <c r="B13" t="str">
        <v xml:space="preserve">2. </v>
      </c>
      <c r="C13" t="str">
        <v xml:space="preserve">Bahwa di dalam penyusunan program dan  pelaksanaan pembangunan gedung negara perlu ditetapkan harga satuan. </v>
      </c>
    </row>
    <row r="14">
      <c r="B14" t="str">
        <v>3.</v>
      </c>
      <c r="C14" t="str">
        <f>"Bahwa "&amp;'Isi Data'!C5&amp;"  perlu menerbitkan harga satuan untuk pembangunan gedung negara."</f>
        <v>Bahwa Walikota Denpasar  perlu menerbitkan harga satuan untuk pembangunan gedung negara.</v>
      </c>
    </row>
    <row r="16">
      <c r="B16" t="str">
        <v>Menimbang :</v>
      </c>
    </row>
    <row r="17">
      <c r="B17" t="str">
        <v xml:space="preserve">1. </v>
      </c>
      <c r="C17" t="str">
        <v>Undang-Undang RI Nomor 25 Tahun 2000 tentang Kewenangan Pemerintah dan Kewenangan Provinsi sebagai Daerah Otonomi.</v>
      </c>
    </row>
    <row r="18">
      <c r="B18" t="str">
        <v xml:space="preserve">2. </v>
      </c>
      <c r="C18" t="str">
        <v>Undang-Undang RI Nomor 28 Tahun 2002 tentang Bangunan Gedung.</v>
      </c>
    </row>
    <row r="19">
      <c r="B19" t="str">
        <v>3.</v>
      </c>
      <c r="C19" t="str">
        <v>Undang-Undang RI Nomor 32 Tahun 2002 tentang Pemerintah Daerah.</v>
      </c>
    </row>
    <row r="20">
      <c r="B20" t="str">
        <v>4.</v>
      </c>
      <c r="C20" t="str">
        <v>Undang-Undang RI Nomor 32 Tahun 2004 tentang Pemerintah Daerah</v>
      </c>
    </row>
    <row r="21">
      <c r="B21" t="str">
        <v>5.</v>
      </c>
      <c r="C21" t="str">
        <v>PP Nomor 36 Tahun 2007 tentang Pelaksanaan UUBG</v>
      </c>
    </row>
    <row r="22">
      <c r="B22" t="str">
        <v>6.</v>
      </c>
      <c r="C22" t="str">
        <v>Keputusan Presiden Republik Indonesia Nomor 42 tahun 2002 tentang Pelaksanaan APBN</v>
      </c>
    </row>
    <row r="23">
      <c r="B23" t="str">
        <v>7.</v>
      </c>
      <c r="C23" t="str">
        <v>Peraturan Menteri Pekerjaan Umum Nomor 45/PRT/M/2008 tanggal 27 Desember 2008 tentang Pedoman Teknis Pembangunan Bangunan Gedung Negara</v>
      </c>
    </row>
    <row r="25">
      <c r="B25" t="str">
        <v>Menetapkan :</v>
      </c>
    </row>
    <row r="26">
      <c r="C26" t="str">
        <f>"Harga Satuan Pembangunan Gedung Negara, Rumah Negara &amp; Pagar  Sebagai Acuan Penyusunan Program Anggaran Dan Pedoman Pelaksanaan, Daftar Isian Pelaksanaan Kegiatan Tahun Anggaran "&amp;'Isi Data'!C3</f>
        <v>Harga Satuan Pembangunan Gedung Negara, Rumah Negara &amp; Pagar  Sebagai Acuan Penyusunan Program Anggaran Dan Pedoman Pelaksanaan, Daftar Isian Pelaksanaan Kegiatan Tahun Anggaran 2017</v>
      </c>
    </row>
    <row r="28">
      <c r="B28" t="str">
        <v xml:space="preserve">1. </v>
      </c>
      <c r="C28" t="str">
        <v>Harga Satuan Pembangunan Gedung Negara (dalam Rupiah/m2 bangunan)</v>
      </c>
    </row>
    <row r="30">
      <c r="C30" t="str">
        <v>Gedung Tidak Sederhana</v>
      </c>
      <c r="E30" t="str">
        <v>Gedung Sederhana</v>
      </c>
    </row>
    <row r="31">
      <c r="C31">
        <f>HSBGN!B10</f>
        <v>6560000</v>
      </c>
      <c r="E31">
        <f>HSBGN!D10</f>
        <v>14140000</v>
      </c>
    </row>
    <row r="33">
      <c r="B33" t="str">
        <v xml:space="preserve">2. </v>
      </c>
      <c r="C33" t="str">
        <v>Harga Satuan Pembangunan Rumah Negara (dalam Rupiah/m2 bangunan)</v>
      </c>
    </row>
    <row r="35">
      <c r="C35" t="str">
        <v>Rumah Tipe A</v>
      </c>
      <c r="D35" t="str">
        <v>Rumah Tipe B</v>
      </c>
      <c r="E35" t="str">
        <v>Rumah Tipe C,D,E</v>
      </c>
    </row>
    <row r="36">
      <c r="C36">
        <f>HSBGN!B14</f>
        <v>19070000</v>
      </c>
      <c r="D36">
        <f>HSBGN!C14</f>
        <v>23270000</v>
      </c>
      <c r="E36">
        <f>HSBGN!D14</f>
        <v>14910000</v>
      </c>
    </row>
    <row r="38">
      <c r="B38" t="str">
        <v>3.</v>
      </c>
      <c r="C38" t="str">
        <v>Harga Satuan Pembangunan Pagar (dalam Rupiah/m1 bangunan)</v>
      </c>
    </row>
    <row r="40">
      <c r="C40" t="str">
        <v>Pagar Gedung Negara</v>
      </c>
    </row>
    <row r="41">
      <c r="C41" t="str">
        <v xml:space="preserve">Pagar Depan </v>
      </c>
      <c r="D41" t="str">
        <v>Pagar Belakang</v>
      </c>
      <c r="E41" t="str">
        <v>Pagar Samping</v>
      </c>
    </row>
    <row r="42">
      <c r="C42">
        <f>HSBGN!B19</f>
        <v>7480000</v>
      </c>
      <c r="D42">
        <f>HSBGN!C19</f>
        <v>14380000</v>
      </c>
      <c r="E42">
        <f>HSBGN!D19</f>
        <v>11720000</v>
      </c>
    </row>
    <row r="44">
      <c r="C44" t="str">
        <v>Pagar Rumah Negara</v>
      </c>
    </row>
    <row r="45">
      <c r="C45" t="str">
        <v xml:space="preserve">Pagar Depan </v>
      </c>
      <c r="D45" t="str">
        <v>Pagar Belakang</v>
      </c>
      <c r="E45" t="str">
        <v>Pagar Samping</v>
      </c>
    </row>
    <row r="46">
      <c r="C46">
        <f>HSBGN!B24</f>
        <v>8340000</v>
      </c>
      <c r="D46">
        <f>HSBGN!C24</f>
        <v>14380000</v>
      </c>
      <c r="E46">
        <f>HSBGN!D24</f>
        <v>11500000</v>
      </c>
    </row>
    <row r="48">
      <c r="B48" t="str">
        <v>4.</v>
      </c>
      <c r="C48" t="str">
        <v>Harga satuan tersebut  termasuk pajak-pajak, IMB, jasa kontraktor, overhead, asuransi, perijinan, tingkat keselamatan dan kesehatan kerja</v>
      </c>
    </row>
    <row r="50">
      <c r="B50" t="str">
        <v>5.</v>
      </c>
      <c r="C50" t="str">
        <v>Apabila terdapat kerancuan akan diperbaiki sebagaimana mestinya.</v>
      </c>
    </row>
    <row r="53">
      <c r="B53" t="str">
        <v>Ditetapkan di    :</v>
      </c>
      <c r="D53" t="str">
        <f>'Isi Data'!C7</f>
        <v>Denpasar</v>
      </c>
    </row>
    <row r="54">
      <c r="B54" t="str">
        <v>Pada Tanggal    :</v>
      </c>
      <c r="D54" t="str">
        <f>'Isi Data'!C8</f>
        <v>24 Maret 2016</v>
      </c>
    </row>
    <row r="57">
      <c r="B57" t="str">
        <f>'Isi Data'!C5</f>
        <v>Walikota Denpasar</v>
      </c>
    </row>
    <row r="63">
      <c r="B63" t="str">
        <f>"(  " &amp;'Isi Data'!C6&amp; " )"</f>
        <v>(  _ _ _ _ _ _ _ )</v>
      </c>
    </row>
  </sheetData>
  <mergeCells count="30">
    <mergeCell ref="C22:H22"/>
    <mergeCell ref="C23:H23"/>
    <mergeCell ref="C26:H26"/>
    <mergeCell ref="C28:H28"/>
    <mergeCell ref="B53:C53"/>
    <mergeCell ref="B54:C54"/>
    <mergeCell ref="C30:D30"/>
    <mergeCell ref="E30:F30"/>
    <mergeCell ref="C48:H48"/>
    <mergeCell ref="C50:H50"/>
    <mergeCell ref="C40:E40"/>
    <mergeCell ref="C44:E44"/>
    <mergeCell ref="C31:D31"/>
    <mergeCell ref="E31:F31"/>
    <mergeCell ref="C33:H33"/>
    <mergeCell ref="C38:H38"/>
    <mergeCell ref="C18:H18"/>
    <mergeCell ref="C19:H19"/>
    <mergeCell ref="C20:H20"/>
    <mergeCell ref="C21:H21"/>
    <mergeCell ref="C12:H12"/>
    <mergeCell ref="C13:H13"/>
    <mergeCell ref="C14:H14"/>
    <mergeCell ref="C17:H17"/>
    <mergeCell ref="B8:H8"/>
    <mergeCell ref="B9:H9"/>
    <mergeCell ref="B1:H1"/>
    <mergeCell ref="B2:H2"/>
    <mergeCell ref="B4:H4"/>
    <mergeCell ref="B6:H6"/>
  </mergeCells>
  <hyperlinks>
    <hyperlink ref="J1" location="MENU!A1" tooltip="M E N U "/>
  </hyperlinks>
  <pageMargins left="0.5511811023622047" right="0.35433070866141736" top="0.984251968503937" bottom="0.984251968503937" header="0.5118110236220472" footer="0.5118110236220472"/>
  <ignoredErrors>
    <ignoredError numberStoredAsText="1" sqref="B1:J63"/>
  </ignoredErrors>
</worksheet>
</file>

<file path=xl/worksheets/sheet8.xml><?xml version="1.0" encoding="utf-8"?>
<worksheet xmlns="http://schemas.openxmlformats.org/spreadsheetml/2006/main" xmlns:r="http://schemas.openxmlformats.org/officeDocument/2006/relationships">
  <dimension ref="A1:H350"/>
  <sheetViews>
    <sheetView workbookViewId="0" rightToLeft="0"/>
  </sheetViews>
  <sheetData>
    <row r="1">
      <c r="A1" t="str">
        <v>menu</v>
      </c>
    </row>
    <row r="3">
      <c r="A3" t="str">
        <v>klik model --------&gt;</v>
      </c>
      <c r="C3" t="str">
        <v>MODEL GEDUNG TIDAK SEDERHANA</v>
      </c>
    </row>
    <row r="4">
      <c r="C4" t="str">
        <v>MODEL GEDUNG SEDERHANA</v>
      </c>
    </row>
    <row r="5">
      <c r="C5" t="str">
        <v>MODEL RUMAH TIPE A</v>
      </c>
    </row>
    <row r="6">
      <c r="C6" t="str">
        <v>MODEL RUMAH TIPE B</v>
      </c>
    </row>
    <row r="7">
      <c r="C7" t="str">
        <v>MODEL RUMAH TIPE C</v>
      </c>
    </row>
    <row r="8">
      <c r="C8" t="str">
        <v>MODEL RUMAH TIPE D</v>
      </c>
    </row>
    <row r="9">
      <c r="C9" t="str">
        <v>MODEL RUMAH TIPE E</v>
      </c>
    </row>
    <row r="10">
      <c r="C10" t="str">
        <v>MODEL PAGAR</v>
      </c>
    </row>
    <row r="13">
      <c r="A13" t="str">
        <v>MODEL GEDUNG TIDAK SEDERHANA</v>
      </c>
      <c r="D13" t="str">
        <v>BACK</v>
      </c>
      <c r="F13" t="str">
        <v>Spesifikasi Gedung Negara</v>
      </c>
    </row>
    <row r="98">
      <c r="A98" t="str">
        <v>MODEL GEDUNG SEDERHANA</v>
      </c>
      <c r="D98" t="str">
        <v>BACK</v>
      </c>
      <c r="F98" t="str">
        <v>Spesifikasi Gedung Negara</v>
      </c>
    </row>
    <row r="151">
      <c r="A151" t="str">
        <v>MODEL RUMAH NEGARA</v>
      </c>
      <c r="D151" t="str">
        <v>TIPE A</v>
      </c>
      <c r="E151" t="str">
        <v>BACK</v>
      </c>
      <c r="F151" t="str">
        <v>Spesifikasi Rumah Negara</v>
      </c>
    </row>
    <row r="201">
      <c r="A201" t="str">
        <v>MODEL RUMAH NEGARA</v>
      </c>
      <c r="D201" t="str">
        <v>TIPE B</v>
      </c>
      <c r="E201" t="str">
        <v>BACK</v>
      </c>
      <c r="F201" t="str">
        <v>Spesifikasi Rumah Negara</v>
      </c>
    </row>
    <row r="235">
      <c r="A235" t="str">
        <v>MODEL RUMAH NEGARA</v>
      </c>
      <c r="D235" t="str">
        <v>TIPE C</v>
      </c>
      <c r="E235" t="str">
        <v>BACK</v>
      </c>
      <c r="F235" t="str">
        <v>Spesifikasi Rumah Negara</v>
      </c>
    </row>
    <row r="268">
      <c r="A268" t="str">
        <v>MODEL RUMAH NEGARA</v>
      </c>
      <c r="D268" t="str">
        <v>TIPE D</v>
      </c>
      <c r="E268" t="str">
        <v>BACK</v>
      </c>
      <c r="F268" t="str">
        <v>Spesifikasi Rumah Negara</v>
      </c>
    </row>
    <row r="304">
      <c r="A304" t="str">
        <v>MODEL RUMAH NEGARA</v>
      </c>
      <c r="D304" t="str">
        <v>TIPE E</v>
      </c>
      <c r="E304" t="str">
        <v>BACK</v>
      </c>
      <c r="F304" t="str">
        <v>Spesifikasi Rumah Negara</v>
      </c>
    </row>
    <row r="350">
      <c r="A350" t="str">
        <v>MODEL PAGAR</v>
      </c>
      <c r="E350" t="str">
        <v>BACK</v>
      </c>
      <c r="F350" t="str">
        <v>Spesifikasi Pagar</v>
      </c>
    </row>
  </sheetData>
  <mergeCells count="8">
    <mergeCell ref="F304:H304"/>
    <mergeCell ref="F13:H13"/>
    <mergeCell ref="F98:H98"/>
    <mergeCell ref="F350:H350"/>
    <mergeCell ref="F151:H151"/>
    <mergeCell ref="F201:H201"/>
    <mergeCell ref="F235:H235"/>
    <mergeCell ref="F268:H268"/>
  </mergeCells>
  <hyperlinks>
    <hyperlink ref="A1" location="MENU!A1" tooltip="menu"/>
    <hyperlink ref="C3" location="model!A40" tooltip="MODEL GEDUNG BERTINGKAT"/>
    <hyperlink ref="C4" location="model!A125" tooltip="MODEL GEDUNG TIDAK BERTINGKAT"/>
    <hyperlink ref="C5" location="model!A177" tooltip="MODEL RUMAH TIPE A"/>
    <hyperlink ref="C6" location="model!A228" tooltip="MODEL RUMAH TIPE B"/>
    <hyperlink ref="C7" location="model!A263" tooltip="MODEL RUMAH TIPE C"/>
    <hyperlink ref="C8" location="model!A296" tooltip="MODEL RUMAH TIPE D"/>
    <hyperlink ref="C9" location="model!A332" tooltip="MODEL RUMAH TIPE E"/>
    <hyperlink ref="C10" location="model!A377" tooltip="MODEL PAGAR"/>
    <hyperlink ref="D13" location="model!A1" tooltip="BACK"/>
    <hyperlink ref="F13" location="'SpeK Gedung'!A1" tooltip="Spesifikasi Gedung Negara"/>
    <hyperlink ref="D98" location="model!A1" tooltip="BACK"/>
    <hyperlink ref="F98" location="'SpeK Gedung'!A1" tooltip="Spesifikasi Gedung Negara"/>
    <hyperlink ref="E151" location="model!A1" tooltip="BACK"/>
    <hyperlink ref="F151" location="'SpeK Rumah'!A1" tooltip="Spesifikasi Rumah Negara"/>
    <hyperlink ref="E201" location="model!A1" tooltip="BACK"/>
    <hyperlink ref="F201" location="'SpeK Rumah'!A1" tooltip="Spesifikasi Rumah Negara"/>
    <hyperlink ref="E235" location="model!A1" tooltip="BACK"/>
    <hyperlink ref="F235" location="'SpeK Rumah'!A1" tooltip="Spesifikasi Rumah Negara"/>
    <hyperlink ref="E268" location="model!A1" tooltip="BACK"/>
    <hyperlink ref="F268" location="'SpeK Rumah'!A1" tooltip="Spesifikasi Rumah Negara"/>
    <hyperlink ref="E304" location="model!A1" tooltip="BACK"/>
    <hyperlink ref="F304" location="'SpeK Rumah'!A1" tooltip="Spesifikasi Rumah Negara"/>
    <hyperlink ref="E350" location="model!A1" tooltip="BACK"/>
    <hyperlink ref="F350" location="'SpeK Pagar'!A1" tooltip="Spesifikasi Pagar"/>
  </hyperlinks>
  <pageMargins left="0.75" right="0.75" top="1" bottom="1" header="0.5" footer="0.5"/>
  <ignoredErrors>
    <ignoredError numberStoredAsText="1" sqref="A1:H350"/>
  </ignoredErrors>
</worksheet>
</file>

<file path=xl/worksheets/sheet9.xml><?xml version="1.0" encoding="utf-8"?>
<worksheet xmlns="http://schemas.openxmlformats.org/spreadsheetml/2006/main" xmlns:r="http://schemas.openxmlformats.org/officeDocument/2006/relationships">
  <dimension ref="A1:M1353"/>
  <sheetViews>
    <sheetView workbookViewId="0" rightToLeft="0"/>
  </sheetViews>
  <sheetData>
    <row r="1">
      <c r="A1" t="str">
        <v>menu</v>
      </c>
      <c r="B1" t="str">
        <v xml:space="preserve">ANALISA HARSA SATUAN </v>
      </c>
    </row>
    <row r="2">
      <c r="B2" t="str">
        <v>Berdasarkan SNI 2007 - 2008</v>
      </c>
    </row>
    <row r="3">
      <c r="J3">
        <v>0.1</v>
      </c>
    </row>
    <row r="4">
      <c r="C4" t="str">
        <v>URAIAN</v>
      </c>
      <c r="E4" t="str">
        <v>SATUAN</v>
      </c>
      <c r="F4" t="str">
        <v>KOEFISIEN</v>
      </c>
      <c r="G4" t="str">
        <v>HARGA       UPAH DAN MATERIAL</v>
      </c>
      <c r="H4" t="str">
        <v>JUMLAH HARGA</v>
      </c>
      <c r="J4" t="str">
        <v>Overhead</v>
      </c>
    </row>
    <row r="5">
      <c r="A5" t="str">
        <v>SUMBER DATA</v>
      </c>
      <c r="B5" t="str">
        <v>UNIT</v>
      </c>
      <c r="E5" t="str">
        <v>SATUAN</v>
      </c>
      <c r="F5" t="str">
        <v>VOLUME</v>
      </c>
      <c r="J5" t="str">
        <v>Asuransi</v>
      </c>
      <c r="K5" t="str">
        <v>T O T A L</v>
      </c>
      <c r="L5" t="str">
        <v>PEMBULATAN</v>
      </c>
    </row>
    <row r="6">
      <c r="H6" t="str">
        <v>Material</v>
      </c>
      <c r="I6" t="str">
        <v>Upah</v>
      </c>
      <c r="J6" t="str">
        <v>lain-lain</v>
      </c>
    </row>
    <row r="8">
      <c r="B8" t="str">
        <v>I.</v>
      </c>
      <c r="C8" t="str">
        <v>PEKERJAAN PERSIAPAN :</v>
      </c>
    </row>
    <row r="10">
      <c r="A10" t="str">
        <v>RSNI T-12-2002</v>
      </c>
      <c r="B10" t="str">
        <v>M2</v>
      </c>
      <c r="C10" t="str">
        <v>Pembersihan lapangan &amp; Perataan tanah</v>
      </c>
      <c r="H10">
        <f>SUM(H11:H12)</f>
        <v>0</v>
      </c>
      <c r="I10">
        <f>SUM(I11:I12)</f>
        <v>0</v>
      </c>
      <c r="J10">
        <f>$J$3</f>
        <v>0.1</v>
      </c>
      <c r="K10">
        <f>SUM(H10:I10)*(1+J10)</f>
        <v>0</v>
      </c>
      <c r="L10">
        <f>ROUND(K10,-2)</f>
        <v>0</v>
      </c>
    </row>
    <row r="11">
      <c r="C11" t="str">
        <f>'Isi Data'!B168</f>
        <v>Pekerja</v>
      </c>
      <c r="E11" t="str">
        <v>org/hr</v>
      </c>
      <c r="F11">
        <v>0.1</v>
      </c>
      <c r="G11">
        <f>SUMIF('Isi Data'!B$1:B$65536,SNI!C$1:C$65536,'Isi Data'!E$1:E$65536)</f>
        <v>0</v>
      </c>
      <c r="I11">
        <f>F11*G11</f>
        <v>0</v>
      </c>
    </row>
    <row r="12">
      <c r="C12" t="str">
        <f>'Isi Data'!B169</f>
        <v xml:space="preserve">Mandor </v>
      </c>
      <c r="E12" t="str">
        <v>org/hr</v>
      </c>
      <c r="F12">
        <v>0.005</v>
      </c>
      <c r="G12">
        <f>SUMIF('Isi Data'!B$1:B$65536,SNI!C$1:C$65536,'Isi Data'!E$1:E$65536)</f>
        <v>0</v>
      </c>
      <c r="I12">
        <f>F12*G12</f>
        <v>0</v>
      </c>
    </row>
    <row r="13">
      <c r="F13" t="str">
        <v xml:space="preserve"> </v>
      </c>
      <c r="G13">
        <f>SUMIF('Isi Data'!B$1:B$65536,SNI!C$1:C$65536,'Isi Data'!E$1:E$65536)</f>
        <v>0</v>
      </c>
    </row>
    <row r="14">
      <c r="A14" t="str">
        <v>RSNI T-12-2002</v>
      </c>
      <c r="B14" t="str">
        <v>M</v>
      </c>
      <c r="C14" t="str">
        <v>Pengukuran &amp; Pasang bouwplank</v>
      </c>
      <c r="G14">
        <f>SUMIF('Isi Data'!B$1:B$65536,SNI!C$1:C$65536,'Isi Data'!E$1:E$65536)</f>
        <v>0</v>
      </c>
      <c r="H14">
        <f>SUM(H15:H21)</f>
        <v>0</v>
      </c>
      <c r="I14">
        <f>SUM(I15:I21)</f>
        <v>0</v>
      </c>
      <c r="J14">
        <f>$J$3</f>
        <v>0.1</v>
      </c>
      <c r="K14">
        <f>SUM(H14:I14)*(1+J14)</f>
        <v>0</v>
      </c>
      <c r="L14">
        <f>ROUND(K14,-2)</f>
        <v>0</v>
      </c>
    </row>
    <row r="15">
      <c r="C15" t="str">
        <v>Kayu Kaso 5 / 7 (borneo)</v>
      </c>
      <c r="E15" t="str">
        <v>m3</v>
      </c>
      <c r="F15">
        <v>0.012</v>
      </c>
      <c r="G15">
        <f>SUMIF('Isi Data'!B$1:B$65536,SNI!C$1:C$65536,'Isi Data'!E$1:E$65536)</f>
        <v>0</v>
      </c>
      <c r="H15">
        <f>F15*G15</f>
        <v>0</v>
      </c>
    </row>
    <row r="16">
      <c r="C16" t="str">
        <v>Kayu Papan 3 / 20 borneo</v>
      </c>
      <c r="E16" t="str">
        <v>m3</v>
      </c>
      <c r="F16">
        <v>0.007</v>
      </c>
      <c r="G16">
        <f>SUMIF('Isi Data'!B$1:B$65536,SNI!C$1:C$65536,'Isi Data'!E$1:E$65536)</f>
        <v>0</v>
      </c>
      <c r="H16">
        <f>F16*G16</f>
        <v>0</v>
      </c>
    </row>
    <row r="17">
      <c r="C17" t="str">
        <f>'Isi Data'!B82</f>
        <v>Paku 5 s/d 10 cm</v>
      </c>
      <c r="E17" t="str">
        <v>kg</v>
      </c>
      <c r="F17">
        <v>0.02</v>
      </c>
      <c r="G17">
        <f>SUMIF('Isi Data'!B$1:B$65536,SNI!C$1:C$65536,'Isi Data'!E$1:E$65536)</f>
        <v>0</v>
      </c>
      <c r="H17">
        <f>F17*G17</f>
        <v>0</v>
      </c>
      <c r="K17" t="str">
        <v xml:space="preserve"> </v>
      </c>
      <c r="L17" t="str">
        <v xml:space="preserve"> </v>
      </c>
    </row>
    <row r="18">
      <c r="C18" t="str">
        <f>'Isi Data'!B168</f>
        <v>Pekerja</v>
      </c>
      <c r="E18" t="str">
        <v>org/hr</v>
      </c>
      <c r="F18">
        <v>0.08</v>
      </c>
      <c r="G18">
        <f>SUMIF('Isi Data'!B$1:B$65536,SNI!C$1:C$65536,'Isi Data'!E$1:E$65536)</f>
        <v>0</v>
      </c>
      <c r="I18">
        <f>F18*G18</f>
        <v>0</v>
      </c>
    </row>
    <row r="19">
      <c r="C19" t="str">
        <f>'Isi Data'!B158</f>
        <v xml:space="preserve">Tukang Kayu Kasar </v>
      </c>
      <c r="E19" t="str">
        <v>org/hr</v>
      </c>
      <c r="F19">
        <v>0.04</v>
      </c>
      <c r="G19">
        <f>SUMIF('Isi Data'!B$1:B$65536,SNI!C$1:C$65536,'Isi Data'!E$1:E$65536)</f>
        <v>0</v>
      </c>
      <c r="I19">
        <f>F19*G19</f>
        <v>0</v>
      </c>
      <c r="K19" t="str">
        <v xml:space="preserve"> </v>
      </c>
      <c r="L19" t="str">
        <v xml:space="preserve"> </v>
      </c>
    </row>
    <row r="20">
      <c r="C20" t="str">
        <f>'Isi Data'!B160</f>
        <v>Kepala Tukang Kayu</v>
      </c>
      <c r="E20" t="str">
        <v>org/hr</v>
      </c>
      <c r="F20">
        <v>0.01</v>
      </c>
      <c r="G20">
        <f>SUMIF('Isi Data'!B$1:B$65536,SNI!C$1:C$65536,'Isi Data'!E$1:E$65536)</f>
        <v>0</v>
      </c>
      <c r="I20">
        <f>F20*G20</f>
        <v>0</v>
      </c>
    </row>
    <row r="21">
      <c r="C21" t="str">
        <f>'Isi Data'!B169</f>
        <v xml:space="preserve">Mandor </v>
      </c>
      <c r="E21" t="str">
        <v>org/hr</v>
      </c>
      <c r="F21">
        <v>0.005</v>
      </c>
      <c r="G21">
        <f>SUMIF('Isi Data'!B$1:B$65536,SNI!C$1:C$65536,'Isi Data'!E$1:E$65536)</f>
        <v>0</v>
      </c>
      <c r="I21">
        <f>F21*G21</f>
        <v>0</v>
      </c>
    </row>
    <row r="22">
      <c r="G22">
        <f>SUMIF('Isi Data'!B$1:B$65536,SNI!C$1:C$65536,'Isi Data'!E$1:E$65536)</f>
        <v>0</v>
      </c>
    </row>
    <row r="23">
      <c r="A23" t="str">
        <v>RSNI T-12-2002</v>
      </c>
      <c r="B23" t="str">
        <v>M2</v>
      </c>
      <c r="C23" t="str">
        <v xml:space="preserve">Pembuatan direksi keet </v>
      </c>
      <c r="D23" t="str">
        <v>(dinding tripleks 6 mm+ atap asbes gelombang+ plafond asbes semen 3 mm)</v>
      </c>
      <c r="H23">
        <f>SUM(H24:H34)</f>
        <v>0</v>
      </c>
      <c r="I23">
        <f>SUM(I24:I34)</f>
        <v>0</v>
      </c>
      <c r="J23">
        <f>$J$3</f>
        <v>0.1</v>
      </c>
      <c r="K23">
        <f>SUM(H23:I23)*(1+J23)</f>
        <v>0</v>
      </c>
      <c r="L23">
        <f>ROUND(K23,-2)</f>
        <v>0</v>
      </c>
    </row>
    <row r="24">
      <c r="C24" t="str">
        <v>Kaso kamper medan</v>
      </c>
      <c r="E24" t="str">
        <v>m3</v>
      </c>
      <c r="F24">
        <v>0.05</v>
      </c>
      <c r="G24">
        <f>SUMIF('Isi Data'!B$1:B$65536,SNI!C$1:C$65536,'Isi Data'!E$1:E$65536)</f>
        <v>0</v>
      </c>
      <c r="H24">
        <f>F24*G24</f>
        <v>0</v>
      </c>
    </row>
    <row r="25">
      <c r="C25" t="str">
        <v>Triplex  t. 4 mm</v>
      </c>
      <c r="D25" t="str">
        <v>Dinding</v>
      </c>
      <c r="E25" t="str">
        <v>lbr</v>
      </c>
      <c r="F25">
        <v>0.8</v>
      </c>
      <c r="G25">
        <f>SUMIF('Isi Data'!B$1:B$65536,SNI!C$1:C$65536,'Isi Data'!E$1:E$65536)</f>
        <v>0</v>
      </c>
      <c r="H25">
        <f>F25*G25</f>
        <v>0</v>
      </c>
      <c r="K25" t="str">
        <v xml:space="preserve"> </v>
      </c>
      <c r="L25" t="str">
        <v xml:space="preserve"> </v>
      </c>
    </row>
    <row r="26">
      <c r="C26" t="str">
        <v>Triplex  t. 4 mm</v>
      </c>
      <c r="D26" t="str">
        <v>Plafond</v>
      </c>
      <c r="E26" t="str">
        <v>lbr</v>
      </c>
      <c r="F26">
        <v>0.7</v>
      </c>
      <c r="G26">
        <f>SUMIF('Isi Data'!B$1:B$65536,SNI!C$1:C$65536,'Isi Data'!E$1:E$65536)</f>
        <v>0</v>
      </c>
      <c r="H26">
        <f>F26*G26</f>
        <v>0</v>
      </c>
    </row>
    <row r="27">
      <c r="C27" t="str">
        <v>Paku 4 s/d 7 cm</v>
      </c>
      <c r="E27" t="str">
        <v>kg</v>
      </c>
      <c r="F27">
        <v>0.5</v>
      </c>
      <c r="G27">
        <f>SUMIF('Isi Data'!B$1:B$65536,SNI!C$1:C$65536,'Isi Data'!E$1:E$65536)</f>
        <v>0</v>
      </c>
      <c r="H27">
        <f>F27*G27</f>
        <v>0</v>
      </c>
      <c r="K27" t="str">
        <v xml:space="preserve"> </v>
      </c>
      <c r="L27" t="str">
        <v xml:space="preserve"> </v>
      </c>
    </row>
    <row r="28">
      <c r="C28" t="str">
        <v>Paku payung</v>
      </c>
      <c r="E28" t="str">
        <v>bh</v>
      </c>
      <c r="F28">
        <v>9</v>
      </c>
      <c r="G28">
        <f>SUMIF('Isi Data'!B$1:B$65536,SNI!C$1:C$65536,'Isi Data'!E$1:E$65536)</f>
        <v>0</v>
      </c>
      <c r="H28">
        <f>F28*G28</f>
        <v>0</v>
      </c>
    </row>
    <row r="29">
      <c r="C29" t="str">
        <v>Triplex  t. 9 mm</v>
      </c>
      <c r="D29" t="str">
        <v>Pintu</v>
      </c>
      <c r="E29" t="str">
        <v>m2</v>
      </c>
      <c r="F29">
        <v>0.06</v>
      </c>
      <c r="G29">
        <f>SUMIF('Isi Data'!B$1:B$65536,SNI!C$1:C$65536,'Isi Data'!E$1:E$65536)</f>
        <v>0</v>
      </c>
      <c r="H29">
        <f>F29*G29</f>
        <v>0</v>
      </c>
    </row>
    <row r="30">
      <c r="C30" t="str">
        <v>Cat plafond acrylic emulsion KW.III</v>
      </c>
      <c r="E30" t="str">
        <v>m2</v>
      </c>
      <c r="F30">
        <v>1</v>
      </c>
      <c r="G30">
        <f>SUMIF('Isi Data'!B$1:B$65536,SNI!C$1:C$65536,'Isi Data'!E$1:E$65536)</f>
        <v>0</v>
      </c>
      <c r="H30">
        <f>F30*G30</f>
        <v>0</v>
      </c>
    </row>
    <row r="31">
      <c r="C31" t="str">
        <f>'Isi Data'!B168</f>
        <v>Pekerja</v>
      </c>
      <c r="E31" t="str">
        <v>org/hr</v>
      </c>
      <c r="F31">
        <v>1.2</v>
      </c>
      <c r="G31">
        <f>SUMIF('Isi Data'!B$1:B$65536,SNI!C$1:C$65536,'Isi Data'!E$1:E$65536)</f>
        <v>0</v>
      </c>
      <c r="I31">
        <f>F31*G31</f>
        <v>0</v>
      </c>
    </row>
    <row r="32">
      <c r="C32" t="str">
        <f>'Isi Data'!B158</f>
        <v xml:space="preserve">Tukang Kayu Kasar </v>
      </c>
      <c r="E32" t="str">
        <v>org/hr</v>
      </c>
      <c r="F32">
        <v>0.4</v>
      </c>
      <c r="G32">
        <f>SUMIF('Isi Data'!B$1:B$65536,SNI!C$1:C$65536,'Isi Data'!E$1:E$65536)</f>
        <v>0</v>
      </c>
      <c r="I32">
        <f>F32*G32</f>
        <v>0</v>
      </c>
    </row>
    <row r="33">
      <c r="C33" t="str">
        <f>'Isi Data'!B160</f>
        <v>Kepala Tukang Kayu</v>
      </c>
      <c r="E33" t="str">
        <v>org/hr</v>
      </c>
      <c r="F33">
        <v>0.04</v>
      </c>
      <c r="G33">
        <f>SUMIF('Isi Data'!B$1:B$65536,SNI!C$1:C$65536,'Isi Data'!E$1:E$65536)</f>
        <v>0</v>
      </c>
      <c r="I33">
        <f>F33*G33</f>
        <v>0</v>
      </c>
    </row>
    <row r="34">
      <c r="C34" t="str">
        <f>'Isi Data'!B169</f>
        <v xml:space="preserve">Mandor </v>
      </c>
      <c r="E34" t="str">
        <v>org/hr</v>
      </c>
      <c r="F34">
        <v>0.06</v>
      </c>
      <c r="G34">
        <f>SUMIF('Isi Data'!B$1:B$65536,SNI!C$1:C$65536,'Isi Data'!E$1:E$65536)</f>
        <v>0</v>
      </c>
      <c r="I34">
        <f>F34*G34</f>
        <v>0</v>
      </c>
    </row>
    <row r="35">
      <c r="F35" t="str">
        <v xml:space="preserve"> </v>
      </c>
    </row>
    <row r="36">
      <c r="B36" t="str">
        <v>Bh</v>
      </c>
      <c r="C36" t="str">
        <v>Pembuatan papan nama proyek</v>
      </c>
      <c r="H36">
        <f>SUM(H37:H52)</f>
        <v>0</v>
      </c>
      <c r="I36">
        <f>SUM(I37:I52)</f>
        <v>0</v>
      </c>
      <c r="J36">
        <f>$J$3</f>
        <v>0.1</v>
      </c>
      <c r="K36">
        <f>SUM(H36:I36)*(1+J36)</f>
        <v>0</v>
      </c>
      <c r="L36">
        <f>ROUND(K36,-2)</f>
        <v>0</v>
      </c>
    </row>
    <row r="37">
      <c r="C37" t="str">
        <v>Kayu Kaso 5 / 7 (borneo)</v>
      </c>
      <c r="E37" t="str">
        <v>m3</v>
      </c>
      <c r="F37">
        <v>0.025</v>
      </c>
      <c r="G37">
        <f>SUMIF('Isi Data'!B$1:B$65536,SNI!C$1:C$65536,'Isi Data'!E$1:E$65536)</f>
        <v>0</v>
      </c>
      <c r="H37">
        <f>F37*G37</f>
        <v>0</v>
      </c>
    </row>
    <row r="38">
      <c r="C38" t="str">
        <v>Kayu Papan 3 / 20 borneo</v>
      </c>
      <c r="E38" t="str">
        <v>m3</v>
      </c>
      <c r="F38">
        <v>0.09</v>
      </c>
      <c r="G38">
        <f>SUMIF('Isi Data'!B$1:B$65536,SNI!C$1:C$65536,'Isi Data'!E$1:E$65536)</f>
        <v>0</v>
      </c>
      <c r="H38">
        <f>F38*G38</f>
        <v>0</v>
      </c>
      <c r="K38" t="str">
        <v xml:space="preserve"> </v>
      </c>
    </row>
    <row r="39">
      <c r="C39" t="str">
        <f>'Isi Data'!B82</f>
        <v>Paku 5 s/d 10 cm</v>
      </c>
      <c r="E39" t="str">
        <v>kg</v>
      </c>
      <c r="F39">
        <v>0.6</v>
      </c>
      <c r="G39">
        <f>SUMIF('Isi Data'!B$1:B$65536,SNI!C$1:C$65536,'Isi Data'!E$1:E$65536)</f>
        <v>0</v>
      </c>
      <c r="H39">
        <f>F39*G39</f>
        <v>0</v>
      </c>
      <c r="K39" t="str">
        <v xml:space="preserve"> </v>
      </c>
    </row>
    <row r="40">
      <c r="C40" t="str">
        <f>'Isi Data'!B89</f>
        <v xml:space="preserve">Meni kayu </v>
      </c>
      <c r="E40" t="str">
        <v>kg</v>
      </c>
      <c r="F40">
        <v>0.75</v>
      </c>
      <c r="G40">
        <f>SUMIF('Isi Data'!B$1:B$65536,SNI!C$1:C$65536,'Isi Data'!E$1:E$65536)</f>
        <v>0</v>
      </c>
      <c r="H40">
        <f>F40*G40</f>
        <v>0</v>
      </c>
      <c r="K40" t="str">
        <v xml:space="preserve"> </v>
      </c>
      <c r="L40" t="str">
        <v xml:space="preserve"> </v>
      </c>
    </row>
    <row r="41">
      <c r="C41" t="str">
        <f>'Isi Data'!B88</f>
        <v>Plamir Kayu</v>
      </c>
      <c r="E41" t="str">
        <v>kg</v>
      </c>
      <c r="F41">
        <v>0.3</v>
      </c>
      <c r="G41">
        <f>SUMIF('Isi Data'!B$1:B$65536,SNI!C$1:C$65536,'Isi Data'!E$1:E$65536)</f>
        <v>0</v>
      </c>
      <c r="H41">
        <f>F41*G41</f>
        <v>0</v>
      </c>
      <c r="K41" t="str">
        <v xml:space="preserve"> </v>
      </c>
      <c r="L41" t="str">
        <v xml:space="preserve"> </v>
      </c>
    </row>
    <row r="42">
      <c r="C42" t="str">
        <f>'Isi Data'!B92</f>
        <v>Amplas Kayu</v>
      </c>
      <c r="E42" t="str">
        <v>lbr</v>
      </c>
      <c r="F42">
        <v>2</v>
      </c>
      <c r="G42">
        <f>SUMIF('Isi Data'!B$1:B$65536,SNI!C$1:C$65536,'Isi Data'!E$1:E$65536)</f>
        <v>0</v>
      </c>
      <c r="H42">
        <f>F42*G42</f>
        <v>0</v>
      </c>
    </row>
    <row r="43">
      <c r="C43" t="str">
        <f>'Isi Data'!B93</f>
        <v>Kwas cat</v>
      </c>
      <c r="E43" t="str">
        <v>bh</v>
      </c>
      <c r="F43">
        <v>0.2</v>
      </c>
      <c r="G43">
        <f>SUMIF('Isi Data'!B$1:B$65536,SNI!C$1:C$65536,'Isi Data'!E$1:E$65536)</f>
        <v>0</v>
      </c>
      <c r="H43">
        <f>F43*G43</f>
        <v>0</v>
      </c>
    </row>
    <row r="44">
      <c r="C44" t="str">
        <f>'Isi Data'!B87</f>
        <v xml:space="preserve">Cat kayu/Besi </v>
      </c>
      <c r="E44" t="str">
        <v>kg</v>
      </c>
      <c r="F44">
        <v>0.4</v>
      </c>
      <c r="G44">
        <f>SUMIF('Isi Data'!B$1:B$65536,SNI!C$1:C$65536,'Isi Data'!E$1:E$65536)</f>
        <v>0</v>
      </c>
      <c r="H44">
        <f>F44*G44</f>
        <v>0</v>
      </c>
      <c r="K44" t="str">
        <v xml:space="preserve"> </v>
      </c>
      <c r="L44" t="str">
        <v xml:space="preserve"> </v>
      </c>
    </row>
    <row r="45">
      <c r="C45" t="str">
        <f>'Isi Data'!B25</f>
        <v>Semen (50 Kg)</v>
      </c>
      <c r="E45" t="str">
        <v>zak</v>
      </c>
      <c r="F45">
        <v>0.5</v>
      </c>
      <c r="G45">
        <f>SUMIF('Isi Data'!B$1:B$65536,SNI!C$1:C$65536,'Isi Data'!E$1:E$65536)</f>
        <v>0</v>
      </c>
      <c r="H45">
        <f>F45*G45</f>
        <v>0</v>
      </c>
      <c r="K45" t="str">
        <v xml:space="preserve"> </v>
      </c>
      <c r="L45" t="str">
        <v xml:space="preserve"> </v>
      </c>
    </row>
    <row r="46">
      <c r="C46" t="str">
        <f>'Isi Data'!B19</f>
        <v>Pasir Beton</v>
      </c>
      <c r="E46" t="str">
        <v>m3</v>
      </c>
      <c r="F46">
        <v>0.06</v>
      </c>
      <c r="G46">
        <f>SUMIF('Isi Data'!B$1:B$65536,SNI!C$1:C$65536,'Isi Data'!E$1:E$65536)</f>
        <v>0</v>
      </c>
      <c r="H46">
        <f>F46*G46</f>
        <v>0</v>
      </c>
    </row>
    <row r="47">
      <c r="C47" t="str">
        <f>'Isi Data'!B17</f>
        <v>Batu Split Pecah Mesin 3/5</v>
      </c>
      <c r="E47" t="str">
        <v>m3</v>
      </c>
      <c r="F47">
        <v>0.1</v>
      </c>
      <c r="G47">
        <f>SUMIF('Isi Data'!B$1:B$65536,SNI!C$1:C$65536,'Isi Data'!E$1:E$65536)</f>
        <v>0</v>
      </c>
      <c r="H47">
        <f>F47*G47</f>
        <v>0</v>
      </c>
    </row>
    <row r="48">
      <c r="C48" t="str">
        <f>'Isi Data'!B168</f>
        <v>Pekerja</v>
      </c>
      <c r="E48" t="str">
        <v>org/hr</v>
      </c>
      <c r="F48">
        <v>0.63</v>
      </c>
      <c r="G48">
        <f>SUMIF('Isi Data'!B$1:B$65536,SNI!C$1:C$65536,'Isi Data'!E$1:E$65536)</f>
        <v>0</v>
      </c>
      <c r="I48">
        <f>F48*G48</f>
        <v>0</v>
      </c>
    </row>
    <row r="49">
      <c r="C49" t="str">
        <f>'Isi Data'!B158</f>
        <v xml:space="preserve">Tukang Kayu Kasar </v>
      </c>
      <c r="E49" t="str">
        <v>org/hr</v>
      </c>
      <c r="F49">
        <v>1</v>
      </c>
      <c r="G49">
        <f>SUMIF('Isi Data'!B$1:B$65536,SNI!C$1:C$65536,'Isi Data'!E$1:E$65536)</f>
        <v>0</v>
      </c>
      <c r="I49">
        <f>F49*G49</f>
        <v>0</v>
      </c>
      <c r="K49" t="str">
        <v xml:space="preserve"> </v>
      </c>
      <c r="L49" t="str">
        <v xml:space="preserve"> </v>
      </c>
    </row>
    <row r="50">
      <c r="C50" t="str">
        <f>'Isi Data'!B164</f>
        <v>Tukang Cat Biasa</v>
      </c>
      <c r="E50" t="str">
        <v>org/hr</v>
      </c>
      <c r="F50">
        <v>0.5</v>
      </c>
      <c r="G50">
        <f>SUMIF('Isi Data'!B$1:B$65536,SNI!C$1:C$65536,'Isi Data'!E$1:E$65536)</f>
        <v>0</v>
      </c>
      <c r="I50">
        <f>F50*G50</f>
        <v>0</v>
      </c>
      <c r="K50" t="str">
        <v xml:space="preserve"> </v>
      </c>
      <c r="L50" t="str">
        <v xml:space="preserve"> </v>
      </c>
    </row>
    <row r="51">
      <c r="C51" t="str">
        <f>'Isi Data'!B160</f>
        <v>Kepala Tukang Kayu</v>
      </c>
      <c r="E51" t="str">
        <v>org/hr</v>
      </c>
      <c r="F51">
        <v>0.1</v>
      </c>
      <c r="G51">
        <f>SUMIF('Isi Data'!B$1:B$65536,SNI!C$1:C$65536,'Isi Data'!E$1:E$65536)</f>
        <v>0</v>
      </c>
      <c r="I51">
        <f>F51*G51</f>
        <v>0</v>
      </c>
      <c r="K51" t="str">
        <v xml:space="preserve"> </v>
      </c>
      <c r="L51" t="str">
        <v xml:space="preserve"> </v>
      </c>
    </row>
    <row r="52">
      <c r="C52" t="str">
        <f>'Isi Data'!B169</f>
        <v xml:space="preserve">Mandor </v>
      </c>
      <c r="E52" t="str">
        <v>org/hr</v>
      </c>
      <c r="F52">
        <v>0.1</v>
      </c>
      <c r="G52">
        <f>SUMIF('Isi Data'!B$1:B$65536,SNI!C$1:C$65536,'Isi Data'!E$1:E$65536)</f>
        <v>0</v>
      </c>
      <c r="I52">
        <f>F52*G52</f>
        <v>0</v>
      </c>
    </row>
    <row r="54">
      <c r="G54">
        <f>SUMIF('Isi Data'!B$1:B$65536,SNI!C$1:C$65536,'Isi Data'!E$1:E$65536)</f>
        <v>0</v>
      </c>
    </row>
    <row r="55">
      <c r="C55" t="str">
        <v>PEKERJAAN TANAH :</v>
      </c>
      <c r="G55">
        <f>SUMIF('Isi Data'!B$1:B$65536,SNI!C$1:C$65536,'Isi Data'!E$1:E$65536)</f>
        <v>0</v>
      </c>
    </row>
    <row r="56">
      <c r="G56">
        <f>SUMIF('Isi Data'!B$1:B$65536,SNI!C$1:C$65536,'Isi Data'!E$1:E$65536)</f>
        <v>0</v>
      </c>
    </row>
    <row r="57">
      <c r="A57" t="str">
        <v>SNI DT 91-0006-2007</v>
      </c>
      <c r="B57" t="str">
        <v>M2</v>
      </c>
      <c r="C57" t="str">
        <v>Stripping tanah tebal 20 cm</v>
      </c>
      <c r="G57">
        <f>SUMIF('Isi Data'!B$1:B$65536,SNI!C$1:C$65536,'Isi Data'!E$1:E$65536)</f>
        <v>0</v>
      </c>
      <c r="H57">
        <f>SUM(H58:H59)</f>
        <v>0</v>
      </c>
      <c r="I57">
        <f>SUM(I58:I59)</f>
        <v>0</v>
      </c>
      <c r="J57">
        <f>$J$3</f>
        <v>0.1</v>
      </c>
      <c r="K57">
        <f>SUM(H57:I57)*(1+J57)</f>
        <v>0</v>
      </c>
      <c r="L57">
        <f>ROUND(K57,-2)</f>
        <v>0</v>
      </c>
    </row>
    <row r="58">
      <c r="C58" t="str">
        <f>'Isi Data'!B168</f>
        <v>Pekerja</v>
      </c>
      <c r="E58" t="str">
        <v>org/hr</v>
      </c>
      <c r="F58">
        <v>0.05</v>
      </c>
      <c r="G58">
        <f>SUMIF('Isi Data'!B$1:B$65536,SNI!C$1:C$65536,'Isi Data'!E$1:E$65536)</f>
        <v>0</v>
      </c>
      <c r="I58">
        <f>F58*G58</f>
        <v>0</v>
      </c>
      <c r="M58" t="str">
        <f>IF(G58=0,"edit"," ")</f>
        <v>edit</v>
      </c>
    </row>
    <row r="59">
      <c r="C59" t="str">
        <f>'Isi Data'!B169</f>
        <v xml:space="preserve">Mandor </v>
      </c>
      <c r="E59" t="str">
        <v>org/hr</v>
      </c>
      <c r="F59">
        <v>0.005</v>
      </c>
      <c r="G59">
        <f>SUMIF('Isi Data'!B$1:B$65536,SNI!C$1:C$65536,'Isi Data'!E$1:E$65536)</f>
        <v>0</v>
      </c>
      <c r="I59">
        <f>F59*G59</f>
        <v>0</v>
      </c>
      <c r="M59" t="str">
        <f>IF(G59=0,"edit"," ")</f>
        <v>edit</v>
      </c>
    </row>
    <row r="60">
      <c r="F60" t="str">
        <v xml:space="preserve"> </v>
      </c>
      <c r="G60">
        <f>SUMIF('Isi Data'!B$1:B$65536,SNI!C$1:C$65536,'Isi Data'!E$1:E$65536)</f>
        <v>0</v>
      </c>
    </row>
    <row r="61">
      <c r="A61" t="str">
        <v>SNI 2835:2008 - 6.1</v>
      </c>
      <c r="B61" t="str">
        <v>M3</v>
      </c>
      <c r="C61" t="str">
        <v>Galian tanah, dalam  s/d 1 m</v>
      </c>
      <c r="G61">
        <f>SUMIF('Isi Data'!B$1:B$65536,SNI!C$1:C$65536,'Isi Data'!E$1:E$65536)</f>
        <v>0</v>
      </c>
      <c r="H61">
        <f>SUM(H62:H63)</f>
        <v>0</v>
      </c>
      <c r="I61">
        <f>SUM(I62:I63)</f>
        <v>0</v>
      </c>
      <c r="J61">
        <f>$J$3</f>
        <v>0.1</v>
      </c>
      <c r="K61">
        <f>SUM(H61:I61)*(1+J61)</f>
        <v>0</v>
      </c>
      <c r="L61">
        <f>ROUND(K61,-2)</f>
        <v>0</v>
      </c>
    </row>
    <row r="62">
      <c r="C62" t="str">
        <f>'Isi Data'!B168</f>
        <v>Pekerja</v>
      </c>
      <c r="E62" t="str">
        <v>org/hr</v>
      </c>
      <c r="F62">
        <v>0.75</v>
      </c>
      <c r="G62">
        <f>SUMIF('Isi Data'!B$1:B$65536,SNI!C$1:C$65536,'Isi Data'!E$1:E$65536)</f>
        <v>0</v>
      </c>
      <c r="I62">
        <f>F62*G62</f>
        <v>0</v>
      </c>
      <c r="M62" t="str">
        <f>IF(G62=0,"edit"," ")</f>
        <v>edit</v>
      </c>
    </row>
    <row r="63">
      <c r="C63" t="str">
        <f>'Isi Data'!B169</f>
        <v xml:space="preserve">Mandor </v>
      </c>
      <c r="E63" t="str">
        <v>org/hr</v>
      </c>
      <c r="F63">
        <v>0.025</v>
      </c>
      <c r="G63">
        <f>SUMIF('Isi Data'!B$1:B$65536,SNI!C$1:C$65536,'Isi Data'!E$1:E$65536)</f>
        <v>0</v>
      </c>
      <c r="I63">
        <f>F63*G63</f>
        <v>0</v>
      </c>
      <c r="M63" t="str">
        <f>IF(G63=0,"edit"," ")</f>
        <v>edit</v>
      </c>
    </row>
    <row r="64">
      <c r="F64" t="str">
        <v xml:space="preserve"> </v>
      </c>
      <c r="G64">
        <f>SUMIF('Isi Data'!B$1:B$65536,SNI!C$1:C$65536,'Isi Data'!E$1:E$65536)</f>
        <v>0</v>
      </c>
    </row>
    <row r="65">
      <c r="A65" t="str">
        <v>SNI 2835:2008 - 6.9</v>
      </c>
      <c r="B65" t="str">
        <v>M3</v>
      </c>
      <c r="C65" t="str">
        <v>Urugan tanah kembali</v>
      </c>
      <c r="D65" t="str">
        <v>1/3 dari harga galian</v>
      </c>
      <c r="G65">
        <f>SUMIF('Isi Data'!B$1:B$65536,SNI!C$1:C$65536,'Isi Data'!E$1:E$65536)</f>
        <v>0</v>
      </c>
      <c r="H65">
        <f>SUM(H66:H67)</f>
        <v>0</v>
      </c>
      <c r="I65">
        <f>SUM(I66:I67)</f>
        <v>0</v>
      </c>
      <c r="J65">
        <f>$J$3</f>
        <v>0.1</v>
      </c>
      <c r="K65">
        <f>SUM(H65:I65)*(1+J65)</f>
        <v>0</v>
      </c>
      <c r="L65">
        <f>ROUND(K65,-2)</f>
        <v>0</v>
      </c>
    </row>
    <row r="66">
      <c r="C66" t="str">
        <f>'Isi Data'!B168</f>
        <v>Pekerja</v>
      </c>
      <c r="E66" t="str">
        <v>org/hr</v>
      </c>
      <c r="F66">
        <f>F62/3</f>
        <v>0.25</v>
      </c>
      <c r="G66">
        <f>SUMIF('Isi Data'!B$1:B$65536,SNI!C$1:C$65536,'Isi Data'!E$1:E$65536)</f>
        <v>0</v>
      </c>
      <c r="I66">
        <f>F66*G66</f>
        <v>0</v>
      </c>
      <c r="M66" t="str">
        <f>IF(G66=0,"edit"," ")</f>
        <v>edit</v>
      </c>
    </row>
    <row r="67">
      <c r="C67" t="str">
        <f>'Isi Data'!B169</f>
        <v xml:space="preserve">Mandor </v>
      </c>
      <c r="E67" t="str">
        <v>org/hr</v>
      </c>
      <c r="F67">
        <f>F63/3</f>
        <v>0.008333333333333333</v>
      </c>
      <c r="G67">
        <f>SUMIF('Isi Data'!B$1:B$65536,SNI!C$1:C$65536,'Isi Data'!E$1:E$65536)</f>
        <v>0</v>
      </c>
      <c r="I67">
        <f>F67*G67</f>
        <v>0</v>
      </c>
      <c r="M67" t="str">
        <f>IF(G67=0,"edit"," ")</f>
        <v>edit</v>
      </c>
    </row>
    <row r="68">
      <c r="G68">
        <f>SUMIF('Isi Data'!B$1:B$65536,SNI!C$1:C$65536,'Isi Data'!E$1:E$65536)</f>
        <v>0</v>
      </c>
    </row>
    <row r="69">
      <c r="G69">
        <f>SUMIF('Isi Data'!B$1:B$65536,SNI!C$1:C$65536,'Isi Data'!E$1:E$65536)</f>
        <v>0</v>
      </c>
    </row>
    <row r="70">
      <c r="A70" t="str">
        <v>SNI 2835:2008 - 6.11</v>
      </c>
      <c r="B70" t="str">
        <v>M3</v>
      </c>
      <c r="C70" t="str">
        <v>Pas. Urugan pasir</v>
      </c>
      <c r="G70">
        <f>SUMIF('Isi Data'!B$1:B$65536,SNI!C$1:C$65536,'Isi Data'!E$1:E$65536)</f>
        <v>0</v>
      </c>
      <c r="H70">
        <f>SUM(H71:H73)</f>
        <v>0</v>
      </c>
      <c r="I70">
        <f>SUM(I71:I73)</f>
        <v>0</v>
      </c>
      <c r="K70">
        <f>SUM(H70:I70)</f>
        <v>0</v>
      </c>
      <c r="L70">
        <f>ROUND(K70,-2)</f>
        <v>0</v>
      </c>
    </row>
    <row r="71">
      <c r="C71" t="str">
        <f>'Isi Data'!B21</f>
        <v>Pasir Urug</v>
      </c>
      <c r="E71" t="str">
        <v>m3</v>
      </c>
      <c r="F71">
        <v>1.2</v>
      </c>
      <c r="G71">
        <f>SUMIF('Isi Data'!B$1:B$65536,SNI!C$1:C$65536,'Isi Data'!E$1:E$65536)</f>
        <v>0</v>
      </c>
      <c r="H71">
        <f>F71*G71</f>
        <v>0</v>
      </c>
      <c r="M71" t="str">
        <f>IF(G71=0,"edit"," ")</f>
        <v>edit</v>
      </c>
    </row>
    <row r="72">
      <c r="C72" t="str">
        <f>'Isi Data'!B168</f>
        <v>Pekerja</v>
      </c>
      <c r="E72" t="str">
        <v>org/hr</v>
      </c>
      <c r="F72">
        <v>0.3</v>
      </c>
      <c r="G72">
        <f>SUMIF('Isi Data'!B$1:B$65536,SNI!C$1:C$65536,'Isi Data'!E$1:E$65536)</f>
        <v>0</v>
      </c>
      <c r="I72">
        <f>F72*G72</f>
        <v>0</v>
      </c>
      <c r="M72" t="str">
        <f>IF(G72=0,"edit"," ")</f>
        <v>edit</v>
      </c>
    </row>
    <row r="73">
      <c r="C73" t="str">
        <f>'Isi Data'!B169</f>
        <v xml:space="preserve">Mandor </v>
      </c>
      <c r="E73" t="str">
        <v>org/hr</v>
      </c>
      <c r="F73">
        <v>0.01</v>
      </c>
      <c r="G73">
        <f>SUMIF('Isi Data'!B$1:B$65536,SNI!C$1:C$65536,'Isi Data'!E$1:E$65536)</f>
        <v>0</v>
      </c>
      <c r="I73">
        <f>F73*G73</f>
        <v>0</v>
      </c>
      <c r="M73" t="str">
        <f>IF(G73=0,"edit"," ")</f>
        <v>edit</v>
      </c>
    </row>
    <row r="74">
      <c r="G74">
        <f>SUMIF('Isi Data'!B$1:B$65536,SNI!C$1:C$65536,'Isi Data'!E$1:E$65536)</f>
        <v>0</v>
      </c>
    </row>
    <row r="75">
      <c r="G75">
        <f>SUMIF('Isi Data'!B$1:B$65536,SNI!C$1:C$65536,'Isi Data'!E$1:E$65536)</f>
        <v>0</v>
      </c>
    </row>
    <row r="76">
      <c r="A76" t="str">
        <v>SNI 2835:2008 - 6.8</v>
      </c>
      <c r="B76" t="str">
        <v>M3</v>
      </c>
      <c r="C76" t="str">
        <v>Buang tanah</v>
      </c>
      <c r="D76" t="str">
        <v xml:space="preserve">Jarak angkut +/- 15 M </v>
      </c>
      <c r="G76">
        <f>SUMIF('Isi Data'!B$1:B$65536,SNI!C$1:C$65536,'Isi Data'!E$1:E$65536)</f>
        <v>0</v>
      </c>
      <c r="H76">
        <f>SUM(H77:H78)</f>
        <v>0</v>
      </c>
      <c r="I76">
        <f>SUM(I77:I78)</f>
        <v>0</v>
      </c>
      <c r="J76">
        <f>$J$3</f>
        <v>0.1</v>
      </c>
      <c r="K76">
        <f>SUM(H76:I76)*(1+J76)</f>
        <v>0</v>
      </c>
      <c r="L76">
        <f>ROUND(K76,-2)</f>
        <v>0</v>
      </c>
    </row>
    <row r="77">
      <c r="C77" t="str">
        <f>'Isi Data'!B168</f>
        <v>Pekerja</v>
      </c>
      <c r="E77" t="str">
        <v>org/hr</v>
      </c>
      <c r="F77">
        <v>0.33</v>
      </c>
      <c r="G77">
        <f>SUMIF('Isi Data'!B$1:B$65536,SNI!C$1:C$65536,'Isi Data'!E$1:E$65536)</f>
        <v>0</v>
      </c>
      <c r="I77">
        <f>F77*G77</f>
        <v>0</v>
      </c>
      <c r="M77" t="str">
        <f>IF(G77=0,"edit"," ")</f>
        <v>edit</v>
      </c>
    </row>
    <row r="78">
      <c r="C78" t="str">
        <f>'Isi Data'!B169</f>
        <v xml:space="preserve">Mandor </v>
      </c>
      <c r="E78" t="str">
        <v>org/hr</v>
      </c>
      <c r="F78">
        <v>0.01</v>
      </c>
      <c r="G78">
        <f>SUMIF('Isi Data'!B$1:B$65536,SNI!C$1:C$65536,'Isi Data'!E$1:E$65536)</f>
        <v>0</v>
      </c>
      <c r="I78">
        <f>F78*G78</f>
        <v>0</v>
      </c>
      <c r="M78" t="str">
        <f>IF(G78=0,"edit"," ")</f>
        <v>edit</v>
      </c>
    </row>
    <row r="79">
      <c r="C79" t="str">
        <v xml:space="preserve"> </v>
      </c>
    </row>
    <row r="80">
      <c r="A80" t="str">
        <v>SNI DT 91-0006-2007</v>
      </c>
      <c r="B80" t="str">
        <v>M3</v>
      </c>
      <c r="C80" t="str">
        <v>Pas. Urugan tanah</v>
      </c>
      <c r="H80">
        <f>SUM(H81:H83)</f>
        <v>0</v>
      </c>
      <c r="I80">
        <f>SUM(I81:I83)</f>
        <v>0</v>
      </c>
      <c r="J80">
        <f>$J$3</f>
        <v>0.1</v>
      </c>
      <c r="K80">
        <f>SUM(H80:I80)*(1+J80)</f>
        <v>0</v>
      </c>
      <c r="L80">
        <f>ROUND(K80,-2)</f>
        <v>0</v>
      </c>
    </row>
    <row r="81">
      <c r="C81" t="str">
        <f>'Isi Data'!B22</f>
        <v>Tanah Urug</v>
      </c>
      <c r="E81" t="str">
        <v>m3</v>
      </c>
      <c r="F81">
        <v>1.2</v>
      </c>
      <c r="G81">
        <f>SUMIF('Isi Data'!B$1:B$65536,SNI!C$1:C$65536,'Isi Data'!E$1:E$65536)</f>
        <v>0</v>
      </c>
      <c r="H81">
        <f>F81*G81</f>
        <v>0</v>
      </c>
      <c r="M81" t="str">
        <f>IF(G81=0,"edit"," ")</f>
        <v>edit</v>
      </c>
    </row>
    <row r="82">
      <c r="C82" t="str">
        <f>'Isi Data'!B168</f>
        <v>Pekerja</v>
      </c>
      <c r="E82" t="str">
        <v>org/hr</v>
      </c>
      <c r="F82">
        <v>0.25</v>
      </c>
      <c r="G82">
        <f>SUMIF('Isi Data'!B$1:B$65536,SNI!C$1:C$65536,'Isi Data'!E$1:E$65536)</f>
        <v>0</v>
      </c>
      <c r="I82">
        <f>F82*G82</f>
        <v>0</v>
      </c>
      <c r="M82" t="str">
        <f>IF(G82=0,"edit"," ")</f>
        <v>edit</v>
      </c>
    </row>
    <row r="83">
      <c r="C83" t="str">
        <f>'Isi Data'!B169</f>
        <v xml:space="preserve">Mandor </v>
      </c>
      <c r="E83" t="str">
        <v>org/hr</v>
      </c>
      <c r="F83">
        <v>0.025</v>
      </c>
      <c r="G83">
        <f>SUMIF('Isi Data'!B$1:B$65536,SNI!C$1:C$65536,'Isi Data'!E$1:E$65536)</f>
        <v>0</v>
      </c>
      <c r="I83">
        <f>F83*G83</f>
        <v>0</v>
      </c>
      <c r="M83" t="str">
        <f>IF(G83=0,"edit"," ")</f>
        <v>edit</v>
      </c>
    </row>
    <row r="85">
      <c r="F85" t="str">
        <v xml:space="preserve"> </v>
      </c>
    </row>
    <row r="86">
      <c r="C86" t="str">
        <v>PEKERJAAN PONDASI :</v>
      </c>
    </row>
    <row r="87">
      <c r="C87" t="str">
        <v xml:space="preserve"> </v>
      </c>
    </row>
    <row r="88">
      <c r="A88" t="str">
        <v>SNI 7395-2008-6.9</v>
      </c>
      <c r="B88" t="str">
        <v>M3</v>
      </c>
      <c r="C88" t="str">
        <v>Aanstamping batu kali</v>
      </c>
      <c r="H88">
        <f>SUM(H89:H94)</f>
        <v>0</v>
      </c>
      <c r="I88">
        <f>SUM(I89:I94)</f>
        <v>0</v>
      </c>
      <c r="J88">
        <f>$J$3</f>
        <v>0.1</v>
      </c>
      <c r="K88">
        <f>SUM(H88:I88)*(1+J88)</f>
        <v>0</v>
      </c>
      <c r="L88">
        <f>ROUND(K88,-2)</f>
        <v>0</v>
      </c>
    </row>
    <row r="89">
      <c r="C89" t="str">
        <f>'Isi Data'!B15</f>
        <v>Batu kali</v>
      </c>
      <c r="E89" t="str">
        <v>m3</v>
      </c>
      <c r="F89">
        <v>1.2</v>
      </c>
      <c r="G89">
        <f>SUMIF('Isi Data'!B$1:B$65536,SNI!C$1:C$65536,'Isi Data'!E$1:E$65536)</f>
        <v>0</v>
      </c>
      <c r="H89">
        <f>F89*G89</f>
        <v>0</v>
      </c>
      <c r="M89" t="str">
        <f>IF(G89=0,"edit"," ")</f>
        <v>edit</v>
      </c>
    </row>
    <row r="90">
      <c r="C90" t="str">
        <f>'Isi Data'!B19</f>
        <v>Pasir Beton</v>
      </c>
      <c r="E90" t="str">
        <v>m3</v>
      </c>
      <c r="F90">
        <v>0.432</v>
      </c>
      <c r="G90">
        <f>SUMIF('Isi Data'!B$1:B$65536,SNI!C$1:C$65536,'Isi Data'!E$1:E$65536)</f>
        <v>0</v>
      </c>
      <c r="H90">
        <f>F90*G90</f>
        <v>0</v>
      </c>
      <c r="M90" t="str">
        <f>IF(G90=0,"edit"," ")</f>
        <v>edit</v>
      </c>
    </row>
    <row r="91">
      <c r="C91" t="str">
        <f>'Isi Data'!B168</f>
        <v>Pekerja</v>
      </c>
      <c r="E91" t="str">
        <v>org/hr</v>
      </c>
      <c r="F91">
        <v>0.78</v>
      </c>
      <c r="G91">
        <f>SUMIF('Isi Data'!B$1:B$65536,SNI!C$1:C$65536,'Isi Data'!E$1:E$65536)</f>
        <v>0</v>
      </c>
      <c r="I91">
        <f>F91*G91</f>
        <v>0</v>
      </c>
      <c r="M91" t="str">
        <f>IF(G91=0,"edit"," ")</f>
        <v>edit</v>
      </c>
    </row>
    <row r="92">
      <c r="C92" t="str">
        <f>'Isi Data'!B161</f>
        <v>Tukang Batu Kasar</v>
      </c>
      <c r="E92" t="str">
        <v>org/hr</v>
      </c>
      <c r="F92">
        <v>0.39</v>
      </c>
      <c r="G92">
        <f>SUMIF('Isi Data'!B$1:B$65536,SNI!C$1:C$65536,'Isi Data'!E$1:E$65536)</f>
        <v>0</v>
      </c>
      <c r="I92">
        <f>F92*G92</f>
        <v>0</v>
      </c>
      <c r="M92" t="str">
        <f>IF(G92=0,"edit"," ")</f>
        <v>edit</v>
      </c>
    </row>
    <row r="93">
      <c r="C93" t="str">
        <f>'Isi Data'!B163</f>
        <v>Kepala Tukang Batu</v>
      </c>
      <c r="E93" t="str">
        <v>org/hr</v>
      </c>
      <c r="F93">
        <v>0.039</v>
      </c>
      <c r="G93">
        <f>SUMIF('Isi Data'!B$1:B$65536,SNI!C$1:C$65536,'Isi Data'!E$1:E$65536)</f>
        <v>0</v>
      </c>
      <c r="I93">
        <f>F93*G93</f>
        <v>0</v>
      </c>
      <c r="M93" t="str">
        <f>IF(G93=0,"edit"," ")</f>
        <v>edit</v>
      </c>
    </row>
    <row r="94">
      <c r="C94" t="str">
        <f>'Isi Data'!B169</f>
        <v xml:space="preserve">Mandor </v>
      </c>
      <c r="E94" t="str">
        <v>org/hr</v>
      </c>
      <c r="F94">
        <v>0.039</v>
      </c>
      <c r="G94">
        <f>SUMIF('Isi Data'!B$1:B$65536,SNI!C$1:C$65536,'Isi Data'!E$1:E$65536)</f>
        <v>0</v>
      </c>
      <c r="I94">
        <f>F94*G94</f>
        <v>0</v>
      </c>
      <c r="M94" t="str">
        <f>IF(G94=0,"edit"," ")</f>
        <v>edit</v>
      </c>
    </row>
    <row r="95">
      <c r="C95" t="str">
        <v xml:space="preserve"> </v>
      </c>
      <c r="F95" t="str">
        <v xml:space="preserve"> </v>
      </c>
      <c r="G95">
        <f>SUMIF('Isi Data'!B$1:B$65536,SNI!C$1:C$65536,'Isi Data'!E$1:E$65536)</f>
        <v>0</v>
      </c>
    </row>
    <row r="96">
      <c r="A96" t="str">
        <v>SNI 7395-2008-6.2</v>
      </c>
      <c r="B96" t="str">
        <v>M3</v>
      </c>
      <c r="C96" t="str">
        <v>Pas. pondasi batu kali 1:4</v>
      </c>
      <c r="G96">
        <f>SUMIF('Isi Data'!B$1:B$65536,SNI!C$1:C$65536,'Isi Data'!E$1:E$65536)</f>
        <v>0</v>
      </c>
      <c r="H96">
        <f>SUM(H97:H103)</f>
        <v>0</v>
      </c>
      <c r="I96">
        <f>SUM(I97:I103)</f>
        <v>0</v>
      </c>
      <c r="J96">
        <f>$J$3</f>
        <v>0.1</v>
      </c>
      <c r="K96">
        <f>SUM(H96:I96)*(1+J96)</f>
        <v>0</v>
      </c>
      <c r="L96">
        <f>ROUND(K96,-2)</f>
        <v>0</v>
      </c>
    </row>
    <row r="97">
      <c r="C97" t="str">
        <f>'Isi Data'!B15</f>
        <v>Batu kali</v>
      </c>
      <c r="E97" t="str">
        <v>m3</v>
      </c>
      <c r="F97">
        <v>1.2</v>
      </c>
      <c r="G97">
        <f>SUMIF('Isi Data'!B$1:B$65536,SNI!C$1:C$65536,'Isi Data'!E$1:E$65536)</f>
        <v>0</v>
      </c>
      <c r="H97">
        <f>F97*G97</f>
        <v>0</v>
      </c>
      <c r="M97" t="str">
        <f>IF(G97=0,"edit"," ")</f>
        <v>edit</v>
      </c>
    </row>
    <row r="98">
      <c r="C98" t="str">
        <f>'Isi Data'!B25</f>
        <v>Semen (50 Kg)</v>
      </c>
      <c r="E98" t="str">
        <v>zak</v>
      </c>
      <c r="F98">
        <f>163/50</f>
        <v>3.26</v>
      </c>
      <c r="G98">
        <f>SUMIF('Isi Data'!B$1:B$65536,SNI!C$1:C$65536,'Isi Data'!E$1:E$65536)</f>
        <v>0</v>
      </c>
      <c r="H98">
        <f>F98*G98</f>
        <v>0</v>
      </c>
      <c r="M98" t="str">
        <f>IF(G98=0,"edit"," ")</f>
        <v>edit</v>
      </c>
    </row>
    <row r="99">
      <c r="C99" t="str">
        <f>'Isi Data'!B20</f>
        <v>Pasir Pasang</v>
      </c>
      <c r="E99" t="str">
        <v>m3</v>
      </c>
      <c r="F99">
        <v>0.52</v>
      </c>
      <c r="G99">
        <f>SUMIF('Isi Data'!B$1:B$65536,SNI!C$1:C$65536,'Isi Data'!E$1:E$65536)</f>
        <v>0</v>
      </c>
      <c r="H99">
        <f>F99*G99</f>
        <v>0</v>
      </c>
      <c r="M99" t="str">
        <f>IF(G99=0,"edit"," ")</f>
        <v>edit</v>
      </c>
    </row>
    <row r="100">
      <c r="C100" t="str">
        <f>'Isi Data'!B168</f>
        <v>Pekerja</v>
      </c>
      <c r="E100" t="str">
        <v>org/hr</v>
      </c>
      <c r="F100">
        <v>1.5</v>
      </c>
      <c r="G100">
        <f>SUMIF('Isi Data'!B$1:B$65536,SNI!C$1:C$65536,'Isi Data'!E$1:E$65536)</f>
        <v>0</v>
      </c>
      <c r="I100">
        <f>F100*G100</f>
        <v>0</v>
      </c>
      <c r="M100" t="str">
        <f>IF(G100=0,"edit"," ")</f>
        <v>edit</v>
      </c>
    </row>
    <row r="101">
      <c r="C101" t="str">
        <f>'Isi Data'!B161</f>
        <v>Tukang Batu Kasar</v>
      </c>
      <c r="E101" t="str">
        <v>org/hr</v>
      </c>
      <c r="F101">
        <v>0.75</v>
      </c>
      <c r="G101">
        <f>SUMIF('Isi Data'!B$1:B$65536,SNI!C$1:C$65536,'Isi Data'!E$1:E$65536)</f>
        <v>0</v>
      </c>
      <c r="I101">
        <f>F101*G101</f>
        <v>0</v>
      </c>
      <c r="M101" t="str">
        <f>IF(G101=0,"edit"," ")</f>
        <v>edit</v>
      </c>
    </row>
    <row r="102">
      <c r="C102" t="str">
        <f>'Isi Data'!B163</f>
        <v>Kepala Tukang Batu</v>
      </c>
      <c r="E102" t="str">
        <v>org/hr</v>
      </c>
      <c r="F102">
        <v>0.075</v>
      </c>
      <c r="G102">
        <f>SUMIF('Isi Data'!B$1:B$65536,SNI!C$1:C$65536,'Isi Data'!E$1:E$65536)</f>
        <v>0</v>
      </c>
      <c r="I102">
        <f>F102*G102</f>
        <v>0</v>
      </c>
      <c r="M102" t="str">
        <f>IF(G102=0,"edit"," ")</f>
        <v>edit</v>
      </c>
    </row>
    <row r="103">
      <c r="C103" t="str">
        <f>'Isi Data'!B169</f>
        <v xml:space="preserve">Mandor </v>
      </c>
      <c r="E103" t="str">
        <v>org/hr</v>
      </c>
      <c r="F103">
        <v>0.075</v>
      </c>
      <c r="G103">
        <f>SUMIF('Isi Data'!B$1:B$65536,SNI!C$1:C$65536,'Isi Data'!E$1:E$65536)</f>
        <v>0</v>
      </c>
      <c r="I103">
        <f>F103*G103</f>
        <v>0</v>
      </c>
      <c r="M103" t="str">
        <f>IF(G103=0,"edit"," ")</f>
        <v>edit</v>
      </c>
    </row>
    <row r="104">
      <c r="G104">
        <f>SUMIF('Isi Data'!B$1:B$65536,SNI!C$1:C$65536,'Isi Data'!E$1:E$65536)</f>
        <v>0</v>
      </c>
    </row>
    <row r="107">
      <c r="C107" t="str">
        <v>PEKERJAAN BETON :</v>
      </c>
      <c r="G107">
        <f>SUMIF('Isi Data'!B$1:B$65536,SNI!C$1:C$65536,'Isi Data'!E$1:E$65536)</f>
        <v>0</v>
      </c>
    </row>
    <row r="108">
      <c r="A108" t="str">
        <v>SNI 7394:2008-6.5</v>
      </c>
      <c r="B108" t="str">
        <v>M3</v>
      </c>
      <c r="C108" t="str">
        <v>Beton K - 175</v>
      </c>
      <c r="D108" t="str">
        <v>Sitemix</v>
      </c>
      <c r="G108">
        <f>SUMIF('Isi Data'!B$1:B$65536,SNI!C$1:C$65536,'Isi Data'!E$1:E$65536)</f>
        <v>0</v>
      </c>
      <c r="H108">
        <f>SUM(H109:H115)</f>
        <v>0</v>
      </c>
      <c r="I108">
        <f>SUM(I109:I115)</f>
        <v>0</v>
      </c>
      <c r="J108">
        <f>$J$3</f>
        <v>0.1</v>
      </c>
      <c r="K108">
        <f>SUM(H108:I108)*(1+J108)</f>
        <v>0</v>
      </c>
      <c r="L108">
        <f>ROUND(K108,-2)</f>
        <v>0</v>
      </c>
    </row>
    <row r="109">
      <c r="C109" t="str">
        <f>'Isi Data'!B25</f>
        <v>Semen (50 Kg)</v>
      </c>
      <c r="E109" t="str">
        <v>zak</v>
      </c>
      <c r="F109">
        <f>326/50</f>
        <v>6.52</v>
      </c>
      <c r="G109">
        <f>SUMIF('Isi Data'!B$1:B$65536,SNI!C$1:C$65536,'Isi Data'!E$1:E$65536)</f>
        <v>0</v>
      </c>
      <c r="H109">
        <f>F109*G109</f>
        <v>0</v>
      </c>
      <c r="M109" t="str">
        <f>IF(G109=0,"edit"," ")</f>
        <v>edit</v>
      </c>
    </row>
    <row r="110">
      <c r="C110" t="str">
        <f>'Isi Data'!B19</f>
        <v>Pasir Beton</v>
      </c>
      <c r="E110" t="str">
        <v>m3</v>
      </c>
      <c r="F110">
        <f>760/1400</f>
        <v>0.5428571428571428</v>
      </c>
      <c r="G110">
        <f>SUMIF('Isi Data'!B$1:B$65536,SNI!C$1:C$65536,'Isi Data'!E$1:E$65536)</f>
        <v>0</v>
      </c>
      <c r="H110">
        <f>F110*G110</f>
        <v>0</v>
      </c>
      <c r="M110" t="str">
        <f>IF(G110=0,"edit"," ")</f>
        <v>edit</v>
      </c>
    </row>
    <row r="111">
      <c r="C111" t="str">
        <f>'Isi Data'!B16</f>
        <v>Batu Split Pecah Mesin 1/2</v>
      </c>
      <c r="E111" t="str">
        <v>m3</v>
      </c>
      <c r="F111">
        <f>1029/1350</f>
        <v>0.7622222222222222</v>
      </c>
      <c r="G111">
        <f>SUMIF('Isi Data'!B$1:B$65536,SNI!C$1:C$65536,'Isi Data'!E$1:E$65536)</f>
        <v>0</v>
      </c>
      <c r="H111">
        <f>F111*G111</f>
        <v>0</v>
      </c>
      <c r="M111" t="str">
        <f>IF(G111=0,"edit"," ")</f>
        <v>edit</v>
      </c>
    </row>
    <row r="112">
      <c r="C112" t="str">
        <f>'Isi Data'!B168</f>
        <v>Pekerja</v>
      </c>
      <c r="E112" t="str">
        <v>org/hr</v>
      </c>
      <c r="F112">
        <v>1.65</v>
      </c>
      <c r="G112">
        <f>SUMIF('Isi Data'!B$1:B$65536,SNI!C$1:C$65536,'Isi Data'!E$1:E$65536)</f>
        <v>0</v>
      </c>
      <c r="I112">
        <f>F112*G112</f>
        <v>0</v>
      </c>
      <c r="K112" t="str">
        <v xml:space="preserve"> </v>
      </c>
      <c r="L112" t="str">
        <v xml:space="preserve"> </v>
      </c>
      <c r="M112" t="str">
        <f>IF(G112=0,"edit"," ")</f>
        <v>edit</v>
      </c>
    </row>
    <row r="113">
      <c r="C113" t="str">
        <f>'Isi Data'!B161</f>
        <v>Tukang Batu Kasar</v>
      </c>
      <c r="E113" t="str">
        <v>org/hr</v>
      </c>
      <c r="F113">
        <v>0.275</v>
      </c>
      <c r="G113">
        <f>SUMIF('Isi Data'!B$1:B$65536,SNI!C$1:C$65536,'Isi Data'!E$1:E$65536)</f>
        <v>0</v>
      </c>
      <c r="I113">
        <f>F113*G113</f>
        <v>0</v>
      </c>
      <c r="M113" t="str">
        <f>IF(G113=0,"edit"," ")</f>
        <v>edit</v>
      </c>
    </row>
    <row r="114">
      <c r="C114" t="str">
        <f>'Isi Data'!B163</f>
        <v>Kepala Tukang Batu</v>
      </c>
      <c r="E114" t="str">
        <v>org/hr</v>
      </c>
      <c r="F114">
        <v>0.028</v>
      </c>
      <c r="G114">
        <f>SUMIF('Isi Data'!B$1:B$65536,SNI!C$1:C$65536,'Isi Data'!E$1:E$65536)</f>
        <v>0</v>
      </c>
      <c r="I114">
        <f>F114*G114</f>
        <v>0</v>
      </c>
      <c r="K114" t="str">
        <v xml:space="preserve"> </v>
      </c>
      <c r="L114" t="str">
        <v xml:space="preserve"> </v>
      </c>
      <c r="M114" t="str">
        <f>IF(G114=0,"edit"," ")</f>
        <v>edit</v>
      </c>
    </row>
    <row r="115">
      <c r="C115" t="str">
        <f>'Isi Data'!B169</f>
        <v xml:space="preserve">Mandor </v>
      </c>
      <c r="E115" t="str">
        <v>org/hr</v>
      </c>
      <c r="F115">
        <v>0.083</v>
      </c>
      <c r="G115">
        <f>SUMIF('Isi Data'!B$1:B$65536,SNI!C$1:C$65536,'Isi Data'!E$1:E$65536)</f>
        <v>0</v>
      </c>
      <c r="I115">
        <f>F115*G115</f>
        <v>0</v>
      </c>
      <c r="M115" t="str">
        <f>IF(G115=0,"edit"," ")</f>
        <v>edit</v>
      </c>
    </row>
    <row r="116">
      <c r="G116">
        <f>SUMIF('Isi Data'!B$1:B$65536,SNI!C$1:C$65536,'Isi Data'!E$1:E$65536)</f>
        <v>0</v>
      </c>
    </row>
    <row r="117">
      <c r="A117" t="str">
        <v>SNI 7394:2008-6.6</v>
      </c>
      <c r="B117" t="str">
        <v>M3</v>
      </c>
      <c r="C117" t="str">
        <v>Beton K - 200</v>
      </c>
      <c r="D117" t="str">
        <v>Sitemix</v>
      </c>
      <c r="G117">
        <f>SUMIF('Isi Data'!B$1:B$65536,SNI!C$1:C$65536,'Isi Data'!E$1:E$65536)</f>
        <v>0</v>
      </c>
      <c r="H117">
        <f>SUM(H118:H124)</f>
        <v>0</v>
      </c>
      <c r="I117">
        <f>SUM(I118:I124)</f>
        <v>0</v>
      </c>
      <c r="J117">
        <f>$J$3</f>
        <v>0.1</v>
      </c>
      <c r="K117">
        <f>SUM(H117:I117)*(1+J117)</f>
        <v>0</v>
      </c>
      <c r="L117">
        <f>ROUND(K117,-2)</f>
        <v>0</v>
      </c>
    </row>
    <row r="118">
      <c r="C118" t="str">
        <f>'Isi Data'!B25</f>
        <v>Semen (50 Kg)</v>
      </c>
      <c r="E118" t="str">
        <v>zak</v>
      </c>
      <c r="F118">
        <f>352/50</f>
        <v>7.04</v>
      </c>
      <c r="G118">
        <f>SUMIF('Isi Data'!B$1:B$65536,SNI!C$1:C$65536,'Isi Data'!E$1:E$65536)</f>
        <v>0</v>
      </c>
      <c r="H118">
        <f>F118*G118</f>
        <v>0</v>
      </c>
      <c r="M118" t="str">
        <f>IF(G118=0,"edit"," ")</f>
        <v>edit</v>
      </c>
    </row>
    <row r="119">
      <c r="C119" t="str">
        <f>'Isi Data'!B19</f>
        <v>Pasir Beton</v>
      </c>
      <c r="E119" t="str">
        <v>m3</v>
      </c>
      <c r="F119">
        <f>731/1400</f>
        <v>0.5221428571428571</v>
      </c>
      <c r="G119">
        <f>SUMIF('Isi Data'!B$1:B$65536,SNI!C$1:C$65536,'Isi Data'!E$1:E$65536)</f>
        <v>0</v>
      </c>
      <c r="H119">
        <f>F119*G119</f>
        <v>0</v>
      </c>
      <c r="M119" t="str">
        <f>IF(G119=0,"edit"," ")</f>
        <v>edit</v>
      </c>
    </row>
    <row r="120">
      <c r="C120" t="str">
        <f>'Isi Data'!B16</f>
        <v>Batu Split Pecah Mesin 1/2</v>
      </c>
      <c r="E120" t="str">
        <v>m3</v>
      </c>
      <c r="F120">
        <f>1031/1350</f>
        <v>0.7637037037037037</v>
      </c>
      <c r="G120">
        <f>SUMIF('Isi Data'!B$1:B$65536,SNI!C$1:C$65536,'Isi Data'!E$1:E$65536)</f>
        <v>0</v>
      </c>
      <c r="H120">
        <f>F120*G120</f>
        <v>0</v>
      </c>
      <c r="M120" t="str">
        <f>IF(G120=0,"edit"," ")</f>
        <v>edit</v>
      </c>
    </row>
    <row r="121">
      <c r="C121" t="str">
        <f>'Isi Data'!B168</f>
        <v>Pekerja</v>
      </c>
      <c r="E121" t="str">
        <v>org/hr</v>
      </c>
      <c r="F121">
        <v>1.65</v>
      </c>
      <c r="G121">
        <f>SUMIF('Isi Data'!B$1:B$65536,SNI!C$1:C$65536,'Isi Data'!E$1:E$65536)</f>
        <v>0</v>
      </c>
      <c r="I121">
        <f>F121*G121</f>
        <v>0</v>
      </c>
      <c r="K121" t="str">
        <v xml:space="preserve"> </v>
      </c>
      <c r="L121" t="str">
        <v xml:space="preserve"> </v>
      </c>
      <c r="M121" t="str">
        <f>IF(G121=0,"edit"," ")</f>
        <v>edit</v>
      </c>
    </row>
    <row r="122">
      <c r="C122" t="str">
        <f>'Isi Data'!B161</f>
        <v>Tukang Batu Kasar</v>
      </c>
      <c r="E122" t="str">
        <v>org/hr</v>
      </c>
      <c r="F122">
        <v>0.275</v>
      </c>
      <c r="G122">
        <f>SUMIF('Isi Data'!B$1:B$65536,SNI!C$1:C$65536,'Isi Data'!E$1:E$65536)</f>
        <v>0</v>
      </c>
      <c r="I122">
        <f>F122*G122</f>
        <v>0</v>
      </c>
      <c r="M122" t="str">
        <f>IF(G122=0,"edit"," ")</f>
        <v>edit</v>
      </c>
    </row>
    <row r="123">
      <c r="C123" t="str">
        <f>'Isi Data'!B163</f>
        <v>Kepala Tukang Batu</v>
      </c>
      <c r="E123" t="str">
        <v>org/hr</v>
      </c>
      <c r="F123">
        <v>0.028</v>
      </c>
      <c r="G123">
        <f>SUMIF('Isi Data'!B$1:B$65536,SNI!C$1:C$65536,'Isi Data'!E$1:E$65536)</f>
        <v>0</v>
      </c>
      <c r="I123">
        <f>F123*G123</f>
        <v>0</v>
      </c>
      <c r="K123" t="str">
        <v xml:space="preserve"> </v>
      </c>
      <c r="L123" t="str">
        <v xml:space="preserve"> </v>
      </c>
      <c r="M123" t="str">
        <f>IF(G123=0,"edit"," ")</f>
        <v>edit</v>
      </c>
    </row>
    <row r="124">
      <c r="C124" t="str">
        <f>'Isi Data'!B169</f>
        <v xml:space="preserve">Mandor </v>
      </c>
      <c r="E124" t="str">
        <v>org/hr</v>
      </c>
      <c r="F124">
        <v>0.083</v>
      </c>
      <c r="G124">
        <f>SUMIF('Isi Data'!B$1:B$65536,SNI!C$1:C$65536,'Isi Data'!E$1:E$65536)</f>
        <v>0</v>
      </c>
      <c r="I124">
        <f>F124*G124</f>
        <v>0</v>
      </c>
      <c r="M124" t="str">
        <f>IF(G124=0,"edit"," ")</f>
        <v>edit</v>
      </c>
    </row>
    <row r="125">
      <c r="F125" t="str">
        <v xml:space="preserve"> </v>
      </c>
      <c r="G125">
        <f>SUMIF('Isi Data'!B$1:B$65536,SNI!C$1:C$65536,'Isi Data'!E$1:E$65536)</f>
        <v>0</v>
      </c>
    </row>
    <row r="126">
      <c r="A126" t="str">
        <v>SNI 7394:2008-6.7</v>
      </c>
      <c r="B126" t="str">
        <v>M3</v>
      </c>
      <c r="C126" t="str">
        <v>Beton K - 225</v>
      </c>
      <c r="D126" t="str">
        <v>Sitemix</v>
      </c>
      <c r="G126">
        <f>SUMIF('Isi Data'!B$1:B$65536,SNI!C$1:C$65536,'Isi Data'!E$1:E$65536)</f>
        <v>0</v>
      </c>
      <c r="H126">
        <f>SUM(H127:H133)</f>
        <v>0</v>
      </c>
      <c r="I126">
        <f>SUM(I127:I133)</f>
        <v>0</v>
      </c>
      <c r="J126">
        <f>$J$3</f>
        <v>0.1</v>
      </c>
      <c r="K126">
        <f>SUM(H126:I126)*(1+J126)</f>
        <v>0</v>
      </c>
      <c r="L126">
        <f>ROUND(K126,-2)</f>
        <v>0</v>
      </c>
    </row>
    <row r="127">
      <c r="C127" t="str">
        <f>'Isi Data'!B25</f>
        <v>Semen (50 Kg)</v>
      </c>
      <c r="E127" t="str">
        <v>zak</v>
      </c>
      <c r="F127">
        <f>371/50</f>
        <v>7.42</v>
      </c>
      <c r="G127">
        <f>SUMIF('Isi Data'!B$1:B$65536,SNI!C$1:C$65536,'Isi Data'!E$1:E$65536)</f>
        <v>0</v>
      </c>
      <c r="H127">
        <f>F127*G127</f>
        <v>0</v>
      </c>
      <c r="M127" t="str">
        <f>IF(G127=0,"edit"," ")</f>
        <v>edit</v>
      </c>
    </row>
    <row r="128">
      <c r="C128" t="str">
        <f>'Isi Data'!B19</f>
        <v>Pasir Beton</v>
      </c>
      <c r="E128" t="str">
        <v>m3</v>
      </c>
      <c r="F128">
        <f>698/1400</f>
        <v>0.49857142857142855</v>
      </c>
      <c r="G128">
        <f>SUMIF('Isi Data'!B$1:B$65536,SNI!C$1:C$65536,'Isi Data'!E$1:E$65536)</f>
        <v>0</v>
      </c>
      <c r="H128">
        <f>F128*G128</f>
        <v>0</v>
      </c>
      <c r="M128" t="str">
        <f>IF(G128=0,"edit"," ")</f>
        <v>edit</v>
      </c>
    </row>
    <row r="129">
      <c r="C129" t="str">
        <f>'Isi Data'!B16</f>
        <v>Batu Split Pecah Mesin 1/2</v>
      </c>
      <c r="E129" t="str">
        <v>m3</v>
      </c>
      <c r="F129">
        <f>1047/1350</f>
        <v>0.7755555555555556</v>
      </c>
      <c r="G129">
        <f>SUMIF('Isi Data'!B$1:B$65536,SNI!C$1:C$65536,'Isi Data'!E$1:E$65536)</f>
        <v>0</v>
      </c>
      <c r="H129">
        <f>F129*G129</f>
        <v>0</v>
      </c>
      <c r="M129" t="str">
        <f>IF(G129=0,"edit"," ")</f>
        <v>edit</v>
      </c>
    </row>
    <row r="130">
      <c r="C130" t="str">
        <f>'Isi Data'!B168</f>
        <v>Pekerja</v>
      </c>
      <c r="E130" t="str">
        <v>org/hr</v>
      </c>
      <c r="F130">
        <v>1.65</v>
      </c>
      <c r="G130">
        <f>SUMIF('Isi Data'!B$1:B$65536,SNI!C$1:C$65536,'Isi Data'!E$1:E$65536)</f>
        <v>0</v>
      </c>
      <c r="I130">
        <f>F130*G130</f>
        <v>0</v>
      </c>
      <c r="K130" t="str">
        <v xml:space="preserve"> </v>
      </c>
      <c r="L130" t="str">
        <v xml:space="preserve"> </v>
      </c>
      <c r="M130" t="str">
        <f>IF(G130=0,"edit"," ")</f>
        <v>edit</v>
      </c>
    </row>
    <row r="131">
      <c r="C131" t="str">
        <f>'Isi Data'!B161</f>
        <v>Tukang Batu Kasar</v>
      </c>
      <c r="E131" t="str">
        <v>org/hr</v>
      </c>
      <c r="F131">
        <v>0.275</v>
      </c>
      <c r="G131">
        <f>SUMIF('Isi Data'!B$1:B$65536,SNI!C$1:C$65536,'Isi Data'!E$1:E$65536)</f>
        <v>0</v>
      </c>
      <c r="I131">
        <f>F131*G131</f>
        <v>0</v>
      </c>
      <c r="M131" t="str">
        <f>IF(G131=0,"edit"," ")</f>
        <v>edit</v>
      </c>
    </row>
    <row r="132">
      <c r="C132" t="str">
        <f>'Isi Data'!B163</f>
        <v>Kepala Tukang Batu</v>
      </c>
      <c r="E132" t="str">
        <v>org/hr</v>
      </c>
      <c r="F132">
        <v>0.028</v>
      </c>
      <c r="G132">
        <f>SUMIF('Isi Data'!B$1:B$65536,SNI!C$1:C$65536,'Isi Data'!E$1:E$65536)</f>
        <v>0</v>
      </c>
      <c r="I132">
        <f>F132*G132</f>
        <v>0</v>
      </c>
      <c r="K132" t="str">
        <v xml:space="preserve"> </v>
      </c>
      <c r="L132" t="str">
        <v xml:space="preserve"> </v>
      </c>
      <c r="M132" t="str">
        <f>IF(G132=0,"edit"," ")</f>
        <v>edit</v>
      </c>
    </row>
    <row r="133">
      <c r="C133" t="str">
        <f>'Isi Data'!B169</f>
        <v xml:space="preserve">Mandor </v>
      </c>
      <c r="E133" t="str">
        <v>org/hr</v>
      </c>
      <c r="F133">
        <v>0.083</v>
      </c>
      <c r="G133">
        <f>SUMIF('Isi Data'!B$1:B$65536,SNI!C$1:C$65536,'Isi Data'!E$1:E$65536)</f>
        <v>0</v>
      </c>
      <c r="I133">
        <f>F133*G133</f>
        <v>0</v>
      </c>
      <c r="M133" t="str">
        <f>IF(G133=0,"edit"," ")</f>
        <v>edit</v>
      </c>
    </row>
    <row r="134">
      <c r="F134" t="str">
        <v xml:space="preserve"> </v>
      </c>
      <c r="G134">
        <f>SUMIF('Isi Data'!B$1:B$65536,SNI!C$1:C$65536,'Isi Data'!E$1:E$65536)</f>
        <v>0</v>
      </c>
    </row>
    <row r="135">
      <c r="A135" t="str">
        <v>SNI 7394:2008-6.8</v>
      </c>
      <c r="B135" t="str">
        <v>M3</v>
      </c>
      <c r="C135" t="str">
        <v>Beton K - 250</v>
      </c>
      <c r="D135" t="str">
        <v>Sitemix</v>
      </c>
      <c r="G135">
        <f>SUMIF('Isi Data'!B$1:B$65536,SNI!C$1:C$65536,'Isi Data'!E$1:E$65536)</f>
        <v>0</v>
      </c>
      <c r="H135">
        <f>SUM(H136:H142)</f>
        <v>0</v>
      </c>
      <c r="I135">
        <f>SUM(I136:I142)</f>
        <v>0</v>
      </c>
      <c r="J135">
        <f>$J$3</f>
        <v>0.1</v>
      </c>
      <c r="K135">
        <f>SUM(H135:I135)*(1+J135)</f>
        <v>0</v>
      </c>
      <c r="L135">
        <f>ROUND(K135,-2)</f>
        <v>0</v>
      </c>
    </row>
    <row r="136">
      <c r="C136" t="str">
        <f>'Isi Data'!B25</f>
        <v>Semen (50 Kg)</v>
      </c>
      <c r="E136" t="str">
        <v>zak</v>
      </c>
      <c r="F136">
        <f>384/50</f>
        <v>7.68</v>
      </c>
      <c r="G136">
        <f>SUMIF('Isi Data'!B$1:B$65536,SNI!C$1:C$65536,'Isi Data'!E$1:E$65536)</f>
        <v>0</v>
      </c>
      <c r="H136">
        <f>F136*G136</f>
        <v>0</v>
      </c>
      <c r="M136" t="str">
        <f>IF(G136=0,"edit"," ")</f>
        <v>edit</v>
      </c>
    </row>
    <row r="137">
      <c r="C137" t="str">
        <f>'Isi Data'!B19</f>
        <v>Pasir Beton</v>
      </c>
      <c r="E137" t="str">
        <v>m3</v>
      </c>
      <c r="F137">
        <f>692/1400</f>
        <v>0.4942857142857143</v>
      </c>
      <c r="G137">
        <f>SUMIF('Isi Data'!B$1:B$65536,SNI!C$1:C$65536,'Isi Data'!E$1:E$65536)</f>
        <v>0</v>
      </c>
      <c r="H137">
        <f>F137*G137</f>
        <v>0</v>
      </c>
      <c r="M137" t="str">
        <f>IF(G137=0,"edit"," ")</f>
        <v>edit</v>
      </c>
    </row>
    <row r="138">
      <c r="C138" t="str">
        <f>'Isi Data'!B16</f>
        <v>Batu Split Pecah Mesin 1/2</v>
      </c>
      <c r="E138" t="str">
        <v>m3</v>
      </c>
      <c r="F138">
        <f>1039/1350</f>
        <v>0.7696296296296297</v>
      </c>
      <c r="G138">
        <f>SUMIF('Isi Data'!B$1:B$65536,SNI!C$1:C$65536,'Isi Data'!E$1:E$65536)</f>
        <v>0</v>
      </c>
      <c r="H138">
        <f>F138*G138</f>
        <v>0</v>
      </c>
      <c r="M138" t="str">
        <f>IF(G138=0,"edit"," ")</f>
        <v>edit</v>
      </c>
    </row>
    <row r="139">
      <c r="C139" t="str">
        <f>'Isi Data'!B168</f>
        <v>Pekerja</v>
      </c>
      <c r="E139" t="str">
        <v>org/hr</v>
      </c>
      <c r="F139">
        <v>1.65</v>
      </c>
      <c r="G139">
        <f>SUMIF('Isi Data'!B$1:B$65536,SNI!C$1:C$65536,'Isi Data'!E$1:E$65536)</f>
        <v>0</v>
      </c>
      <c r="I139">
        <f>F139*G139</f>
        <v>0</v>
      </c>
      <c r="K139" t="str">
        <v xml:space="preserve"> </v>
      </c>
      <c r="L139" t="str">
        <v xml:space="preserve"> </v>
      </c>
      <c r="M139" t="str">
        <f>IF(G139=0,"edit"," ")</f>
        <v>edit</v>
      </c>
    </row>
    <row r="140">
      <c r="C140" t="str">
        <f>'Isi Data'!B161</f>
        <v>Tukang Batu Kasar</v>
      </c>
      <c r="E140" t="str">
        <v>org/hr</v>
      </c>
      <c r="F140">
        <v>0.275</v>
      </c>
      <c r="G140">
        <f>SUMIF('Isi Data'!B$1:B$65536,SNI!C$1:C$65536,'Isi Data'!E$1:E$65536)</f>
        <v>0</v>
      </c>
      <c r="I140">
        <f>F140*G140</f>
        <v>0</v>
      </c>
      <c r="M140" t="str">
        <f>IF(G140=0,"edit"," ")</f>
        <v>edit</v>
      </c>
    </row>
    <row r="141">
      <c r="C141" t="str">
        <f>'Isi Data'!B163</f>
        <v>Kepala Tukang Batu</v>
      </c>
      <c r="E141" t="str">
        <v>org/hr</v>
      </c>
      <c r="F141">
        <v>0.028</v>
      </c>
      <c r="G141">
        <f>SUMIF('Isi Data'!B$1:B$65536,SNI!C$1:C$65536,'Isi Data'!E$1:E$65536)</f>
        <v>0</v>
      </c>
      <c r="I141">
        <f>F141*G141</f>
        <v>0</v>
      </c>
      <c r="K141" t="str">
        <v xml:space="preserve"> </v>
      </c>
      <c r="L141" t="str">
        <v xml:space="preserve"> </v>
      </c>
      <c r="M141" t="str">
        <f>IF(G141=0,"edit"," ")</f>
        <v>edit</v>
      </c>
    </row>
    <row r="142">
      <c r="C142" t="str">
        <f>'Isi Data'!B169</f>
        <v xml:space="preserve">Mandor </v>
      </c>
      <c r="E142" t="str">
        <v>org/hr</v>
      </c>
      <c r="F142">
        <v>0.083</v>
      </c>
      <c r="G142">
        <f>SUMIF('Isi Data'!B$1:B$65536,SNI!C$1:C$65536,'Isi Data'!E$1:E$65536)</f>
        <v>0</v>
      </c>
      <c r="I142">
        <f>F142*G142</f>
        <v>0</v>
      </c>
      <c r="M142" t="str">
        <f>IF(G142=0,"edit"," ")</f>
        <v>edit</v>
      </c>
    </row>
    <row r="143">
      <c r="F143" t="str">
        <v xml:space="preserve"> </v>
      </c>
      <c r="G143">
        <f>SUMIF('Isi Data'!B$1:B$65536,SNI!C$1:C$65536,'Isi Data'!E$1:E$65536)</f>
        <v>0</v>
      </c>
    </row>
    <row r="144">
      <c r="A144" t="str">
        <v>SNI 7394:2008-6.17</v>
      </c>
      <c r="B144" t="str">
        <v>Kg</v>
      </c>
      <c r="C144" t="str">
        <v>Tulangan besi beton U-24</v>
      </c>
      <c r="G144">
        <f>SUMIF('Isi Data'!B$1:B$65536,SNI!C$1:C$65536,'Isi Data'!E$1:E$65536)</f>
        <v>0</v>
      </c>
      <c r="H144">
        <f>SUM(H145:H150)</f>
        <v>0</v>
      </c>
      <c r="I144">
        <f>SUM(I145:I150)</f>
        <v>0</v>
      </c>
      <c r="J144">
        <f>$J$3</f>
        <v>0.1</v>
      </c>
      <c r="K144">
        <f>SUM(H144:I144)*(1+J144)</f>
        <v>0</v>
      </c>
      <c r="L144">
        <f>ROUND(K144,-2)</f>
        <v>0</v>
      </c>
    </row>
    <row r="145">
      <c r="C145" t="str">
        <f>'Isi Data'!B29</f>
        <v>Besi Beton U-24</v>
      </c>
      <c r="E145" t="str">
        <v>kg</v>
      </c>
      <c r="F145">
        <f>10.5/10</f>
        <v>1.05</v>
      </c>
      <c r="G145">
        <f>SUMIF('Isi Data'!B$1:B$65536,SNI!C$1:C$65536,'Isi Data'!E$1:E$65536)</f>
        <v>0</v>
      </c>
      <c r="H145">
        <f>F145*G145</f>
        <v>0</v>
      </c>
    </row>
    <row r="146">
      <c r="C146" t="str">
        <f>'Isi Data'!B34</f>
        <v>Kawat beton</v>
      </c>
      <c r="E146" t="str">
        <v>kg</v>
      </c>
      <c r="F146">
        <f>0.15/10</f>
        <v>0.015</v>
      </c>
      <c r="G146">
        <f>SUMIF('Isi Data'!B$1:B$65536,SNI!C$1:C$65536,'Isi Data'!E$1:E$65536)</f>
        <v>0</v>
      </c>
      <c r="H146">
        <f>F146*G146</f>
        <v>0</v>
      </c>
      <c r="K146" t="str">
        <v xml:space="preserve"> </v>
      </c>
      <c r="L146" t="str">
        <v xml:space="preserve"> </v>
      </c>
    </row>
    <row r="147">
      <c r="C147" t="str">
        <f>'Isi Data'!B168</f>
        <v>Pekerja</v>
      </c>
      <c r="E147" t="str">
        <v>org/hr</v>
      </c>
      <c r="F147">
        <v>0.007</v>
      </c>
      <c r="G147">
        <f>SUMIF('Isi Data'!B$1:B$65536,SNI!C$1:C$65536,'Isi Data'!E$1:E$65536)</f>
        <v>0</v>
      </c>
      <c r="I147">
        <f>F147*G147</f>
        <v>0</v>
      </c>
    </row>
    <row r="148">
      <c r="C148" t="str">
        <f>'Isi Data'!B156</f>
        <v xml:space="preserve">Tukang Besi Tulangan </v>
      </c>
      <c r="E148" t="str">
        <v>org/hr</v>
      </c>
      <c r="F148">
        <v>0.007</v>
      </c>
      <c r="G148">
        <f>SUMIF('Isi Data'!B$1:B$65536,SNI!C$1:C$65536,'Isi Data'!E$1:E$65536)</f>
        <v>0</v>
      </c>
      <c r="I148">
        <f>F148*G148</f>
        <v>0</v>
      </c>
      <c r="K148" t="str">
        <v xml:space="preserve"> </v>
      </c>
      <c r="L148" t="str">
        <v xml:space="preserve"> </v>
      </c>
    </row>
    <row r="149">
      <c r="C149" t="str">
        <f>'Isi Data'!B157</f>
        <v>Kepala Tukang Besi</v>
      </c>
      <c r="E149" t="str">
        <v>org/hr</v>
      </c>
      <c r="F149">
        <v>0.0007</v>
      </c>
      <c r="G149">
        <f>SUMIF('Isi Data'!B$1:B$65536,SNI!C$1:C$65536,'Isi Data'!E$1:E$65536)</f>
        <v>0</v>
      </c>
      <c r="I149">
        <f>F149*G149</f>
        <v>0</v>
      </c>
      <c r="K149" t="str">
        <v xml:space="preserve"> </v>
      </c>
      <c r="L149" t="str">
        <v xml:space="preserve"> </v>
      </c>
    </row>
    <row r="150">
      <c r="C150" t="str">
        <f>'Isi Data'!B169</f>
        <v xml:space="preserve">Mandor </v>
      </c>
      <c r="E150" t="str">
        <v>org/hr</v>
      </c>
      <c r="F150">
        <v>0.0004</v>
      </c>
      <c r="G150">
        <f>SUMIF('Isi Data'!B$1:B$65536,SNI!C$1:C$65536,'Isi Data'!E$1:E$65536)</f>
        <v>0</v>
      </c>
      <c r="I150">
        <f>F150*G150</f>
        <v>0</v>
      </c>
    </row>
    <row r="151">
      <c r="E151" t="str">
        <v xml:space="preserve"> </v>
      </c>
      <c r="G151">
        <f>SUMIF('Isi Data'!B$1:B$65536,SNI!C$1:C$65536,'Isi Data'!E$1:E$65536)</f>
        <v>0</v>
      </c>
    </row>
    <row r="152">
      <c r="A152" t="str">
        <v>SNI 7394:2008-6.17</v>
      </c>
      <c r="B152" t="str">
        <v>Kg</v>
      </c>
      <c r="C152" t="str">
        <v>Tulangan besi beton U-39</v>
      </c>
      <c r="G152">
        <f>SUMIF('Isi Data'!B$1:B$65536,SNI!C$1:C$65536,'Isi Data'!E$1:E$65536)</f>
        <v>0</v>
      </c>
      <c r="H152">
        <f>SUM(H153:H158)</f>
        <v>0</v>
      </c>
      <c r="I152">
        <f>SUM(I153:I158)</f>
        <v>0</v>
      </c>
      <c r="J152">
        <f>$J$3</f>
        <v>0.1</v>
      </c>
      <c r="K152">
        <f>SUM(H152:I152)*(1+J152)</f>
        <v>0</v>
      </c>
      <c r="L152">
        <f>ROUND(K152,-2)</f>
        <v>0</v>
      </c>
    </row>
    <row r="153">
      <c r="C153" t="str">
        <f>'Isi Data'!B30</f>
        <v>Besi Beton U-39</v>
      </c>
      <c r="E153" t="str">
        <v>kg</v>
      </c>
      <c r="F153">
        <f>10.5/10</f>
        <v>1.05</v>
      </c>
      <c r="G153">
        <f>SUMIF('Isi Data'!B$1:B$65536,SNI!C$1:C$65536,'Isi Data'!E$1:E$65536)</f>
        <v>0</v>
      </c>
      <c r="H153">
        <f>F153*G153</f>
        <v>0</v>
      </c>
    </row>
    <row r="154">
      <c r="C154" t="str">
        <f>'Isi Data'!B34</f>
        <v>Kawat beton</v>
      </c>
      <c r="E154" t="str">
        <v>kg</v>
      </c>
      <c r="F154">
        <f>0.15/10</f>
        <v>0.015</v>
      </c>
      <c r="G154">
        <f>SUMIF('Isi Data'!B$1:B$65536,SNI!C$1:C$65536,'Isi Data'!E$1:E$65536)</f>
        <v>0</v>
      </c>
      <c r="H154">
        <f>F154*G154</f>
        <v>0</v>
      </c>
      <c r="K154" t="str">
        <v xml:space="preserve"> </v>
      </c>
      <c r="L154" t="str">
        <v xml:space="preserve"> </v>
      </c>
    </row>
    <row r="155">
      <c r="C155" t="str">
        <f>'Isi Data'!B168</f>
        <v>Pekerja</v>
      </c>
      <c r="E155" t="str">
        <v>org/hr</v>
      </c>
      <c r="F155">
        <v>0.007</v>
      </c>
      <c r="G155">
        <f>SUMIF('Isi Data'!B$1:B$65536,SNI!C$1:C$65536,'Isi Data'!E$1:E$65536)</f>
        <v>0</v>
      </c>
      <c r="I155">
        <f>F155*G155</f>
        <v>0</v>
      </c>
    </row>
    <row r="156">
      <c r="C156" t="str">
        <f>'Isi Data'!B156</f>
        <v xml:space="preserve">Tukang Besi Tulangan </v>
      </c>
      <c r="E156" t="str">
        <v>org/hr</v>
      </c>
      <c r="F156">
        <v>0.007</v>
      </c>
      <c r="G156">
        <f>SUMIF('Isi Data'!B$1:B$65536,SNI!C$1:C$65536,'Isi Data'!E$1:E$65536)</f>
        <v>0</v>
      </c>
      <c r="I156">
        <f>F156*G156</f>
        <v>0</v>
      </c>
      <c r="K156" t="str">
        <v xml:space="preserve"> </v>
      </c>
      <c r="L156" t="str">
        <v xml:space="preserve"> </v>
      </c>
    </row>
    <row r="157">
      <c r="C157" t="str">
        <f>'Isi Data'!B157</f>
        <v>Kepala Tukang Besi</v>
      </c>
      <c r="E157" t="str">
        <v>org/hr</v>
      </c>
      <c r="F157">
        <v>0.0007</v>
      </c>
      <c r="G157">
        <f>SUMIF('Isi Data'!B$1:B$65536,SNI!C$1:C$65536,'Isi Data'!E$1:E$65536)</f>
        <v>0</v>
      </c>
      <c r="I157">
        <f>F157*G157</f>
        <v>0</v>
      </c>
      <c r="K157" t="str">
        <v xml:space="preserve"> </v>
      </c>
      <c r="L157" t="str">
        <v xml:space="preserve"> </v>
      </c>
    </row>
    <row r="158">
      <c r="C158" t="str">
        <f>'Isi Data'!B169</f>
        <v xml:space="preserve">Mandor </v>
      </c>
      <c r="E158" t="str">
        <v>org/hr</v>
      </c>
      <c r="F158">
        <v>0.0004</v>
      </c>
      <c r="G158">
        <f>SUMIF('Isi Data'!B$1:B$65536,SNI!C$1:C$65536,'Isi Data'!E$1:E$65536)</f>
        <v>0</v>
      </c>
      <c r="I158">
        <f>F158*G158</f>
        <v>0</v>
      </c>
    </row>
    <row r="159">
      <c r="E159" t="str">
        <v xml:space="preserve"> </v>
      </c>
      <c r="G159">
        <f>SUMIF('Isi Data'!B$1:B$65536,SNI!C$1:C$65536,'Isi Data'!E$1:E$65536)</f>
        <v>0</v>
      </c>
    </row>
    <row r="160">
      <c r="A160" t="str">
        <v>SNI 7394:2008-6.21</v>
      </c>
      <c r="B160" t="str">
        <v>M2</v>
      </c>
      <c r="C160" t="str">
        <v>Bekisting sloof beton</v>
      </c>
      <c r="G160">
        <f>SUMIF('Isi Data'!B$1:B$65536,SNI!C$1:C$65536,'Isi Data'!E$1:E$65536)</f>
        <v>0</v>
      </c>
      <c r="H160">
        <f>SUM(H161:H167)</f>
        <v>0</v>
      </c>
      <c r="I160">
        <f>SUM(I161:I167)</f>
        <v>0</v>
      </c>
      <c r="J160">
        <f>$J$3</f>
        <v>0.1</v>
      </c>
      <c r="K160">
        <f>SUM(H160:I160)*(1+J160)</f>
        <v>0</v>
      </c>
      <c r="L160">
        <f>ROUND(K160,-2)</f>
        <v>0</v>
      </c>
    </row>
    <row r="161">
      <c r="C161" t="str">
        <f>'Isi Data'!B39</f>
        <v>Kayu Klas III</v>
      </c>
      <c r="E161" t="str">
        <v>m3</v>
      </c>
      <c r="F161">
        <v>0.045</v>
      </c>
      <c r="G161">
        <f>SUMIF('Isi Data'!B$1:B$65536,SNI!C$1:C$65536,'Isi Data'!E$1:E$65536)</f>
        <v>0</v>
      </c>
      <c r="H161">
        <f>F161*G161</f>
        <v>0</v>
      </c>
      <c r="M161" t="str">
        <f>IF(G161=0,"edit"," ")</f>
        <v>edit</v>
      </c>
    </row>
    <row r="162">
      <c r="C162" t="str">
        <f>'Isi Data'!B82</f>
        <v>Paku 5 s/d 10 cm</v>
      </c>
      <c r="E162" t="str">
        <v>kg</v>
      </c>
      <c r="F162">
        <v>0.3</v>
      </c>
      <c r="G162">
        <f>SUMIF('Isi Data'!B$1:B$65536,SNI!C$1:C$65536,'Isi Data'!E$1:E$65536)</f>
        <v>0</v>
      </c>
      <c r="H162">
        <f>F162*G162</f>
        <v>0</v>
      </c>
      <c r="M162" t="str">
        <f>IF(G162=0,"edit"," ")</f>
        <v>edit</v>
      </c>
    </row>
    <row r="163">
      <c r="C163" t="str">
        <f>'Isi Data'!B99</f>
        <v>Minyak bekisting</v>
      </c>
      <c r="E163" t="str">
        <v>ltr</v>
      </c>
      <c r="F163">
        <v>0.1</v>
      </c>
      <c r="G163">
        <f>SUMIF('Isi Data'!B$1:B$65536,SNI!C$1:C$65536,'Isi Data'!E$1:E$65536)</f>
        <v>0</v>
      </c>
      <c r="H163">
        <f>F163*G163</f>
        <v>0</v>
      </c>
      <c r="M163" t="str">
        <f>IF(G163=0,"edit"," ")</f>
        <v>edit</v>
      </c>
    </row>
    <row r="164">
      <c r="C164" t="str">
        <f>'Isi Data'!B168</f>
        <v>Pekerja</v>
      </c>
      <c r="E164" t="str">
        <v>org/hr</v>
      </c>
      <c r="F164">
        <v>0.52</v>
      </c>
      <c r="G164">
        <f>SUMIF('Isi Data'!B$1:B$65536,SNI!C$1:C$65536,'Isi Data'!E$1:E$65536)</f>
        <v>0</v>
      </c>
      <c r="I164">
        <f>F164*G164</f>
        <v>0</v>
      </c>
      <c r="M164" t="str">
        <f>IF(G164=0,"edit"," ")</f>
        <v>edit</v>
      </c>
    </row>
    <row r="165">
      <c r="C165" t="str">
        <f>'Isi Data'!B158</f>
        <v xml:space="preserve">Tukang Kayu Kasar </v>
      </c>
      <c r="E165" t="str">
        <v>org/hr</v>
      </c>
      <c r="F165">
        <v>0.26</v>
      </c>
      <c r="G165">
        <f>SUMIF('Isi Data'!B$1:B$65536,SNI!C$1:C$65536,'Isi Data'!E$1:E$65536)</f>
        <v>0</v>
      </c>
      <c r="I165">
        <f>F165*G165</f>
        <v>0</v>
      </c>
      <c r="M165" t="str">
        <f>IF(G165=0,"edit"," ")</f>
        <v>edit</v>
      </c>
    </row>
    <row r="166">
      <c r="C166" t="str">
        <f>'Isi Data'!B160</f>
        <v>Kepala Tukang Kayu</v>
      </c>
      <c r="E166" t="str">
        <v>org/hr</v>
      </c>
      <c r="F166">
        <v>0.026</v>
      </c>
      <c r="G166">
        <f>SUMIF('Isi Data'!B$1:B$65536,SNI!C$1:C$65536,'Isi Data'!E$1:E$65536)</f>
        <v>0</v>
      </c>
      <c r="I166">
        <f>F166*G166</f>
        <v>0</v>
      </c>
      <c r="M166" t="str">
        <f>IF(G166=0,"edit"," ")</f>
        <v>edit</v>
      </c>
    </row>
    <row r="167">
      <c r="C167" t="str">
        <f>'Isi Data'!B169</f>
        <v xml:space="preserve">Mandor </v>
      </c>
      <c r="E167" t="str">
        <v>org/hr</v>
      </c>
      <c r="F167">
        <v>0.026</v>
      </c>
      <c r="G167">
        <f>SUMIF('Isi Data'!B$1:B$65536,SNI!C$1:C$65536,'Isi Data'!E$1:E$65536)</f>
        <v>0</v>
      </c>
      <c r="I167">
        <f>F167*G167</f>
        <v>0</v>
      </c>
      <c r="M167" t="str">
        <f>IF(G167=0,"edit"," ")</f>
        <v>edit</v>
      </c>
    </row>
    <row r="168">
      <c r="G168">
        <f>SUMIF('Isi Data'!B$1:B$65536,SNI!C$1:C$65536,'Isi Data'!E$1:E$65536)</f>
        <v>0</v>
      </c>
    </row>
    <row r="169">
      <c r="A169" t="str">
        <v>SNI DT 91-0006-2007</v>
      </c>
      <c r="B169" t="str">
        <v>M2</v>
      </c>
      <c r="C169" t="str">
        <v>Bekisting Praktis beton</v>
      </c>
      <c r="G169">
        <f>SUMIF('Isi Data'!B$1:B$65536,SNI!C$1:C$65536,'Isi Data'!E$1:E$65536)</f>
        <v>0</v>
      </c>
      <c r="H169">
        <f>SUM(H170:H176)</f>
        <v>0</v>
      </c>
      <c r="I169">
        <f>SUM(I170:I176)</f>
        <v>0</v>
      </c>
      <c r="J169">
        <f>$J$3</f>
        <v>0.1</v>
      </c>
      <c r="K169">
        <f>SUM(H169:I169)*(1+J169)</f>
        <v>0</v>
      </c>
      <c r="L169">
        <f>ROUND(K169,-2)</f>
        <v>0</v>
      </c>
    </row>
    <row r="170">
      <c r="C170" t="str">
        <f>'Isi Data'!B40</f>
        <v>Kayu Klas IV</v>
      </c>
      <c r="D170" t="str">
        <v>Kayu klas IV</v>
      </c>
      <c r="E170" t="str">
        <v>m3</v>
      </c>
      <c r="F170">
        <v>0.002</v>
      </c>
      <c r="G170">
        <f>SUMIF('Isi Data'!B$1:B$65536,SNI!C$1:C$65536,'Isi Data'!E$1:E$65536)</f>
        <v>0</v>
      </c>
      <c r="H170">
        <f>F170*G170</f>
        <v>0</v>
      </c>
    </row>
    <row r="171">
      <c r="C171" t="str">
        <f>'Isi Data'!B82</f>
        <v>Paku 5 s/d 10 cm</v>
      </c>
      <c r="E171" t="str">
        <v>kg</v>
      </c>
      <c r="F171">
        <v>0.01</v>
      </c>
      <c r="G171">
        <f>SUMIF('Isi Data'!B$1:B$65536,SNI!C$1:C$65536,'Isi Data'!E$1:E$65536)</f>
        <v>0</v>
      </c>
      <c r="H171">
        <f>F171*G171</f>
        <v>0</v>
      </c>
    </row>
    <row r="172">
      <c r="C172" t="str">
        <f>'Isi Data'!B99</f>
        <v>Minyak bekisting</v>
      </c>
      <c r="E172" t="str">
        <v>ltr</v>
      </c>
      <c r="F172">
        <v>0.1</v>
      </c>
      <c r="G172">
        <f>SUMIF('Isi Data'!B$1:B$65536,SNI!C$1:C$65536,'Isi Data'!E$1:E$65536)</f>
        <v>0</v>
      </c>
      <c r="H172">
        <f>F172*G172</f>
        <v>0</v>
      </c>
    </row>
    <row r="173">
      <c r="C173" t="str">
        <f>'Isi Data'!B168</f>
        <v>Pekerja</v>
      </c>
      <c r="E173" t="str">
        <v>org/hr</v>
      </c>
      <c r="F173">
        <v>0.52</v>
      </c>
      <c r="G173">
        <f>SUMIF('Isi Data'!B$1:B$65536,SNI!C$1:C$65536,'Isi Data'!E$1:E$65536)</f>
        <v>0</v>
      </c>
      <c r="I173">
        <f>F173*G173</f>
        <v>0</v>
      </c>
    </row>
    <row r="174">
      <c r="C174" t="str">
        <f>'Isi Data'!B158</f>
        <v xml:space="preserve">Tukang Kayu Kasar </v>
      </c>
      <c r="E174" t="str">
        <v>org/hr</v>
      </c>
      <c r="F174">
        <v>0.26</v>
      </c>
      <c r="G174">
        <f>SUMIF('Isi Data'!B$1:B$65536,SNI!C$1:C$65536,'Isi Data'!E$1:E$65536)</f>
        <v>0</v>
      </c>
      <c r="I174">
        <f>F174*G174</f>
        <v>0</v>
      </c>
    </row>
    <row r="175">
      <c r="C175" t="str">
        <f>'Isi Data'!B160</f>
        <v>Kepala Tukang Kayu</v>
      </c>
      <c r="E175" t="str">
        <v>org/hr</v>
      </c>
      <c r="F175">
        <v>0.026</v>
      </c>
      <c r="G175">
        <f>SUMIF('Isi Data'!B$1:B$65536,SNI!C$1:C$65536,'Isi Data'!E$1:E$65536)</f>
        <v>0</v>
      </c>
      <c r="I175">
        <f>F175*G175</f>
        <v>0</v>
      </c>
    </row>
    <row r="176">
      <c r="C176" t="str">
        <f>'Isi Data'!B169</f>
        <v xml:space="preserve">Mandor </v>
      </c>
      <c r="E176" t="str">
        <v>org/hr</v>
      </c>
      <c r="F176">
        <v>0.026</v>
      </c>
      <c r="G176">
        <f>SUMIF('Isi Data'!B$1:B$65536,SNI!C$1:C$65536,'Isi Data'!E$1:E$65536)</f>
        <v>0</v>
      </c>
      <c r="I176">
        <f>F176*G176</f>
        <v>0</v>
      </c>
    </row>
    <row r="177">
      <c r="G177">
        <f>SUMIF('Isi Data'!B$1:B$65536,SNI!C$1:C$65536,'Isi Data'!E$1:E$65536)</f>
        <v>0</v>
      </c>
    </row>
    <row r="178">
      <c r="G178">
        <f>SUMIF('Isi Data'!B$1:B$65536,SNI!C$1:C$65536,'Isi Data'!E$1:E$65536)</f>
        <v>0</v>
      </c>
    </row>
    <row r="179">
      <c r="A179" t="str">
        <v>SNI 7394:2008-6.24</v>
      </c>
      <c r="B179" t="str">
        <v>M2</v>
      </c>
      <c r="C179" t="str">
        <v>Bekisting beton plat lantai</v>
      </c>
      <c r="H179">
        <f>SUM(H180:H189)</f>
        <v>0</v>
      </c>
      <c r="I179">
        <f>SUM(I180:I189)</f>
        <v>0</v>
      </c>
      <c r="J179">
        <f>$J$3</f>
        <v>0.1</v>
      </c>
      <c r="K179">
        <f>SUM(H179:I179)*(1+J179)</f>
        <v>0</v>
      </c>
      <c r="L179">
        <f>ROUND(K179,-2)</f>
        <v>0</v>
      </c>
    </row>
    <row r="180">
      <c r="C180" t="str">
        <f>'Isi Data'!B60</f>
        <v>Triplex  t. 9 mm</v>
      </c>
      <c r="E180" t="str">
        <v>lbr</v>
      </c>
      <c r="F180">
        <v>0.35</v>
      </c>
      <c r="G180">
        <f>SUMIF('Isi Data'!B$1:B$65536,SNI!C$1:C$65536,'Isi Data'!E$1:E$65536)</f>
        <v>0</v>
      </c>
      <c r="H180">
        <f>F180*G180</f>
        <v>0</v>
      </c>
    </row>
    <row r="181">
      <c r="C181" t="str">
        <f>'Isi Data'!B82</f>
        <v>Paku 5 s/d 10 cm</v>
      </c>
      <c r="E181" t="str">
        <v>kg</v>
      </c>
      <c r="F181">
        <v>0.4</v>
      </c>
      <c r="G181">
        <f>SUMIF('Isi Data'!B$1:B$65536,SNI!C$1:C$65536,'Isi Data'!E$1:E$65536)</f>
        <v>0</v>
      </c>
      <c r="H181">
        <f>F181*G181</f>
        <v>0</v>
      </c>
    </row>
    <row r="182">
      <c r="C182" t="str">
        <f>'Isi Data'!B38</f>
        <v>Kayu Klas II</v>
      </c>
      <c r="D182" t="str">
        <v>Balok,Kayu klas III</v>
      </c>
      <c r="E182" t="str">
        <v>m3</v>
      </c>
      <c r="F182">
        <f>0.015</f>
        <v>0.015</v>
      </c>
      <c r="G182">
        <f>SUMIF('Isi Data'!B$1:B$65536,SNI!C$1:C$65536,'Isi Data'!E$1:E$65536)</f>
        <v>0</v>
      </c>
      <c r="H182">
        <f>F182*G182</f>
        <v>0</v>
      </c>
    </row>
    <row r="183">
      <c r="C183" t="str">
        <f>'Isi Data'!B39</f>
        <v>Kayu Klas III</v>
      </c>
      <c r="D183" t="str">
        <v>Kaso, Kayu klas IV</v>
      </c>
      <c r="E183" t="str">
        <v>m3</v>
      </c>
      <c r="F183">
        <v>0.04</v>
      </c>
      <c r="G183">
        <f>SUMIF('Isi Data'!B$1:B$65536,SNI!C$1:C$65536,'Isi Data'!E$1:E$65536)</f>
        <v>0</v>
      </c>
      <c r="H183">
        <f>F183*G183</f>
        <v>0</v>
      </c>
    </row>
    <row r="184">
      <c r="C184" t="str">
        <f>'Isi Data'!B41</f>
        <v>Dolken dia 8 s/d 10 cm</v>
      </c>
      <c r="E184" t="str">
        <v>btg</v>
      </c>
      <c r="F184">
        <v>6</v>
      </c>
      <c r="G184">
        <f>SUMIF('Isi Data'!B$1:B$65536,SNI!C$1:C$65536,'Isi Data'!E$1:E$65536)</f>
        <v>0</v>
      </c>
      <c r="H184">
        <f>F184*G184</f>
        <v>0</v>
      </c>
    </row>
    <row r="185">
      <c r="C185" t="str">
        <f>'Isi Data'!B99</f>
        <v>Minyak bekisting</v>
      </c>
      <c r="E185" t="str">
        <v>ltr</v>
      </c>
      <c r="F185">
        <v>0.2</v>
      </c>
      <c r="G185">
        <f>SUMIF('Isi Data'!B$1:B$65536,SNI!C$1:C$65536,'Isi Data'!E$1:E$65536)</f>
        <v>0</v>
      </c>
      <c r="H185">
        <f>F185*G185</f>
        <v>0</v>
      </c>
    </row>
    <row r="186">
      <c r="C186" t="str">
        <f>'Isi Data'!B168</f>
        <v>Pekerja</v>
      </c>
      <c r="E186" t="str">
        <v>org/hr</v>
      </c>
      <c r="F186">
        <v>0.66</v>
      </c>
      <c r="G186">
        <f>SUMIF('Isi Data'!B$1:B$65536,SNI!C$1:C$65536,'Isi Data'!E$1:E$65536)</f>
        <v>0</v>
      </c>
      <c r="I186">
        <f>F186*G186</f>
        <v>0</v>
      </c>
    </row>
    <row r="187">
      <c r="C187" t="str">
        <f>'Isi Data'!B158</f>
        <v xml:space="preserve">Tukang Kayu Kasar </v>
      </c>
      <c r="E187" t="str">
        <v>org/hr</v>
      </c>
      <c r="F187">
        <v>0.33</v>
      </c>
      <c r="G187">
        <f>SUMIF('Isi Data'!B$1:B$65536,SNI!C$1:C$65536,'Isi Data'!E$1:E$65536)</f>
        <v>0</v>
      </c>
      <c r="I187">
        <f>F187*G187</f>
        <v>0</v>
      </c>
    </row>
    <row r="188">
      <c r="C188" t="str">
        <f>'Isi Data'!B160</f>
        <v>Kepala Tukang Kayu</v>
      </c>
      <c r="E188" t="str">
        <v>org/hr</v>
      </c>
      <c r="F188">
        <v>0.033</v>
      </c>
      <c r="G188">
        <f>SUMIF('Isi Data'!B$1:B$65536,SNI!C$1:C$65536,'Isi Data'!E$1:E$65536)</f>
        <v>0</v>
      </c>
      <c r="I188">
        <f>F188*G188</f>
        <v>0</v>
      </c>
    </row>
    <row r="189">
      <c r="C189" t="str">
        <f>'Isi Data'!B169</f>
        <v xml:space="preserve">Mandor </v>
      </c>
      <c r="E189" t="str">
        <v>org/hr</v>
      </c>
      <c r="F189">
        <v>0.033</v>
      </c>
      <c r="G189">
        <f>SUMIF('Isi Data'!B$1:B$65536,SNI!C$1:C$65536,'Isi Data'!E$1:E$65536)</f>
        <v>0</v>
      </c>
      <c r="I189">
        <f>F189*G189</f>
        <v>0</v>
      </c>
    </row>
    <row r="190">
      <c r="G190">
        <f>SUMIF('Isi Data'!B$1:B$65536,SNI!C$1:C$65536,'Isi Data'!E$1:E$65536)</f>
        <v>0</v>
      </c>
    </row>
    <row r="191">
      <c r="A191" t="str">
        <v>SNI 7394:2008-6.22</v>
      </c>
      <c r="B191" t="str">
        <v>M2</v>
      </c>
      <c r="C191" t="str">
        <v>Bekisting kolom beton</v>
      </c>
      <c r="G191">
        <f>SUMIF('Isi Data'!B$1:B$65536,SNI!C$1:C$65536,'Isi Data'!E$1:E$65536)</f>
        <v>0</v>
      </c>
      <c r="H191">
        <f>SUM(H192:H201)</f>
        <v>0</v>
      </c>
      <c r="I191">
        <f>SUM(I192:I201)</f>
        <v>0</v>
      </c>
      <c r="J191">
        <f>$J$3</f>
        <v>0.1</v>
      </c>
      <c r="K191">
        <f>SUM(H191:I191)*(1+J191)</f>
        <v>0</v>
      </c>
      <c r="L191">
        <f>ROUND(K191,-2)</f>
        <v>0</v>
      </c>
    </row>
    <row r="192">
      <c r="C192" t="str">
        <f>'Isi Data'!B60</f>
        <v>Triplex  t. 9 mm</v>
      </c>
      <c r="E192" t="str">
        <v>lbr</v>
      </c>
      <c r="F192">
        <v>0.35</v>
      </c>
      <c r="G192">
        <f>SUMIF('Isi Data'!B$1:B$65536,SNI!C$1:C$65536,'Isi Data'!E$1:E$65536)</f>
        <v>0</v>
      </c>
      <c r="H192">
        <f>F192*G192</f>
        <v>0</v>
      </c>
      <c r="M192" t="str">
        <f>IF(G192=0,"edit"," ")</f>
        <v>edit</v>
      </c>
    </row>
    <row r="193">
      <c r="C193" t="str">
        <f>'Isi Data'!B82</f>
        <v>Paku 5 s/d 10 cm</v>
      </c>
      <c r="E193" t="str">
        <v>kg</v>
      </c>
      <c r="F193">
        <v>0.4</v>
      </c>
      <c r="G193">
        <f>SUMIF('Isi Data'!B$1:B$65536,SNI!C$1:C$65536,'Isi Data'!E$1:E$65536)</f>
        <v>0</v>
      </c>
      <c r="H193">
        <f>F193*G193</f>
        <v>0</v>
      </c>
      <c r="M193" t="str">
        <f>IF(G193=0,"edit"," ")</f>
        <v>edit</v>
      </c>
    </row>
    <row r="194">
      <c r="C194" t="str">
        <f>'Isi Data'!B38</f>
        <v>Kayu Klas II</v>
      </c>
      <c r="D194" t="str">
        <v>Balok, Kayu klas IV</v>
      </c>
      <c r="E194" t="str">
        <v>m3</v>
      </c>
      <c r="F194">
        <v>0.015</v>
      </c>
      <c r="G194">
        <f>SUMIF('Isi Data'!B$1:B$65536,SNI!C$1:C$65536,'Isi Data'!E$1:E$65536)</f>
        <v>0</v>
      </c>
      <c r="H194">
        <f>F194*G194</f>
        <v>0</v>
      </c>
      <c r="M194" t="str">
        <f>IF(G194=0,"edit"," ")</f>
        <v>edit</v>
      </c>
    </row>
    <row r="195">
      <c r="C195" t="str">
        <f>'Isi Data'!B39</f>
        <v>Kayu Klas III</v>
      </c>
      <c r="D195" t="str">
        <v>Kaso, Kayu klas IV</v>
      </c>
      <c r="E195" t="str">
        <v>m3</v>
      </c>
      <c r="F195">
        <v>0.04</v>
      </c>
      <c r="G195">
        <f>SUMIF('Isi Data'!B$1:B$65536,SNI!C$1:C$65536,'Isi Data'!E$1:E$65536)</f>
        <v>0</v>
      </c>
      <c r="H195">
        <f>F195*G195</f>
        <v>0</v>
      </c>
      <c r="M195" t="str">
        <f>IF(G195=0,"edit"," ")</f>
        <v>edit</v>
      </c>
    </row>
    <row r="196">
      <c r="C196" t="str">
        <f>'Isi Data'!B41</f>
        <v>Dolken dia 8 s/d 10 cm</v>
      </c>
      <c r="E196" t="str">
        <v>btg</v>
      </c>
      <c r="F196">
        <v>2</v>
      </c>
      <c r="G196">
        <f>SUMIF('Isi Data'!B$1:B$65536,SNI!C$1:C$65536,'Isi Data'!E$1:E$65536)</f>
        <v>0</v>
      </c>
      <c r="H196">
        <f>F196*G196</f>
        <v>0</v>
      </c>
      <c r="M196" t="str">
        <f>IF(G196=0,"edit"," ")</f>
        <v>edit</v>
      </c>
    </row>
    <row r="197">
      <c r="C197" t="str">
        <f>'Isi Data'!B99</f>
        <v>Minyak bekisting</v>
      </c>
      <c r="E197" t="str">
        <v>ltr</v>
      </c>
      <c r="F197">
        <v>0.2</v>
      </c>
      <c r="G197">
        <f>SUMIF('Isi Data'!B$1:B$65536,SNI!C$1:C$65536,'Isi Data'!E$1:E$65536)</f>
        <v>0</v>
      </c>
      <c r="H197">
        <f>F197*G197</f>
        <v>0</v>
      </c>
      <c r="M197" t="str">
        <f>IF(G197=0,"edit"," ")</f>
        <v>edit</v>
      </c>
    </row>
    <row r="198">
      <c r="C198" t="str">
        <f>'Isi Data'!B168</f>
        <v>Pekerja</v>
      </c>
      <c r="E198" t="str">
        <v>org/hr</v>
      </c>
      <c r="F198">
        <v>0.66</v>
      </c>
      <c r="G198">
        <f>SUMIF('Isi Data'!B$1:B$65536,SNI!C$1:C$65536,'Isi Data'!E$1:E$65536)</f>
        <v>0</v>
      </c>
      <c r="I198">
        <f>F198*G198</f>
        <v>0</v>
      </c>
      <c r="M198" t="str">
        <f>IF(G198=0,"edit"," ")</f>
        <v>edit</v>
      </c>
    </row>
    <row r="199">
      <c r="C199" t="str">
        <f>'Isi Data'!B158</f>
        <v xml:space="preserve">Tukang Kayu Kasar </v>
      </c>
      <c r="E199" t="str">
        <v>org/hr</v>
      </c>
      <c r="F199">
        <v>0.33</v>
      </c>
      <c r="G199">
        <f>SUMIF('Isi Data'!B$1:B$65536,SNI!C$1:C$65536,'Isi Data'!E$1:E$65536)</f>
        <v>0</v>
      </c>
      <c r="I199">
        <f>F199*G199</f>
        <v>0</v>
      </c>
      <c r="M199" t="str">
        <f>IF(G199=0,"edit"," ")</f>
        <v>edit</v>
      </c>
    </row>
    <row r="200">
      <c r="C200" t="str">
        <f>'Isi Data'!B160</f>
        <v>Kepala Tukang Kayu</v>
      </c>
      <c r="E200" t="str">
        <v>org/hr</v>
      </c>
      <c r="F200">
        <v>0.033</v>
      </c>
      <c r="G200">
        <f>SUMIF('Isi Data'!B$1:B$65536,SNI!C$1:C$65536,'Isi Data'!E$1:E$65536)</f>
        <v>0</v>
      </c>
      <c r="I200">
        <f>F200*G200</f>
        <v>0</v>
      </c>
      <c r="M200" t="str">
        <f>IF(G200=0,"edit"," ")</f>
        <v>edit</v>
      </c>
    </row>
    <row r="201">
      <c r="C201" t="str">
        <f>'Isi Data'!B169</f>
        <v xml:space="preserve">Mandor </v>
      </c>
      <c r="E201" t="str">
        <v>org/hr</v>
      </c>
      <c r="F201">
        <v>0.033</v>
      </c>
      <c r="G201">
        <f>SUMIF('Isi Data'!B$1:B$65536,SNI!C$1:C$65536,'Isi Data'!E$1:E$65536)</f>
        <v>0</v>
      </c>
      <c r="I201">
        <f>F201*G201</f>
        <v>0</v>
      </c>
      <c r="M201" t="str">
        <f>IF(G201=0,"edit"," ")</f>
        <v>edit</v>
      </c>
    </row>
    <row r="202">
      <c r="G202">
        <f>SUMIF('Isi Data'!B$1:B$65536,SNI!C$1:C$65536,'Isi Data'!E$1:E$65536)</f>
        <v>0</v>
      </c>
    </row>
    <row r="203">
      <c r="A203" t="str">
        <v>SNI 7394:2008-6.23</v>
      </c>
      <c r="B203" t="str">
        <v>M2</v>
      </c>
      <c r="C203" t="str">
        <v>Bekisting balok beton</v>
      </c>
      <c r="G203">
        <f>SUMIF('Isi Data'!B$1:B$65536,SNI!C$1:C$65536,'Isi Data'!E$1:E$65536)</f>
        <v>0</v>
      </c>
      <c r="H203">
        <f>SUM(H204:H213)</f>
        <v>0</v>
      </c>
      <c r="I203">
        <f>SUM(I204:I213)</f>
        <v>0</v>
      </c>
      <c r="J203">
        <f>$J$3</f>
        <v>0.1</v>
      </c>
      <c r="K203">
        <f>SUM(H203:I203)*(1+J203)</f>
        <v>0</v>
      </c>
      <c r="L203">
        <f>ROUND(K203,-2)</f>
        <v>0</v>
      </c>
    </row>
    <row r="204">
      <c r="C204" t="str">
        <f>'Isi Data'!B60</f>
        <v>Triplex  t. 9 mm</v>
      </c>
      <c r="E204" t="str">
        <v>lbr</v>
      </c>
      <c r="F204">
        <v>0.35</v>
      </c>
      <c r="G204">
        <f>SUMIF('Isi Data'!B$1:B$65536,SNI!C$1:C$65536,'Isi Data'!E$1:E$65536)</f>
        <v>0</v>
      </c>
      <c r="H204">
        <f>F204*G204</f>
        <v>0</v>
      </c>
    </row>
    <row r="205">
      <c r="C205" t="str">
        <f>'Isi Data'!B82</f>
        <v>Paku 5 s/d 10 cm</v>
      </c>
      <c r="E205" t="str">
        <v>kg</v>
      </c>
      <c r="F205">
        <v>0.4</v>
      </c>
      <c r="G205">
        <f>SUMIF('Isi Data'!B$1:B$65536,SNI!C$1:C$65536,'Isi Data'!E$1:E$65536)</f>
        <v>0</v>
      </c>
      <c r="H205">
        <f>F205*G205</f>
        <v>0</v>
      </c>
    </row>
    <row r="206">
      <c r="C206" t="str">
        <f>'Isi Data'!B38</f>
        <v>Kayu Klas II</v>
      </c>
      <c r="D206" t="str">
        <v>Balok,Kayu klas III</v>
      </c>
      <c r="E206" t="str">
        <v>m3</v>
      </c>
      <c r="F206">
        <v>0.018</v>
      </c>
      <c r="G206">
        <f>SUMIF('Isi Data'!B$1:B$65536,SNI!C$1:C$65536,'Isi Data'!E$1:E$65536)</f>
        <v>0</v>
      </c>
      <c r="H206">
        <f>F206*G206</f>
        <v>0</v>
      </c>
    </row>
    <row r="207">
      <c r="C207" t="str">
        <f>'Isi Data'!B39</f>
        <v>Kayu Klas III</v>
      </c>
      <c r="D207" t="str">
        <v>Kaso, Kayu klas IV</v>
      </c>
      <c r="E207" t="str">
        <v>m3</v>
      </c>
      <c r="F207">
        <v>0.04</v>
      </c>
      <c r="G207">
        <f>SUMIF('Isi Data'!B$1:B$65536,SNI!C$1:C$65536,'Isi Data'!E$1:E$65536)</f>
        <v>0</v>
      </c>
      <c r="H207">
        <f>F207*G207</f>
        <v>0</v>
      </c>
    </row>
    <row r="208">
      <c r="C208" t="str">
        <f>'Isi Data'!B41</f>
        <v>Dolken dia 8 s/d 10 cm</v>
      </c>
      <c r="E208" t="str">
        <v>btg</v>
      </c>
      <c r="F208">
        <v>2</v>
      </c>
      <c r="G208">
        <f>SUMIF('Isi Data'!B$1:B$65536,SNI!C$1:C$65536,'Isi Data'!E$1:E$65536)</f>
        <v>0</v>
      </c>
      <c r="H208">
        <f>F208*G208</f>
        <v>0</v>
      </c>
    </row>
    <row r="209">
      <c r="C209" t="str">
        <f>'Isi Data'!B99</f>
        <v>Minyak bekisting</v>
      </c>
      <c r="E209" t="str">
        <v>ltr</v>
      </c>
      <c r="F209">
        <v>0.2</v>
      </c>
      <c r="G209">
        <f>SUMIF('Isi Data'!B$1:B$65536,SNI!C$1:C$65536,'Isi Data'!E$1:E$65536)</f>
        <v>0</v>
      </c>
      <c r="H209">
        <f>F209*G209</f>
        <v>0</v>
      </c>
    </row>
    <row r="210">
      <c r="C210" t="str">
        <f>'Isi Data'!B168</f>
        <v>Pekerja</v>
      </c>
      <c r="E210" t="str">
        <v>org/hr</v>
      </c>
      <c r="F210">
        <v>0.66</v>
      </c>
      <c r="G210">
        <f>SUMIF('Isi Data'!B$1:B$65536,SNI!C$1:C$65536,'Isi Data'!E$1:E$65536)</f>
        <v>0</v>
      </c>
      <c r="I210">
        <f>F210*G210</f>
        <v>0</v>
      </c>
    </row>
    <row r="211">
      <c r="C211" t="str">
        <f>'Isi Data'!B158</f>
        <v xml:space="preserve">Tukang Kayu Kasar </v>
      </c>
      <c r="E211" t="str">
        <v>org/hr</v>
      </c>
      <c r="F211">
        <v>0.33</v>
      </c>
      <c r="G211">
        <f>SUMIF('Isi Data'!B$1:B$65536,SNI!C$1:C$65536,'Isi Data'!E$1:E$65536)</f>
        <v>0</v>
      </c>
      <c r="I211">
        <f>F211*G211</f>
        <v>0</v>
      </c>
    </row>
    <row r="212">
      <c r="C212" t="str">
        <f>'Isi Data'!B160</f>
        <v>Kepala Tukang Kayu</v>
      </c>
      <c r="E212" t="str">
        <v>org/hr</v>
      </c>
      <c r="F212">
        <v>0.033</v>
      </c>
      <c r="G212">
        <f>SUMIF('Isi Data'!B$1:B$65536,SNI!C$1:C$65536,'Isi Data'!E$1:E$65536)</f>
        <v>0</v>
      </c>
      <c r="I212">
        <f>F212*G212</f>
        <v>0</v>
      </c>
    </row>
    <row r="213">
      <c r="C213" t="str">
        <f>'Isi Data'!B169</f>
        <v xml:space="preserve">Mandor </v>
      </c>
      <c r="E213" t="str">
        <v>org/hr</v>
      </c>
      <c r="F213">
        <v>0.033</v>
      </c>
      <c r="G213">
        <f>SUMIF('Isi Data'!B$1:B$65536,SNI!C$1:C$65536,'Isi Data'!E$1:E$65536)</f>
        <v>0</v>
      </c>
      <c r="I213">
        <f>F213*G213</f>
        <v>0</v>
      </c>
    </row>
    <row r="214">
      <c r="G214">
        <f>SUMIF('Isi Data'!B$1:B$65536,SNI!C$1:C$65536,'Isi Data'!E$1:E$65536)</f>
        <v>0</v>
      </c>
    </row>
    <row r="215">
      <c r="B215" t="str">
        <v>M2</v>
      </c>
      <c r="C215" t="str">
        <v>Pas. Lantai kerja beton tumbuk 1:3:5</v>
      </c>
      <c r="D215" t="str">
        <v>t. 10 cm</v>
      </c>
      <c r="G215">
        <f>SUMIF('Isi Data'!B$1:B$65536,SNI!C$1:C$65536,'Isi Data'!E$1:E$65536)</f>
        <v>0</v>
      </c>
      <c r="H215">
        <f>SUM(H216:H218)</f>
        <v>0</v>
      </c>
      <c r="I215">
        <f>SUM(I216:I218)</f>
        <v>0</v>
      </c>
      <c r="J215">
        <f>$J$3</f>
        <v>0.1</v>
      </c>
      <c r="K215">
        <f>SUM(H215:I215)*(1+J215)</f>
        <v>0</v>
      </c>
      <c r="L215">
        <f>ROUND(K215,-2)</f>
        <v>0</v>
      </c>
    </row>
    <row r="216">
      <c r="C216" t="str">
        <f>'Isi Data'!B25</f>
        <v>Semen (50 Kg)</v>
      </c>
      <c r="E216" t="str">
        <v>zak</v>
      </c>
      <c r="F216">
        <v>0.3</v>
      </c>
      <c r="G216">
        <f>SUMIF('Isi Data'!B$1:B$65536,SNI!C$1:C$65536,'Isi Data'!E$1:E$65536)</f>
        <v>0</v>
      </c>
      <c r="H216">
        <f>F216*G216</f>
        <v>0</v>
      </c>
      <c r="M216" t="str">
        <f>IF(G216=0,"edit"," ")</f>
        <v>edit</v>
      </c>
    </row>
    <row r="217">
      <c r="C217" t="str">
        <f>'Isi Data'!B19</f>
        <v>Pasir Beton</v>
      </c>
      <c r="E217" t="str">
        <v>m3</v>
      </c>
      <c r="F217">
        <v>0.063</v>
      </c>
      <c r="G217">
        <f>SUMIF('Isi Data'!B$1:B$65536,SNI!C$1:C$65536,'Isi Data'!E$1:E$65536)</f>
        <v>0</v>
      </c>
      <c r="H217">
        <f>F217*G217</f>
        <v>0</v>
      </c>
      <c r="M217" t="str">
        <f>IF(G217=0,"edit"," ")</f>
        <v>edit</v>
      </c>
    </row>
    <row r="218">
      <c r="C218" t="str">
        <f>'Isi Data'!B16</f>
        <v>Batu Split Pecah Mesin 1/2</v>
      </c>
      <c r="E218" t="str">
        <v>m3</v>
      </c>
      <c r="F218">
        <v>0.083</v>
      </c>
      <c r="G218">
        <f>SUMIF('Isi Data'!B$1:B$65536,SNI!C$1:C$65536,'Isi Data'!E$1:E$65536)</f>
        <v>0</v>
      </c>
      <c r="H218">
        <f>F218*G218</f>
        <v>0</v>
      </c>
      <c r="M218" t="str">
        <f>IF(G218=0,"edit"," ")</f>
        <v>edit</v>
      </c>
    </row>
    <row r="219">
      <c r="C219" t="str">
        <f>'Isi Data'!B168</f>
        <v>Pekerja</v>
      </c>
      <c r="E219" t="str">
        <v>org/hr</v>
      </c>
      <c r="F219">
        <v>0.13</v>
      </c>
      <c r="G219">
        <f>SUMIF('Isi Data'!B$1:B$65536,SNI!C$1:C$65536,'Isi Data'!E$1:E$65536)</f>
        <v>0</v>
      </c>
      <c r="I219">
        <f>F219*G219</f>
        <v>0</v>
      </c>
      <c r="M219" t="str">
        <f>IF(G219=0,"edit"," ")</f>
        <v>edit</v>
      </c>
    </row>
    <row r="220">
      <c r="C220" t="str">
        <f>'Isi Data'!B161</f>
        <v>Tukang Batu Kasar</v>
      </c>
      <c r="E220" t="str">
        <v>org/hr</v>
      </c>
      <c r="F220">
        <v>0.1</v>
      </c>
      <c r="G220">
        <f>SUMIF('Isi Data'!B$1:B$65536,SNI!C$1:C$65536,'Isi Data'!E$1:E$65536)</f>
        <v>0</v>
      </c>
      <c r="I220">
        <f>F220*G220</f>
        <v>0</v>
      </c>
      <c r="M220" t="str">
        <f>IF(G220=0,"edit"," ")</f>
        <v>edit</v>
      </c>
    </row>
    <row r="221">
      <c r="C221" t="str">
        <f>'Isi Data'!B163</f>
        <v>Kepala Tukang Batu</v>
      </c>
      <c r="E221" t="str">
        <v>org/hr</v>
      </c>
      <c r="F221">
        <v>0.01</v>
      </c>
      <c r="G221">
        <f>SUMIF('Isi Data'!B$1:B$65536,SNI!C$1:C$65536,'Isi Data'!E$1:E$65536)</f>
        <v>0</v>
      </c>
      <c r="I221">
        <f>F221*G221</f>
        <v>0</v>
      </c>
      <c r="M221" t="str">
        <f>IF(G221=0,"edit"," ")</f>
        <v>edit</v>
      </c>
    </row>
    <row r="222">
      <c r="C222" t="str">
        <f>'Isi Data'!B169</f>
        <v xml:space="preserve">Mandor </v>
      </c>
      <c r="E222" t="str">
        <v>org/hr</v>
      </c>
      <c r="F222">
        <v>0.01</v>
      </c>
      <c r="G222">
        <f>SUMIF('Isi Data'!B$1:B$65536,SNI!C$1:C$65536,'Isi Data'!E$1:E$65536)</f>
        <v>0</v>
      </c>
      <c r="I222">
        <f>F222*G222</f>
        <v>0</v>
      </c>
      <c r="M222" t="str">
        <f>IF(G222=0,"edit"," ")</f>
        <v>edit</v>
      </c>
    </row>
    <row r="223">
      <c r="G223">
        <f>SUMIF('Isi Data'!B$1:B$65536,SNI!C$1:C$65536,'Isi Data'!E$1:E$65536)</f>
        <v>0</v>
      </c>
    </row>
    <row r="225">
      <c r="C225" t="str">
        <v>PEKERJAAN DINDING</v>
      </c>
      <c r="G225">
        <f>SUMIF('Isi Data'!B$1:B$65536,SNI!C$1:C$65536,'Isi Data'!E$1:E$65536)</f>
        <v>0</v>
      </c>
    </row>
    <row r="226">
      <c r="A226" t="str">
        <v>SNI 6897:2008-6.16</v>
      </c>
      <c r="B226" t="str">
        <v>M2</v>
      </c>
      <c r="C226" t="str">
        <v>Pas. Dinding bata beton ringan; ad 1:3</v>
      </c>
      <c r="G226">
        <f>SUMIF('Isi Data'!B$1:B$65536,SNI!C$1:C$65536,'Isi Data'!E$1:E$65536)</f>
        <v>0</v>
      </c>
      <c r="H226">
        <f>SUM(H227:H234)</f>
        <v>0</v>
      </c>
      <c r="I226">
        <f>SUM(I227:I234)</f>
        <v>0</v>
      </c>
      <c r="J226">
        <f>$J$3</f>
        <v>0.1</v>
      </c>
      <c r="K226">
        <f>SUM(H226:I226)*(1+J226)</f>
        <v>0</v>
      </c>
      <c r="L226">
        <f>ROUND(K226,-2)</f>
        <v>0</v>
      </c>
    </row>
    <row r="227">
      <c r="C227" t="str">
        <f>'Isi Data'!B14</f>
        <v>Bata beton ringan ex Celcon</v>
      </c>
      <c r="E227" t="str">
        <v>bh</v>
      </c>
      <c r="F227">
        <f>1/0.2/0.4</f>
        <v>12.5</v>
      </c>
      <c r="G227">
        <f>SUMIF('Isi Data'!B$1:B$65536,SNI!C$1:C$65536,'Isi Data'!E$1:E$65536)</f>
        <v>0</v>
      </c>
      <c r="H227">
        <f>F227*G227</f>
        <v>0</v>
      </c>
    </row>
    <row r="228">
      <c r="C228" t="str">
        <f>'Isi Data'!B25</f>
        <v>Semen (50 Kg)</v>
      </c>
      <c r="E228" t="str">
        <v>zak</v>
      </c>
      <c r="F228">
        <f>30.32/50</f>
        <v>0.6064</v>
      </c>
      <c r="G228">
        <f>SUMIF('Isi Data'!B$1:B$65536,SNI!C$1:C$65536,'Isi Data'!E$1:E$65536)</f>
        <v>0</v>
      </c>
      <c r="H228">
        <f>F228*G228</f>
        <v>0</v>
      </c>
    </row>
    <row r="229">
      <c r="C229" t="str">
        <v>Besi angkur d= 8 mm</v>
      </c>
      <c r="E229" t="str">
        <v>kg</v>
      </c>
      <c r="F229">
        <v>0.28</v>
      </c>
      <c r="G229">
        <f>'Isi Data'!E31</f>
        <v>0</v>
      </c>
      <c r="H229">
        <f>F229*G229</f>
        <v>0</v>
      </c>
    </row>
    <row r="230">
      <c r="C230" t="str">
        <f>'Isi Data'!B20</f>
        <v>Pasir Pasang</v>
      </c>
      <c r="E230" t="str">
        <v>m3</v>
      </c>
      <c r="F230">
        <v>0.728</v>
      </c>
      <c r="G230">
        <f>SUMIF('Isi Data'!B$1:B$65536,SNI!C$1:C$65536,'Isi Data'!E$1:E$65536)</f>
        <v>0</v>
      </c>
      <c r="H230">
        <f>F230*G230</f>
        <v>0</v>
      </c>
    </row>
    <row r="231">
      <c r="C231" t="str">
        <f>'Isi Data'!B168</f>
        <v>Pekerja</v>
      </c>
      <c r="E231" t="str">
        <v>org/hr</v>
      </c>
      <c r="F231">
        <v>0.35</v>
      </c>
      <c r="G231">
        <f>SUMIF('Isi Data'!B$1:B$65536,SNI!C$1:C$65536,'Isi Data'!E$1:E$65536)</f>
        <v>0</v>
      </c>
      <c r="I231">
        <f>F231*G231</f>
        <v>0</v>
      </c>
    </row>
    <row r="232">
      <c r="C232" t="str">
        <f>'Isi Data'!B161</f>
        <v>Tukang Batu Kasar</v>
      </c>
      <c r="E232" t="str">
        <v>org/hr</v>
      </c>
      <c r="F232">
        <v>0.15</v>
      </c>
      <c r="G232">
        <f>SUMIF('Isi Data'!B$1:B$65536,SNI!C$1:C$65536,'Isi Data'!E$1:E$65536)</f>
        <v>0</v>
      </c>
      <c r="I232">
        <f>F232*G232</f>
        <v>0</v>
      </c>
    </row>
    <row r="233">
      <c r="C233" t="str">
        <f>'Isi Data'!B163</f>
        <v>Kepala Tukang Batu</v>
      </c>
      <c r="E233" t="str">
        <v>org/hr</v>
      </c>
      <c r="F233">
        <v>0.015</v>
      </c>
      <c r="G233">
        <f>SUMIF('Isi Data'!B$1:B$65536,SNI!C$1:C$65536,'Isi Data'!E$1:E$65536)</f>
        <v>0</v>
      </c>
      <c r="I233">
        <f>F233*G233</f>
        <v>0</v>
      </c>
    </row>
    <row r="234">
      <c r="C234" t="str">
        <f>'Isi Data'!B169</f>
        <v xml:space="preserve">Mandor </v>
      </c>
      <c r="E234" t="str">
        <v>org/hr</v>
      </c>
      <c r="F234">
        <v>0.018</v>
      </c>
      <c r="G234">
        <f>SUMIF('Isi Data'!B$1:B$65536,SNI!C$1:C$65536,'Isi Data'!E$1:E$65536)</f>
        <v>0</v>
      </c>
      <c r="I234">
        <f>F234*G234</f>
        <v>0</v>
      </c>
    </row>
    <row r="235">
      <c r="F235" t="str">
        <v xml:space="preserve"> </v>
      </c>
      <c r="G235">
        <f>SUMIF('Isi Data'!B$1:B$65536,SNI!C$1:C$65536,'Isi Data'!E$1:E$65536)</f>
        <v>0</v>
      </c>
    </row>
    <row r="236">
      <c r="A236" t="str">
        <v>SNI 6897:2008-6.17</v>
      </c>
      <c r="B236" t="str">
        <v>M2</v>
      </c>
      <c r="C236" t="str">
        <v>Pas. Dinding bata beton ringan; ad 1:4</v>
      </c>
      <c r="G236">
        <f>SUMIF('Isi Data'!B$1:B$65536,SNI!C$1:C$65536,'Isi Data'!E$1:E$65536)</f>
        <v>0</v>
      </c>
      <c r="H236">
        <f>SUM(H237:H244)</f>
        <v>0</v>
      </c>
      <c r="I236">
        <f>SUM(I237:I244)</f>
        <v>0</v>
      </c>
      <c r="J236">
        <f>$J$3</f>
        <v>0.1</v>
      </c>
      <c r="K236">
        <f>SUM(H236:I236)*(1+J236)</f>
        <v>0</v>
      </c>
      <c r="L236">
        <f>ROUND(K236,-2)</f>
        <v>0</v>
      </c>
    </row>
    <row r="237">
      <c r="C237" t="str">
        <f>'Isi Data'!B14</f>
        <v>Bata beton ringan ex Celcon</v>
      </c>
      <c r="E237" t="str">
        <v>bh</v>
      </c>
      <c r="F237">
        <f>1/0.2/0.4</f>
        <v>12.5</v>
      </c>
      <c r="G237">
        <f>SUMIF('Isi Data'!B$1:B$65536,SNI!C$1:C$65536,'Isi Data'!E$1:E$65536)</f>
        <v>0</v>
      </c>
      <c r="H237">
        <f>F237*G237</f>
        <v>0</v>
      </c>
      <c r="M237" t="str">
        <f>IF(G237=0,"edit"," ")</f>
        <v>edit</v>
      </c>
    </row>
    <row r="238">
      <c r="C238" t="str">
        <f>'Isi Data'!B25</f>
        <v>Semen (50 Kg)</v>
      </c>
      <c r="E238" t="str">
        <v>zak</v>
      </c>
      <c r="F238">
        <f>24.26/50</f>
        <v>0.4852</v>
      </c>
      <c r="G238">
        <f>SUMIF('Isi Data'!B$1:B$65536,SNI!C$1:C$65536,'Isi Data'!E$1:E$65536)</f>
        <v>0</v>
      </c>
      <c r="H238">
        <f>F238*G238</f>
        <v>0</v>
      </c>
      <c r="M238" t="str">
        <f>IF(G238=0,"edit"," ")</f>
        <v>edit</v>
      </c>
    </row>
    <row r="239">
      <c r="C239" t="str">
        <f>'Isi Data'!B20</f>
        <v>Pasir Pasang</v>
      </c>
      <c r="E239" t="str">
        <v>m3</v>
      </c>
      <c r="F239">
        <v>0.772</v>
      </c>
      <c r="G239">
        <f>SUMIF('Isi Data'!B$1:B$65536,SNI!C$1:C$65536,'Isi Data'!E$1:E$65536)</f>
        <v>0</v>
      </c>
      <c r="H239">
        <f>F239*G239</f>
        <v>0</v>
      </c>
      <c r="M239" t="str">
        <f>IF(G239=0,"edit"," ")</f>
        <v>edit</v>
      </c>
    </row>
    <row r="240">
      <c r="C240" t="str">
        <v>Besi angkur d= 8 mm</v>
      </c>
      <c r="E240" t="str">
        <v>kg</v>
      </c>
      <c r="F240">
        <v>0.28</v>
      </c>
      <c r="G240">
        <f>'Isi Data'!E31</f>
        <v>0</v>
      </c>
      <c r="H240">
        <f>F240*G240</f>
        <v>0</v>
      </c>
    </row>
    <row r="241">
      <c r="C241" t="str">
        <f>'Isi Data'!B168</f>
        <v>Pekerja</v>
      </c>
      <c r="E241" t="str">
        <v>org/hr</v>
      </c>
      <c r="F241">
        <v>0.35</v>
      </c>
      <c r="G241">
        <f>SUMIF('Isi Data'!B$1:B$65536,SNI!C$1:C$65536,'Isi Data'!E$1:E$65536)</f>
        <v>0</v>
      </c>
      <c r="I241">
        <f>F241*G241</f>
        <v>0</v>
      </c>
      <c r="M241" t="str">
        <f>IF(G241=0,"edit"," ")</f>
        <v>edit</v>
      </c>
    </row>
    <row r="242">
      <c r="C242" t="str">
        <f>'Isi Data'!B161</f>
        <v>Tukang Batu Kasar</v>
      </c>
      <c r="E242" t="str">
        <v>org/hr</v>
      </c>
      <c r="F242">
        <v>0.15</v>
      </c>
      <c r="G242">
        <f>SUMIF('Isi Data'!B$1:B$65536,SNI!C$1:C$65536,'Isi Data'!E$1:E$65536)</f>
        <v>0</v>
      </c>
      <c r="I242">
        <f>F242*G242</f>
        <v>0</v>
      </c>
      <c r="M242" t="str">
        <f>IF(G242=0,"edit"," ")</f>
        <v>edit</v>
      </c>
    </row>
    <row r="243">
      <c r="C243" t="str">
        <f>'Isi Data'!B163</f>
        <v>Kepala Tukang Batu</v>
      </c>
      <c r="E243" t="str">
        <v>org/hr</v>
      </c>
      <c r="F243">
        <v>0.015</v>
      </c>
      <c r="G243">
        <f>SUMIF('Isi Data'!B$1:B$65536,SNI!C$1:C$65536,'Isi Data'!E$1:E$65536)</f>
        <v>0</v>
      </c>
      <c r="I243">
        <f>F243*G243</f>
        <v>0</v>
      </c>
      <c r="M243" t="str">
        <f>IF(G243=0,"edit"," ")</f>
        <v>edit</v>
      </c>
    </row>
    <row r="244">
      <c r="C244" t="str">
        <f>'Isi Data'!B169</f>
        <v xml:space="preserve">Mandor </v>
      </c>
      <c r="E244" t="str">
        <v>org/hr</v>
      </c>
      <c r="F244">
        <v>0.018</v>
      </c>
      <c r="G244">
        <f>SUMIF('Isi Data'!B$1:B$65536,SNI!C$1:C$65536,'Isi Data'!E$1:E$65536)</f>
        <v>0</v>
      </c>
      <c r="I244">
        <f>F244*G244</f>
        <v>0</v>
      </c>
      <c r="M244" t="str">
        <f>IF(G244=0,"edit"," ")</f>
        <v>edit</v>
      </c>
    </row>
    <row r="245">
      <c r="F245" t="str">
        <v xml:space="preserve"> </v>
      </c>
      <c r="G245">
        <f>SUMIF('Isi Data'!B$1:B$65536,SNI!C$1:C$65536,'Isi Data'!E$1:E$65536)</f>
        <v>0</v>
      </c>
    </row>
    <row r="246">
      <c r="A246" t="str">
        <v>SNI 6897:2008-6.7</v>
      </c>
      <c r="B246" t="str">
        <v>M2</v>
      </c>
      <c r="C246" t="str">
        <v>Pas. Dinding batu bata; ad 1:2</v>
      </c>
      <c r="G246">
        <f>SUMIF('Isi Data'!B$1:B$65536,SNI!C$1:C$65536,'Isi Data'!E$1:E$65536)</f>
        <v>0</v>
      </c>
      <c r="H246">
        <f>SUM(H247:H253)</f>
        <v>4752300</v>
      </c>
      <c r="I246">
        <f>SUM(I247:I253)</f>
        <v>0</v>
      </c>
      <c r="J246">
        <f>$J$3</f>
        <v>0.1</v>
      </c>
      <c r="K246">
        <f>SUM(H246:I246)*(1+J246)</f>
        <v>5227530</v>
      </c>
      <c r="L246">
        <f>ROUND(K246,-2)</f>
        <v>5227500</v>
      </c>
    </row>
    <row r="247">
      <c r="C247" t="str">
        <f>'Isi Data'!B13</f>
        <v>Bata Merah</v>
      </c>
      <c r="E247" t="str">
        <v>bh</v>
      </c>
      <c r="F247">
        <v>70</v>
      </c>
      <c r="G247">
        <f>SUMIF('Isi Data'!B$1:B$65536,SNI!C$1:C$65536,'Isi Data'!E$1:E$65536)</f>
        <v>67890</v>
      </c>
      <c r="H247">
        <f>F247*G247</f>
        <v>4752300</v>
      </c>
      <c r="M247" t="str">
        <f>IF(G247=0,"edit"," ")</f>
        <v xml:space="preserve"> </v>
      </c>
    </row>
    <row r="248">
      <c r="C248" t="str">
        <f>'Isi Data'!B25</f>
        <v>Semen (50 Kg)</v>
      </c>
      <c r="E248" t="str">
        <v>zak</v>
      </c>
      <c r="F248">
        <f>18.95/50</f>
        <v>0.379</v>
      </c>
      <c r="G248">
        <f>SUMIF('Isi Data'!B$1:B$65536,SNI!C$1:C$65536,'Isi Data'!E$1:E$65536)</f>
        <v>0</v>
      </c>
      <c r="H248">
        <f>F248*G248</f>
        <v>0</v>
      </c>
      <c r="M248" t="str">
        <f>IF(G248=0,"edit"," ")</f>
        <v>edit</v>
      </c>
    </row>
    <row r="249">
      <c r="C249" t="str">
        <f>'Isi Data'!B20</f>
        <v>Pasir Pasang</v>
      </c>
      <c r="E249" t="str">
        <v>m3</v>
      </c>
      <c r="F249">
        <v>0.038</v>
      </c>
      <c r="G249">
        <f>SUMIF('Isi Data'!B$1:B$65536,SNI!C$1:C$65536,'Isi Data'!E$1:E$65536)</f>
        <v>0</v>
      </c>
      <c r="H249">
        <f>F249*G249</f>
        <v>0</v>
      </c>
      <c r="M249" t="str">
        <f>IF(G249=0,"edit"," ")</f>
        <v>edit</v>
      </c>
    </row>
    <row r="250">
      <c r="C250" t="str">
        <f>'Isi Data'!B168</f>
        <v>Pekerja</v>
      </c>
      <c r="E250" t="str">
        <v>org/hr</v>
      </c>
      <c r="F250">
        <v>0.3</v>
      </c>
      <c r="G250">
        <f>SUMIF('Isi Data'!B$1:B$65536,SNI!C$1:C$65536,'Isi Data'!E$1:E$65536)</f>
        <v>0</v>
      </c>
      <c r="I250">
        <f>F250*G250</f>
        <v>0</v>
      </c>
      <c r="M250" t="str">
        <f>IF(G250=0,"edit"," ")</f>
        <v>edit</v>
      </c>
    </row>
    <row r="251">
      <c r="C251" t="str">
        <f>'Isi Data'!B161</f>
        <v>Tukang Batu Kasar</v>
      </c>
      <c r="E251" t="str">
        <v>org/hr</v>
      </c>
      <c r="F251">
        <v>0.1</v>
      </c>
      <c r="G251">
        <f>SUMIF('Isi Data'!B$1:B$65536,SNI!C$1:C$65536,'Isi Data'!E$1:E$65536)</f>
        <v>0</v>
      </c>
      <c r="I251">
        <f>F251*G251</f>
        <v>0</v>
      </c>
      <c r="M251" t="str">
        <f>IF(G251=0,"edit"," ")</f>
        <v>edit</v>
      </c>
    </row>
    <row r="252">
      <c r="C252" t="str">
        <f>'Isi Data'!B163</f>
        <v>Kepala Tukang Batu</v>
      </c>
      <c r="E252" t="str">
        <v>org/hr</v>
      </c>
      <c r="F252">
        <v>0.01</v>
      </c>
      <c r="G252">
        <f>SUMIF('Isi Data'!B$1:B$65536,SNI!C$1:C$65536,'Isi Data'!E$1:E$65536)</f>
        <v>0</v>
      </c>
      <c r="I252">
        <f>F252*G252</f>
        <v>0</v>
      </c>
      <c r="M252" t="str">
        <f>IF(G252=0,"edit"," ")</f>
        <v>edit</v>
      </c>
    </row>
    <row r="253">
      <c r="C253" t="str">
        <f>'Isi Data'!B169</f>
        <v xml:space="preserve">Mandor </v>
      </c>
      <c r="E253" t="str">
        <v>org/hr</v>
      </c>
      <c r="F253">
        <v>0.015</v>
      </c>
      <c r="G253">
        <f>SUMIF('Isi Data'!B$1:B$65536,SNI!C$1:C$65536,'Isi Data'!E$1:E$65536)</f>
        <v>0</v>
      </c>
      <c r="I253">
        <f>F253*G253</f>
        <v>0</v>
      </c>
      <c r="M253" t="str">
        <f>IF(G253=0,"edit"," ")</f>
        <v>edit</v>
      </c>
    </row>
    <row r="254">
      <c r="F254" t="str">
        <v xml:space="preserve"> </v>
      </c>
      <c r="G254">
        <f>SUMIF('Isi Data'!B$1:B$65536,SNI!C$1:C$65536,'Isi Data'!E$1:E$65536)</f>
        <v>0</v>
      </c>
    </row>
    <row r="255">
      <c r="A255" t="str">
        <v>SNI 6897:2008-6.7</v>
      </c>
      <c r="B255" t="str">
        <v>M3</v>
      </c>
      <c r="C255" t="str">
        <v>Pas. Dinding batu bata; ad 1:4</v>
      </c>
      <c r="G255">
        <f>SUMIF('Isi Data'!B$1:B$65536,SNI!C$1:C$65536,'Isi Data'!E$1:E$65536)</f>
        <v>0</v>
      </c>
      <c r="H255">
        <f>SUM(H256:H262)</f>
        <v>4752300</v>
      </c>
      <c r="I255">
        <f>SUM(I256:I262)</f>
        <v>0</v>
      </c>
      <c r="J255">
        <f>$J$3</f>
        <v>0.1</v>
      </c>
      <c r="K255">
        <f>SUM(H255:I255)*(1+J255)</f>
        <v>5227530</v>
      </c>
      <c r="L255">
        <f>ROUND(K255,-2)</f>
        <v>5227500</v>
      </c>
    </row>
    <row r="256">
      <c r="C256" t="str">
        <f>'Isi Data'!B13</f>
        <v>Bata Merah</v>
      </c>
      <c r="E256" t="str">
        <v>bh</v>
      </c>
      <c r="F256">
        <v>70</v>
      </c>
      <c r="G256">
        <f>SUMIF('Isi Data'!B$1:B$65536,SNI!C$1:C$65536,'Isi Data'!E$1:E$65536)</f>
        <v>67890</v>
      </c>
      <c r="H256">
        <f>F256*G256</f>
        <v>4752300</v>
      </c>
      <c r="M256" t="str">
        <f>IF(G256=0,"edit"," ")</f>
        <v xml:space="preserve"> </v>
      </c>
    </row>
    <row r="257">
      <c r="C257" t="str">
        <f>'Isi Data'!B25</f>
        <v>Semen (50 Kg)</v>
      </c>
      <c r="E257" t="str">
        <v>zak</v>
      </c>
      <c r="F257">
        <f>11.5/50</f>
        <v>0.23</v>
      </c>
      <c r="G257">
        <f>SUMIF('Isi Data'!B$1:B$65536,SNI!C$1:C$65536,'Isi Data'!E$1:E$65536)</f>
        <v>0</v>
      </c>
      <c r="H257">
        <f>F257*G257</f>
        <v>0</v>
      </c>
      <c r="M257" t="str">
        <f>IF(G257=0,"edit"," ")</f>
        <v>edit</v>
      </c>
    </row>
    <row r="258">
      <c r="C258" t="str">
        <f>'Isi Data'!B20</f>
        <v>Pasir Pasang</v>
      </c>
      <c r="E258" t="str">
        <v>m3</v>
      </c>
      <c r="F258">
        <v>0.043</v>
      </c>
      <c r="G258">
        <f>SUMIF('Isi Data'!B$1:B$65536,SNI!C$1:C$65536,'Isi Data'!E$1:E$65536)</f>
        <v>0</v>
      </c>
      <c r="H258">
        <f>F258*G258</f>
        <v>0</v>
      </c>
      <c r="M258" t="str">
        <f>IF(G258=0,"edit"," ")</f>
        <v>edit</v>
      </c>
    </row>
    <row r="259">
      <c r="C259" t="str">
        <f>'Isi Data'!B168</f>
        <v>Pekerja</v>
      </c>
      <c r="E259" t="str">
        <v>org/hr</v>
      </c>
      <c r="F259">
        <v>0.3</v>
      </c>
      <c r="G259">
        <f>SUMIF('Isi Data'!B$1:B$65536,SNI!C$1:C$65536,'Isi Data'!E$1:E$65536)</f>
        <v>0</v>
      </c>
      <c r="I259">
        <f>F259*G259</f>
        <v>0</v>
      </c>
      <c r="M259" t="str">
        <f>IF(G259=0,"edit"," ")</f>
        <v>edit</v>
      </c>
    </row>
    <row r="260">
      <c r="C260" t="str">
        <f>'Isi Data'!B161</f>
        <v>Tukang Batu Kasar</v>
      </c>
      <c r="E260" t="str">
        <v>org/hr</v>
      </c>
      <c r="F260">
        <v>0.1</v>
      </c>
      <c r="G260">
        <f>SUMIF('Isi Data'!B$1:B$65536,SNI!C$1:C$65536,'Isi Data'!E$1:E$65536)</f>
        <v>0</v>
      </c>
      <c r="I260">
        <f>F260*G260</f>
        <v>0</v>
      </c>
      <c r="M260" t="str">
        <f>IF(G260=0,"edit"," ")</f>
        <v>edit</v>
      </c>
    </row>
    <row r="261">
      <c r="C261" t="str">
        <f>'Isi Data'!B163</f>
        <v>Kepala Tukang Batu</v>
      </c>
      <c r="E261" t="str">
        <v>org/hr</v>
      </c>
      <c r="F261">
        <v>0.01</v>
      </c>
      <c r="G261">
        <f>SUMIF('Isi Data'!B$1:B$65536,SNI!C$1:C$65536,'Isi Data'!E$1:E$65536)</f>
        <v>0</v>
      </c>
      <c r="I261">
        <f>F261*G261</f>
        <v>0</v>
      </c>
      <c r="M261" t="str">
        <f>IF(G261=0,"edit"," ")</f>
        <v>edit</v>
      </c>
    </row>
    <row r="262">
      <c r="C262" t="str">
        <f>'Isi Data'!B169</f>
        <v xml:space="preserve">Mandor </v>
      </c>
      <c r="E262" t="str">
        <v>org/hr</v>
      </c>
      <c r="F262">
        <v>0.015</v>
      </c>
      <c r="G262">
        <f>SUMIF('Isi Data'!B$1:B$65536,SNI!C$1:C$65536,'Isi Data'!E$1:E$65536)</f>
        <v>0</v>
      </c>
      <c r="I262">
        <f>F262*G262</f>
        <v>0</v>
      </c>
      <c r="M262" t="str">
        <f>IF(G262=0,"edit"," ")</f>
        <v>edit</v>
      </c>
    </row>
    <row r="263">
      <c r="G263">
        <f>SUMIF('Isi Data'!B$1:B$65536,SNI!C$1:C$65536,'Isi Data'!E$1:E$65536)</f>
        <v>0</v>
      </c>
    </row>
    <row r="264">
      <c r="B264" t="str">
        <v>M2</v>
      </c>
      <c r="C264" t="str">
        <v>Pas. Dinding partisi gypsumboard Rangka Kayu</v>
      </c>
      <c r="G264">
        <f>SUMIF('Isi Data'!B$1:B$65536,SNI!C$1:C$65536,'Isi Data'!E$1:E$65536)</f>
        <v>0</v>
      </c>
      <c r="H264">
        <f>SUM(H265:H272)</f>
        <v>0</v>
      </c>
      <c r="I264">
        <f>SUM(I265:I272)</f>
        <v>0</v>
      </c>
      <c r="J264">
        <f>$J$3</f>
        <v>0.1</v>
      </c>
      <c r="K264">
        <f>SUM(H264:I264)*(1+J264)</f>
        <v>0</v>
      </c>
      <c r="L264">
        <f>ROUND(K264,-2)</f>
        <v>0</v>
      </c>
    </row>
    <row r="265">
      <c r="C265" t="str">
        <f>'Isi Data'!B39</f>
        <v>Kayu Klas III</v>
      </c>
      <c r="D265" t="str">
        <v>Balok</v>
      </c>
      <c r="E265" t="str">
        <v>m3</v>
      </c>
      <c r="F265">
        <v>0.028</v>
      </c>
      <c r="G265">
        <f>SUMIF('Isi Data'!B$1:B$65536,SNI!C$1:C$65536,'Isi Data'!E$1:E$65536)</f>
        <v>0</v>
      </c>
      <c r="H265">
        <f>F265*G265</f>
        <v>0</v>
      </c>
    </row>
    <row r="266">
      <c r="C266" t="str">
        <f>'Isi Data'!B83</f>
        <v>Paku 8 s/d 12 cm</v>
      </c>
      <c r="E266" t="str">
        <v>kg</v>
      </c>
      <c r="F266">
        <v>0.15</v>
      </c>
      <c r="G266">
        <f>SUMIF('Isi Data'!B$1:B$65536,SNI!C$1:C$65536,'Isi Data'!E$1:E$65536)</f>
        <v>0</v>
      </c>
      <c r="H266">
        <f>F266*G266</f>
        <v>0</v>
      </c>
    </row>
    <row r="267">
      <c r="C267" t="str">
        <f>'Isi Data'!B116</f>
        <v xml:space="preserve">Gypsumboard  t.9 mm </v>
      </c>
      <c r="E267" t="str">
        <v>lbr</v>
      </c>
      <c r="F267">
        <v>0.86</v>
      </c>
      <c r="G267">
        <f>SUMIF('Isi Data'!B$1:B$65536,SNI!C$1:C$65536,'Isi Data'!E$1:E$65536)</f>
        <v>0</v>
      </c>
      <c r="H267">
        <f>F267*G267</f>
        <v>0</v>
      </c>
    </row>
    <row r="268">
      <c r="C268" t="str">
        <f>'Isi Data'!B97</f>
        <v>Lem Kayu</v>
      </c>
      <c r="E268" t="str">
        <v>kg</v>
      </c>
      <c r="F268">
        <v>0.56</v>
      </c>
      <c r="G268">
        <f>SUMIF('Isi Data'!B$1:B$65536,SNI!C$1:C$65536,'Isi Data'!E$1:E$65536)</f>
        <v>0</v>
      </c>
      <c r="H268">
        <f>F268*G268</f>
        <v>0</v>
      </c>
    </row>
    <row r="269">
      <c r="C269" t="str">
        <f>'Isi Data'!B168</f>
        <v>Pekerja</v>
      </c>
      <c r="E269" t="str">
        <v>org/hr</v>
      </c>
      <c r="F269">
        <v>0.028</v>
      </c>
      <c r="G269">
        <f>SUMIF('Isi Data'!B$1:B$65536,SNI!C$1:C$65536,'Isi Data'!E$1:E$65536)</f>
        <v>0</v>
      </c>
      <c r="I269">
        <f>F269*G269</f>
        <v>0</v>
      </c>
    </row>
    <row r="270">
      <c r="C270" t="str">
        <f>'Isi Data'!B159</f>
        <v>Tukang Kayu Halus</v>
      </c>
      <c r="E270" t="str">
        <v>org/hr</v>
      </c>
      <c r="F270">
        <v>0.15</v>
      </c>
      <c r="G270">
        <f>SUMIF('Isi Data'!B$1:B$65536,SNI!C$1:C$65536,'Isi Data'!E$1:E$65536)</f>
        <v>0</v>
      </c>
      <c r="I270">
        <f>F270*G270</f>
        <v>0</v>
      </c>
    </row>
    <row r="271">
      <c r="C271" t="str">
        <f>'Isi Data'!B160</f>
        <v>Kepala Tukang Kayu</v>
      </c>
      <c r="E271" t="str">
        <v>org/hr</v>
      </c>
      <c r="F271">
        <v>0.86</v>
      </c>
      <c r="G271">
        <f>SUMIF('Isi Data'!B$1:B$65536,SNI!C$1:C$65536,'Isi Data'!E$1:E$65536)</f>
        <v>0</v>
      </c>
      <c r="I271">
        <f>F271*G271</f>
        <v>0</v>
      </c>
    </row>
    <row r="272">
      <c r="C272" t="str">
        <f>'Isi Data'!B169</f>
        <v xml:space="preserve">Mandor </v>
      </c>
      <c r="E272" t="str">
        <v>org/hr</v>
      </c>
      <c r="F272">
        <v>0.56</v>
      </c>
      <c r="G272">
        <f>SUMIF('Isi Data'!B$1:B$65536,SNI!C$1:C$65536,'Isi Data'!E$1:E$65536)</f>
        <v>0</v>
      </c>
      <c r="I272">
        <f>F272*G272</f>
        <v>0</v>
      </c>
    </row>
    <row r="273">
      <c r="G273">
        <f>SUMIF('Isi Data'!B$1:B$65536,SNI!C$1:C$65536,'Isi Data'!E$1:E$65536)</f>
        <v>0</v>
      </c>
    </row>
    <row r="274">
      <c r="B274" t="str">
        <v>M2</v>
      </c>
      <c r="C274" t="str">
        <v>Pas. Dinding partisi gypsumboard Rangka Metal Furing</v>
      </c>
      <c r="G274">
        <f>SUMIF('Isi Data'!B$1:B$65536,SNI!C$1:C$65536,'Isi Data'!E$1:E$65536)</f>
        <v>0</v>
      </c>
      <c r="H274">
        <f>SUM(H275:H280)</f>
        <v>0</v>
      </c>
      <c r="I274">
        <f>SUM(I275:I280)</f>
        <v>0</v>
      </c>
      <c r="J274">
        <f>$J$3</f>
        <v>0.1</v>
      </c>
      <c r="K274">
        <f>SUM(H274:I274)*(1+J274)</f>
        <v>0</v>
      </c>
      <c r="L274">
        <f>ROUND(K274,-2)</f>
        <v>0</v>
      </c>
    </row>
    <row r="275">
      <c r="C275" t="str">
        <f>'Isi Data'!B118</f>
        <v>Rangka plafond Metal furing</v>
      </c>
      <c r="D275" t="str">
        <v>termasuk ripet</v>
      </c>
      <c r="E275" t="str">
        <v>m2</v>
      </c>
      <c r="F275">
        <v>1</v>
      </c>
      <c r="G275">
        <f>SUMIF('Isi Data'!B$1:B$65536,SNI!C$1:C$65536,'Isi Data'!E$1:E$65536)</f>
        <v>0</v>
      </c>
      <c r="H275">
        <f>F275*G275</f>
        <v>0</v>
      </c>
    </row>
    <row r="276">
      <c r="C276" t="str">
        <f>'Isi Data'!B116</f>
        <v xml:space="preserve">Gypsumboard  t.9 mm </v>
      </c>
      <c r="E276" t="str">
        <v>lbr</v>
      </c>
      <c r="F276">
        <v>0.86</v>
      </c>
      <c r="G276">
        <f>SUMIF('Isi Data'!B$1:B$65536,SNI!C$1:C$65536,'Isi Data'!E$1:E$65536)</f>
        <v>0</v>
      </c>
      <c r="H276">
        <f>F276*G276</f>
        <v>0</v>
      </c>
    </row>
    <row r="277">
      <c r="C277" t="str">
        <f>'Isi Data'!B168</f>
        <v>Pekerja</v>
      </c>
      <c r="E277" t="str">
        <v>org/hr</v>
      </c>
      <c r="F277">
        <v>0.028</v>
      </c>
      <c r="G277">
        <f>SUMIF('Isi Data'!B$1:B$65536,SNI!C$1:C$65536,'Isi Data'!E$1:E$65536)</f>
        <v>0</v>
      </c>
      <c r="I277">
        <f>F277*G277</f>
        <v>0</v>
      </c>
    </row>
    <row r="278">
      <c r="C278" t="str">
        <f>'Isi Data'!B159</f>
        <v>Tukang Kayu Halus</v>
      </c>
      <c r="E278" t="str">
        <v>org/hr</v>
      </c>
      <c r="F278">
        <v>0.15</v>
      </c>
      <c r="G278">
        <f>SUMIF('Isi Data'!B$1:B$65536,SNI!C$1:C$65536,'Isi Data'!E$1:E$65536)</f>
        <v>0</v>
      </c>
      <c r="I278">
        <f>F278*G278</f>
        <v>0</v>
      </c>
    </row>
    <row r="279">
      <c r="C279" t="str">
        <f>'Isi Data'!B160</f>
        <v>Kepala Tukang Kayu</v>
      </c>
      <c r="E279" t="str">
        <v>org/hr</v>
      </c>
      <c r="F279">
        <v>0.86</v>
      </c>
      <c r="G279">
        <f>SUMIF('Isi Data'!B$1:B$65536,SNI!C$1:C$65536,'Isi Data'!E$1:E$65536)</f>
        <v>0</v>
      </c>
      <c r="I279">
        <f>F279*G279</f>
        <v>0</v>
      </c>
    </row>
    <row r="280">
      <c r="C280" t="str">
        <f>'Isi Data'!B169</f>
        <v xml:space="preserve">Mandor </v>
      </c>
      <c r="E280" t="str">
        <v>org/hr</v>
      </c>
      <c r="F280">
        <v>0.56</v>
      </c>
      <c r="G280">
        <f>SUMIF('Isi Data'!B$1:B$65536,SNI!C$1:C$65536,'Isi Data'!E$1:E$65536)</f>
        <v>0</v>
      </c>
      <c r="I280">
        <f>F280*G280</f>
        <v>0</v>
      </c>
    </row>
    <row r="281">
      <c r="G281">
        <f>SUMIF('Isi Data'!B$1:B$65536,SNI!C$1:C$65536,'Isi Data'!E$1:E$65536)</f>
        <v>0</v>
      </c>
    </row>
    <row r="282">
      <c r="B282" t="str">
        <v>M2</v>
      </c>
      <c r="C282" t="str">
        <v>Pas. Dinding partisi Toilet;triplek 9 mm</v>
      </c>
      <c r="G282">
        <f>SUMIF('Isi Data'!B$1:B$65536,SNI!C$1:C$65536,'Isi Data'!E$1:E$65536)</f>
        <v>0</v>
      </c>
      <c r="H282">
        <f>SUM(H283:H290)</f>
        <v>0</v>
      </c>
      <c r="I282">
        <f>SUM(I283:I290)</f>
        <v>0</v>
      </c>
      <c r="J282">
        <f>$J$3</f>
        <v>0.1</v>
      </c>
      <c r="K282">
        <f>SUM(H282:I282)*(1+J282)</f>
        <v>0</v>
      </c>
      <c r="L282">
        <f>ROUND(K282,-2)</f>
        <v>0</v>
      </c>
    </row>
    <row r="283">
      <c r="C283" t="str">
        <f>'Isi Data'!B39</f>
        <v>Kayu Klas III</v>
      </c>
      <c r="E283" t="str">
        <v>m3</v>
      </c>
      <c r="F283">
        <v>0.028</v>
      </c>
      <c r="G283">
        <f>SUMIF('Isi Data'!B$1:B$65536,SNI!C$1:C$65536,'Isi Data'!E$1:E$65536)</f>
        <v>0</v>
      </c>
      <c r="H283">
        <f>F283*G283</f>
        <v>0</v>
      </c>
      <c r="M283" t="str">
        <f>IF(G283=0,"edit"," ")</f>
        <v>edit</v>
      </c>
    </row>
    <row r="284">
      <c r="C284" t="str">
        <f>'Isi Data'!B60</f>
        <v>Triplex  t. 9 mm</v>
      </c>
      <c r="E284" t="str">
        <v>lbr</v>
      </c>
      <c r="F284">
        <v>0.86</v>
      </c>
      <c r="G284">
        <f>SUMIF('Isi Data'!B$1:B$65536,SNI!C$1:C$65536,'Isi Data'!E$1:E$65536)</f>
        <v>0</v>
      </c>
      <c r="H284">
        <f>F284*G284</f>
        <v>0</v>
      </c>
      <c r="M284" t="str">
        <f>IF(G284=0,"edit"," ")</f>
        <v>edit</v>
      </c>
    </row>
    <row r="285">
      <c r="C285" t="str">
        <f>'Isi Data'!B84</f>
        <v>Paku Skrup</v>
      </c>
      <c r="E285" t="str">
        <v>bh</v>
      </c>
      <c r="F285">
        <v>6</v>
      </c>
      <c r="G285">
        <f>SUMIF('Isi Data'!B$1:B$65536,SNI!C$1:C$65536,'Isi Data'!E$1:E$65536)</f>
        <v>0</v>
      </c>
      <c r="H285">
        <f>F285*G285</f>
        <v>0</v>
      </c>
      <c r="M285" t="str">
        <f>IF(G285=0,"edit"," ")</f>
        <v>edit</v>
      </c>
    </row>
    <row r="286">
      <c r="C286" t="str">
        <f>'Isi Data'!B97</f>
        <v>Lem Kayu</v>
      </c>
      <c r="E286" t="str">
        <v>kg</v>
      </c>
      <c r="F286">
        <v>0.56</v>
      </c>
      <c r="G286">
        <f>SUMIF('Isi Data'!B$1:B$65536,SNI!C$1:C$65536,'Isi Data'!E$1:E$65536)</f>
        <v>0</v>
      </c>
      <c r="H286">
        <f>F286*G286</f>
        <v>0</v>
      </c>
      <c r="M286" t="str">
        <f>IF(G286=0,"edit"," ")</f>
        <v>edit</v>
      </c>
    </row>
    <row r="287">
      <c r="C287" t="str">
        <f>'Isi Data'!B168</f>
        <v>Pekerja</v>
      </c>
      <c r="E287" t="str">
        <v>org/hr</v>
      </c>
      <c r="F287">
        <v>0.028</v>
      </c>
      <c r="G287">
        <f>SUMIF('Isi Data'!B$1:B$65536,SNI!C$1:C$65536,'Isi Data'!E$1:E$65536)</f>
        <v>0</v>
      </c>
      <c r="I287">
        <f>F287*G287</f>
        <v>0</v>
      </c>
      <c r="M287" t="str">
        <f>IF(G287=0,"edit"," ")</f>
        <v>edit</v>
      </c>
    </row>
    <row r="288">
      <c r="C288" t="str">
        <f>'Isi Data'!B159</f>
        <v>Tukang Kayu Halus</v>
      </c>
      <c r="E288" t="str">
        <v>org/hr</v>
      </c>
      <c r="F288">
        <v>0.15</v>
      </c>
      <c r="G288">
        <f>SUMIF('Isi Data'!B$1:B$65536,SNI!C$1:C$65536,'Isi Data'!E$1:E$65536)</f>
        <v>0</v>
      </c>
      <c r="I288">
        <f>F288*G288</f>
        <v>0</v>
      </c>
      <c r="M288" t="str">
        <f>IF(G288=0,"edit"," ")</f>
        <v>edit</v>
      </c>
    </row>
    <row r="289">
      <c r="C289" t="str">
        <f>'Isi Data'!B160</f>
        <v>Kepala Tukang Kayu</v>
      </c>
      <c r="E289" t="str">
        <v>org/hr</v>
      </c>
      <c r="F289">
        <v>0.86</v>
      </c>
      <c r="G289">
        <f>SUMIF('Isi Data'!B$1:B$65536,SNI!C$1:C$65536,'Isi Data'!E$1:E$65536)</f>
        <v>0</v>
      </c>
      <c r="I289">
        <f>F289*G289</f>
        <v>0</v>
      </c>
      <c r="M289" t="str">
        <f>IF(G289=0,"edit"," ")</f>
        <v>edit</v>
      </c>
    </row>
    <row r="290">
      <c r="C290" t="str">
        <f>'Isi Data'!B169</f>
        <v xml:space="preserve">Mandor </v>
      </c>
      <c r="E290" t="str">
        <v>org/hr</v>
      </c>
      <c r="F290">
        <v>0.56</v>
      </c>
      <c r="G290">
        <f>SUMIF('Isi Data'!B$1:B$65536,SNI!C$1:C$65536,'Isi Data'!E$1:E$65536)</f>
        <v>0</v>
      </c>
      <c r="I290">
        <f>F290*G290</f>
        <v>0</v>
      </c>
      <c r="M290" t="str">
        <f>IF(G290=0,"edit"," ")</f>
        <v>edit</v>
      </c>
    </row>
    <row r="291">
      <c r="G291">
        <f>SUMIF('Isi Data'!B$1:B$65536,SNI!C$1:C$65536,'Isi Data'!E$1:E$65536)</f>
        <v>0</v>
      </c>
    </row>
    <row r="292">
      <c r="G292">
        <f>SUMIF('Isi Data'!B$1:B$65536,SNI!C$1:C$65536,'Isi Data'!E$1:E$65536)</f>
        <v>0</v>
      </c>
    </row>
    <row r="293">
      <c r="C293" t="str">
        <v>PEKERJAAN PLESTERAN :</v>
      </c>
      <c r="G293">
        <f>SUMIF('Isi Data'!B$1:B$65536,SNI!C$1:C$65536,'Isi Data'!E$1:E$65536)</f>
        <v>0</v>
      </c>
    </row>
    <row r="294">
      <c r="C294" t="str">
        <v xml:space="preserve"> </v>
      </c>
      <c r="E294" t="str">
        <v xml:space="preserve"> </v>
      </c>
      <c r="F294" t="str">
        <v xml:space="preserve"> </v>
      </c>
      <c r="G294">
        <f>SUMIF('Isi Data'!B$1:B$65536,SNI!C$1:C$65536,'Isi Data'!E$1:E$65536)</f>
        <v>0</v>
      </c>
      <c r="H294" t="str">
        <v xml:space="preserve"> </v>
      </c>
    </row>
    <row r="295">
      <c r="A295" t="str">
        <v>SNI 2837:2008-6.2</v>
      </c>
      <c r="B295" t="str">
        <v>M2</v>
      </c>
      <c r="C295" t="str">
        <v>Pas. Plester acian; ad. 1:2</v>
      </c>
      <c r="D295" t="str">
        <v>t.15 mm; tanpa acian</v>
      </c>
      <c r="E295" t="str">
        <v xml:space="preserve"> </v>
      </c>
      <c r="F295" t="str">
        <v xml:space="preserve"> </v>
      </c>
      <c r="G295">
        <f>SUMIF('Isi Data'!B$1:B$65536,SNI!C$1:C$65536,'Isi Data'!E$1:E$65536)</f>
        <v>0</v>
      </c>
      <c r="H295">
        <f>SUM(H296:H301)</f>
        <v>0</v>
      </c>
      <c r="I295">
        <f>SUM(I296:I301)</f>
        <v>0</v>
      </c>
      <c r="J295">
        <f>$J$3</f>
        <v>0.1</v>
      </c>
      <c r="K295">
        <f>SUM(H295:I295)*(1+J295)</f>
        <v>0</v>
      </c>
      <c r="L295">
        <f>ROUND(K295,-2)</f>
        <v>0</v>
      </c>
    </row>
    <row r="296">
      <c r="C296" t="str">
        <f>'Isi Data'!B25</f>
        <v>Semen (50 Kg)</v>
      </c>
      <c r="E296" t="str">
        <v>zak</v>
      </c>
      <c r="F296">
        <f>10.224/50</f>
        <v>0.20448</v>
      </c>
      <c r="G296">
        <f>SUMIF('Isi Data'!B$1:B$65536,SNI!C$1:C$65536,'Isi Data'!E$1:E$65536)</f>
        <v>0</v>
      </c>
      <c r="H296">
        <f>F296*G296</f>
        <v>0</v>
      </c>
      <c r="M296" t="str">
        <f>IF(G296=0,"edit"," ")</f>
        <v>edit</v>
      </c>
    </row>
    <row r="297">
      <c r="C297" t="str">
        <f>'Isi Data'!B20</f>
        <v>Pasir Pasang</v>
      </c>
      <c r="E297" t="str">
        <v>m3</v>
      </c>
      <c r="F297">
        <v>0.02</v>
      </c>
      <c r="G297">
        <f>SUMIF('Isi Data'!B$1:B$65536,SNI!C$1:C$65536,'Isi Data'!E$1:E$65536)</f>
        <v>0</v>
      </c>
      <c r="H297">
        <f>F297*G297</f>
        <v>0</v>
      </c>
      <c r="M297" t="str">
        <f>IF(G297=0,"edit"," ")</f>
        <v>edit</v>
      </c>
    </row>
    <row r="298">
      <c r="C298" t="str">
        <f>'Isi Data'!B168</f>
        <v>Pekerja</v>
      </c>
      <c r="E298" t="str">
        <v>org/hr</v>
      </c>
      <c r="F298">
        <v>0.3</v>
      </c>
      <c r="G298">
        <f>SUMIF('Isi Data'!B$1:B$65536,SNI!C$1:C$65536,'Isi Data'!E$1:E$65536)</f>
        <v>0</v>
      </c>
      <c r="I298">
        <f>F298*G298</f>
        <v>0</v>
      </c>
      <c r="M298" t="str">
        <f>IF(G298=0,"edit"," ")</f>
        <v>edit</v>
      </c>
    </row>
    <row r="299">
      <c r="C299" t="str">
        <f>'Isi Data'!B161</f>
        <v>Tukang Batu Kasar</v>
      </c>
      <c r="E299" t="str">
        <v>org/hr</v>
      </c>
      <c r="F299">
        <v>0.15</v>
      </c>
      <c r="G299">
        <f>SUMIF('Isi Data'!B$1:B$65536,SNI!C$1:C$65536,'Isi Data'!E$1:E$65536)</f>
        <v>0</v>
      </c>
      <c r="I299">
        <f>F299*G299</f>
        <v>0</v>
      </c>
      <c r="M299" t="str">
        <f>IF(G299=0,"edit"," ")</f>
        <v>edit</v>
      </c>
    </row>
    <row r="300">
      <c r="C300" t="str">
        <f>'Isi Data'!B163</f>
        <v>Kepala Tukang Batu</v>
      </c>
      <c r="E300" t="str">
        <v>org/hr</v>
      </c>
      <c r="F300">
        <v>0.015</v>
      </c>
      <c r="G300">
        <f>SUMIF('Isi Data'!B$1:B$65536,SNI!C$1:C$65536,'Isi Data'!E$1:E$65536)</f>
        <v>0</v>
      </c>
      <c r="I300">
        <f>F300*G300</f>
        <v>0</v>
      </c>
      <c r="M300" t="str">
        <f>IF(G300=0,"edit"," ")</f>
        <v>edit</v>
      </c>
    </row>
    <row r="301">
      <c r="C301" t="str">
        <f>'Isi Data'!B169</f>
        <v xml:space="preserve">Mandor </v>
      </c>
      <c r="E301" t="str">
        <v>org/hr</v>
      </c>
      <c r="F301">
        <v>0.015</v>
      </c>
      <c r="G301">
        <f>SUMIF('Isi Data'!B$1:B$65536,SNI!C$1:C$65536,'Isi Data'!E$1:E$65536)</f>
        <v>0</v>
      </c>
      <c r="I301">
        <f>F301*G301</f>
        <v>0</v>
      </c>
      <c r="M301" t="str">
        <f>IF(G301=0,"edit"," ")</f>
        <v>edit</v>
      </c>
    </row>
    <row r="302">
      <c r="G302">
        <f>SUMIF('Isi Data'!B$1:B$65536,SNI!C$1:C$65536,'Isi Data'!E$1:E$65536)</f>
        <v>0</v>
      </c>
    </row>
    <row r="303">
      <c r="A303" t="str">
        <v>SNI 2837:2008-6.4</v>
      </c>
      <c r="B303" t="str">
        <v>M2</v>
      </c>
      <c r="C303" t="str">
        <v>Pas. Plester acian; ad. 1:4</v>
      </c>
      <c r="D303" t="str">
        <v>t.15 mm; tanpa acian</v>
      </c>
      <c r="E303" t="str">
        <v xml:space="preserve"> </v>
      </c>
      <c r="F303" t="str">
        <v xml:space="preserve"> </v>
      </c>
      <c r="G303">
        <f>SUMIF('Isi Data'!B$1:B$65536,SNI!C$1:C$65536,'Isi Data'!E$1:E$65536)</f>
        <v>0</v>
      </c>
      <c r="H303">
        <f>SUM(H304:H309)</f>
        <v>0</v>
      </c>
      <c r="I303">
        <f>SUM(I304:I309)</f>
        <v>0</v>
      </c>
      <c r="J303">
        <f>$J$3</f>
        <v>0.1</v>
      </c>
      <c r="K303">
        <f>SUM(H303:I303)*(1+J303)</f>
        <v>0</v>
      </c>
      <c r="L303">
        <f>ROUND(K303,-2)</f>
        <v>0</v>
      </c>
    </row>
    <row r="304">
      <c r="C304" t="str">
        <f>'Isi Data'!B25</f>
        <v>Semen (50 Kg)</v>
      </c>
      <c r="E304" t="str">
        <v>zak</v>
      </c>
      <c r="F304">
        <f>6.24/50</f>
        <v>0.12480000000000001</v>
      </c>
      <c r="G304">
        <f>SUMIF('Isi Data'!B$1:B$65536,SNI!C$1:C$65536,'Isi Data'!E$1:E$65536)</f>
        <v>0</v>
      </c>
      <c r="H304">
        <f>F304*G304</f>
        <v>0</v>
      </c>
      <c r="M304" t="str">
        <f>IF(G304=0,"edit"," ")</f>
        <v>edit</v>
      </c>
    </row>
    <row r="305">
      <c r="C305" t="str">
        <f>'Isi Data'!B20</f>
        <v>Pasir Pasang</v>
      </c>
      <c r="E305" t="str">
        <v>m3</v>
      </c>
      <c r="F305">
        <v>0.024</v>
      </c>
      <c r="G305">
        <f>SUMIF('Isi Data'!B$1:B$65536,SNI!C$1:C$65536,'Isi Data'!E$1:E$65536)</f>
        <v>0</v>
      </c>
      <c r="H305">
        <f>F305*G305</f>
        <v>0</v>
      </c>
      <c r="M305" t="str">
        <f>IF(G305=0,"edit"," ")</f>
        <v>edit</v>
      </c>
    </row>
    <row r="306">
      <c r="C306" t="str">
        <f>'Isi Data'!B168</f>
        <v>Pekerja</v>
      </c>
      <c r="E306" t="str">
        <v>org/hr</v>
      </c>
      <c r="F306">
        <v>0.3</v>
      </c>
      <c r="G306">
        <f>SUMIF('Isi Data'!B$1:B$65536,SNI!C$1:C$65536,'Isi Data'!E$1:E$65536)</f>
        <v>0</v>
      </c>
      <c r="I306">
        <f>F306*G306</f>
        <v>0</v>
      </c>
      <c r="M306" t="str">
        <f>IF(G306=0,"edit"," ")</f>
        <v>edit</v>
      </c>
    </row>
    <row r="307">
      <c r="C307" t="str">
        <f>'Isi Data'!B161</f>
        <v>Tukang Batu Kasar</v>
      </c>
      <c r="E307" t="str">
        <v>org/hr</v>
      </c>
      <c r="F307">
        <v>0.15</v>
      </c>
      <c r="G307">
        <f>SUMIF('Isi Data'!B$1:B$65536,SNI!C$1:C$65536,'Isi Data'!E$1:E$65536)</f>
        <v>0</v>
      </c>
      <c r="I307">
        <f>F307*G307</f>
        <v>0</v>
      </c>
      <c r="M307" t="str">
        <f>IF(G307=0,"edit"," ")</f>
        <v>edit</v>
      </c>
    </row>
    <row r="308">
      <c r="C308" t="str">
        <f>'Isi Data'!B163</f>
        <v>Kepala Tukang Batu</v>
      </c>
      <c r="E308" t="str">
        <v>org/hr</v>
      </c>
      <c r="F308">
        <v>0.015</v>
      </c>
      <c r="G308">
        <f>SUMIF('Isi Data'!B$1:B$65536,SNI!C$1:C$65536,'Isi Data'!E$1:E$65536)</f>
        <v>0</v>
      </c>
      <c r="I308">
        <f>F308*G308</f>
        <v>0</v>
      </c>
      <c r="M308" t="str">
        <f>IF(G308=0,"edit"," ")</f>
        <v>edit</v>
      </c>
    </row>
    <row r="309">
      <c r="C309" t="str">
        <f>'Isi Data'!B169</f>
        <v xml:space="preserve">Mandor </v>
      </c>
      <c r="E309" t="str">
        <v>org/hr</v>
      </c>
      <c r="F309">
        <v>0.015</v>
      </c>
      <c r="G309">
        <f>SUMIF('Isi Data'!B$1:B$65536,SNI!C$1:C$65536,'Isi Data'!E$1:E$65536)</f>
        <v>0</v>
      </c>
      <c r="I309">
        <f>F309*G309</f>
        <v>0</v>
      </c>
      <c r="M309" t="str">
        <f>IF(G309=0,"edit"," ")</f>
        <v>edit</v>
      </c>
    </row>
    <row r="310">
      <c r="G310">
        <f>SUMIF('Isi Data'!B$1:B$65536,SNI!C$1:C$65536,'Isi Data'!E$1:E$65536)</f>
        <v>0</v>
      </c>
    </row>
    <row r="311">
      <c r="A311" t="str">
        <v>SNI 2837:2008-6.27</v>
      </c>
      <c r="B311" t="str">
        <v>M2</v>
      </c>
      <c r="C311" t="str">
        <v>Pas. Acian PC</v>
      </c>
      <c r="E311" t="str">
        <v xml:space="preserve"> </v>
      </c>
      <c r="F311" t="str">
        <v xml:space="preserve"> </v>
      </c>
      <c r="G311">
        <f>SUMIF('Isi Data'!B$1:B$65536,SNI!C$1:C$65536,'Isi Data'!E$1:E$65536)</f>
        <v>0</v>
      </c>
      <c r="H311">
        <f>SUM(H312:H316)</f>
        <v>0</v>
      </c>
      <c r="I311">
        <f>SUM(I312:I316)</f>
        <v>0</v>
      </c>
      <c r="J311">
        <f>$J$3</f>
        <v>0.1</v>
      </c>
      <c r="K311">
        <f>SUM(H311:I311)*(1+J311)</f>
        <v>0</v>
      </c>
      <c r="L311">
        <f>ROUND(K311,-2)</f>
        <v>0</v>
      </c>
    </row>
    <row r="312">
      <c r="C312" t="str">
        <f>'Isi Data'!B25</f>
        <v>Semen (50 Kg)</v>
      </c>
      <c r="E312" t="str">
        <v>zak</v>
      </c>
      <c r="F312">
        <f>3.25/50</f>
        <v>0.065</v>
      </c>
      <c r="G312">
        <f>SUMIF('Isi Data'!B$1:B$65536,SNI!C$1:C$65536,'Isi Data'!E$1:E$65536)</f>
        <v>0</v>
      </c>
      <c r="H312">
        <f>F312*G312</f>
        <v>0</v>
      </c>
    </row>
    <row r="313">
      <c r="C313" t="str">
        <f>'Isi Data'!B168</f>
        <v>Pekerja</v>
      </c>
      <c r="E313" t="str">
        <v>org/hr</v>
      </c>
      <c r="F313">
        <v>0.2</v>
      </c>
      <c r="G313">
        <f>SUMIF('Isi Data'!B$1:B$65536,SNI!C$1:C$65536,'Isi Data'!E$1:E$65536)</f>
        <v>0</v>
      </c>
      <c r="I313">
        <f>F313*G313</f>
        <v>0</v>
      </c>
    </row>
    <row r="314">
      <c r="C314" t="str">
        <f>'Isi Data'!B161</f>
        <v>Tukang Batu Kasar</v>
      </c>
      <c r="E314" t="str">
        <v>org/hr</v>
      </c>
      <c r="F314">
        <v>0.1</v>
      </c>
      <c r="G314">
        <f>SUMIF('Isi Data'!B$1:B$65536,SNI!C$1:C$65536,'Isi Data'!E$1:E$65536)</f>
        <v>0</v>
      </c>
      <c r="I314">
        <f>F314*G314</f>
        <v>0</v>
      </c>
    </row>
    <row r="315">
      <c r="C315" t="str">
        <f>'Isi Data'!B163</f>
        <v>Kepala Tukang Batu</v>
      </c>
      <c r="E315" t="str">
        <v>org/hr</v>
      </c>
      <c r="F315">
        <v>0.01</v>
      </c>
      <c r="G315">
        <f>SUMIF('Isi Data'!B$1:B$65536,SNI!C$1:C$65536,'Isi Data'!E$1:E$65536)</f>
        <v>0</v>
      </c>
      <c r="I315">
        <f>F315*G315</f>
        <v>0</v>
      </c>
    </row>
    <row r="316">
      <c r="C316" t="str">
        <f>'Isi Data'!B169</f>
        <v xml:space="preserve">Mandor </v>
      </c>
      <c r="E316" t="str">
        <v>org/hr</v>
      </c>
      <c r="F316">
        <v>0.01</v>
      </c>
      <c r="G316">
        <f>SUMIF('Isi Data'!B$1:B$65536,SNI!C$1:C$65536,'Isi Data'!E$1:E$65536)</f>
        <v>0</v>
      </c>
      <c r="I316">
        <f>F316*G316</f>
        <v>0</v>
      </c>
    </row>
    <row r="317">
      <c r="G317">
        <f>SUMIF('Isi Data'!B$1:B$65536,SNI!C$1:C$65536,'Isi Data'!E$1:E$65536)</f>
        <v>0</v>
      </c>
    </row>
    <row r="318">
      <c r="G318">
        <f>SUMIF('Isi Data'!B$1:B$65536,SNI!C$1:C$65536,'Isi Data'!E$1:E$65536)</f>
        <v>0</v>
      </c>
    </row>
    <row r="320">
      <c r="C320" t="str">
        <v>PEKERJAAN FINISHING DINDING</v>
      </c>
      <c r="G320">
        <f>SUMIF('Isi Data'!B$1:B$65536,SNI!C$1:C$65536,'Isi Data'!E$1:E$65536)</f>
        <v>0</v>
      </c>
    </row>
    <row r="321">
      <c r="G321">
        <f>SUMIF('Isi Data'!B$1:B$65536,SNI!C$1:C$65536,'Isi Data'!E$1:E$65536)</f>
        <v>0</v>
      </c>
    </row>
    <row r="322">
      <c r="A322" t="str">
        <v>SNI DT 91-0012-2007</v>
      </c>
      <c r="B322" t="str">
        <v>M2</v>
      </c>
      <c r="C322" t="str">
        <v>Pas. Dinding Granit Tile 400 x 400</v>
      </c>
      <c r="G322">
        <f>SUMIF('Isi Data'!B$1:B$65536,SNI!C$1:C$65536,'Isi Data'!E$1:E$65536)</f>
        <v>0</v>
      </c>
      <c r="H322">
        <f>SUM(H323:H330)</f>
        <v>0</v>
      </c>
      <c r="I322">
        <f>SUM(I323:I330)</f>
        <v>0</v>
      </c>
      <c r="J322">
        <f>$J$3</f>
        <v>0.1</v>
      </c>
      <c r="K322">
        <f>SUM(H322:I322)*(1+J322)</f>
        <v>0</v>
      </c>
      <c r="L322">
        <f>ROUND(K322,-2)</f>
        <v>0</v>
      </c>
    </row>
    <row r="323">
      <c r="C323" t="str">
        <f>'Isi Data'!B64</f>
        <v xml:space="preserve">Granite Tile 40/40 </v>
      </c>
      <c r="E323" t="str">
        <v>m2</v>
      </c>
      <c r="F323">
        <v>1.06</v>
      </c>
      <c r="G323">
        <f>SUMIF('Isi Data'!B$1:B$65536,SNI!C$1:C$65536,'Isi Data'!E$1:E$65536)</f>
        <v>0</v>
      </c>
      <c r="H323">
        <f>F323*G323</f>
        <v>0</v>
      </c>
      <c r="M323" t="str">
        <f>IF(G323=0,"edit"," ")</f>
        <v>edit</v>
      </c>
    </row>
    <row r="324">
      <c r="C324" t="str">
        <f>'Isi Data'!B25</f>
        <v>Semen (50 Kg)</v>
      </c>
      <c r="E324" t="str">
        <v>zak</v>
      </c>
      <c r="F324">
        <f>9.3/50</f>
        <v>0.18600000000000003</v>
      </c>
      <c r="G324">
        <f>SUMIF('Isi Data'!B$1:B$65536,SNI!C$1:C$65536,'Isi Data'!E$1:E$65536)</f>
        <v>0</v>
      </c>
      <c r="H324">
        <f>F324*G324</f>
        <v>0</v>
      </c>
      <c r="M324" t="str">
        <f>IF(G324=0,"edit"," ")</f>
        <v>edit</v>
      </c>
    </row>
    <row r="325">
      <c r="C325" t="str">
        <f>'Isi Data'!B20</f>
        <v>Pasir Pasang</v>
      </c>
      <c r="E325" t="str">
        <v>m3</v>
      </c>
      <c r="F325">
        <v>0.018</v>
      </c>
      <c r="G325">
        <f>SUMIF('Isi Data'!B$1:B$65536,SNI!C$1:C$65536,'Isi Data'!E$1:E$65536)</f>
        <v>0</v>
      </c>
      <c r="H325">
        <f>F325*G325</f>
        <v>0</v>
      </c>
      <c r="M325" t="str">
        <f>IF(G325=0,"edit"," ")</f>
        <v>edit</v>
      </c>
    </row>
    <row r="326">
      <c r="C326" t="str">
        <f>'Isi Data'!B26</f>
        <v xml:space="preserve">Semen Warna </v>
      </c>
      <c r="E326" t="str">
        <v>kg</v>
      </c>
      <c r="F326">
        <v>1.94</v>
      </c>
      <c r="G326">
        <f>SUMIF('Isi Data'!B$1:B$65536,SNI!C$1:C$65536,'Isi Data'!E$1:E$65536)</f>
        <v>0</v>
      </c>
      <c r="H326">
        <f>F326*G326</f>
        <v>0</v>
      </c>
      <c r="M326" t="str">
        <f>IF(G326=0,"edit"," ")</f>
        <v>edit</v>
      </c>
    </row>
    <row r="327">
      <c r="C327" t="str">
        <f>'Isi Data'!B168</f>
        <v>Pekerja</v>
      </c>
      <c r="E327" t="str">
        <v>org/hr</v>
      </c>
      <c r="F327">
        <v>0.6</v>
      </c>
      <c r="G327">
        <f>SUMIF('Isi Data'!B$1:B$65536,SNI!C$1:C$65536,'Isi Data'!E$1:E$65536)</f>
        <v>0</v>
      </c>
      <c r="I327">
        <f>F327*G327</f>
        <v>0</v>
      </c>
      <c r="M327" t="str">
        <f>IF(G327=0,"edit"," ")</f>
        <v>edit</v>
      </c>
    </row>
    <row r="328">
      <c r="C328" t="str">
        <f>'Isi Data'!B161</f>
        <v>Tukang Batu Kasar</v>
      </c>
      <c r="E328" t="str">
        <v>org/hr</v>
      </c>
      <c r="F328">
        <v>0.45</v>
      </c>
      <c r="G328">
        <f>SUMIF('Isi Data'!B$1:B$65536,SNI!C$1:C$65536,'Isi Data'!E$1:E$65536)</f>
        <v>0</v>
      </c>
      <c r="I328">
        <f>F328*G328</f>
        <v>0</v>
      </c>
      <c r="M328" t="str">
        <f>IF(G328=0,"edit"," ")</f>
        <v>edit</v>
      </c>
    </row>
    <row r="329">
      <c r="C329" t="str">
        <f>'Isi Data'!B163</f>
        <v>Kepala Tukang Batu</v>
      </c>
      <c r="E329" t="str">
        <v>org/hr</v>
      </c>
      <c r="F329">
        <v>0.045</v>
      </c>
      <c r="G329">
        <f>SUMIF('Isi Data'!B$1:B$65536,SNI!C$1:C$65536,'Isi Data'!E$1:E$65536)</f>
        <v>0</v>
      </c>
      <c r="I329">
        <f>F329*G329</f>
        <v>0</v>
      </c>
      <c r="M329" t="str">
        <f>IF(G329=0,"edit"," ")</f>
        <v>edit</v>
      </c>
    </row>
    <row r="330">
      <c r="C330" t="str">
        <f>'Isi Data'!B169</f>
        <v xml:space="preserve">Mandor </v>
      </c>
      <c r="E330" t="str">
        <v>org/hr</v>
      </c>
      <c r="F330">
        <v>0.3</v>
      </c>
      <c r="G330">
        <f>SUMIF('Isi Data'!B$1:B$65536,SNI!C$1:C$65536,'Isi Data'!E$1:E$65536)</f>
        <v>0</v>
      </c>
      <c r="I330">
        <f>F330*G330</f>
        <v>0</v>
      </c>
      <c r="M330" t="str">
        <f>IF(G330=0,"edit"," ")</f>
        <v>edit</v>
      </c>
    </row>
    <row r="331">
      <c r="G331">
        <f>SUMIF('Isi Data'!B$1:B$65536,SNI!C$1:C$65536,'Isi Data'!E$1:E$65536)</f>
        <v>0</v>
      </c>
    </row>
    <row r="332">
      <c r="A332" t="str">
        <v>SNI DT 91-0012-2007</v>
      </c>
      <c r="B332" t="str">
        <v>M2</v>
      </c>
      <c r="C332" t="str">
        <v>Pas. Dinding Keramik 300x300</v>
      </c>
      <c r="G332">
        <f>SUMIF('Isi Data'!B$1:B$65536,SNI!C$1:C$65536,'Isi Data'!E$1:E$65536)</f>
        <v>0</v>
      </c>
      <c r="H332">
        <f>SUM(H333:H340)</f>
        <v>0</v>
      </c>
      <c r="I332">
        <f>SUM(I333:I340)</f>
        <v>0</v>
      </c>
      <c r="J332">
        <f>$J$3</f>
        <v>0.1</v>
      </c>
      <c r="K332">
        <f>SUM(H332:I332)*(1+J332)</f>
        <v>0</v>
      </c>
      <c r="L332">
        <f>ROUND(K332,-2)</f>
        <v>0</v>
      </c>
    </row>
    <row r="333">
      <c r="C333" t="str">
        <f>'Isi Data'!B63</f>
        <v xml:space="preserve">Keramik 30/30 </v>
      </c>
      <c r="E333" t="str">
        <v>m2</v>
      </c>
      <c r="F333">
        <v>1.06</v>
      </c>
      <c r="G333">
        <f>SUMIF('Isi Data'!B$1:B$65536,SNI!C$1:C$65536,'Isi Data'!E$1:E$65536)</f>
        <v>0</v>
      </c>
      <c r="H333">
        <f>F333*G333</f>
        <v>0</v>
      </c>
    </row>
    <row r="334">
      <c r="C334" t="str">
        <f>'Isi Data'!B25</f>
        <v>Semen (50 Kg)</v>
      </c>
      <c r="E334" t="str">
        <v>zak</v>
      </c>
      <c r="F334">
        <f>9.3/50</f>
        <v>0.18600000000000003</v>
      </c>
      <c r="G334">
        <f>SUMIF('Isi Data'!B$1:B$65536,SNI!C$1:C$65536,'Isi Data'!E$1:E$65536)</f>
        <v>0</v>
      </c>
      <c r="H334">
        <f>F334*G334</f>
        <v>0</v>
      </c>
    </row>
    <row r="335">
      <c r="C335" t="str">
        <f>'Isi Data'!B20</f>
        <v>Pasir Pasang</v>
      </c>
      <c r="E335" t="str">
        <v>m3</v>
      </c>
      <c r="F335">
        <v>0.018</v>
      </c>
      <c r="G335">
        <f>SUMIF('Isi Data'!B$1:B$65536,SNI!C$1:C$65536,'Isi Data'!E$1:E$65536)</f>
        <v>0</v>
      </c>
      <c r="H335">
        <f>F335*G335</f>
        <v>0</v>
      </c>
    </row>
    <row r="336">
      <c r="C336" t="str">
        <f>'Isi Data'!B26</f>
        <v xml:space="preserve">Semen Warna </v>
      </c>
      <c r="E336" t="str">
        <v>kg</v>
      </c>
      <c r="F336">
        <v>1.94</v>
      </c>
      <c r="G336">
        <f>SUMIF('Isi Data'!B$1:B$65536,SNI!C$1:C$65536,'Isi Data'!E$1:E$65536)</f>
        <v>0</v>
      </c>
      <c r="H336">
        <f>F336*G336</f>
        <v>0</v>
      </c>
    </row>
    <row r="337">
      <c r="C337" t="str">
        <f>'Isi Data'!B168</f>
        <v>Pekerja</v>
      </c>
      <c r="E337" t="str">
        <v>org/hr</v>
      </c>
      <c r="F337">
        <v>0.6</v>
      </c>
      <c r="G337">
        <f>SUMIF('Isi Data'!B$1:B$65536,SNI!C$1:C$65536,'Isi Data'!E$1:E$65536)</f>
        <v>0</v>
      </c>
      <c r="I337">
        <f>F337*G337</f>
        <v>0</v>
      </c>
    </row>
    <row r="338">
      <c r="C338" t="str">
        <f>'Isi Data'!B161</f>
        <v>Tukang Batu Kasar</v>
      </c>
      <c r="E338" t="str">
        <v>org/hr</v>
      </c>
      <c r="F338">
        <v>0.45</v>
      </c>
      <c r="G338">
        <f>SUMIF('Isi Data'!B$1:B$65536,SNI!C$1:C$65536,'Isi Data'!E$1:E$65536)</f>
        <v>0</v>
      </c>
      <c r="I338">
        <f>F338*G338</f>
        <v>0</v>
      </c>
    </row>
    <row r="339">
      <c r="C339" t="str">
        <f>'Isi Data'!B163</f>
        <v>Kepala Tukang Batu</v>
      </c>
      <c r="E339" t="str">
        <v>org/hr</v>
      </c>
      <c r="F339">
        <v>0.045</v>
      </c>
      <c r="G339">
        <f>SUMIF('Isi Data'!B$1:B$65536,SNI!C$1:C$65536,'Isi Data'!E$1:E$65536)</f>
        <v>0</v>
      </c>
      <c r="I339">
        <f>F339*G339</f>
        <v>0</v>
      </c>
    </row>
    <row r="340">
      <c r="C340" t="str">
        <f>'Isi Data'!B169</f>
        <v xml:space="preserve">Mandor </v>
      </c>
      <c r="E340" t="str">
        <v>org/hr</v>
      </c>
      <c r="F340">
        <v>0.3</v>
      </c>
      <c r="G340">
        <f>SUMIF('Isi Data'!B$1:B$65536,SNI!C$1:C$65536,'Isi Data'!E$1:E$65536)</f>
        <v>0</v>
      </c>
      <c r="I340">
        <f>F340*G340</f>
        <v>0</v>
      </c>
    </row>
    <row r="341">
      <c r="G341">
        <f>SUMIF('Isi Data'!B$1:B$65536,SNI!C$1:C$65536,'Isi Data'!E$1:E$65536)</f>
        <v>0</v>
      </c>
    </row>
    <row r="342">
      <c r="G342">
        <f>SUMIF('Isi Data'!B$1:B$65536,SNI!C$1:C$65536,'Isi Data'!E$1:E$65536)</f>
        <v>0</v>
      </c>
    </row>
    <row r="343">
      <c r="B343" t="str">
        <v>M</v>
      </c>
      <c r="C343" t="str">
        <v>Railing Tangga Besi Hollow</v>
      </c>
      <c r="G343">
        <f>SUMIF('Isi Data'!B$1:B$65536,SNI!C$1:C$65536,'Isi Data'!E$1:E$65536)</f>
        <v>0</v>
      </c>
      <c r="H343">
        <f>SUM(H344:H349)</f>
        <v>0</v>
      </c>
      <c r="I343">
        <f>SUM(I344:I349)</f>
        <v>0</v>
      </c>
      <c r="J343">
        <f>$J$3</f>
        <v>0.1</v>
      </c>
      <c r="K343">
        <f>SUM(H343:I343)*(1+J343)</f>
        <v>0</v>
      </c>
      <c r="L343">
        <f>ROUND(K343,-2)</f>
        <v>0</v>
      </c>
    </row>
    <row r="344">
      <c r="C344" t="str">
        <f>'Isi Data'!B31</f>
        <v xml:space="preserve">Besi Plat rata2 </v>
      </c>
      <c r="E344" t="str">
        <v>kg</v>
      </c>
      <c r="F344">
        <v>15</v>
      </c>
      <c r="G344">
        <f>SUMIF('Isi Data'!B$1:B$65536,SNI!C$1:C$65536,'Isi Data'!E$1:E$65536)</f>
        <v>0</v>
      </c>
      <c r="H344">
        <f>F344*G344</f>
        <v>0</v>
      </c>
    </row>
    <row r="345">
      <c r="C345" t="str">
        <f>'Isi Data'!B87</f>
        <v xml:space="preserve">Cat kayu/Besi </v>
      </c>
      <c r="E345" t="str">
        <v>m</v>
      </c>
      <c r="F345">
        <v>1</v>
      </c>
      <c r="G345">
        <f>SUMIF('Isi Data'!B$1:B$65536,SNI!C$1:C$65536,'Isi Data'!E$1:E$65536)</f>
        <v>0</v>
      </c>
      <c r="H345">
        <f>F345*G345</f>
        <v>0</v>
      </c>
    </row>
    <row r="346">
      <c r="C346" t="str">
        <f>'Isi Data'!B168</f>
        <v>Pekerja</v>
      </c>
      <c r="E346" t="str">
        <v>org/hr</v>
      </c>
      <c r="F346">
        <v>0.15</v>
      </c>
      <c r="G346">
        <f>SUMIF('Isi Data'!B$1:B$65536,SNI!C$1:C$65536,'Isi Data'!E$1:E$65536)</f>
        <v>0</v>
      </c>
      <c r="I346">
        <f>F346*G346</f>
        <v>0</v>
      </c>
    </row>
    <row r="347">
      <c r="C347" t="str">
        <f>'Isi Data'!B161</f>
        <v>Tukang Batu Kasar</v>
      </c>
      <c r="E347" t="str">
        <v>org/hr</v>
      </c>
      <c r="F347">
        <v>0.075</v>
      </c>
      <c r="G347">
        <f>SUMIF('Isi Data'!B$1:B$65536,SNI!C$1:C$65536,'Isi Data'!E$1:E$65536)</f>
        <v>0</v>
      </c>
      <c r="I347">
        <f>F347*G347</f>
        <v>0</v>
      </c>
    </row>
    <row r="348">
      <c r="C348" t="str">
        <f>'Isi Data'!B163</f>
        <v>Kepala Tukang Batu</v>
      </c>
      <c r="E348" t="str">
        <v>org/hr</v>
      </c>
      <c r="F348">
        <v>0.008</v>
      </c>
      <c r="G348">
        <f>SUMIF('Isi Data'!B$1:B$65536,SNI!C$1:C$65536,'Isi Data'!E$1:E$65536)</f>
        <v>0</v>
      </c>
      <c r="I348">
        <f>F348*G348</f>
        <v>0</v>
      </c>
    </row>
    <row r="349">
      <c r="C349" t="str">
        <f>'Isi Data'!B169</f>
        <v xml:space="preserve">Mandor </v>
      </c>
      <c r="E349" t="str">
        <v>org/hr</v>
      </c>
      <c r="F349">
        <v>0.008</v>
      </c>
      <c r="G349">
        <f>SUMIF('Isi Data'!B$1:B$65536,SNI!C$1:C$65536,'Isi Data'!E$1:E$65536)</f>
        <v>0</v>
      </c>
      <c r="I349">
        <f>F349*G349</f>
        <v>0</v>
      </c>
    </row>
    <row r="350">
      <c r="G350">
        <f>SUMIF('Isi Data'!B$1:B$65536,SNI!C$1:C$65536,'Isi Data'!E$1:E$65536)</f>
        <v>0</v>
      </c>
    </row>
    <row r="352">
      <c r="C352" t="str">
        <v>PEKERJAAN FINISHING LANTAI</v>
      </c>
      <c r="G352">
        <f>SUMIF('Isi Data'!B$1:B$65536,SNI!C$1:C$65536,'Isi Data'!E$1:E$65536)</f>
        <v>0</v>
      </c>
    </row>
    <row r="353">
      <c r="G353">
        <f>SUMIF('Isi Data'!B$1:B$65536,SNI!C$1:C$65536,'Isi Data'!E$1:E$65536)</f>
        <v>0</v>
      </c>
    </row>
    <row r="354">
      <c r="B354" t="str">
        <v>M2</v>
      </c>
      <c r="C354" t="str">
        <v>Pas. Rabat beton; finish acian</v>
      </c>
      <c r="D354" t="str">
        <v>beton 1:3:5,  t. 10 cm</v>
      </c>
      <c r="G354">
        <f>SUMIF('Isi Data'!B$1:B$65536,SNI!C$1:C$65536,'Isi Data'!E$1:E$65536)</f>
        <v>0</v>
      </c>
      <c r="H354">
        <f>SUM(H355:H361)</f>
        <v>0</v>
      </c>
      <c r="I354">
        <f>SUM(I355:I361)</f>
        <v>0</v>
      </c>
      <c r="J354">
        <f>$J$3</f>
        <v>0.1</v>
      </c>
      <c r="K354">
        <f>SUM(H354:I354)*(1+J354)</f>
        <v>0</v>
      </c>
      <c r="L354">
        <f>ROUND(K354,-2)</f>
        <v>0</v>
      </c>
    </row>
    <row r="355">
      <c r="C355" t="str">
        <f>'Isi Data'!B25</f>
        <v>Semen (50 Kg)</v>
      </c>
      <c r="E355" t="str">
        <v>zak</v>
      </c>
      <c r="F355">
        <v>0.454</v>
      </c>
      <c r="G355">
        <f>SUMIF('Isi Data'!B$1:B$65536,SNI!C$1:C$65536,'Isi Data'!E$1:E$65536)</f>
        <v>0</v>
      </c>
      <c r="H355">
        <f>F355*G355</f>
        <v>0</v>
      </c>
      <c r="M355" t="str">
        <f>IF(G355=0,"edit"," ")</f>
        <v>edit</v>
      </c>
    </row>
    <row r="356">
      <c r="C356" t="str">
        <f>'Isi Data'!B19</f>
        <v>Pasir Beton</v>
      </c>
      <c r="E356" t="str">
        <v>m3</v>
      </c>
      <c r="F356">
        <v>0.054000000000000006</v>
      </c>
      <c r="G356">
        <f>SUMIF('Isi Data'!B$1:B$65536,SNI!C$1:C$65536,'Isi Data'!E$1:E$65536)</f>
        <v>0</v>
      </c>
      <c r="H356">
        <f>F356*G356</f>
        <v>0</v>
      </c>
      <c r="M356" t="str">
        <f>IF(G356=0,"edit"," ")</f>
        <v>edit</v>
      </c>
    </row>
    <row r="357">
      <c r="C357" t="str">
        <f>'Isi Data'!B16</f>
        <v>Batu Split Pecah Mesin 1/2</v>
      </c>
      <c r="E357" t="str">
        <v>m3</v>
      </c>
      <c r="F357">
        <v>0.091</v>
      </c>
      <c r="G357">
        <f>SUMIF('Isi Data'!B$1:B$65536,SNI!C$1:C$65536,'Isi Data'!E$1:E$65536)</f>
        <v>0</v>
      </c>
      <c r="H357">
        <f>F357*G357</f>
        <v>0</v>
      </c>
      <c r="M357" t="str">
        <f>IF(G357=0,"edit"," ")</f>
        <v>edit</v>
      </c>
    </row>
    <row r="358">
      <c r="C358" t="str">
        <f>'Isi Data'!B168</f>
        <v>Pekerja</v>
      </c>
      <c r="E358" t="str">
        <v>org/hr</v>
      </c>
      <c r="F358">
        <v>0.3</v>
      </c>
      <c r="G358">
        <f>SUMIF('Isi Data'!B$1:B$65536,SNI!C$1:C$65536,'Isi Data'!E$1:E$65536)</f>
        <v>0</v>
      </c>
      <c r="I358">
        <f>F358*G358</f>
        <v>0</v>
      </c>
      <c r="M358" t="str">
        <f>IF(G358=0,"edit"," ")</f>
        <v>edit</v>
      </c>
    </row>
    <row r="359">
      <c r="C359" t="str">
        <f>'Isi Data'!B161</f>
        <v>Tukang Batu Kasar</v>
      </c>
      <c r="E359" t="str">
        <v>org/hr</v>
      </c>
      <c r="F359">
        <v>0.1</v>
      </c>
      <c r="G359">
        <f>SUMIF('Isi Data'!B$1:B$65536,SNI!C$1:C$65536,'Isi Data'!E$1:E$65536)</f>
        <v>0</v>
      </c>
      <c r="I359">
        <f>F359*G359</f>
        <v>0</v>
      </c>
      <c r="M359" t="str">
        <f>IF(G359=0,"edit"," ")</f>
        <v>edit</v>
      </c>
    </row>
    <row r="360">
      <c r="C360" t="str">
        <f>'Isi Data'!B163</f>
        <v>Kepala Tukang Batu</v>
      </c>
      <c r="E360" t="str">
        <v>org/hr</v>
      </c>
      <c r="F360">
        <v>0.01</v>
      </c>
      <c r="G360">
        <f>SUMIF('Isi Data'!B$1:B$65536,SNI!C$1:C$65536,'Isi Data'!E$1:E$65536)</f>
        <v>0</v>
      </c>
      <c r="I360">
        <f>F360*G360</f>
        <v>0</v>
      </c>
      <c r="M360" t="str">
        <f>IF(G360=0,"edit"," ")</f>
        <v>edit</v>
      </c>
    </row>
    <row r="361">
      <c r="C361" t="str">
        <f>'Isi Data'!B169</f>
        <v xml:space="preserve">Mandor </v>
      </c>
      <c r="E361" t="str">
        <v>org/hr</v>
      </c>
      <c r="F361">
        <v>0.01</v>
      </c>
      <c r="G361">
        <f>SUMIF('Isi Data'!B$1:B$65536,SNI!C$1:C$65536,'Isi Data'!E$1:E$65536)</f>
        <v>0</v>
      </c>
      <c r="I361">
        <f>F361*G361</f>
        <v>0</v>
      </c>
      <c r="M361" t="str">
        <f>IF(G361=0,"edit"," ")</f>
        <v>edit</v>
      </c>
    </row>
    <row r="362">
      <c r="G362">
        <f>SUMIF('Isi Data'!B$1:B$65536,SNI!C$1:C$65536,'Isi Data'!E$1:E$65536)</f>
        <v>0</v>
      </c>
    </row>
    <row r="363">
      <c r="A363" t="str">
        <v>SNI 7395:2008-6.9</v>
      </c>
      <c r="B363" t="str">
        <v>M2</v>
      </c>
      <c r="C363" t="str">
        <v>Pas. Lantai Granit Tile 400x400</v>
      </c>
      <c r="G363">
        <f>SUMIF('Isi Data'!B$1:B$65536,SNI!C$1:C$65536,'Isi Data'!E$1:E$65536)</f>
        <v>0</v>
      </c>
      <c r="H363">
        <f>SUM(H364:H371)</f>
        <v>0</v>
      </c>
      <c r="I363">
        <f>SUM(I364:I371)</f>
        <v>0</v>
      </c>
      <c r="J363">
        <f>$J$3</f>
        <v>0.1</v>
      </c>
      <c r="K363">
        <f>SUM(H363:I363)*(1+J363)</f>
        <v>0</v>
      </c>
      <c r="L363">
        <f>ROUND(K363,-2)</f>
        <v>0</v>
      </c>
    </row>
    <row r="364">
      <c r="C364" t="str">
        <f>'Isi Data'!B64</f>
        <v xml:space="preserve">Granite Tile 40/40 </v>
      </c>
      <c r="E364" t="str">
        <v>m2</v>
      </c>
      <c r="F364">
        <f>6.63*0.4*0.4</f>
        <v>1.0608000000000002</v>
      </c>
      <c r="G364">
        <f>SUMIF('Isi Data'!B$1:B$65536,SNI!C$1:C$65536,'Isi Data'!E$1:E$65536)</f>
        <v>0</v>
      </c>
      <c r="H364">
        <f>F364*G364</f>
        <v>0</v>
      </c>
    </row>
    <row r="365">
      <c r="C365" t="str">
        <f>'Isi Data'!B25</f>
        <v>Semen (50 Kg)</v>
      </c>
      <c r="E365" t="str">
        <v>zak</v>
      </c>
      <c r="F365">
        <f>9.8/50</f>
        <v>0.196</v>
      </c>
      <c r="G365">
        <f>SUMIF('Isi Data'!B$1:B$65536,SNI!C$1:C$65536,'Isi Data'!E$1:E$65536)</f>
        <v>0</v>
      </c>
      <c r="H365">
        <f>F365*G365</f>
        <v>0</v>
      </c>
    </row>
    <row r="366">
      <c r="C366" t="str">
        <f>'Isi Data'!B20</f>
        <v>Pasir Pasang</v>
      </c>
      <c r="E366" t="str">
        <v>m3</v>
      </c>
      <c r="F366">
        <v>0.045</v>
      </c>
      <c r="G366">
        <f>SUMIF('Isi Data'!B$1:B$65536,SNI!C$1:C$65536,'Isi Data'!E$1:E$65536)</f>
        <v>0</v>
      </c>
      <c r="H366">
        <f>F366*G366</f>
        <v>0</v>
      </c>
    </row>
    <row r="367">
      <c r="C367" t="str">
        <f>'Isi Data'!B26</f>
        <v xml:space="preserve">Semen Warna </v>
      </c>
      <c r="E367" t="str">
        <v>kg</v>
      </c>
      <c r="F367">
        <v>1.3</v>
      </c>
      <c r="G367">
        <f>SUMIF('Isi Data'!B$1:B$65536,SNI!C$1:C$65536,'Isi Data'!E$1:E$65536)</f>
        <v>0</v>
      </c>
      <c r="H367">
        <f>F367*G367</f>
        <v>0</v>
      </c>
    </row>
    <row r="368">
      <c r="C368" t="str">
        <f>'Isi Data'!B168</f>
        <v>Pekerja</v>
      </c>
      <c r="E368" t="str">
        <v>org/hr</v>
      </c>
      <c r="F368">
        <v>0.25</v>
      </c>
      <c r="G368">
        <f>SUMIF('Isi Data'!B$1:B$65536,SNI!C$1:C$65536,'Isi Data'!E$1:E$65536)</f>
        <v>0</v>
      </c>
      <c r="I368">
        <f>F368*G368</f>
        <v>0</v>
      </c>
    </row>
    <row r="369">
      <c r="C369" t="str">
        <v>Tukang Batu Kasar</v>
      </c>
      <c r="E369" t="str">
        <v>org/hr</v>
      </c>
      <c r="F369">
        <v>0.125</v>
      </c>
      <c r="G369">
        <f>SUMIF('Isi Data'!B$1:B$65536,SNI!C$1:C$65536,'Isi Data'!E$1:E$65536)</f>
        <v>0</v>
      </c>
      <c r="I369">
        <f>F369*G369</f>
        <v>0</v>
      </c>
    </row>
    <row r="370">
      <c r="C370" t="str">
        <v>Kepala Tukang Batu</v>
      </c>
      <c r="E370" t="str">
        <v>org/hr</v>
      </c>
      <c r="F370">
        <v>0.013</v>
      </c>
      <c r="G370">
        <f>SUMIF('Isi Data'!B$1:B$65536,SNI!C$1:C$65536,'Isi Data'!E$1:E$65536)</f>
        <v>0</v>
      </c>
      <c r="I370">
        <f>F370*G370</f>
        <v>0</v>
      </c>
    </row>
    <row r="371">
      <c r="C371" t="str">
        <v xml:space="preserve">Mandor </v>
      </c>
      <c r="E371" t="str">
        <v>org/hr</v>
      </c>
      <c r="F371">
        <v>0.013</v>
      </c>
      <c r="G371">
        <f>SUMIF('Isi Data'!B$1:B$65536,SNI!C$1:C$65536,'Isi Data'!E$1:E$65536)</f>
        <v>0</v>
      </c>
      <c r="I371">
        <f>F371*G371</f>
        <v>0</v>
      </c>
    </row>
    <row r="372">
      <c r="G372">
        <f>SUMIF('Isi Data'!B$1:B$65536,SNI!C$1:C$65536,'Isi Data'!E$1:E$65536)</f>
        <v>0</v>
      </c>
    </row>
    <row r="373">
      <c r="G373">
        <f>SUMIF('Isi Data'!B$1:B$65536,SNI!C$1:C$65536,'Isi Data'!E$1:E$65536)</f>
        <v>0</v>
      </c>
    </row>
    <row r="374">
      <c r="G374">
        <f>SUMIF('Isi Data'!B$1:B$65536,SNI!C$1:C$65536,'Isi Data'!E$1:E$65536)</f>
        <v>0</v>
      </c>
    </row>
    <row r="375">
      <c r="A375" t="str">
        <v>SNI 7395:2008-6.35</v>
      </c>
      <c r="B375" t="str">
        <v>M2</v>
      </c>
      <c r="C375" t="str">
        <v>Pas. Lantai Keramik 300x300</v>
      </c>
      <c r="G375">
        <f>SUMIF('Isi Data'!B$1:B$65536,SNI!C$1:C$65536,'Isi Data'!E$1:E$65536)</f>
        <v>0</v>
      </c>
      <c r="H375">
        <f>SUM(H376:H383)</f>
        <v>0</v>
      </c>
      <c r="I375">
        <f>SUM(I376:I383)</f>
        <v>0</v>
      </c>
      <c r="J375">
        <f>$J$3</f>
        <v>0.1</v>
      </c>
      <c r="K375">
        <f>SUM(H375:I375)*(1+J375)</f>
        <v>0</v>
      </c>
      <c r="L375">
        <f>ROUND(K375,-2)</f>
        <v>0</v>
      </c>
    </row>
    <row r="376">
      <c r="C376" t="str">
        <f>'Isi Data'!B63</f>
        <v xml:space="preserve">Keramik 30/30 </v>
      </c>
      <c r="E376" t="str">
        <v>m2</v>
      </c>
      <c r="F376">
        <f>11.87*0.3*0.3</f>
        <v>1.0682999999999998</v>
      </c>
      <c r="G376">
        <f>SUMIF('Isi Data'!B$1:B$65536,SNI!C$1:C$65536,'Isi Data'!E$1:E$65536)</f>
        <v>0</v>
      </c>
      <c r="H376">
        <f>F376*G376</f>
        <v>0</v>
      </c>
      <c r="M376" t="str">
        <f>IF(G376=0,"edit"," ")</f>
        <v>edit</v>
      </c>
    </row>
    <row r="377">
      <c r="C377" t="str">
        <f>'Isi Data'!B25</f>
        <v>Semen (50 Kg)</v>
      </c>
      <c r="E377" t="str">
        <v>zak</v>
      </c>
      <c r="F377">
        <f>10/50</f>
        <v>0.2</v>
      </c>
      <c r="G377">
        <f>SUMIF('Isi Data'!B$1:B$65536,SNI!C$1:C$65536,'Isi Data'!E$1:E$65536)</f>
        <v>0</v>
      </c>
      <c r="H377">
        <f>F377*G377</f>
        <v>0</v>
      </c>
      <c r="M377" t="str">
        <f>IF(G377=0,"edit"," ")</f>
        <v>edit</v>
      </c>
    </row>
    <row r="378">
      <c r="C378" t="str">
        <f>'Isi Data'!B20</f>
        <v>Pasir Pasang</v>
      </c>
      <c r="E378" t="str">
        <v>m3</v>
      </c>
      <c r="F378">
        <v>0.045</v>
      </c>
      <c r="G378">
        <f>SUMIF('Isi Data'!B$1:B$65536,SNI!C$1:C$65536,'Isi Data'!E$1:E$65536)</f>
        <v>0</v>
      </c>
      <c r="H378">
        <f>F378*G378</f>
        <v>0</v>
      </c>
      <c r="M378" t="str">
        <f>IF(G378=0,"edit"," ")</f>
        <v>edit</v>
      </c>
    </row>
    <row r="379">
      <c r="C379" t="str">
        <f>'Isi Data'!B26</f>
        <v xml:space="preserve">Semen Warna </v>
      </c>
      <c r="E379" t="str">
        <v>kg</v>
      </c>
      <c r="F379">
        <v>1.5</v>
      </c>
      <c r="G379">
        <f>SUMIF('Isi Data'!B$1:B$65536,SNI!C$1:C$65536,'Isi Data'!E$1:E$65536)</f>
        <v>0</v>
      </c>
      <c r="H379">
        <f>F379*G379</f>
        <v>0</v>
      </c>
      <c r="M379" t="str">
        <f>IF(G379=0,"edit"," ")</f>
        <v>edit</v>
      </c>
    </row>
    <row r="380">
      <c r="C380" t="str">
        <f>'Isi Data'!B168</f>
        <v>Pekerja</v>
      </c>
      <c r="E380" t="str">
        <v>org/hr</v>
      </c>
      <c r="F380">
        <v>0.7</v>
      </c>
      <c r="G380">
        <f>SUMIF('Isi Data'!B$1:B$65536,SNI!C$1:C$65536,'Isi Data'!E$1:E$65536)</f>
        <v>0</v>
      </c>
      <c r="I380">
        <f>F380*G380</f>
        <v>0</v>
      </c>
      <c r="M380" t="str">
        <f>IF(G380=0,"edit"," ")</f>
        <v>edit</v>
      </c>
    </row>
    <row r="381">
      <c r="C381" t="str">
        <f>'Isi Data'!B161</f>
        <v>Tukang Batu Kasar</v>
      </c>
      <c r="E381" t="str">
        <v>org/hr</v>
      </c>
      <c r="F381">
        <v>0.35</v>
      </c>
      <c r="G381">
        <f>SUMIF('Isi Data'!B$1:B$65536,SNI!C$1:C$65536,'Isi Data'!E$1:E$65536)</f>
        <v>0</v>
      </c>
      <c r="I381">
        <f>F381*G381</f>
        <v>0</v>
      </c>
      <c r="M381" t="str">
        <f>IF(G381=0,"edit"," ")</f>
        <v>edit</v>
      </c>
    </row>
    <row r="382">
      <c r="C382" t="str">
        <f>'Isi Data'!B163</f>
        <v>Kepala Tukang Batu</v>
      </c>
      <c r="E382" t="str">
        <v>org/hr</v>
      </c>
      <c r="F382">
        <v>0.035</v>
      </c>
      <c r="G382">
        <f>SUMIF('Isi Data'!B$1:B$65536,SNI!C$1:C$65536,'Isi Data'!E$1:E$65536)</f>
        <v>0</v>
      </c>
      <c r="I382">
        <f>F382*G382</f>
        <v>0</v>
      </c>
      <c r="M382" t="str">
        <f>IF(G382=0,"edit"," ")</f>
        <v>edit</v>
      </c>
    </row>
    <row r="383">
      <c r="C383" t="str">
        <f>'Isi Data'!B169</f>
        <v xml:space="preserve">Mandor </v>
      </c>
      <c r="E383" t="str">
        <v>org/hr</v>
      </c>
      <c r="F383">
        <v>0.035</v>
      </c>
      <c r="G383">
        <f>SUMIF('Isi Data'!B$1:B$65536,SNI!C$1:C$65536,'Isi Data'!E$1:E$65536)</f>
        <v>0</v>
      </c>
      <c r="I383">
        <f>F383*G383</f>
        <v>0</v>
      </c>
      <c r="M383" t="str">
        <f>IF(G383=0,"edit"," ")</f>
        <v>edit</v>
      </c>
    </row>
    <row r="384">
      <c r="G384">
        <f>SUMIF('Isi Data'!B$1:B$65536,SNI!C$1:C$65536,'Isi Data'!E$1:E$65536)</f>
        <v>0</v>
      </c>
    </row>
    <row r="385">
      <c r="G385">
        <f>SUMIF('Isi Data'!B$1:B$65536,SNI!C$1:C$65536,'Isi Data'!E$1:E$65536)</f>
        <v>0</v>
      </c>
    </row>
    <row r="386">
      <c r="A386" t="str">
        <v>SNI DT 91-0012-2007</v>
      </c>
      <c r="B386" t="str">
        <v>M</v>
      </c>
      <c r="C386" t="str">
        <v>Pas. Plint Keramik 100x300</v>
      </c>
      <c r="G386">
        <f>SUMIF('Isi Data'!B$1:B$65536,SNI!C$1:C$65536,'Isi Data'!E$1:E$65536)</f>
        <v>0</v>
      </c>
      <c r="H386">
        <f>SUM(H387:H394)</f>
        <v>0</v>
      </c>
      <c r="I386">
        <f>SUM(I387:I394)</f>
        <v>0</v>
      </c>
      <c r="J386">
        <f>$J$3</f>
        <v>0.1</v>
      </c>
      <c r="K386">
        <f>SUM(H386:I386)*(1+J386)</f>
        <v>0</v>
      </c>
      <c r="L386">
        <f>ROUND(K386,-2)</f>
        <v>0</v>
      </c>
    </row>
    <row r="387">
      <c r="C387" t="str">
        <f>'Isi Data'!B65</f>
        <v xml:space="preserve">Plint Keramik 10/30 cm </v>
      </c>
      <c r="E387" t="str">
        <v>bh</v>
      </c>
      <c r="F387">
        <f>1/0.3</f>
        <v>3.3333333333333335</v>
      </c>
      <c r="G387">
        <f>SUMIF('Isi Data'!B$1:B$65536,SNI!C$1:C$65536,'Isi Data'!E$1:E$65536)</f>
        <v>0</v>
      </c>
      <c r="H387">
        <f>F387*G387</f>
        <v>0</v>
      </c>
      <c r="M387" t="str">
        <f>IF(G387=0,"edit"," ")</f>
        <v>edit</v>
      </c>
    </row>
    <row r="388">
      <c r="C388" t="str">
        <f>'Isi Data'!B25</f>
        <v>Semen (50 Kg)</v>
      </c>
      <c r="E388" t="str">
        <v>zak</v>
      </c>
      <c r="F388">
        <f>1.14/50</f>
        <v>0.022799999999999997</v>
      </c>
      <c r="G388">
        <f>SUMIF('Isi Data'!B$1:B$65536,SNI!C$1:C$65536,'Isi Data'!E$1:E$65536)</f>
        <v>0</v>
      </c>
      <c r="H388">
        <f>F388*G388</f>
        <v>0</v>
      </c>
      <c r="M388" t="str">
        <f>IF(G388=0,"edit"," ")</f>
        <v>edit</v>
      </c>
    </row>
    <row r="389">
      <c r="C389" t="str">
        <f>'Isi Data'!B20</f>
        <v>Pasir Pasang</v>
      </c>
      <c r="E389" t="str">
        <v>m3</v>
      </c>
      <c r="F389">
        <v>0.03</v>
      </c>
      <c r="G389">
        <f>SUMIF('Isi Data'!B$1:B$65536,SNI!C$1:C$65536,'Isi Data'!E$1:E$65536)</f>
        <v>0</v>
      </c>
      <c r="H389">
        <f>F389*G389</f>
        <v>0</v>
      </c>
      <c r="M389" t="str">
        <f>IF(G389=0,"edit"," ")</f>
        <v>edit</v>
      </c>
    </row>
    <row r="390">
      <c r="C390" t="str">
        <f>'Isi Data'!B26</f>
        <v xml:space="preserve">Semen Warna </v>
      </c>
      <c r="E390" t="str">
        <v>kg</v>
      </c>
      <c r="F390">
        <v>0.025</v>
      </c>
      <c r="G390">
        <f>SUMIF('Isi Data'!B$1:B$65536,SNI!C$1:C$65536,'Isi Data'!E$1:E$65536)</f>
        <v>0</v>
      </c>
      <c r="H390">
        <f>F390*G390</f>
        <v>0</v>
      </c>
      <c r="M390" t="str">
        <f>IF(G390=0,"edit"," ")</f>
        <v>edit</v>
      </c>
    </row>
    <row r="391">
      <c r="C391" t="str">
        <f>'Isi Data'!B168</f>
        <v>Pekerja</v>
      </c>
      <c r="E391" t="str">
        <v>org/hr</v>
      </c>
      <c r="F391">
        <v>0.09</v>
      </c>
      <c r="G391">
        <f>SUMIF('Isi Data'!B$1:B$65536,SNI!C$1:C$65536,'Isi Data'!E$1:E$65536)</f>
        <v>0</v>
      </c>
      <c r="I391">
        <f>F391*G391</f>
        <v>0</v>
      </c>
      <c r="M391" t="str">
        <f>IF(G391=0,"edit"," ")</f>
        <v>edit</v>
      </c>
    </row>
    <row r="392">
      <c r="C392" t="str">
        <f>'Isi Data'!B161</f>
        <v>Tukang Batu Kasar</v>
      </c>
      <c r="E392" t="str">
        <v>org/hr</v>
      </c>
      <c r="F392">
        <v>0.09</v>
      </c>
      <c r="G392">
        <f>SUMIF('Isi Data'!B$1:B$65536,SNI!C$1:C$65536,'Isi Data'!E$1:E$65536)</f>
        <v>0</v>
      </c>
      <c r="I392">
        <f>F392*G392</f>
        <v>0</v>
      </c>
      <c r="M392" t="str">
        <f>IF(G392=0,"edit"," ")</f>
        <v>edit</v>
      </c>
    </row>
    <row r="393">
      <c r="C393" t="str">
        <f>'Isi Data'!B163</f>
        <v>Kepala Tukang Batu</v>
      </c>
      <c r="E393" t="str">
        <v>org/hr</v>
      </c>
      <c r="F393">
        <v>0.09</v>
      </c>
      <c r="G393">
        <f>SUMIF('Isi Data'!B$1:B$65536,SNI!C$1:C$65536,'Isi Data'!E$1:E$65536)</f>
        <v>0</v>
      </c>
      <c r="I393">
        <f>F393*G393</f>
        <v>0</v>
      </c>
      <c r="M393" t="str">
        <f>IF(G393=0,"edit"," ")</f>
        <v>edit</v>
      </c>
    </row>
    <row r="394">
      <c r="C394" t="str">
        <f>'Isi Data'!B169</f>
        <v xml:space="preserve">Mandor </v>
      </c>
      <c r="E394" t="str">
        <v>org/hr</v>
      </c>
      <c r="F394">
        <v>0.005</v>
      </c>
      <c r="G394">
        <f>SUMIF('Isi Data'!B$1:B$65536,SNI!C$1:C$65536,'Isi Data'!E$1:E$65536)</f>
        <v>0</v>
      </c>
      <c r="I394">
        <f>F394*G394</f>
        <v>0</v>
      </c>
      <c r="M394" t="str">
        <f>IF(G394=0,"edit"," ")</f>
        <v>edit</v>
      </c>
    </row>
    <row r="395">
      <c r="G395">
        <f>SUMIF('Isi Data'!B$1:B$65536,SNI!C$1:C$65536,'Isi Data'!E$1:E$65536)</f>
        <v>0</v>
      </c>
    </row>
    <row r="396">
      <c r="A396" t="str">
        <v>SNI 7395:2008-6.24</v>
      </c>
      <c r="B396" t="str">
        <v>M</v>
      </c>
      <c r="C396" t="str">
        <v>Pas. Plint Granitetile 100x400</v>
      </c>
      <c r="G396">
        <f>SUMIF('Isi Data'!B$1:B$65536,SNI!C$1:C$65536,'Isi Data'!E$1:E$65536)</f>
        <v>0</v>
      </c>
      <c r="H396">
        <f>SUM(H397:H404)</f>
        <v>0</v>
      </c>
      <c r="I396">
        <f>SUM(I397:I404)</f>
        <v>0</v>
      </c>
      <c r="J396">
        <f>$J$3</f>
        <v>0.1</v>
      </c>
      <c r="K396">
        <f>SUM(H396:I396)*(1+J396)</f>
        <v>0</v>
      </c>
      <c r="L396">
        <f>ROUND(K396,-2)</f>
        <v>0</v>
      </c>
    </row>
    <row r="397">
      <c r="C397" t="str">
        <f>'Isi Data'!B66</f>
        <v xml:space="preserve">Plint Granitetile 10/40 cm </v>
      </c>
      <c r="E397" t="str">
        <v>bh</v>
      </c>
      <c r="F397">
        <v>2.65</v>
      </c>
      <c r="G397">
        <f>SUMIF('Isi Data'!B$1:B$65536,SNI!C$1:C$65536,'Isi Data'!E$1:E$65536)</f>
        <v>0</v>
      </c>
      <c r="H397">
        <f>F397*G397</f>
        <v>0</v>
      </c>
      <c r="M397" t="str">
        <f>IF(G397=0,"edit"," ")</f>
        <v>edit</v>
      </c>
    </row>
    <row r="398">
      <c r="C398" t="str">
        <f>'Isi Data'!B25</f>
        <v>Semen (50 Kg)</v>
      </c>
      <c r="E398" t="str">
        <v>zak</v>
      </c>
      <c r="F398">
        <f>1.14/50</f>
        <v>0.022799999999999997</v>
      </c>
      <c r="G398">
        <f>SUMIF('Isi Data'!B$1:B$65536,SNI!C$1:C$65536,'Isi Data'!E$1:E$65536)</f>
        <v>0</v>
      </c>
      <c r="H398">
        <f>F398*G398</f>
        <v>0</v>
      </c>
      <c r="M398" t="str">
        <f>IF(G398=0,"edit"," ")</f>
        <v>edit</v>
      </c>
    </row>
    <row r="399">
      <c r="C399" t="str">
        <f>'Isi Data'!B20</f>
        <v>Pasir Pasang</v>
      </c>
      <c r="E399" t="str">
        <v>m3</v>
      </c>
      <c r="F399">
        <v>0.003</v>
      </c>
      <c r="G399">
        <f>SUMIF('Isi Data'!B$1:B$65536,SNI!C$1:C$65536,'Isi Data'!E$1:E$65536)</f>
        <v>0</v>
      </c>
      <c r="H399">
        <f>F399*G399</f>
        <v>0</v>
      </c>
      <c r="M399" t="str">
        <f>IF(G399=0,"edit"," ")</f>
        <v>edit</v>
      </c>
    </row>
    <row r="400">
      <c r="C400" t="str">
        <f>'Isi Data'!B26</f>
        <v xml:space="preserve">Semen Warna </v>
      </c>
      <c r="E400" t="str">
        <v>kg</v>
      </c>
      <c r="F400">
        <v>0.1</v>
      </c>
      <c r="G400">
        <f>SUMIF('Isi Data'!B$1:B$65536,SNI!C$1:C$65536,'Isi Data'!E$1:E$65536)</f>
        <v>0</v>
      </c>
      <c r="H400">
        <f>F400*G400</f>
        <v>0</v>
      </c>
      <c r="M400" t="str">
        <f>IF(G400=0,"edit"," ")</f>
        <v>edit</v>
      </c>
    </row>
    <row r="401">
      <c r="C401" t="str">
        <f>'Isi Data'!B168</f>
        <v>Pekerja</v>
      </c>
      <c r="E401" t="str">
        <v>org/hr</v>
      </c>
      <c r="F401">
        <v>0.09</v>
      </c>
      <c r="G401">
        <f>SUMIF('Isi Data'!B$1:B$65536,SNI!C$1:C$65536,'Isi Data'!E$1:E$65536)</f>
        <v>0</v>
      </c>
      <c r="I401">
        <f>F401*G401</f>
        <v>0</v>
      </c>
      <c r="M401" t="str">
        <f>IF(G401=0,"edit"," ")</f>
        <v>edit</v>
      </c>
    </row>
    <row r="402">
      <c r="C402" t="str">
        <f>'Isi Data'!B161</f>
        <v>Tukang Batu Kasar</v>
      </c>
      <c r="E402" t="str">
        <v>org/hr</v>
      </c>
      <c r="F402">
        <v>0.09</v>
      </c>
      <c r="G402">
        <f>SUMIF('Isi Data'!B$1:B$65536,SNI!C$1:C$65536,'Isi Data'!E$1:E$65536)</f>
        <v>0</v>
      </c>
      <c r="I402">
        <f>F402*G402</f>
        <v>0</v>
      </c>
      <c r="M402" t="str">
        <f>IF(G402=0,"edit"," ")</f>
        <v>edit</v>
      </c>
    </row>
    <row r="403">
      <c r="C403" t="str">
        <f>'Isi Data'!B163</f>
        <v>Kepala Tukang Batu</v>
      </c>
      <c r="E403" t="str">
        <v>org/hr</v>
      </c>
      <c r="F403">
        <v>0.09</v>
      </c>
      <c r="G403">
        <f>SUMIF('Isi Data'!B$1:B$65536,SNI!C$1:C$65536,'Isi Data'!E$1:E$65536)</f>
        <v>0</v>
      </c>
      <c r="I403">
        <f>F403*G403</f>
        <v>0</v>
      </c>
      <c r="M403" t="str">
        <f>IF(G403=0,"edit"," ")</f>
        <v>edit</v>
      </c>
    </row>
    <row r="404">
      <c r="C404" t="str">
        <f>'Isi Data'!B169</f>
        <v xml:space="preserve">Mandor </v>
      </c>
      <c r="E404" t="str">
        <v>org/hr</v>
      </c>
      <c r="F404">
        <v>0.005</v>
      </c>
      <c r="G404">
        <f>SUMIF('Isi Data'!B$1:B$65536,SNI!C$1:C$65536,'Isi Data'!E$1:E$65536)</f>
        <v>0</v>
      </c>
      <c r="I404">
        <f>F404*G404</f>
        <v>0</v>
      </c>
      <c r="M404" t="str">
        <f>IF(G404=0,"edit"," ")</f>
        <v>edit</v>
      </c>
    </row>
    <row r="405">
      <c r="G405">
        <f>SUMIF('Isi Data'!B$1:B$65536,SNI!C$1:C$65536,'Isi Data'!E$1:E$65536)</f>
        <v>0</v>
      </c>
    </row>
    <row r="406">
      <c r="G406">
        <f>SUMIF('Isi Data'!B$1:B$65536,SNI!C$1:C$65536,'Isi Data'!E$1:E$65536)</f>
        <v>0</v>
      </c>
    </row>
    <row r="408">
      <c r="C408" t="str">
        <v>PEKERJAAN LANGIT-LANGIT</v>
      </c>
      <c r="G408">
        <f>SUMIF('Isi Data'!B$1:B$65536,SNI!C$1:C$65536,'Isi Data'!E$1:E$65536)</f>
        <v>0</v>
      </c>
    </row>
    <row r="409">
      <c r="B409" t="str">
        <v>M2</v>
      </c>
      <c r="C409" t="str">
        <v>Pas. Rangka Plafond Metal furing</v>
      </c>
      <c r="H409">
        <f>SUM(H410:H414)</f>
        <v>0</v>
      </c>
      <c r="I409">
        <f>SUM(I410:I414)</f>
        <v>0</v>
      </c>
      <c r="J409">
        <f>$J$3</f>
        <v>0.1</v>
      </c>
      <c r="K409">
        <f>SUM(H409:I409)*(1+J409)</f>
        <v>0</v>
      </c>
      <c r="L409">
        <f>ROUND(K409,-2)</f>
        <v>0</v>
      </c>
    </row>
    <row r="410">
      <c r="C410" t="str">
        <f>'Isi Data'!B118</f>
        <v>Rangka plafond Metal furing</v>
      </c>
      <c r="E410" t="str">
        <v>m2</v>
      </c>
      <c r="F410">
        <v>1.05</v>
      </c>
      <c r="G410">
        <f>SUMIF('Isi Data'!B$1:B$65536,SNI!C$1:C$65536,'Isi Data'!E$1:E$65536)</f>
        <v>0</v>
      </c>
      <c r="H410">
        <f>F410*G410</f>
        <v>0</v>
      </c>
    </row>
    <row r="411">
      <c r="C411" t="str">
        <f>'Isi Data'!B168</f>
        <v>Pekerja</v>
      </c>
      <c r="E411" t="str">
        <v>org/hr</v>
      </c>
      <c r="F411">
        <v>0.2</v>
      </c>
      <c r="G411">
        <f>SUMIF('Isi Data'!B$1:B$65536,SNI!C$1:C$65536,'Isi Data'!E$1:E$65536)</f>
        <v>0</v>
      </c>
      <c r="I411">
        <f>F411*G411</f>
        <v>0</v>
      </c>
    </row>
    <row r="412">
      <c r="C412" t="str">
        <f>'Isi Data'!B155</f>
        <v>Tukang Besi Konstruksi</v>
      </c>
      <c r="E412" t="str">
        <v>org/hr</v>
      </c>
      <c r="F412">
        <v>0.3</v>
      </c>
      <c r="G412">
        <f>SUMIF('Isi Data'!B$1:B$65536,SNI!C$1:C$65536,'Isi Data'!E$1:E$65536)</f>
        <v>0</v>
      </c>
      <c r="I412">
        <f>F412*G412</f>
        <v>0</v>
      </c>
    </row>
    <row r="413">
      <c r="C413" t="str">
        <f>'Isi Data'!B157</f>
        <v>Kepala Tukang Besi</v>
      </c>
      <c r="E413" t="str">
        <v>org/hr</v>
      </c>
      <c r="F413">
        <v>0.03</v>
      </c>
      <c r="G413">
        <f>SUMIF('Isi Data'!B$1:B$65536,SNI!C$1:C$65536,'Isi Data'!E$1:E$65536)</f>
        <v>0</v>
      </c>
      <c r="I413">
        <f>F413*G413</f>
        <v>0</v>
      </c>
    </row>
    <row r="414">
      <c r="C414" t="str">
        <f>'Isi Data'!B169</f>
        <v xml:space="preserve">Mandor </v>
      </c>
      <c r="E414" t="str">
        <v>org/hr</v>
      </c>
      <c r="F414">
        <v>0.01</v>
      </c>
      <c r="G414">
        <f>SUMIF('Isi Data'!B$1:B$65536,SNI!C$1:C$65536,'Isi Data'!E$1:E$65536)</f>
        <v>0</v>
      </c>
      <c r="I414">
        <f>F414*G414</f>
        <v>0</v>
      </c>
    </row>
    <row r="415">
      <c r="G415">
        <f>SUMIF('Isi Data'!B$1:B$65536,SNI!C$1:C$65536,'Isi Data'!E$1:E$65536)</f>
        <v>0</v>
      </c>
    </row>
    <row r="416">
      <c r="A416" t="str">
        <v>SNI 3434:2008-6.19</v>
      </c>
      <c r="B416" t="str">
        <v>M2</v>
      </c>
      <c r="C416" t="str">
        <v>Pas. Rangka Plafond Kayu Meranti</v>
      </c>
      <c r="G416">
        <f>SUMIF('Isi Data'!B$1:B$65536,SNI!C$1:C$65536,'Isi Data'!E$1:E$65536)</f>
        <v>0</v>
      </c>
      <c r="H416">
        <f>SUM(H417:H422)</f>
        <v>0</v>
      </c>
      <c r="I416">
        <f>SUM(I417:I422)</f>
        <v>0</v>
      </c>
      <c r="J416">
        <f>$J$3</f>
        <v>0.1</v>
      </c>
      <c r="K416">
        <f>SUM(H416:I416)*(1+J416)</f>
        <v>0</v>
      </c>
      <c r="L416">
        <f>ROUND(K416,-2)</f>
        <v>0</v>
      </c>
    </row>
    <row r="417">
      <c r="C417" t="str">
        <f>'Isi Data'!B38</f>
        <v>Kayu Klas II</v>
      </c>
      <c r="D417" t="str">
        <v>kaso</v>
      </c>
      <c r="E417" t="str">
        <v>m3</v>
      </c>
      <c r="F417">
        <v>0.0154</v>
      </c>
      <c r="G417">
        <f>SUMIF('Isi Data'!B$1:B$65536,SNI!C$1:C$65536,'Isi Data'!E$1:E$65536)</f>
        <v>0</v>
      </c>
      <c r="H417">
        <f>F417*G417</f>
        <v>0</v>
      </c>
      <c r="M417" t="str">
        <f>IF(G417=0,"edit"," ")</f>
        <v>edit</v>
      </c>
    </row>
    <row r="418">
      <c r="C418" t="str">
        <f>'Isi Data'!B82</f>
        <v>Paku 5 s/d 10 cm</v>
      </c>
      <c r="E418" t="str">
        <v>kg</v>
      </c>
      <c r="F418">
        <v>0.2</v>
      </c>
      <c r="G418">
        <f>SUMIF('Isi Data'!B$1:B$65536,SNI!C$1:C$65536,'Isi Data'!E$1:E$65536)</f>
        <v>0</v>
      </c>
      <c r="H418">
        <f>F418*G418</f>
        <v>0</v>
      </c>
      <c r="M418" t="str">
        <f>IF(G418=0,"edit"," ")</f>
        <v>edit</v>
      </c>
    </row>
    <row r="419">
      <c r="C419" t="str">
        <f>'Isi Data'!B168</f>
        <v>Pekerja</v>
      </c>
      <c r="E419" t="str">
        <v>org/hr</v>
      </c>
      <c r="F419">
        <v>0.2</v>
      </c>
      <c r="G419">
        <f>SUMIF('Isi Data'!B$1:B$65536,SNI!C$1:C$65536,'Isi Data'!E$1:E$65536)</f>
        <v>0</v>
      </c>
      <c r="I419">
        <f>F419*G419</f>
        <v>0</v>
      </c>
      <c r="M419" t="str">
        <f>IF(G419=0,"edit"," ")</f>
        <v>edit</v>
      </c>
    </row>
    <row r="420">
      <c r="C420" t="str">
        <f>'Isi Data'!B158</f>
        <v xml:space="preserve">Tukang Kayu Kasar </v>
      </c>
      <c r="E420" t="str">
        <v>org/hr</v>
      </c>
      <c r="F420">
        <v>0.3</v>
      </c>
      <c r="G420">
        <f>SUMIF('Isi Data'!B$1:B$65536,SNI!C$1:C$65536,'Isi Data'!E$1:E$65536)</f>
        <v>0</v>
      </c>
      <c r="I420">
        <f>F420*G420</f>
        <v>0</v>
      </c>
      <c r="M420" t="str">
        <f>IF(G420=0,"edit"," ")</f>
        <v>edit</v>
      </c>
    </row>
    <row r="421">
      <c r="C421" t="str">
        <f>'Isi Data'!B160</f>
        <v>Kepala Tukang Kayu</v>
      </c>
      <c r="E421" t="str">
        <v>org/hr</v>
      </c>
      <c r="F421">
        <v>0.03</v>
      </c>
      <c r="G421">
        <f>SUMIF('Isi Data'!B$1:B$65536,SNI!C$1:C$65536,'Isi Data'!E$1:E$65536)</f>
        <v>0</v>
      </c>
      <c r="I421">
        <f>F421*G421</f>
        <v>0</v>
      </c>
      <c r="M421" t="str">
        <f>IF(G421=0,"edit"," ")</f>
        <v>edit</v>
      </c>
    </row>
    <row r="422">
      <c r="C422" t="str">
        <f>'Isi Data'!B169</f>
        <v xml:space="preserve">Mandor </v>
      </c>
      <c r="E422" t="str">
        <v>org/hr</v>
      </c>
      <c r="F422">
        <v>0.075</v>
      </c>
      <c r="G422">
        <f>SUMIF('Isi Data'!B$1:B$65536,SNI!C$1:C$65536,'Isi Data'!E$1:E$65536)</f>
        <v>0</v>
      </c>
      <c r="I422">
        <f>F422*G422</f>
        <v>0</v>
      </c>
      <c r="M422" t="str">
        <f>IF(G422=0,"edit"," ")</f>
        <v>edit</v>
      </c>
    </row>
    <row r="423">
      <c r="G423">
        <f>SUMIF('Isi Data'!B$1:B$65536,SNI!C$1:C$65536,'Isi Data'!E$1:E$65536)</f>
        <v>0</v>
      </c>
    </row>
    <row r="424">
      <c r="A424" t="str">
        <v>SNI 3434:2008-6.19</v>
      </c>
      <c r="B424" t="str">
        <v>M2</v>
      </c>
      <c r="C424" t="str">
        <v>Pas. Rangka Plafond Kayu</v>
      </c>
      <c r="G424">
        <f>SUMIF('Isi Data'!B$1:B$65536,SNI!C$1:C$65536,'Isi Data'!E$1:E$65536)</f>
        <v>0</v>
      </c>
      <c r="H424">
        <f>SUM(H425:H430)</f>
        <v>0</v>
      </c>
      <c r="I424">
        <f>SUM(I425:I430)</f>
        <v>0</v>
      </c>
      <c r="J424">
        <f>$J$3</f>
        <v>0.1</v>
      </c>
      <c r="K424">
        <f>SUM(H424:I424)*(1+J424)</f>
        <v>0</v>
      </c>
      <c r="L424">
        <f>ROUND(K424,-2)</f>
        <v>0</v>
      </c>
    </row>
    <row r="425">
      <c r="C425" t="str">
        <f>'Isi Data'!B39</f>
        <v>Kayu Klas III</v>
      </c>
      <c r="D425" t="str">
        <v>kaso</v>
      </c>
      <c r="E425" t="str">
        <v>m3</v>
      </c>
      <c r="F425">
        <v>0.0154</v>
      </c>
      <c r="G425">
        <f>SUMIF('Isi Data'!B$1:B$65536,SNI!C$1:C$65536,'Isi Data'!E$1:E$65536)</f>
        <v>0</v>
      </c>
      <c r="H425">
        <f>F425*G425</f>
        <v>0</v>
      </c>
      <c r="M425" t="str">
        <f>IF(G425=0,"edit"," ")</f>
        <v>edit</v>
      </c>
    </row>
    <row r="426">
      <c r="C426" t="str">
        <f>'Isi Data'!B82</f>
        <v>Paku 5 s/d 10 cm</v>
      </c>
      <c r="E426" t="str">
        <v>kg</v>
      </c>
      <c r="F426">
        <v>0.2</v>
      </c>
      <c r="G426">
        <f>SUMIF('Isi Data'!B$1:B$65536,SNI!C$1:C$65536,'Isi Data'!E$1:E$65536)</f>
        <v>0</v>
      </c>
      <c r="H426">
        <f>F426*G426</f>
        <v>0</v>
      </c>
      <c r="M426" t="str">
        <f>IF(G426=0,"edit"," ")</f>
        <v>edit</v>
      </c>
    </row>
    <row r="427">
      <c r="C427" t="str">
        <f>'Isi Data'!B168</f>
        <v>Pekerja</v>
      </c>
      <c r="E427" t="str">
        <v>org/hr</v>
      </c>
      <c r="F427">
        <v>0.2</v>
      </c>
      <c r="G427">
        <f>SUMIF('Isi Data'!B$1:B$65536,SNI!C$1:C$65536,'Isi Data'!E$1:E$65536)</f>
        <v>0</v>
      </c>
      <c r="I427">
        <f>F427*G427</f>
        <v>0</v>
      </c>
      <c r="M427" t="str">
        <f>IF(G427=0,"edit"," ")</f>
        <v>edit</v>
      </c>
    </row>
    <row r="428">
      <c r="C428" t="str">
        <f>'Isi Data'!B158</f>
        <v xml:space="preserve">Tukang Kayu Kasar </v>
      </c>
      <c r="E428" t="str">
        <v>org/hr</v>
      </c>
      <c r="F428">
        <v>0.3</v>
      </c>
      <c r="G428">
        <f>SUMIF('Isi Data'!B$1:B$65536,SNI!C$1:C$65536,'Isi Data'!E$1:E$65536)</f>
        <v>0</v>
      </c>
      <c r="I428">
        <f>F428*G428</f>
        <v>0</v>
      </c>
      <c r="M428" t="str">
        <f>IF(G428=0,"edit"," ")</f>
        <v>edit</v>
      </c>
    </row>
    <row r="429">
      <c r="C429" t="str">
        <f>'Isi Data'!B160</f>
        <v>Kepala Tukang Kayu</v>
      </c>
      <c r="E429" t="str">
        <v>org/hr</v>
      </c>
      <c r="F429">
        <v>0.03</v>
      </c>
      <c r="G429">
        <f>SUMIF('Isi Data'!B$1:B$65536,SNI!C$1:C$65536,'Isi Data'!E$1:E$65536)</f>
        <v>0</v>
      </c>
      <c r="I429">
        <f>F429*G429</f>
        <v>0</v>
      </c>
      <c r="M429" t="str">
        <f>IF(G429=0,"edit"," ")</f>
        <v>edit</v>
      </c>
    </row>
    <row r="430">
      <c r="C430" t="str">
        <f>'Isi Data'!B169</f>
        <v xml:space="preserve">Mandor </v>
      </c>
      <c r="E430" t="str">
        <v>org/hr</v>
      </c>
      <c r="F430">
        <v>0.075</v>
      </c>
      <c r="G430">
        <f>SUMIF('Isi Data'!B$1:B$65536,SNI!C$1:C$65536,'Isi Data'!E$1:E$65536)</f>
        <v>0</v>
      </c>
      <c r="I430">
        <f>F430*G430</f>
        <v>0</v>
      </c>
      <c r="M430" t="str">
        <f>IF(G430=0,"edit"," ")</f>
        <v>edit</v>
      </c>
    </row>
    <row r="431">
      <c r="G431">
        <f>SUMIF('Isi Data'!B$1:B$65536,SNI!C$1:C$65536,'Isi Data'!E$1:E$65536)</f>
        <v>0</v>
      </c>
    </row>
    <row r="432">
      <c r="A432" t="str">
        <v>SNI 2839:2008-6.7</v>
      </c>
      <c r="B432" t="str">
        <v>M2</v>
      </c>
      <c r="C432" t="str">
        <v>Pas. Penutup Plafond Gypsumboard t. 9 mm</v>
      </c>
      <c r="G432">
        <f>SUMIF('Isi Data'!B$1:B$65536,SNI!C$1:C$65536,'Isi Data'!E$1:E$65536)</f>
        <v>0</v>
      </c>
      <c r="H432">
        <f>SUM(H433:H438)</f>
        <v>0</v>
      </c>
      <c r="I432">
        <f>SUM(I433:I438)</f>
        <v>0</v>
      </c>
      <c r="J432">
        <f>$J$3</f>
        <v>0.1</v>
      </c>
      <c r="K432">
        <f>SUM(H432:I432)*(1+J432)</f>
        <v>0</v>
      </c>
      <c r="L432">
        <f>ROUND(K432,-2)</f>
        <v>0</v>
      </c>
    </row>
    <row r="433">
      <c r="C433" t="str">
        <f>'Isi Data'!B116</f>
        <v xml:space="preserve">Gypsumboard  t.9 mm </v>
      </c>
      <c r="E433" t="str">
        <v>lbr</v>
      </c>
      <c r="F433">
        <v>0.364</v>
      </c>
      <c r="G433">
        <f>SUMIF('Isi Data'!B$1:B$65536,SNI!C$1:C$65536,'Isi Data'!E$1:E$65536)</f>
        <v>0</v>
      </c>
      <c r="H433">
        <f>F433*G433</f>
        <v>0</v>
      </c>
      <c r="M433" t="str">
        <f>IF(G433=0,"edit"," ")</f>
        <v>edit</v>
      </c>
    </row>
    <row r="434">
      <c r="C434" t="str">
        <f>'Isi Data'!B84</f>
        <v>Paku Skrup</v>
      </c>
      <c r="E434" t="str">
        <v>kg</v>
      </c>
      <c r="F434">
        <v>0.11</v>
      </c>
      <c r="G434">
        <f>SUMIF('Isi Data'!B$1:B$65536,SNI!C$1:C$65536,'Isi Data'!E$1:E$65536)</f>
        <v>0</v>
      </c>
      <c r="H434">
        <f>F434*G434</f>
        <v>0</v>
      </c>
      <c r="M434" t="str">
        <f>IF(G434=0,"edit"," ")</f>
        <v>edit</v>
      </c>
    </row>
    <row r="435">
      <c r="C435" t="str">
        <f>'Isi Data'!B168</f>
        <v>Pekerja</v>
      </c>
      <c r="E435" t="str">
        <v>org/hr</v>
      </c>
      <c r="F435">
        <v>0.1</v>
      </c>
      <c r="G435">
        <f>SUMIF('Isi Data'!B$1:B$65536,SNI!C$1:C$65536,'Isi Data'!E$1:E$65536)</f>
        <v>0</v>
      </c>
      <c r="I435">
        <f>F435*G435</f>
        <v>0</v>
      </c>
      <c r="M435" t="str">
        <f>IF(G435=0,"edit"," ")</f>
        <v>edit</v>
      </c>
    </row>
    <row r="436">
      <c r="C436" t="str">
        <f>'Isi Data'!B158</f>
        <v xml:space="preserve">Tukang Kayu Kasar </v>
      </c>
      <c r="E436" t="str">
        <v>org/hr</v>
      </c>
      <c r="F436">
        <v>0.05</v>
      </c>
      <c r="G436">
        <f>SUMIF('Isi Data'!B$1:B$65536,SNI!C$1:C$65536,'Isi Data'!E$1:E$65536)</f>
        <v>0</v>
      </c>
      <c r="I436">
        <f>F436*G436</f>
        <v>0</v>
      </c>
      <c r="M436" t="str">
        <f>IF(G436=0,"edit"," ")</f>
        <v>edit</v>
      </c>
    </row>
    <row r="437">
      <c r="C437" t="str">
        <f>'Isi Data'!B160</f>
        <v>Kepala Tukang Kayu</v>
      </c>
      <c r="E437" t="str">
        <v>org/hr</v>
      </c>
      <c r="F437">
        <v>0.005</v>
      </c>
      <c r="G437">
        <f>SUMIF('Isi Data'!B$1:B$65536,SNI!C$1:C$65536,'Isi Data'!E$1:E$65536)</f>
        <v>0</v>
      </c>
      <c r="I437">
        <f>F437*G437</f>
        <v>0</v>
      </c>
      <c r="M437" t="str">
        <f>IF(G437=0,"edit"," ")</f>
        <v>edit</v>
      </c>
    </row>
    <row r="438">
      <c r="C438" t="str">
        <f>'Isi Data'!B169</f>
        <v xml:space="preserve">Mandor </v>
      </c>
      <c r="E438" t="str">
        <v>org/hr</v>
      </c>
      <c r="F438">
        <v>0.005</v>
      </c>
      <c r="G438">
        <f>SUMIF('Isi Data'!B$1:B$65536,SNI!C$1:C$65536,'Isi Data'!E$1:E$65536)</f>
        <v>0</v>
      </c>
      <c r="I438">
        <f>F438*G438</f>
        <v>0</v>
      </c>
      <c r="M438" t="str">
        <f>IF(G438=0,"edit"," ")</f>
        <v>edit</v>
      </c>
    </row>
    <row r="439">
      <c r="G439">
        <f>SUMIF('Isi Data'!B$1:B$65536,SNI!C$1:C$65536,'Isi Data'!E$1:E$65536)</f>
        <v>0</v>
      </c>
    </row>
    <row r="440">
      <c r="A440" t="str">
        <v>SNI 2839:2008-6.5</v>
      </c>
      <c r="B440" t="str">
        <v>M2</v>
      </c>
      <c r="C440" t="str">
        <v>Pas. Penutup Plafond Triplex t. 4 mm</v>
      </c>
      <c r="G440">
        <f>SUMIF('Isi Data'!B$1:B$65536,SNI!C$1:C$65536,'Isi Data'!E$1:E$65536)</f>
        <v>0</v>
      </c>
      <c r="H440">
        <f>SUM(H441:H446)</f>
        <v>0</v>
      </c>
      <c r="I440">
        <f>SUM(I441:I446)</f>
        <v>0</v>
      </c>
      <c r="J440">
        <f>$J$3</f>
        <v>0.1</v>
      </c>
      <c r="K440">
        <f>SUM(H440:I440)*(1+J440)</f>
        <v>0</v>
      </c>
      <c r="L440">
        <f>ROUND(K440,-2)</f>
        <v>0</v>
      </c>
    </row>
    <row r="441">
      <c r="C441" t="str">
        <f>'Isi Data'!B59</f>
        <v>Triplex  t. 4 mm</v>
      </c>
      <c r="E441" t="str">
        <v>lbr</v>
      </c>
      <c r="F441">
        <v>0.375</v>
      </c>
      <c r="G441">
        <f>SUMIF('Isi Data'!B$1:B$65536,SNI!C$1:C$65536,'Isi Data'!E$1:E$65536)</f>
        <v>0</v>
      </c>
      <c r="H441">
        <f>F441*G441</f>
        <v>0</v>
      </c>
    </row>
    <row r="442">
      <c r="C442" t="str">
        <f>'Isi Data'!B84</f>
        <v>Paku Skrup</v>
      </c>
      <c r="E442" t="str">
        <v>kg</v>
      </c>
      <c r="F442">
        <v>0.03</v>
      </c>
      <c r="G442">
        <f>SUMIF('Isi Data'!B$1:B$65536,SNI!C$1:C$65536,'Isi Data'!E$1:E$65536)</f>
        <v>0</v>
      </c>
      <c r="H442">
        <f>F442*G442</f>
        <v>0</v>
      </c>
    </row>
    <row r="443">
      <c r="C443" t="str">
        <f>'Isi Data'!B168</f>
        <v>Pekerja</v>
      </c>
      <c r="E443" t="str">
        <v>org/hr</v>
      </c>
      <c r="F443">
        <v>0.1</v>
      </c>
      <c r="G443">
        <f>SUMIF('Isi Data'!B$1:B$65536,SNI!C$1:C$65536,'Isi Data'!E$1:E$65536)</f>
        <v>0</v>
      </c>
      <c r="I443">
        <f>F443*G443</f>
        <v>0</v>
      </c>
    </row>
    <row r="444">
      <c r="C444" t="str">
        <f>'Isi Data'!B158</f>
        <v xml:space="preserve">Tukang Kayu Kasar </v>
      </c>
      <c r="E444" t="str">
        <v>org/hr</v>
      </c>
      <c r="F444">
        <v>0.1</v>
      </c>
      <c r="G444">
        <f>SUMIF('Isi Data'!B$1:B$65536,SNI!C$1:C$65536,'Isi Data'!E$1:E$65536)</f>
        <v>0</v>
      </c>
      <c r="I444">
        <f>F444*G444</f>
        <v>0</v>
      </c>
    </row>
    <row r="445">
      <c r="C445" t="str">
        <f>'Isi Data'!B160</f>
        <v>Kepala Tukang Kayu</v>
      </c>
      <c r="E445" t="str">
        <v>org/hr</v>
      </c>
      <c r="F445">
        <v>0.01</v>
      </c>
      <c r="G445">
        <f>SUMIF('Isi Data'!B$1:B$65536,SNI!C$1:C$65536,'Isi Data'!E$1:E$65536)</f>
        <v>0</v>
      </c>
      <c r="I445">
        <f>F445*G445</f>
        <v>0</v>
      </c>
    </row>
    <row r="446">
      <c r="C446" t="str">
        <f>'Isi Data'!B169</f>
        <v xml:space="preserve">Mandor </v>
      </c>
      <c r="E446" t="str">
        <v>org/hr</v>
      </c>
      <c r="F446">
        <v>0.005</v>
      </c>
      <c r="G446">
        <f>SUMIF('Isi Data'!B$1:B$65536,SNI!C$1:C$65536,'Isi Data'!E$1:E$65536)</f>
        <v>0</v>
      </c>
      <c r="I446">
        <f>F446*G446</f>
        <v>0</v>
      </c>
    </row>
    <row r="447">
      <c r="G447">
        <f>SUMIF('Isi Data'!B$1:B$65536,SNI!C$1:C$65536,'Isi Data'!E$1:E$65536)</f>
        <v>0</v>
      </c>
    </row>
    <row r="448">
      <c r="A448" t="str">
        <v>SNI 2839:2008-6.8</v>
      </c>
      <c r="B448" t="str">
        <v>M</v>
      </c>
      <c r="C448" t="str">
        <v>Pas. List Profil Gypsum t. 5 cm</v>
      </c>
      <c r="G448">
        <f>SUMIF('Isi Data'!B$1:B$65536,SNI!C$1:C$65536,'Isi Data'!E$1:E$65536)</f>
        <v>0</v>
      </c>
      <c r="H448">
        <f>SUM(H449:H454)</f>
        <v>0</v>
      </c>
      <c r="I448">
        <f>SUM(I449:I454)</f>
        <v>0</v>
      </c>
      <c r="J448">
        <f>$J$3</f>
        <v>0.1</v>
      </c>
      <c r="K448">
        <f>SUM(H448:I448)*(1+J448)</f>
        <v>0</v>
      </c>
      <c r="L448">
        <f>ROUND(K448,-2)</f>
        <v>0</v>
      </c>
    </row>
    <row r="449">
      <c r="C449" t="str">
        <f>'Isi Data'!B117</f>
        <v>List Profil 5 cm Gypsum</v>
      </c>
      <c r="E449" t="str">
        <v>m</v>
      </c>
      <c r="F449">
        <v>1.05</v>
      </c>
      <c r="G449">
        <f>SUMIF('Isi Data'!B$1:B$65536,SNI!C$1:C$65536,'Isi Data'!E$1:E$65536)</f>
        <v>0</v>
      </c>
      <c r="H449">
        <f>F449*G449</f>
        <v>0</v>
      </c>
    </row>
    <row r="450">
      <c r="C450" t="str">
        <f>'Isi Data'!B84</f>
        <v>Paku Skrup</v>
      </c>
      <c r="E450" t="str">
        <v>kg</v>
      </c>
      <c r="F450">
        <v>0.01</v>
      </c>
      <c r="G450">
        <f>SUMIF('Isi Data'!B$1:B$65536,SNI!C$1:C$65536,'Isi Data'!E$1:E$65536)</f>
        <v>0</v>
      </c>
      <c r="H450">
        <f>F450*G450</f>
        <v>0</v>
      </c>
    </row>
    <row r="451">
      <c r="C451" t="str">
        <f>'Isi Data'!B168</f>
        <v>Pekerja</v>
      </c>
      <c r="E451" t="str">
        <v>org/hr</v>
      </c>
      <c r="F451">
        <v>0.06</v>
      </c>
      <c r="G451">
        <f>SUMIF('Isi Data'!B$1:B$65536,SNI!C$1:C$65536,'Isi Data'!E$1:E$65536)</f>
        <v>0</v>
      </c>
      <c r="I451">
        <f>F451*G451</f>
        <v>0</v>
      </c>
    </row>
    <row r="452">
      <c r="C452" t="str">
        <f>'Isi Data'!B158</f>
        <v xml:space="preserve">Tukang Kayu Kasar </v>
      </c>
      <c r="E452" t="str">
        <v>org/hr</v>
      </c>
      <c r="F452">
        <v>0.06</v>
      </c>
      <c r="G452">
        <f>SUMIF('Isi Data'!B$1:B$65536,SNI!C$1:C$65536,'Isi Data'!E$1:E$65536)</f>
        <v>0</v>
      </c>
      <c r="I452">
        <f>F452*G452</f>
        <v>0</v>
      </c>
    </row>
    <row r="453">
      <c r="C453" t="str">
        <f>'Isi Data'!B160</f>
        <v>Kepala Tukang Kayu</v>
      </c>
      <c r="E453" t="str">
        <v>org/hr</v>
      </c>
      <c r="F453">
        <v>0.006</v>
      </c>
      <c r="G453">
        <f>SUMIF('Isi Data'!B$1:B$65536,SNI!C$1:C$65536,'Isi Data'!E$1:E$65536)</f>
        <v>0</v>
      </c>
      <c r="I453">
        <f>F453*G453</f>
        <v>0</v>
      </c>
    </row>
    <row r="454">
      <c r="C454" t="str">
        <f>'Isi Data'!B169</f>
        <v xml:space="preserve">Mandor </v>
      </c>
      <c r="E454" t="str">
        <v>org/hr</v>
      </c>
      <c r="F454">
        <v>0.003</v>
      </c>
      <c r="G454">
        <f>SUMIF('Isi Data'!B$1:B$65536,SNI!C$1:C$65536,'Isi Data'!E$1:E$65536)</f>
        <v>0</v>
      </c>
      <c r="I454">
        <f>F454*G454</f>
        <v>0</v>
      </c>
    </row>
    <row r="455">
      <c r="G455">
        <f>SUMIF('Isi Data'!B$1:B$65536,SNI!C$1:C$65536,'Isi Data'!E$1:E$65536)</f>
        <v>0</v>
      </c>
    </row>
    <row r="456">
      <c r="G456">
        <f>SUMIF('Isi Data'!B$1:B$65536,SNI!C$1:C$65536,'Isi Data'!E$1:E$65536)</f>
        <v>0</v>
      </c>
    </row>
    <row r="457">
      <c r="C457" t="str">
        <v>PEKERJAAN RANGKA &amp; PENUTUP ATAP</v>
      </c>
      <c r="G457">
        <f>SUMIF('Isi Data'!B$1:B$65536,SNI!C$1:C$65536,'Isi Data'!E$1:E$65536)</f>
        <v>0</v>
      </c>
    </row>
    <row r="458">
      <c r="G458">
        <f>SUMIF('Isi Data'!B$1:B$65536,SNI!C$1:C$65536,'Isi Data'!E$1:E$65536)</f>
        <v>0</v>
      </c>
    </row>
    <row r="459">
      <c r="B459" t="str">
        <v>M2</v>
      </c>
      <c r="C459" t="str">
        <v>Rangka atap baja ringan</v>
      </c>
      <c r="D459" t="str">
        <v>Zingkalume</v>
      </c>
      <c r="G459">
        <f>SUMIF('Isi Data'!B$1:B$65536,SNI!C$1:C$65536,'Isi Data'!E$1:E$65536)</f>
        <v>0</v>
      </c>
      <c r="H459">
        <f>SUM(H460:H464)</f>
        <v>0</v>
      </c>
      <c r="I459">
        <f>SUM(I460:I464)</f>
        <v>0</v>
      </c>
      <c r="J459">
        <f>$J$3</f>
        <v>0.1</v>
      </c>
      <c r="K459">
        <f>SUM(H459:I459)*(1+J459)</f>
        <v>0</v>
      </c>
      <c r="L459">
        <f>ROUND(K459,-2)</f>
        <v>0</v>
      </c>
    </row>
    <row r="460">
      <c r="C460" t="str">
        <v>Rangka atap baja ringan</v>
      </c>
      <c r="E460" t="str">
        <v>m2</v>
      </c>
      <c r="F460">
        <v>1</v>
      </c>
      <c r="G460">
        <f>SUMIF('Isi Data'!B$1:B$65536,SNI!C$1:C$65536,'Isi Data'!E$1:E$65536)</f>
        <v>0</v>
      </c>
      <c r="H460">
        <f>F460*G460</f>
        <v>0</v>
      </c>
    </row>
    <row r="461">
      <c r="C461" t="str">
        <f>'Isi Data'!B168</f>
        <v>Pekerja</v>
      </c>
      <c r="E461" t="str">
        <v>org/hr</v>
      </c>
      <c r="F461">
        <f>4/50</f>
        <v>0.08</v>
      </c>
      <c r="G461">
        <f>SUMIF('Isi Data'!B$1:B$65536,SNI!C$1:C$65536,'Isi Data'!E$1:E$65536)</f>
        <v>0</v>
      </c>
      <c r="I461">
        <f>F461*G461</f>
        <v>0</v>
      </c>
    </row>
    <row r="462">
      <c r="C462" t="str">
        <f>'Isi Data'!B158</f>
        <v xml:space="preserve">Tukang Kayu Kasar </v>
      </c>
      <c r="E462" t="str">
        <v>org/hr</v>
      </c>
      <c r="F462">
        <f>12/50</f>
        <v>0.24</v>
      </c>
      <c r="G462">
        <f>SUMIF('Isi Data'!B$1:B$65536,SNI!C$1:C$65536,'Isi Data'!E$1:E$65536)</f>
        <v>0</v>
      </c>
      <c r="I462">
        <f>F462*G462</f>
        <v>0</v>
      </c>
    </row>
    <row r="463">
      <c r="C463" t="str">
        <f>'Isi Data'!B160</f>
        <v>Kepala Tukang Kayu</v>
      </c>
      <c r="E463" t="str">
        <v>org/hr</v>
      </c>
      <c r="F463">
        <f>1.2/50</f>
        <v>0.024</v>
      </c>
      <c r="G463">
        <f>SUMIF('Isi Data'!B$1:B$65536,SNI!C$1:C$65536,'Isi Data'!E$1:E$65536)</f>
        <v>0</v>
      </c>
      <c r="I463">
        <f>F463*G463</f>
        <v>0</v>
      </c>
    </row>
    <row r="464">
      <c r="C464" t="str">
        <f>'Isi Data'!B169</f>
        <v xml:space="preserve">Mandor </v>
      </c>
      <c r="E464" t="str">
        <v>org/hr</v>
      </c>
      <c r="F464">
        <f>0.2/50</f>
        <v>0.004</v>
      </c>
      <c r="G464">
        <f>SUMIF('Isi Data'!B$1:B$65536,SNI!C$1:C$65536,'Isi Data'!E$1:E$65536)</f>
        <v>0</v>
      </c>
      <c r="I464">
        <f>F464*G464</f>
        <v>0</v>
      </c>
    </row>
    <row r="465">
      <c r="G465">
        <f>SUMIF('Isi Data'!B$1:B$65536,SNI!C$1:C$65536,'Isi Data'!E$1:E$65536)</f>
        <v>0</v>
      </c>
    </row>
    <row r="466">
      <c r="A466" t="str">
        <v>SNI 3434:2008-6.13</v>
      </c>
      <c r="B466" t="str">
        <v>M3</v>
      </c>
      <c r="C466" t="str">
        <v xml:space="preserve">Pas. Kuda kuda Kayu </v>
      </c>
      <c r="D466" t="str">
        <v>Konvensional</v>
      </c>
      <c r="G466">
        <f>SUMIF('Isi Data'!B$1:B$65536,SNI!C$1:C$65536,'Isi Data'!E$1:E$65536)</f>
        <v>0</v>
      </c>
      <c r="H466">
        <f>SUM(H467:H473)</f>
        <v>0</v>
      </c>
      <c r="I466">
        <f>SUM(I467:I473)</f>
        <v>0</v>
      </c>
      <c r="J466">
        <f>$J$3</f>
        <v>0.1</v>
      </c>
      <c r="K466">
        <f>SUM(H466:I466)*(1+J466)</f>
        <v>0</v>
      </c>
      <c r="L466">
        <f>ROUND(K466,-2)</f>
        <v>0</v>
      </c>
    </row>
    <row r="467">
      <c r="C467" t="str">
        <f>'Isi Data'!B38</f>
        <v>Kayu Klas II</v>
      </c>
      <c r="D467" t="str">
        <v>balok</v>
      </c>
      <c r="E467" t="str">
        <v>m3</v>
      </c>
      <c r="F467">
        <v>1.1</v>
      </c>
      <c r="G467">
        <f>SUMIF('Isi Data'!B$1:B$65536,SNI!C$1:C$65536,'Isi Data'!E$1:E$65536)</f>
        <v>0</v>
      </c>
      <c r="H467">
        <f>F467*G467</f>
        <v>0</v>
      </c>
    </row>
    <row r="468">
      <c r="C468" t="str">
        <f>'Isi Data'!B31</f>
        <v xml:space="preserve">Besi Plat rata2 </v>
      </c>
      <c r="E468" t="str">
        <v>kg</v>
      </c>
      <c r="F468">
        <v>15</v>
      </c>
      <c r="G468">
        <f>SUMIF('Isi Data'!B$1:B$65536,SNI!C$1:C$65536,'Isi Data'!E$1:E$65536)</f>
        <v>0</v>
      </c>
      <c r="H468">
        <f>F468*G468</f>
        <v>0</v>
      </c>
    </row>
    <row r="469">
      <c r="C469" t="str">
        <f>'Isi Data'!B83</f>
        <v>Paku 8 s/d 12 cm</v>
      </c>
      <c r="E469" t="str">
        <v>kg</v>
      </c>
      <c r="F469">
        <v>5.6</v>
      </c>
      <c r="G469">
        <f>SUMIF('Isi Data'!B$1:B$65536,SNI!C$1:C$65536,'Isi Data'!E$1:E$65536)</f>
        <v>0</v>
      </c>
      <c r="H469">
        <f>F469*G469</f>
        <v>0</v>
      </c>
    </row>
    <row r="470">
      <c r="C470" t="str">
        <f>'Isi Data'!B168</f>
        <v>Pekerja</v>
      </c>
      <c r="E470" t="str">
        <v>org/hr</v>
      </c>
      <c r="F470">
        <v>4</v>
      </c>
      <c r="G470">
        <f>SUMIF('Isi Data'!B$1:B$65536,SNI!C$1:C$65536,'Isi Data'!E$1:E$65536)</f>
        <v>0</v>
      </c>
      <c r="I470">
        <f>F470*G470</f>
        <v>0</v>
      </c>
    </row>
    <row r="471">
      <c r="C471" t="str">
        <f>'Isi Data'!B158</f>
        <v xml:space="preserve">Tukang Kayu Kasar </v>
      </c>
      <c r="E471" t="str">
        <v>org/hr</v>
      </c>
      <c r="F471">
        <v>12</v>
      </c>
      <c r="G471">
        <f>SUMIF('Isi Data'!B$1:B$65536,SNI!C$1:C$65536,'Isi Data'!E$1:E$65536)</f>
        <v>0</v>
      </c>
      <c r="I471">
        <f>F471*G471</f>
        <v>0</v>
      </c>
    </row>
    <row r="472">
      <c r="C472" t="str">
        <f>'Isi Data'!B160</f>
        <v>Kepala Tukang Kayu</v>
      </c>
      <c r="E472" t="str">
        <v>org/hr</v>
      </c>
      <c r="F472">
        <v>1.2</v>
      </c>
      <c r="G472">
        <f>SUMIF('Isi Data'!B$1:B$65536,SNI!C$1:C$65536,'Isi Data'!E$1:E$65536)</f>
        <v>0</v>
      </c>
      <c r="I472">
        <f>F472*G472</f>
        <v>0</v>
      </c>
    </row>
    <row r="473">
      <c r="C473" t="str">
        <f>'Isi Data'!B169</f>
        <v xml:space="preserve">Mandor </v>
      </c>
      <c r="E473" t="str">
        <v>org/hr</v>
      </c>
      <c r="F473">
        <v>0.2</v>
      </c>
      <c r="G473">
        <f>SUMIF('Isi Data'!B$1:B$65536,SNI!C$1:C$65536,'Isi Data'!E$1:E$65536)</f>
        <v>0</v>
      </c>
      <c r="I473">
        <f>F473*G473</f>
        <v>0</v>
      </c>
    </row>
    <row r="474">
      <c r="G474">
        <f>SUMIF('Isi Data'!B$1:B$65536,SNI!C$1:C$65536,'Isi Data'!E$1:E$65536)</f>
        <v>0</v>
      </c>
    </row>
    <row r="475">
      <c r="A475" t="str">
        <v>SNI 3434:2008-6.15</v>
      </c>
      <c r="B475" t="str">
        <v>M3</v>
      </c>
      <c r="C475" t="str">
        <v>Gording Kayu</v>
      </c>
      <c r="G475">
        <f>SUMIF('Isi Data'!B$1:B$65536,SNI!C$1:C$65536,'Isi Data'!E$1:E$65536)</f>
        <v>0</v>
      </c>
      <c r="H475">
        <f>SUM(H476:H482)</f>
        <v>0</v>
      </c>
      <c r="I475">
        <f>SUM(I476:I482)</f>
        <v>0</v>
      </c>
      <c r="J475">
        <f>$J$3</f>
        <v>0.1</v>
      </c>
      <c r="K475">
        <f>SUM(H475:I475)*(1+J475)</f>
        <v>0</v>
      </c>
      <c r="L475">
        <f>ROUND(K475,-2)</f>
        <v>0</v>
      </c>
    </row>
    <row r="476">
      <c r="C476" t="str">
        <f>'Isi Data'!B38</f>
        <v>Kayu Klas II</v>
      </c>
      <c r="D476" t="str">
        <v>Balok</v>
      </c>
      <c r="E476" t="str">
        <v>m3</v>
      </c>
      <c r="F476">
        <v>1.1</v>
      </c>
      <c r="G476">
        <f>SUMIF('Isi Data'!B$1:B$65536,SNI!C$1:C$65536,'Isi Data'!E$1:E$65536)</f>
        <v>0</v>
      </c>
      <c r="H476">
        <f>F476*G476</f>
        <v>0</v>
      </c>
      <c r="M476" t="str">
        <f>IF(G476=0,"edit"," ")</f>
        <v>edit</v>
      </c>
    </row>
    <row r="477">
      <c r="C477" t="str">
        <f>'Isi Data'!B31</f>
        <v xml:space="preserve">Besi Plat rata2 </v>
      </c>
      <c r="E477" t="str">
        <v>kg</v>
      </c>
      <c r="F477">
        <v>15</v>
      </c>
      <c r="G477">
        <f>SUMIF('Isi Data'!B$1:B$65536,SNI!C$1:C$65536,'Isi Data'!E$1:E$65536)</f>
        <v>0</v>
      </c>
      <c r="H477">
        <f>F477*G477</f>
        <v>0</v>
      </c>
      <c r="M477" t="str">
        <f>IF(G477=0,"edit"," ")</f>
        <v>edit</v>
      </c>
    </row>
    <row r="478">
      <c r="C478" t="str">
        <f>'Isi Data'!B83</f>
        <v>Paku 8 s/d 12 cm</v>
      </c>
      <c r="E478" t="str">
        <v>kg</v>
      </c>
      <c r="F478">
        <v>3</v>
      </c>
      <c r="G478">
        <f>SUMIF('Isi Data'!B$1:B$65536,SNI!C$1:C$65536,'Isi Data'!E$1:E$65536)</f>
        <v>0</v>
      </c>
      <c r="H478">
        <f>F478*G478</f>
        <v>0</v>
      </c>
      <c r="M478" t="str">
        <f>IF(G478=0,"edit"," ")</f>
        <v>edit</v>
      </c>
    </row>
    <row r="479">
      <c r="C479" t="str">
        <f>'Isi Data'!B168</f>
        <v>Pekerja</v>
      </c>
      <c r="E479" t="str">
        <v>org/hr</v>
      </c>
      <c r="F479">
        <v>2.4</v>
      </c>
      <c r="G479">
        <f>SUMIF('Isi Data'!B$1:B$65536,SNI!C$1:C$65536,'Isi Data'!E$1:E$65536)</f>
        <v>0</v>
      </c>
      <c r="I479">
        <f>F479*G479</f>
        <v>0</v>
      </c>
      <c r="M479" t="str">
        <f>IF(G479=0,"edit"," ")</f>
        <v>edit</v>
      </c>
    </row>
    <row r="480">
      <c r="C480" t="str">
        <v xml:space="preserve">Tukang Kayu Kasar </v>
      </c>
      <c r="E480" t="str">
        <v>org/hr</v>
      </c>
      <c r="F480">
        <v>7.2</v>
      </c>
      <c r="G480">
        <f>SUMIF('Isi Data'!B$1:B$65536,SNI!C$1:C$65536,'Isi Data'!E$1:E$65536)</f>
        <v>0</v>
      </c>
      <c r="I480">
        <f>F480*G480</f>
        <v>0</v>
      </c>
      <c r="M480" t="str">
        <f>IF(G480=0,"edit"," ")</f>
        <v>edit</v>
      </c>
    </row>
    <row r="481">
      <c r="C481" t="str">
        <f>'Isi Data'!B160</f>
        <v>Kepala Tukang Kayu</v>
      </c>
      <c r="E481" t="str">
        <v>org/hr</v>
      </c>
      <c r="F481">
        <v>0.72</v>
      </c>
      <c r="G481">
        <f>SUMIF('Isi Data'!B$1:B$65536,SNI!C$1:C$65536,'Isi Data'!E$1:E$65536)</f>
        <v>0</v>
      </c>
      <c r="I481">
        <f>F481*G481</f>
        <v>0</v>
      </c>
      <c r="M481" t="str">
        <f>IF(G481=0,"edit"," ")</f>
        <v>edit</v>
      </c>
    </row>
    <row r="482">
      <c r="C482" t="str">
        <f>'Isi Data'!B169</f>
        <v xml:space="preserve">Mandor </v>
      </c>
      <c r="E482" t="str">
        <v>org/hr</v>
      </c>
      <c r="F482">
        <v>0.12</v>
      </c>
      <c r="G482">
        <f>SUMIF('Isi Data'!B$1:B$65536,SNI!C$1:C$65536,'Isi Data'!E$1:E$65536)</f>
        <v>0</v>
      </c>
      <c r="I482">
        <f>F482*G482</f>
        <v>0</v>
      </c>
      <c r="M482" t="str">
        <f>IF(G482=0,"edit"," ")</f>
        <v>edit</v>
      </c>
    </row>
    <row r="483">
      <c r="G483">
        <f>SUMIF('Isi Data'!B$1:B$65536,SNI!C$1:C$65536,'Isi Data'!E$1:E$65536)</f>
        <v>0</v>
      </c>
    </row>
    <row r="484">
      <c r="A484" t="str">
        <v>SNI 3434:2008-6.16</v>
      </c>
      <c r="B484" t="str">
        <v>M2</v>
      </c>
      <c r="C484" t="str">
        <v>Rangka Atap kayu</v>
      </c>
      <c r="G484">
        <f>SUMIF('Isi Data'!B$1:B$65536,SNI!C$1:C$65536,'Isi Data'!E$1:E$65536)</f>
        <v>0</v>
      </c>
      <c r="H484">
        <f>SUM(H485:H491)</f>
        <v>0</v>
      </c>
      <c r="I484">
        <f>SUM(I485:I491)</f>
        <v>0</v>
      </c>
      <c r="J484">
        <f>$J$3</f>
        <v>0.1</v>
      </c>
      <c r="K484">
        <f>SUM(H484:I484)*(1+J484)</f>
        <v>0</v>
      </c>
      <c r="L484">
        <f>ROUND(K484,-2)</f>
        <v>0</v>
      </c>
    </row>
    <row r="485">
      <c r="C485" t="str">
        <f>'Isi Data'!B38</f>
        <v>Kayu Klas II</v>
      </c>
      <c r="D485" t="str">
        <v>kaso</v>
      </c>
      <c r="E485" t="str">
        <v>m3</v>
      </c>
      <c r="F485">
        <v>0.014</v>
      </c>
      <c r="G485">
        <f>SUMIF('Isi Data'!B$1:B$65536,SNI!C$1:C$65536,'Isi Data'!E$1:E$65536)</f>
        <v>0</v>
      </c>
      <c r="H485">
        <f>F485*G485</f>
        <v>0</v>
      </c>
    </row>
    <row r="486">
      <c r="C486" t="str">
        <f>'Isi Data'!B38</f>
        <v>Kayu Klas II</v>
      </c>
      <c r="D486" t="str">
        <v>reng (0,036 m3)</v>
      </c>
      <c r="E486" t="str">
        <v>m3</v>
      </c>
      <c r="F486">
        <v>0.036</v>
      </c>
      <c r="G486">
        <f>SUMIF('Isi Data'!B$1:B$65536,SNI!C$1:C$65536,'Isi Data'!E$1:E$65536)</f>
        <v>0</v>
      </c>
      <c r="H486">
        <f>F486*G486</f>
        <v>0</v>
      </c>
    </row>
    <row r="487">
      <c r="C487" t="str">
        <f>'Isi Data'!B82</f>
        <v>Paku 5 s/d 10 cm</v>
      </c>
      <c r="E487" t="str">
        <v>kg</v>
      </c>
      <c r="F487">
        <v>0.25</v>
      </c>
      <c r="G487">
        <f>SUMIF('Isi Data'!B$1:B$65536,SNI!C$1:C$65536,'Isi Data'!E$1:E$65536)</f>
        <v>0</v>
      </c>
      <c r="H487">
        <f>F487*G487</f>
        <v>0</v>
      </c>
    </row>
    <row r="488">
      <c r="C488" t="str">
        <v>Pekerja</v>
      </c>
      <c r="E488" t="str">
        <v>org/hr</v>
      </c>
      <c r="F488">
        <v>0.1</v>
      </c>
      <c r="G488">
        <f>SUMIF('Isi Data'!B$1:B$65536,SNI!C$1:C$65536,'Isi Data'!E$1:E$65536)</f>
        <v>0</v>
      </c>
      <c r="I488">
        <f>F488*G488</f>
        <v>0</v>
      </c>
    </row>
    <row r="489">
      <c r="C489" t="str">
        <v xml:space="preserve">Tukang Kayu Kasar </v>
      </c>
      <c r="E489" t="str">
        <v>org/hr</v>
      </c>
      <c r="F489">
        <v>0.1</v>
      </c>
      <c r="G489">
        <f>SUMIF('Isi Data'!B$1:B$65536,SNI!C$1:C$65536,'Isi Data'!E$1:E$65536)</f>
        <v>0</v>
      </c>
      <c r="I489">
        <f>F489*G489</f>
        <v>0</v>
      </c>
    </row>
    <row r="490">
      <c r="C490" t="str">
        <v>Kepala Tukang Kayu</v>
      </c>
      <c r="E490" t="str">
        <v>org/hr</v>
      </c>
      <c r="F490">
        <v>0.01</v>
      </c>
      <c r="G490">
        <f>SUMIF('Isi Data'!B$1:B$65536,SNI!C$1:C$65536,'Isi Data'!E$1:E$65536)</f>
        <v>0</v>
      </c>
      <c r="I490">
        <f>F490*G490</f>
        <v>0</v>
      </c>
    </row>
    <row r="491">
      <c r="C491" t="str">
        <v xml:space="preserve">Mandor </v>
      </c>
      <c r="E491" t="str">
        <v>org/hr</v>
      </c>
      <c r="F491">
        <v>0.005</v>
      </c>
      <c r="G491">
        <f>SUMIF('Isi Data'!B$1:B$65536,SNI!C$1:C$65536,'Isi Data'!E$1:E$65536)</f>
        <v>0</v>
      </c>
      <c r="I491">
        <f>F491*G491</f>
        <v>0</v>
      </c>
    </row>
    <row r="492">
      <c r="G492">
        <f>SUMIF('Isi Data'!B$1:B$65536,SNI!C$1:C$65536,'Isi Data'!E$1:E$65536)</f>
        <v>0</v>
      </c>
    </row>
    <row r="493">
      <c r="A493" t="str">
        <v>SNI 02-3436-1994</v>
      </c>
      <c r="B493" t="str">
        <v>M2</v>
      </c>
      <c r="C493" t="str">
        <v xml:space="preserve">Penutup atap Genteng Keramik </v>
      </c>
      <c r="D493" t="str">
        <v>ex Jatiwangi</v>
      </c>
      <c r="G493">
        <f>SUMIF('Isi Data'!B$1:B$65536,SNI!C$1:C$65536,'Isi Data'!E$1:E$65536)</f>
        <v>0</v>
      </c>
      <c r="H493">
        <f>SUM(H494:H498)</f>
        <v>0</v>
      </c>
      <c r="I493">
        <f>SUM(I494:I498)</f>
        <v>0</v>
      </c>
      <c r="J493">
        <f>$J$3</f>
        <v>0.1</v>
      </c>
      <c r="K493">
        <f>SUM(H493:I493)*(1+J493)</f>
        <v>0</v>
      </c>
      <c r="L493">
        <f>ROUND(K493,-2)</f>
        <v>0</v>
      </c>
    </row>
    <row r="494">
      <c r="C494" t="str">
        <f>'Isi Data'!B69</f>
        <v xml:space="preserve">Genteng Keramik </v>
      </c>
      <c r="E494" t="str">
        <v>bh</v>
      </c>
      <c r="F494">
        <v>25</v>
      </c>
      <c r="G494">
        <f>SUMIF('Isi Data'!B$1:B$65536,SNI!C$1:C$65536,'Isi Data'!E$1:E$65536)</f>
        <v>0</v>
      </c>
      <c r="H494">
        <f>F494*G494</f>
        <v>0</v>
      </c>
      <c r="M494" t="str">
        <f>IF(G494=0,"edit"," ")</f>
        <v>edit</v>
      </c>
    </row>
    <row r="495">
      <c r="C495" t="str">
        <f>'Isi Data'!B168</f>
        <v>Pekerja</v>
      </c>
      <c r="E495" t="str">
        <v>org/hr</v>
      </c>
      <c r="F495">
        <v>0.15</v>
      </c>
      <c r="G495">
        <f>SUMIF('Isi Data'!B$1:B$65536,SNI!C$1:C$65536,'Isi Data'!E$1:E$65536)</f>
        <v>0</v>
      </c>
      <c r="I495">
        <f>F495*G495</f>
        <v>0</v>
      </c>
      <c r="M495" t="str">
        <f>IF(G495=0,"edit"," ")</f>
        <v>edit</v>
      </c>
    </row>
    <row r="496">
      <c r="C496" t="str">
        <f>'Isi Data'!B161</f>
        <v>Tukang Batu Kasar</v>
      </c>
      <c r="E496" t="str">
        <v>org/hr</v>
      </c>
      <c r="F496">
        <v>0.075</v>
      </c>
      <c r="G496">
        <f>SUMIF('Isi Data'!B$1:B$65536,SNI!C$1:C$65536,'Isi Data'!E$1:E$65536)</f>
        <v>0</v>
      </c>
      <c r="I496">
        <f>F496*G496</f>
        <v>0</v>
      </c>
      <c r="M496" t="str">
        <f>IF(G496=0,"edit"," ")</f>
        <v>edit</v>
      </c>
    </row>
    <row r="497">
      <c r="C497" t="str">
        <f>'Isi Data'!B163</f>
        <v>Kepala Tukang Batu</v>
      </c>
      <c r="E497" t="str">
        <v>org/hr</v>
      </c>
      <c r="F497">
        <v>0.008</v>
      </c>
      <c r="G497">
        <f>SUMIF('Isi Data'!B$1:B$65536,SNI!C$1:C$65536,'Isi Data'!E$1:E$65536)</f>
        <v>0</v>
      </c>
      <c r="I497">
        <f>F497*G497</f>
        <v>0</v>
      </c>
      <c r="M497" t="str">
        <f>IF(G497=0,"edit"," ")</f>
        <v>edit</v>
      </c>
    </row>
    <row r="498">
      <c r="C498" t="str">
        <f>'Isi Data'!B169</f>
        <v xml:space="preserve">Mandor </v>
      </c>
      <c r="E498" t="str">
        <v>org/hr</v>
      </c>
      <c r="F498">
        <v>0.008</v>
      </c>
      <c r="G498">
        <f>SUMIF('Isi Data'!B$1:B$65536,SNI!C$1:C$65536,'Isi Data'!E$1:E$65536)</f>
        <v>0</v>
      </c>
      <c r="I498">
        <f>F498*G498</f>
        <v>0</v>
      </c>
      <c r="M498" t="str">
        <f>IF(G498=0,"edit"," ")</f>
        <v>edit</v>
      </c>
    </row>
    <row r="499">
      <c r="G499">
        <f>SUMIF('Isi Data'!B$1:B$65536,SNI!C$1:C$65536,'Isi Data'!E$1:E$65536)</f>
        <v>0</v>
      </c>
    </row>
    <row r="500">
      <c r="A500" t="str">
        <v>SNI 02-3436-1994</v>
      </c>
      <c r="B500" t="str">
        <v>M2</v>
      </c>
      <c r="C500" t="str">
        <v>Penutup atap Genteng Keramik Glazur</v>
      </c>
      <c r="D500" t="str">
        <v>ex KANMURI</v>
      </c>
      <c r="G500">
        <f>SUMIF('Isi Data'!B$1:B$65536,SNI!C$1:C$65536,'Isi Data'!E$1:E$65536)</f>
        <v>0</v>
      </c>
      <c r="H500">
        <f>SUM(H501:H505)</f>
        <v>0</v>
      </c>
      <c r="I500">
        <f>SUM(I501:I505)</f>
        <v>0</v>
      </c>
      <c r="J500">
        <f>$J$3</f>
        <v>0.1</v>
      </c>
      <c r="K500">
        <f>SUM(H500:I500)*(1+J500)</f>
        <v>0</v>
      </c>
      <c r="L500">
        <f>ROUND(K500,-2)</f>
        <v>0</v>
      </c>
    </row>
    <row r="501">
      <c r="C501" t="str">
        <f>'Isi Data'!B70</f>
        <v>Genteng Keramik Glazur</v>
      </c>
      <c r="E501" t="str">
        <v>bh</v>
      </c>
      <c r="F501">
        <v>14.5</v>
      </c>
      <c r="G501">
        <f>SUMIF('Isi Data'!B$1:B$65536,SNI!C$1:C$65536,'Isi Data'!E$1:E$65536)</f>
        <v>0</v>
      </c>
      <c r="H501">
        <f>F501*G501</f>
        <v>0</v>
      </c>
    </row>
    <row r="502">
      <c r="C502" t="str">
        <f>'Isi Data'!B168</f>
        <v>Pekerja</v>
      </c>
      <c r="E502" t="str">
        <v>org/hr</v>
      </c>
      <c r="F502">
        <v>0.15</v>
      </c>
      <c r="G502">
        <f>SUMIF('Isi Data'!B$1:B$65536,SNI!C$1:C$65536,'Isi Data'!E$1:E$65536)</f>
        <v>0</v>
      </c>
      <c r="I502">
        <f>F502*G502</f>
        <v>0</v>
      </c>
    </row>
    <row r="503">
      <c r="C503" t="str">
        <f>'Isi Data'!B161</f>
        <v>Tukang Batu Kasar</v>
      </c>
      <c r="E503" t="str">
        <v>org/hr</v>
      </c>
      <c r="F503">
        <v>0.075</v>
      </c>
      <c r="G503">
        <f>SUMIF('Isi Data'!B$1:B$65536,SNI!C$1:C$65536,'Isi Data'!E$1:E$65536)</f>
        <v>0</v>
      </c>
      <c r="I503">
        <f>F503*G503</f>
        <v>0</v>
      </c>
    </row>
    <row r="504">
      <c r="C504" t="str">
        <f>'Isi Data'!B163</f>
        <v>Kepala Tukang Batu</v>
      </c>
      <c r="E504" t="str">
        <v>org/hr</v>
      </c>
      <c r="F504">
        <v>0.008</v>
      </c>
      <c r="G504">
        <f>SUMIF('Isi Data'!B$1:B$65536,SNI!C$1:C$65536,'Isi Data'!E$1:E$65536)</f>
        <v>0</v>
      </c>
      <c r="I504">
        <f>F504*G504</f>
        <v>0</v>
      </c>
    </row>
    <row r="505">
      <c r="C505" t="str">
        <f>'Isi Data'!B169</f>
        <v xml:space="preserve">Mandor </v>
      </c>
      <c r="E505" t="str">
        <v>org/hr</v>
      </c>
      <c r="F505">
        <v>0.008</v>
      </c>
      <c r="G505">
        <f>SUMIF('Isi Data'!B$1:B$65536,SNI!C$1:C$65536,'Isi Data'!E$1:E$65536)</f>
        <v>0</v>
      </c>
      <c r="I505">
        <f>F505*G505</f>
        <v>0</v>
      </c>
    </row>
    <row r="506">
      <c r="G506">
        <f>SUMIF('Isi Data'!B$1:B$65536,SNI!C$1:C$65536,'Isi Data'!E$1:E$65536)</f>
        <v>0</v>
      </c>
    </row>
    <row r="507">
      <c r="A507" t="str">
        <v>SNI 02-3436-1994</v>
      </c>
      <c r="B507" t="str">
        <v>M2</v>
      </c>
      <c r="C507" t="str">
        <v>Bubungan Genteng Keramik</v>
      </c>
      <c r="G507">
        <f>SUMIF('Isi Data'!B$1:B$65536,SNI!C$1:C$65536,'Isi Data'!E$1:E$65536)</f>
        <v>0</v>
      </c>
      <c r="H507">
        <f>SUM(H508:H514)</f>
        <v>0</v>
      </c>
      <c r="I507">
        <f>SUM(I508:I514)</f>
        <v>0</v>
      </c>
      <c r="J507">
        <f>$J$3</f>
        <v>0.1</v>
      </c>
      <c r="K507">
        <f>SUM(H507:I507)*(1+J507)</f>
        <v>0</v>
      </c>
      <c r="L507">
        <f>ROUND(K507,-2)</f>
        <v>0</v>
      </c>
    </row>
    <row r="508">
      <c r="C508" t="str">
        <f>'Isi Data'!B71</f>
        <v>Nok Genteng Keramik</v>
      </c>
      <c r="E508" t="str">
        <v>bh</v>
      </c>
      <c r="F508">
        <v>5</v>
      </c>
      <c r="G508">
        <f>SUMIF('Isi Data'!B$1:B$65536,SNI!C$1:C$65536,'Isi Data'!E$1:E$65536)</f>
        <v>0</v>
      </c>
      <c r="H508">
        <f>F508*G508</f>
        <v>0</v>
      </c>
    </row>
    <row r="509">
      <c r="C509" t="str">
        <f>'Isi Data'!B25</f>
        <v>Semen (50 Kg)</v>
      </c>
      <c r="E509" t="str">
        <v>zak</v>
      </c>
      <c r="F509">
        <v>0.216</v>
      </c>
      <c r="G509">
        <f>SUMIF('Isi Data'!B$1:B$65536,SNI!C$1:C$65536,'Isi Data'!E$1:E$65536)</f>
        <v>0</v>
      </c>
      <c r="H509">
        <f>F509*G509</f>
        <v>0</v>
      </c>
    </row>
    <row r="510">
      <c r="C510" t="str">
        <f>'Isi Data'!B20</f>
        <v>Pasir Pasang</v>
      </c>
      <c r="E510" t="str">
        <v>m3</v>
      </c>
      <c r="F510">
        <v>0.032</v>
      </c>
      <c r="G510">
        <f>SUMIF('Isi Data'!B$1:B$65536,SNI!C$1:C$65536,'Isi Data'!E$1:E$65536)</f>
        <v>0</v>
      </c>
      <c r="H510">
        <f>F510*G510</f>
        <v>0</v>
      </c>
    </row>
    <row r="511">
      <c r="C511" t="str">
        <f>'Isi Data'!B168</f>
        <v>Pekerja</v>
      </c>
      <c r="E511" t="str">
        <v>org/hr</v>
      </c>
      <c r="F511">
        <v>0.4</v>
      </c>
      <c r="G511">
        <f>SUMIF('Isi Data'!B$1:B$65536,SNI!C$1:C$65536,'Isi Data'!E$1:E$65536)</f>
        <v>0</v>
      </c>
      <c r="I511">
        <f>F511*G511</f>
        <v>0</v>
      </c>
    </row>
    <row r="512">
      <c r="C512" t="str">
        <f>'Isi Data'!B161</f>
        <v>Tukang Batu Kasar</v>
      </c>
      <c r="E512" t="str">
        <v>org/hr</v>
      </c>
      <c r="F512">
        <v>0.2</v>
      </c>
      <c r="G512">
        <f>SUMIF('Isi Data'!B$1:B$65536,SNI!C$1:C$65536,'Isi Data'!E$1:E$65536)</f>
        <v>0</v>
      </c>
      <c r="I512">
        <f>F512*G512</f>
        <v>0</v>
      </c>
    </row>
    <row r="513">
      <c r="C513" t="str">
        <f>'Isi Data'!B163</f>
        <v>Kepala Tukang Batu</v>
      </c>
      <c r="E513" t="str">
        <v>org/hr</v>
      </c>
      <c r="F513">
        <v>0.02</v>
      </c>
      <c r="G513">
        <f>SUMIF('Isi Data'!B$1:B$65536,SNI!C$1:C$65536,'Isi Data'!E$1:E$65536)</f>
        <v>0</v>
      </c>
      <c r="I513">
        <f>F513*G513</f>
        <v>0</v>
      </c>
    </row>
    <row r="514">
      <c r="C514" t="str">
        <f>'Isi Data'!B169</f>
        <v xml:space="preserve">Mandor </v>
      </c>
      <c r="E514" t="str">
        <v>org/hr</v>
      </c>
      <c r="F514">
        <v>0.002</v>
      </c>
      <c r="G514">
        <f>SUMIF('Isi Data'!B$1:B$65536,SNI!C$1:C$65536,'Isi Data'!E$1:E$65536)</f>
        <v>0</v>
      </c>
      <c r="I514">
        <f>F514*G514</f>
        <v>0</v>
      </c>
    </row>
    <row r="515">
      <c r="G515">
        <f>SUMIF('Isi Data'!B$1:B$65536,SNI!C$1:C$65536,'Isi Data'!E$1:E$65536)</f>
        <v>0</v>
      </c>
    </row>
    <row r="516">
      <c r="A516" t="str">
        <v>SNI 02-3436-1994</v>
      </c>
      <c r="B516" t="str">
        <v>M2</v>
      </c>
      <c r="C516" t="str">
        <v>Bubungan Genteng Keramik Glazur</v>
      </c>
      <c r="G516">
        <f>SUMIF('Isi Data'!B$1:B$65536,SNI!C$1:C$65536,'Isi Data'!E$1:E$65536)</f>
        <v>0</v>
      </c>
      <c r="H516">
        <f>SUM(H517:H523)</f>
        <v>0</v>
      </c>
      <c r="I516">
        <f>SUM(I517:I523)</f>
        <v>0</v>
      </c>
      <c r="J516">
        <f>$J$3</f>
        <v>0.1</v>
      </c>
      <c r="K516">
        <f>SUM(H516:I516)*(1+J516)</f>
        <v>0</v>
      </c>
      <c r="L516">
        <f>ROUND(K516,-2)</f>
        <v>0</v>
      </c>
    </row>
    <row r="517">
      <c r="C517" t="str">
        <f>'Isi Data'!B72</f>
        <v>Nok Genteng Keramik Glasur</v>
      </c>
      <c r="E517" t="str">
        <v>bh</v>
      </c>
      <c r="F517">
        <v>5</v>
      </c>
      <c r="G517">
        <f>SUMIF('Isi Data'!B$1:B$65536,SNI!C$1:C$65536,'Isi Data'!E$1:E$65536)</f>
        <v>0</v>
      </c>
      <c r="H517">
        <f>F517*G517</f>
        <v>0</v>
      </c>
      <c r="M517" t="str">
        <f>IF(G517=0,"edit"," ")</f>
        <v>edit</v>
      </c>
    </row>
    <row r="518">
      <c r="C518" t="str">
        <f>'Isi Data'!B25</f>
        <v>Semen (50 Kg)</v>
      </c>
      <c r="E518" t="str">
        <v>zak</v>
      </c>
      <c r="F518">
        <v>0.216</v>
      </c>
      <c r="G518">
        <f>SUMIF('Isi Data'!B$1:B$65536,SNI!C$1:C$65536,'Isi Data'!E$1:E$65536)</f>
        <v>0</v>
      </c>
      <c r="H518">
        <f>F518*G518</f>
        <v>0</v>
      </c>
      <c r="M518" t="str">
        <f>IF(G518=0,"edit"," ")</f>
        <v>edit</v>
      </c>
    </row>
    <row r="519">
      <c r="C519" t="str">
        <f>'Isi Data'!B20</f>
        <v>Pasir Pasang</v>
      </c>
      <c r="E519" t="str">
        <v>m3</v>
      </c>
      <c r="F519">
        <v>0.032</v>
      </c>
      <c r="G519">
        <f>SUMIF('Isi Data'!B$1:B$65536,SNI!C$1:C$65536,'Isi Data'!E$1:E$65536)</f>
        <v>0</v>
      </c>
      <c r="H519">
        <f>F519*G519</f>
        <v>0</v>
      </c>
      <c r="M519" t="str">
        <f>IF(G519=0,"edit"," ")</f>
        <v>edit</v>
      </c>
    </row>
    <row r="520">
      <c r="C520" t="str">
        <f>'Isi Data'!B168</f>
        <v>Pekerja</v>
      </c>
      <c r="E520" t="str">
        <v>org/hr</v>
      </c>
      <c r="F520">
        <v>0.4</v>
      </c>
      <c r="G520">
        <f>SUMIF('Isi Data'!B$1:B$65536,SNI!C$1:C$65536,'Isi Data'!E$1:E$65536)</f>
        <v>0</v>
      </c>
      <c r="I520">
        <f>F520*G520</f>
        <v>0</v>
      </c>
      <c r="M520" t="str">
        <f>IF(G520=0,"edit"," ")</f>
        <v>edit</v>
      </c>
    </row>
    <row r="521">
      <c r="C521" t="str">
        <f>'Isi Data'!B161</f>
        <v>Tukang Batu Kasar</v>
      </c>
      <c r="E521" t="str">
        <v>org/hr</v>
      </c>
      <c r="F521">
        <v>0.2</v>
      </c>
      <c r="G521">
        <f>SUMIF('Isi Data'!B$1:B$65536,SNI!C$1:C$65536,'Isi Data'!E$1:E$65536)</f>
        <v>0</v>
      </c>
      <c r="I521">
        <f>F521*G521</f>
        <v>0</v>
      </c>
      <c r="M521" t="str">
        <f>IF(G521=0,"edit"," ")</f>
        <v>edit</v>
      </c>
    </row>
    <row r="522">
      <c r="C522" t="str">
        <f>'Isi Data'!B163</f>
        <v>Kepala Tukang Batu</v>
      </c>
      <c r="E522" t="str">
        <v>org/hr</v>
      </c>
      <c r="F522">
        <v>0.02</v>
      </c>
      <c r="G522">
        <f>SUMIF('Isi Data'!B$1:B$65536,SNI!C$1:C$65536,'Isi Data'!E$1:E$65536)</f>
        <v>0</v>
      </c>
      <c r="I522">
        <f>F522*G522</f>
        <v>0</v>
      </c>
      <c r="M522" t="str">
        <f>IF(G522=0,"edit"," ")</f>
        <v>edit</v>
      </c>
    </row>
    <row r="523">
      <c r="C523" t="str">
        <f>'Isi Data'!B169</f>
        <v xml:space="preserve">Mandor </v>
      </c>
      <c r="E523" t="str">
        <v>org/hr</v>
      </c>
      <c r="F523">
        <v>0.002</v>
      </c>
      <c r="G523">
        <f>SUMIF('Isi Data'!B$1:B$65536,SNI!C$1:C$65536,'Isi Data'!E$1:E$65536)</f>
        <v>0</v>
      </c>
      <c r="I523">
        <f>F523*G523</f>
        <v>0</v>
      </c>
      <c r="M523" t="str">
        <f>IF(G523=0,"edit"," ")</f>
        <v>edit</v>
      </c>
    </row>
    <row r="524">
      <c r="G524">
        <f>SUMIF('Isi Data'!B$1:B$65536,SNI!C$1:C$65536,'Isi Data'!E$1:E$65536)</f>
        <v>0</v>
      </c>
    </row>
    <row r="525">
      <c r="A525" t="str">
        <v>SNI DT 91-0011-2007</v>
      </c>
      <c r="B525" t="str">
        <v>M1</v>
      </c>
      <c r="C525" t="str">
        <v>Pas. Lisplank Kayu 3/20 mm</v>
      </c>
      <c r="G525">
        <f>SUMIF('Isi Data'!B$1:B$65536,SNI!C$1:C$65536,'Isi Data'!E$1:E$65536)</f>
        <v>0</v>
      </c>
      <c r="H525">
        <f>SUM(H526:H531)</f>
        <v>0</v>
      </c>
      <c r="I525">
        <f>SUM(I526:I531)</f>
        <v>0</v>
      </c>
      <c r="J525">
        <f>$J$3</f>
        <v>0.1</v>
      </c>
      <c r="K525">
        <f>SUM(H525:I525)*(1+J525)</f>
        <v>0</v>
      </c>
      <c r="L525">
        <f>ROUND(K525,-2)</f>
        <v>0</v>
      </c>
    </row>
    <row r="526">
      <c r="C526" t="str">
        <f>'Isi Data'!B38</f>
        <v>Kayu Klas II</v>
      </c>
      <c r="D526" t="str">
        <v xml:space="preserve">papan uk. 3/20 </v>
      </c>
      <c r="E526" t="str">
        <v>m3</v>
      </c>
      <c r="F526">
        <v>0.0108</v>
      </c>
      <c r="G526">
        <f>SUMIF('Isi Data'!B$1:B$65536,SNI!C$1:C$65536,'Isi Data'!E$1:E$65536)</f>
        <v>0</v>
      </c>
      <c r="H526">
        <f>F526*G526</f>
        <v>0</v>
      </c>
    </row>
    <row r="527">
      <c r="C527" t="str">
        <f>'Isi Data'!B82</f>
        <v>Paku 5 s/d 10 cm</v>
      </c>
      <c r="E527" t="str">
        <v>kg</v>
      </c>
      <c r="F527">
        <v>0.1</v>
      </c>
      <c r="G527">
        <f>SUMIF('Isi Data'!B$1:B$65536,SNI!C$1:C$65536,'Isi Data'!E$1:E$65536)</f>
        <v>0</v>
      </c>
      <c r="H527">
        <f>F527*G527</f>
        <v>0</v>
      </c>
    </row>
    <row r="528">
      <c r="C528" t="str">
        <v>Pekerja</v>
      </c>
      <c r="E528" t="str">
        <v>org/hr</v>
      </c>
      <c r="F528">
        <v>0.1</v>
      </c>
      <c r="G528">
        <f>SUMIF('Isi Data'!B$1:B$65536,SNI!C$1:C$65536,'Isi Data'!E$1:E$65536)</f>
        <v>0</v>
      </c>
      <c r="I528">
        <f>F528*G528</f>
        <v>0</v>
      </c>
    </row>
    <row r="529">
      <c r="C529" t="str">
        <v xml:space="preserve">Tukang Kayu Kasar </v>
      </c>
      <c r="E529" t="str">
        <v>org/hr</v>
      </c>
      <c r="F529">
        <v>0.2</v>
      </c>
      <c r="G529">
        <f>SUMIF('Isi Data'!B$1:B$65536,SNI!C$1:C$65536,'Isi Data'!E$1:E$65536)</f>
        <v>0</v>
      </c>
      <c r="I529">
        <f>F529*G529</f>
        <v>0</v>
      </c>
    </row>
    <row r="530">
      <c r="C530" t="str">
        <v>Kepala Tukang Kayu</v>
      </c>
      <c r="E530" t="str">
        <v>org/hr</v>
      </c>
      <c r="F530">
        <v>0.02</v>
      </c>
      <c r="G530">
        <f>SUMIF('Isi Data'!B$1:B$65536,SNI!C$1:C$65536,'Isi Data'!E$1:E$65536)</f>
        <v>0</v>
      </c>
      <c r="I530">
        <f>F530*G530</f>
        <v>0</v>
      </c>
    </row>
    <row r="531">
      <c r="C531" t="str">
        <v xml:space="preserve">Mandor </v>
      </c>
      <c r="E531" t="str">
        <v>org/hr</v>
      </c>
      <c r="F531">
        <v>0.005</v>
      </c>
      <c r="G531">
        <f>SUMIF('Isi Data'!B$1:B$65536,SNI!C$1:C$65536,'Isi Data'!E$1:E$65536)</f>
        <v>0</v>
      </c>
      <c r="I531">
        <f>F531*G531</f>
        <v>0</v>
      </c>
    </row>
    <row r="532">
      <c r="G532">
        <f>SUMIF('Isi Data'!B$1:B$65536,SNI!C$1:C$65536,'Isi Data'!E$1:E$65536)</f>
        <v>0</v>
      </c>
    </row>
    <row r="533">
      <c r="B533" t="str">
        <v>M1</v>
      </c>
      <c r="C533" t="str">
        <v>Pas. Fleshing seng plat</v>
      </c>
      <c r="G533">
        <f>SUMIF('Isi Data'!B$1:B$65536,SNI!C$1:C$65536,'Isi Data'!E$1:E$65536)</f>
        <v>0</v>
      </c>
      <c r="H533">
        <f>SUM(H534:H539)</f>
        <v>0</v>
      </c>
      <c r="I533">
        <f>SUM(I534:I539)</f>
        <v>0</v>
      </c>
      <c r="J533">
        <f>$J$3</f>
        <v>0.1</v>
      </c>
      <c r="K533">
        <f>SUM(H533:I533)*(1+J533)</f>
        <v>0</v>
      </c>
      <c r="L533">
        <f>ROUND(K533,-2)</f>
        <v>0</v>
      </c>
    </row>
    <row r="534">
      <c r="C534" t="str">
        <f>'Isi Data'!B73</f>
        <v>Seng Plat BJLS 30</v>
      </c>
      <c r="D534" t="str">
        <v xml:space="preserve">uk. 3/20 </v>
      </c>
      <c r="E534" t="str">
        <v>m2</v>
      </c>
      <c r="F534">
        <v>0.45</v>
      </c>
      <c r="G534">
        <f>SUMIF('Isi Data'!B$1:B$65536,SNI!C$1:C$65536,'Isi Data'!E$1:E$65536)</f>
        <v>0</v>
      </c>
      <c r="H534">
        <f>F534*G534</f>
        <v>0</v>
      </c>
    </row>
    <row r="535">
      <c r="C535" t="str">
        <f>'Isi Data'!B82</f>
        <v>Paku 5 s/d 10 cm</v>
      </c>
      <c r="E535" t="str">
        <v>kg</v>
      </c>
      <c r="F535">
        <v>0.1</v>
      </c>
      <c r="G535">
        <f>SUMIF('Isi Data'!B$1:B$65536,SNI!C$1:C$65536,'Isi Data'!E$1:E$65536)</f>
        <v>0</v>
      </c>
      <c r="H535">
        <f>F535*G535</f>
        <v>0</v>
      </c>
    </row>
    <row r="536">
      <c r="C536" t="str">
        <f>'Isi Data'!B168</f>
        <v>Pekerja</v>
      </c>
      <c r="E536" t="str">
        <v>org/hr</v>
      </c>
      <c r="F536">
        <v>0.1</v>
      </c>
      <c r="G536">
        <f>SUMIF('Isi Data'!B$1:B$65536,SNI!C$1:C$65536,'Isi Data'!E$1:E$65536)</f>
        <v>0</v>
      </c>
      <c r="I536">
        <f>F536*G536</f>
        <v>0</v>
      </c>
    </row>
    <row r="537">
      <c r="C537" t="str">
        <f>'Isi Data'!B158</f>
        <v xml:space="preserve">Tukang Kayu Kasar </v>
      </c>
      <c r="E537" t="str">
        <v>org/hr</v>
      </c>
      <c r="F537">
        <v>0.2</v>
      </c>
      <c r="G537">
        <f>SUMIF('Isi Data'!B$1:B$65536,SNI!C$1:C$65536,'Isi Data'!E$1:E$65536)</f>
        <v>0</v>
      </c>
      <c r="I537">
        <f>F537*G537</f>
        <v>0</v>
      </c>
    </row>
    <row r="538">
      <c r="C538" t="str">
        <f>'Isi Data'!B160</f>
        <v>Kepala Tukang Kayu</v>
      </c>
      <c r="E538" t="str">
        <v>org/hr</v>
      </c>
      <c r="F538">
        <v>0.02</v>
      </c>
      <c r="G538">
        <f>SUMIF('Isi Data'!B$1:B$65536,SNI!C$1:C$65536,'Isi Data'!E$1:E$65536)</f>
        <v>0</v>
      </c>
      <c r="I538">
        <f>F538*G538</f>
        <v>0</v>
      </c>
    </row>
    <row r="539">
      <c r="C539" t="str">
        <f>'Isi Data'!B169</f>
        <v xml:space="preserve">Mandor </v>
      </c>
      <c r="E539" t="str">
        <v>org/hr</v>
      </c>
      <c r="F539">
        <v>0.005</v>
      </c>
      <c r="G539">
        <f>SUMIF('Isi Data'!B$1:B$65536,SNI!C$1:C$65536,'Isi Data'!E$1:E$65536)</f>
        <v>0</v>
      </c>
      <c r="I539">
        <f>F539*G539</f>
        <v>0</v>
      </c>
    </row>
    <row r="540">
      <c r="G540">
        <f>SUMIF('Isi Data'!B$1:B$65536,SNI!C$1:C$65536,'Isi Data'!E$1:E$65536)</f>
        <v>0</v>
      </c>
    </row>
    <row r="541">
      <c r="A541" t="str">
        <v>SNI 7393:2008-6.19</v>
      </c>
      <c r="B541" t="str">
        <v>M1</v>
      </c>
      <c r="C541" t="str">
        <v>Pas. Talang seng plat</v>
      </c>
      <c r="G541">
        <f>SUMIF('Isi Data'!B$1:B$65536,SNI!C$1:C$65536,'Isi Data'!E$1:E$65536)</f>
        <v>0</v>
      </c>
      <c r="H541">
        <f>SUM(H542:H548)</f>
        <v>0</v>
      </c>
      <c r="I541">
        <f>SUM(I542:I548)</f>
        <v>0</v>
      </c>
      <c r="J541">
        <f>$J$3</f>
        <v>0.1</v>
      </c>
      <c r="K541">
        <f>SUM(H541:I541)*(1+J541)</f>
        <v>0</v>
      </c>
      <c r="L541">
        <f>ROUND(K541,-2)</f>
        <v>0</v>
      </c>
    </row>
    <row r="542">
      <c r="C542" t="str">
        <f>'Isi Data'!B73</f>
        <v>Seng Plat BJLS 30</v>
      </c>
      <c r="D542" t="str">
        <v xml:space="preserve">uk. 3/20 </v>
      </c>
      <c r="E542" t="str">
        <v>m2</v>
      </c>
      <c r="F542">
        <v>1.05</v>
      </c>
      <c r="G542">
        <f>SUMIF('Isi Data'!B$1:B$65536,SNI!C$1:C$65536,'Isi Data'!E$1:E$65536)</f>
        <v>0</v>
      </c>
      <c r="H542">
        <f>F542*G542</f>
        <v>0</v>
      </c>
      <c r="M542" t="str">
        <f>IF(G542=0,"edit"," ")</f>
        <v>edit</v>
      </c>
    </row>
    <row r="543">
      <c r="C543" t="str">
        <f>'Isi Data'!B81</f>
        <v>Paku 1 s/d 3 cm</v>
      </c>
      <c r="E543" t="str">
        <v>kg</v>
      </c>
      <c r="F543">
        <v>0.01</v>
      </c>
      <c r="G543">
        <f>SUMIF('Isi Data'!B$1:B$65536,SNI!C$1:C$65536,'Isi Data'!E$1:E$65536)</f>
        <v>0</v>
      </c>
      <c r="H543">
        <f>F543*G543</f>
        <v>0</v>
      </c>
      <c r="M543" t="str">
        <f>IF(G543=0,"edit"," ")</f>
        <v>edit</v>
      </c>
    </row>
    <row r="544">
      <c r="C544" t="str">
        <f>'Isi Data'!B31</f>
        <v xml:space="preserve">Besi Plat rata2 </v>
      </c>
      <c r="E544" t="str">
        <v>kg</v>
      </c>
      <c r="F544">
        <v>0.5</v>
      </c>
      <c r="G544">
        <f>SUMIF('Isi Data'!B$1:B$65536,SNI!C$1:C$65536,'Isi Data'!E$1:E$65536)</f>
        <v>0</v>
      </c>
      <c r="H544">
        <f>F544*G544</f>
        <v>0</v>
      </c>
    </row>
    <row r="545">
      <c r="C545" t="str">
        <f>'Isi Data'!B168</f>
        <v>Pekerja</v>
      </c>
      <c r="E545" t="str">
        <v>org/hr</v>
      </c>
      <c r="F545">
        <v>0.15</v>
      </c>
      <c r="G545">
        <f>SUMIF('Isi Data'!B$1:B$65536,SNI!C$1:C$65536,'Isi Data'!E$1:E$65536)</f>
        <v>0</v>
      </c>
      <c r="I545">
        <f>F545*G545</f>
        <v>0</v>
      </c>
      <c r="M545" t="str">
        <f>IF(G545=0,"edit"," ")</f>
        <v>edit</v>
      </c>
    </row>
    <row r="546">
      <c r="C546" t="str">
        <f>'Isi Data'!B158</f>
        <v xml:space="preserve">Tukang Kayu Kasar </v>
      </c>
      <c r="E546" t="str">
        <v>org/hr</v>
      </c>
      <c r="F546">
        <v>0.3</v>
      </c>
      <c r="G546">
        <f>SUMIF('Isi Data'!B$1:B$65536,SNI!C$1:C$65536,'Isi Data'!E$1:E$65536)</f>
        <v>0</v>
      </c>
      <c r="I546">
        <f>F546*G546</f>
        <v>0</v>
      </c>
      <c r="M546" t="str">
        <f>IF(G546=0,"edit"," ")</f>
        <v>edit</v>
      </c>
    </row>
    <row r="547">
      <c r="C547" t="str">
        <f>'Isi Data'!B160</f>
        <v>Kepala Tukang Kayu</v>
      </c>
      <c r="E547" t="str">
        <v>org/hr</v>
      </c>
      <c r="F547">
        <v>0.03</v>
      </c>
      <c r="G547">
        <f>SUMIF('Isi Data'!B$1:B$65536,SNI!C$1:C$65536,'Isi Data'!E$1:E$65536)</f>
        <v>0</v>
      </c>
      <c r="I547">
        <f>F547*G547</f>
        <v>0</v>
      </c>
      <c r="M547" t="str">
        <f>IF(G547=0,"edit"," ")</f>
        <v>edit</v>
      </c>
    </row>
    <row r="548">
      <c r="C548" t="str">
        <f>'Isi Data'!B169</f>
        <v xml:space="preserve">Mandor </v>
      </c>
      <c r="E548" t="str">
        <v>org/hr</v>
      </c>
      <c r="F548">
        <v>0.008</v>
      </c>
      <c r="G548">
        <f>SUMIF('Isi Data'!B$1:B$65536,SNI!C$1:C$65536,'Isi Data'!E$1:E$65536)</f>
        <v>0</v>
      </c>
      <c r="I548">
        <f>F548*G548</f>
        <v>0</v>
      </c>
      <c r="M548" t="str">
        <f>IF(G548=0,"edit"," ")</f>
        <v>edit</v>
      </c>
    </row>
    <row r="549">
      <c r="G549">
        <f>SUMIF('Isi Data'!B$1:B$65536,SNI!C$1:C$65536,'Isi Data'!E$1:E$65536)</f>
        <v>0</v>
      </c>
    </row>
    <row r="550">
      <c r="G550">
        <f>SUMIF('Isi Data'!B$1:B$65536,SNI!C$1:C$65536,'Isi Data'!E$1:E$65536)</f>
        <v>0</v>
      </c>
    </row>
    <row r="551">
      <c r="C551" t="str">
        <v>PEKERJAAN PENGECATAN</v>
      </c>
      <c r="G551">
        <f>SUMIF('Isi Data'!B$1:B$65536,SNI!C$1:C$65536,'Isi Data'!E$1:E$65536)</f>
        <v>0</v>
      </c>
    </row>
    <row r="552">
      <c r="A552" t="str">
        <v>PT T-38-2000-C</v>
      </c>
      <c r="B552" t="str">
        <v>M2</v>
      </c>
      <c r="C552" t="str">
        <v>Cat dinding dalam acrylic emulsion KW.I</v>
      </c>
      <c r="D552" t="str">
        <v>Interior</v>
      </c>
      <c r="G552">
        <f>SUMIF('Isi Data'!B$1:B$65536,SNI!C$1:C$65536,'Isi Data'!E$1:E$65536)</f>
        <v>0</v>
      </c>
      <c r="H552">
        <f>SUM(H553:H559)</f>
        <v>0</v>
      </c>
      <c r="I552">
        <f>SUM(I553:I559)</f>
        <v>0</v>
      </c>
      <c r="J552">
        <f>$J$3</f>
        <v>0.1</v>
      </c>
      <c r="K552">
        <f>SUM(H552:I552)*(1+J552)</f>
        <v>0</v>
      </c>
      <c r="L552">
        <f>ROUND(K552,-2)</f>
        <v>0</v>
      </c>
    </row>
    <row r="553">
      <c r="C553" t="str">
        <f>'Isi Data'!B96</f>
        <v xml:space="preserve">Plamir Tembok </v>
      </c>
      <c r="D553" t="str">
        <v>( 1 Lapis Plamir + 1 Lapis Cat Dasar + 2 Lapis + 2 Lapis Cat Penutup )</v>
      </c>
      <c r="E553" t="str">
        <v>kg</v>
      </c>
      <c r="F553">
        <v>0.1</v>
      </c>
      <c r="G553">
        <f>SUMIF('Isi Data'!B$1:B$65536,SNI!C$1:C$65536,'Isi Data'!E$1:E$65536)</f>
        <v>0</v>
      </c>
      <c r="H553">
        <f>F553*G553</f>
        <v>0</v>
      </c>
      <c r="M553" t="str">
        <f>IF(G553=0,"edit"," ")</f>
        <v>edit</v>
      </c>
    </row>
    <row r="554">
      <c r="C554" t="str">
        <f>'Isi Data'!B94</f>
        <v>Cat Tembok kw1</v>
      </c>
      <c r="E554" t="str">
        <v>kg</v>
      </c>
      <c r="F554">
        <v>0.1</v>
      </c>
      <c r="G554">
        <f>SUMIF('Isi Data'!B$1:B$65536,SNI!C$1:C$65536,'Isi Data'!E$1:E$65536)</f>
        <v>0</v>
      </c>
      <c r="H554">
        <f>F554*G554</f>
        <v>0</v>
      </c>
      <c r="M554" t="str">
        <f>IF(G554=0,"edit"," ")</f>
        <v>edit</v>
      </c>
    </row>
    <row r="555">
      <c r="C555" t="str">
        <f>'Isi Data'!B94</f>
        <v>Cat Tembok kw1</v>
      </c>
      <c r="E555" t="str">
        <v>kg</v>
      </c>
      <c r="F555">
        <v>0.26</v>
      </c>
      <c r="G555">
        <f>SUMIF('Isi Data'!B$1:B$65536,SNI!C$1:C$65536,'Isi Data'!E$1:E$65536)</f>
        <v>0</v>
      </c>
      <c r="H555">
        <f>F555*G555</f>
        <v>0</v>
      </c>
      <c r="M555" t="str">
        <f>IF(G555=0,"edit"," ")</f>
        <v>edit</v>
      </c>
    </row>
    <row r="556">
      <c r="C556" t="str">
        <f>'Isi Data'!B168</f>
        <v>Pekerja</v>
      </c>
      <c r="E556" t="str">
        <v>org/hr</v>
      </c>
      <c r="F556">
        <v>0.02</v>
      </c>
      <c r="G556">
        <f>SUMIF('Isi Data'!B$1:B$65536,SNI!C$1:C$65536,'Isi Data'!E$1:E$65536)</f>
        <v>0</v>
      </c>
      <c r="I556">
        <f>F556*G556</f>
        <v>0</v>
      </c>
      <c r="M556" t="str">
        <f>IF(G556=0,"edit"," ")</f>
        <v>edit</v>
      </c>
    </row>
    <row r="557">
      <c r="C557" t="str">
        <f>'Isi Data'!B164</f>
        <v>Tukang Cat Biasa</v>
      </c>
      <c r="E557" t="str">
        <v>org/hr</v>
      </c>
      <c r="F557">
        <v>0.063</v>
      </c>
      <c r="G557">
        <f>SUMIF('Isi Data'!B$1:B$65536,SNI!C$1:C$65536,'Isi Data'!E$1:E$65536)</f>
        <v>0</v>
      </c>
      <c r="I557">
        <f>F557*G557</f>
        <v>0</v>
      </c>
      <c r="M557" t="str">
        <f>IF(G557=0,"edit"," ")</f>
        <v>edit</v>
      </c>
    </row>
    <row r="558">
      <c r="C558" t="str">
        <f>'Isi Data'!B165</f>
        <v>Kepala Tukang Cat</v>
      </c>
      <c r="E558" t="str">
        <v>org/hr</v>
      </c>
      <c r="F558">
        <v>0.0063</v>
      </c>
      <c r="G558">
        <f>SUMIF('Isi Data'!B$1:B$65536,SNI!C$1:C$65536,'Isi Data'!E$1:E$65536)</f>
        <v>0</v>
      </c>
      <c r="I558">
        <f>F558*G558</f>
        <v>0</v>
      </c>
      <c r="M558" t="str">
        <f>IF(G558=0,"edit"," ")</f>
        <v>edit</v>
      </c>
    </row>
    <row r="559">
      <c r="C559" t="str">
        <f>'Isi Data'!B169</f>
        <v xml:space="preserve">Mandor </v>
      </c>
      <c r="E559" t="str">
        <v>org/hr</v>
      </c>
      <c r="F559">
        <v>0.0025</v>
      </c>
      <c r="G559">
        <f>SUMIF('Isi Data'!B$1:B$65536,SNI!C$1:C$65536,'Isi Data'!E$1:E$65536)</f>
        <v>0</v>
      </c>
      <c r="I559">
        <f>F559*G559</f>
        <v>0</v>
      </c>
      <c r="M559" t="str">
        <f>IF(G559=0,"edit"," ")</f>
        <v>edit</v>
      </c>
    </row>
    <row r="560">
      <c r="G560">
        <f>SUMIF('Isi Data'!B$1:B$65536,SNI!C$1:C$65536,'Isi Data'!E$1:E$65536)</f>
        <v>0</v>
      </c>
    </row>
    <row r="561">
      <c r="A561" t="str">
        <v>PT T-38-2000-C</v>
      </c>
      <c r="B561" t="str">
        <v>M2</v>
      </c>
      <c r="C561" t="str">
        <v>Cat dinding dalam acrylic emulsion KW.II</v>
      </c>
      <c r="D561" t="str">
        <v>Interior</v>
      </c>
      <c r="G561">
        <f>SUMIF('Isi Data'!B$1:B$65536,SNI!C$1:C$65536,'Isi Data'!E$1:E$65536)</f>
        <v>0</v>
      </c>
      <c r="H561">
        <f>SUM(H562:H568)</f>
        <v>0</v>
      </c>
      <c r="I561">
        <f>SUM(I562:I568)</f>
        <v>0</v>
      </c>
      <c r="J561">
        <f>$J$3</f>
        <v>0.1</v>
      </c>
      <c r="K561">
        <f>SUM(H561:I561)*(1+J561)</f>
        <v>0</v>
      </c>
      <c r="L561">
        <f>ROUND(K561,-2)</f>
        <v>0</v>
      </c>
    </row>
    <row r="562">
      <c r="C562" t="str">
        <f>'Isi Data'!B96</f>
        <v xml:space="preserve">Plamir Tembok </v>
      </c>
      <c r="D562" t="str">
        <v>( 1 Lapis Plamir + 1 Lapis Cat Dasar + 2 Lapis + 2 Lapis Cat Penutup )</v>
      </c>
      <c r="E562" t="str">
        <v>kg</v>
      </c>
      <c r="F562">
        <v>0.1</v>
      </c>
      <c r="G562">
        <f>SUMIF('Isi Data'!B$1:B$65536,SNI!C$1:C$65536,'Isi Data'!E$1:E$65536)</f>
        <v>0</v>
      </c>
      <c r="H562">
        <f>F562*G562</f>
        <v>0</v>
      </c>
    </row>
    <row r="563">
      <c r="C563" t="str">
        <f>'Isi Data'!B95</f>
        <v>Cat Tembok kw2</v>
      </c>
      <c r="E563" t="str">
        <v>kg</v>
      </c>
      <c r="F563">
        <v>0.1</v>
      </c>
      <c r="G563">
        <f>SUMIF('Isi Data'!B$1:B$65536,SNI!C$1:C$65536,'Isi Data'!E$1:E$65536)</f>
        <v>0</v>
      </c>
      <c r="H563">
        <f>F563*G563</f>
        <v>0</v>
      </c>
    </row>
    <row r="564">
      <c r="C564" t="str">
        <f>'Isi Data'!B95</f>
        <v>Cat Tembok kw2</v>
      </c>
      <c r="E564" t="str">
        <v>kg</v>
      </c>
      <c r="F564">
        <v>0.26</v>
      </c>
      <c r="G564">
        <f>SUMIF('Isi Data'!B$1:B$65536,SNI!C$1:C$65536,'Isi Data'!E$1:E$65536)</f>
        <v>0</v>
      </c>
      <c r="H564">
        <f>F564*G564</f>
        <v>0</v>
      </c>
    </row>
    <row r="565">
      <c r="C565" t="str">
        <f>'Isi Data'!B168</f>
        <v>Pekerja</v>
      </c>
      <c r="E565" t="str">
        <v>org/hr</v>
      </c>
      <c r="F565">
        <v>0.02</v>
      </c>
      <c r="G565">
        <f>SUMIF('Isi Data'!B$1:B$65536,SNI!C$1:C$65536,'Isi Data'!E$1:E$65536)</f>
        <v>0</v>
      </c>
      <c r="I565">
        <f>F565*G565</f>
        <v>0</v>
      </c>
    </row>
    <row r="566">
      <c r="C566" t="str">
        <f>'Isi Data'!B164</f>
        <v>Tukang Cat Biasa</v>
      </c>
      <c r="E566" t="str">
        <v>org/hr</v>
      </c>
      <c r="F566">
        <v>0.063</v>
      </c>
      <c r="G566">
        <f>SUMIF('Isi Data'!B$1:B$65536,SNI!C$1:C$65536,'Isi Data'!E$1:E$65536)</f>
        <v>0</v>
      </c>
      <c r="I566">
        <f>F566*G566</f>
        <v>0</v>
      </c>
    </row>
    <row r="567">
      <c r="C567" t="str">
        <f>'Isi Data'!B165</f>
        <v>Kepala Tukang Cat</v>
      </c>
      <c r="E567" t="str">
        <v>org/hr</v>
      </c>
      <c r="F567">
        <v>0.0063</v>
      </c>
      <c r="G567">
        <f>SUMIF('Isi Data'!B$1:B$65536,SNI!C$1:C$65536,'Isi Data'!E$1:E$65536)</f>
        <v>0</v>
      </c>
      <c r="I567">
        <f>F567*G567</f>
        <v>0</v>
      </c>
    </row>
    <row r="568">
      <c r="C568" t="str">
        <f>'Isi Data'!B169</f>
        <v xml:space="preserve">Mandor </v>
      </c>
      <c r="E568" t="str">
        <v>org/hr</v>
      </c>
      <c r="F568">
        <v>0.0025</v>
      </c>
      <c r="G568">
        <f>SUMIF('Isi Data'!B$1:B$65536,SNI!C$1:C$65536,'Isi Data'!E$1:E$65536)</f>
        <v>0</v>
      </c>
      <c r="I568">
        <f>F568*G568</f>
        <v>0</v>
      </c>
    </row>
    <row r="569">
      <c r="G569">
        <f>SUMIF('Isi Data'!B$1:B$65536,SNI!C$1:C$65536,'Isi Data'!E$1:E$65536)</f>
        <v>0</v>
      </c>
    </row>
    <row r="570">
      <c r="G570">
        <f>SUMIF('Isi Data'!B$1:B$65536,SNI!C$1:C$65536,'Isi Data'!E$1:E$65536)</f>
        <v>0</v>
      </c>
    </row>
    <row r="571">
      <c r="A571" t="str">
        <v>PT T-38-2000-C</v>
      </c>
      <c r="B571" t="str">
        <v>M2</v>
      </c>
      <c r="C571" t="str">
        <v>Cat dinding luar weathershiled KW.I</v>
      </c>
      <c r="D571" t="str">
        <v>Eksterior</v>
      </c>
      <c r="G571">
        <f>SUMIF('Isi Data'!B$1:B$65536,SNI!C$1:C$65536,'Isi Data'!E$1:E$65536)</f>
        <v>0</v>
      </c>
      <c r="H571">
        <f>SUM(H572:H578)</f>
        <v>0</v>
      </c>
      <c r="I571">
        <f>SUM(I572:I578)</f>
        <v>0</v>
      </c>
      <c r="J571">
        <f>$J$3</f>
        <v>0.1</v>
      </c>
      <c r="K571">
        <f>SUM(H571:I571)*(1+J571)</f>
        <v>0</v>
      </c>
      <c r="L571">
        <f>ROUND(K571,-2)</f>
        <v>0</v>
      </c>
    </row>
    <row r="572">
      <c r="C572" t="str">
        <f>'Isi Data'!B96</f>
        <v xml:space="preserve">Plamir Tembok </v>
      </c>
      <c r="D572" t="str">
        <v>( 1 Lapis Plamir + 1 Lapis Cat Dasar + 2 Lapis + 2 Lapis Cat Penutup )</v>
      </c>
      <c r="E572" t="str">
        <v>kg</v>
      </c>
      <c r="F572">
        <v>0.1</v>
      </c>
      <c r="G572">
        <f>SUMIF('Isi Data'!B$1:B$65536,SNI!C$1:C$65536,'Isi Data'!E$1:E$65536)</f>
        <v>0</v>
      </c>
      <c r="H572">
        <f>F572*G572</f>
        <v>0</v>
      </c>
    </row>
    <row r="573">
      <c r="C573" t="str">
        <f>'Isi Data'!B94</f>
        <v>Cat Tembok kw1</v>
      </c>
      <c r="E573" t="str">
        <v>kg</v>
      </c>
      <c r="F573">
        <v>0.1</v>
      </c>
      <c r="G573">
        <f>SUMIF('Isi Data'!B$1:B$65536,SNI!C$1:C$65536,'Isi Data'!E$1:E$65536)</f>
        <v>0</v>
      </c>
      <c r="H573">
        <f>F573*G573</f>
        <v>0</v>
      </c>
    </row>
    <row r="574">
      <c r="C574" t="str">
        <f>'Isi Data'!B94</f>
        <v>Cat Tembok kw1</v>
      </c>
      <c r="E574" t="str">
        <v>kg</v>
      </c>
      <c r="F574">
        <v>0.26</v>
      </c>
      <c r="G574">
        <f>SUMIF('Isi Data'!B$1:B$65536,SNI!C$1:C$65536,'Isi Data'!E$1:E$65536)</f>
        <v>0</v>
      </c>
      <c r="H574">
        <f>F574*G574</f>
        <v>0</v>
      </c>
    </row>
    <row r="575">
      <c r="C575" t="str">
        <f>'Isi Data'!B168</f>
        <v>Pekerja</v>
      </c>
      <c r="E575" t="str">
        <v>org/hr</v>
      </c>
      <c r="F575">
        <v>0.02</v>
      </c>
      <c r="G575">
        <f>SUMIF('Isi Data'!B$1:B$65536,SNI!C$1:C$65536,'Isi Data'!E$1:E$65536)</f>
        <v>0</v>
      </c>
      <c r="I575">
        <f>F575*G575</f>
        <v>0</v>
      </c>
    </row>
    <row r="576">
      <c r="C576" t="str">
        <f>'Isi Data'!B164</f>
        <v>Tukang Cat Biasa</v>
      </c>
      <c r="E576" t="str">
        <v>org/hr</v>
      </c>
      <c r="F576">
        <v>0.063</v>
      </c>
      <c r="G576">
        <f>SUMIF('Isi Data'!B$1:B$65536,SNI!C$1:C$65536,'Isi Data'!E$1:E$65536)</f>
        <v>0</v>
      </c>
      <c r="I576">
        <f>F576*G576</f>
        <v>0</v>
      </c>
    </row>
    <row r="577">
      <c r="C577" t="str">
        <f>'Isi Data'!B165</f>
        <v>Kepala Tukang Cat</v>
      </c>
      <c r="E577" t="str">
        <v>org/hr</v>
      </c>
      <c r="F577">
        <v>0.0063</v>
      </c>
      <c r="G577">
        <f>SUMIF('Isi Data'!B$1:B$65536,SNI!C$1:C$65536,'Isi Data'!E$1:E$65536)</f>
        <v>0</v>
      </c>
      <c r="I577">
        <f>F577*G577</f>
        <v>0</v>
      </c>
    </row>
    <row r="578">
      <c r="C578" t="str">
        <f>'Isi Data'!B169</f>
        <v xml:space="preserve">Mandor </v>
      </c>
      <c r="E578" t="str">
        <v>org/hr</v>
      </c>
      <c r="F578">
        <v>0.0025</v>
      </c>
      <c r="G578">
        <f>SUMIF('Isi Data'!B$1:B$65536,SNI!C$1:C$65536,'Isi Data'!E$1:E$65536)</f>
        <v>0</v>
      </c>
      <c r="I578">
        <f>F578*G578</f>
        <v>0</v>
      </c>
    </row>
    <row r="579">
      <c r="G579">
        <f>SUMIF('Isi Data'!B$1:B$65536,SNI!C$1:C$65536,'Isi Data'!E$1:E$65536)</f>
        <v>0</v>
      </c>
    </row>
    <row r="580">
      <c r="A580" t="str">
        <v>PT T-38-2000-C</v>
      </c>
      <c r="B580" t="str">
        <v>M2</v>
      </c>
      <c r="C580" t="str">
        <v>Cat dinding luar weathershiled KW.II</v>
      </c>
      <c r="D580" t="str">
        <v>Eksterior</v>
      </c>
      <c r="G580">
        <f>SUMIF('Isi Data'!B$1:B$65536,SNI!C$1:C$65536,'Isi Data'!E$1:E$65536)</f>
        <v>0</v>
      </c>
      <c r="H580">
        <f>SUM(H581:H587)</f>
        <v>0</v>
      </c>
      <c r="I580">
        <f>SUM(I581:I587)</f>
        <v>0</v>
      </c>
      <c r="J580">
        <f>$J$3</f>
        <v>0.1</v>
      </c>
      <c r="K580">
        <f>SUM(H580:I580)*(1+J580)</f>
        <v>0</v>
      </c>
      <c r="L580">
        <f>ROUND(K580,-2)</f>
        <v>0</v>
      </c>
    </row>
    <row r="581">
      <c r="C581" t="str">
        <f>'Isi Data'!B96</f>
        <v xml:space="preserve">Plamir Tembok </v>
      </c>
      <c r="D581" t="str">
        <v>( 1 Lapis Plamir + 1 Lapis Cat Dasar + 2 Lapis + 2 Lapis Cat Penutup )</v>
      </c>
      <c r="E581" t="str">
        <v>kg</v>
      </c>
      <c r="F581">
        <v>0.1</v>
      </c>
      <c r="G581">
        <f>SUMIF('Isi Data'!B$1:B$65536,SNI!C$1:C$65536,'Isi Data'!E$1:E$65536)</f>
        <v>0</v>
      </c>
      <c r="H581">
        <f>F581*G581</f>
        <v>0</v>
      </c>
    </row>
    <row r="582">
      <c r="C582" t="str">
        <f>'Isi Data'!B95</f>
        <v>Cat Tembok kw2</v>
      </c>
      <c r="E582" t="str">
        <v>kg</v>
      </c>
      <c r="F582">
        <v>0.1</v>
      </c>
      <c r="G582">
        <f>SUMIF('Isi Data'!B$1:B$65536,SNI!C$1:C$65536,'Isi Data'!E$1:E$65536)</f>
        <v>0</v>
      </c>
      <c r="H582">
        <f>F582*G582</f>
        <v>0</v>
      </c>
    </row>
    <row r="583">
      <c r="C583" t="str">
        <f>'Isi Data'!B95</f>
        <v>Cat Tembok kw2</v>
      </c>
      <c r="E583" t="str">
        <v>kg</v>
      </c>
      <c r="F583">
        <v>0.26</v>
      </c>
      <c r="G583">
        <f>SUMIF('Isi Data'!B$1:B$65536,SNI!C$1:C$65536,'Isi Data'!E$1:E$65536)</f>
        <v>0</v>
      </c>
      <c r="H583">
        <f>F583*G583</f>
        <v>0</v>
      </c>
    </row>
    <row r="584">
      <c r="C584" t="str">
        <f>'Isi Data'!B168</f>
        <v>Pekerja</v>
      </c>
      <c r="E584" t="str">
        <v>org/hr</v>
      </c>
      <c r="F584">
        <v>0.02</v>
      </c>
      <c r="G584">
        <f>SUMIF('Isi Data'!B$1:B$65536,SNI!C$1:C$65536,'Isi Data'!E$1:E$65536)</f>
        <v>0</v>
      </c>
      <c r="I584">
        <f>F584*G584</f>
        <v>0</v>
      </c>
    </row>
    <row r="585">
      <c r="C585" t="str">
        <f>'Isi Data'!B164</f>
        <v>Tukang Cat Biasa</v>
      </c>
      <c r="E585" t="str">
        <v>org/hr</v>
      </c>
      <c r="F585">
        <v>0.063</v>
      </c>
      <c r="G585">
        <f>SUMIF('Isi Data'!B$1:B$65536,SNI!C$1:C$65536,'Isi Data'!E$1:E$65536)</f>
        <v>0</v>
      </c>
      <c r="I585">
        <f>F585*G585</f>
        <v>0</v>
      </c>
    </row>
    <row r="586">
      <c r="C586" t="str">
        <f>'Isi Data'!B167</f>
        <v>Kepala Tukang Listrik</v>
      </c>
      <c r="E586" t="str">
        <v>org/hr</v>
      </c>
      <c r="F586">
        <v>0.0063</v>
      </c>
      <c r="G586">
        <f>SUMIF('Isi Data'!B$1:B$65536,SNI!C$1:C$65536,'Isi Data'!E$1:E$65536)</f>
        <v>0</v>
      </c>
      <c r="I586">
        <f>F586*G586</f>
        <v>0</v>
      </c>
    </row>
    <row r="587">
      <c r="C587" t="str">
        <f>'Isi Data'!B169</f>
        <v xml:space="preserve">Mandor </v>
      </c>
      <c r="E587" t="str">
        <v>org/hr</v>
      </c>
      <c r="F587">
        <v>0.0025</v>
      </c>
      <c r="G587">
        <f>SUMIF('Isi Data'!B$1:B$65536,SNI!C$1:C$65536,'Isi Data'!E$1:E$65536)</f>
        <v>0</v>
      </c>
      <c r="I587">
        <f>F587*G587</f>
        <v>0</v>
      </c>
    </row>
    <row r="588">
      <c r="G588">
        <f>SUMIF('Isi Data'!B$1:B$65536,SNI!C$1:C$65536,'Isi Data'!E$1:E$65536)</f>
        <v>0</v>
      </c>
    </row>
    <row r="589">
      <c r="G589">
        <f>SUMIF('Isi Data'!B$1:B$65536,SNI!C$1:C$65536,'Isi Data'!E$1:E$65536)</f>
        <v>0</v>
      </c>
    </row>
    <row r="590">
      <c r="A590" t="str">
        <v>PT T-38-2000-C</v>
      </c>
      <c r="B590" t="str">
        <v>M2</v>
      </c>
      <c r="C590" t="str">
        <v>Cat plafond acrylic emulsion KW.I</v>
      </c>
      <c r="D590" t="str">
        <v>Interior</v>
      </c>
      <c r="G590">
        <f>SUMIF('Isi Data'!B$1:B$65536,SNI!C$1:C$65536,'Isi Data'!E$1:E$65536)</f>
        <v>0</v>
      </c>
      <c r="H590">
        <f>SUM(H591:H597)</f>
        <v>0</v>
      </c>
      <c r="I590">
        <f>SUM(I591:I597)</f>
        <v>0</v>
      </c>
      <c r="J590">
        <f>$J$3</f>
        <v>0.1</v>
      </c>
      <c r="K590">
        <f>SUM(H590:I590)*(1+J590)</f>
        <v>0</v>
      </c>
      <c r="L590">
        <f>ROUND(K590,-2)</f>
        <v>0</v>
      </c>
    </row>
    <row r="591">
      <c r="C591" t="str">
        <f>'Isi Data'!B96</f>
        <v xml:space="preserve">Plamir Tembok </v>
      </c>
      <c r="D591" t="str">
        <v>( 1 Lapis Plamir + 1 Lapis Cat Dasar + 2 Lapis + 2 Lapis Cat Penutup )</v>
      </c>
      <c r="E591" t="str">
        <v>kg</v>
      </c>
      <c r="F591">
        <v>0.1</v>
      </c>
      <c r="G591">
        <f>SUMIF('Isi Data'!B$1:B$65536,SNI!C$1:C$65536,'Isi Data'!E$1:E$65536)</f>
        <v>0</v>
      </c>
      <c r="H591">
        <f>F591*G591</f>
        <v>0</v>
      </c>
    </row>
    <row r="592">
      <c r="C592" t="str">
        <f>'Isi Data'!B94</f>
        <v>Cat Tembok kw1</v>
      </c>
      <c r="E592" t="str">
        <v>kg</v>
      </c>
      <c r="F592">
        <v>0.1</v>
      </c>
      <c r="G592">
        <f>SUMIF('Isi Data'!B$1:B$65536,SNI!C$1:C$65536,'Isi Data'!E$1:E$65536)</f>
        <v>0</v>
      </c>
      <c r="H592">
        <f>F592*G592</f>
        <v>0</v>
      </c>
    </row>
    <row r="593">
      <c r="C593" t="str">
        <f>'Isi Data'!B94</f>
        <v>Cat Tembok kw1</v>
      </c>
      <c r="E593" t="str">
        <v>kg</v>
      </c>
      <c r="F593">
        <v>0.26</v>
      </c>
      <c r="G593">
        <f>SUMIF('Isi Data'!B$1:B$65536,SNI!C$1:C$65536,'Isi Data'!E$1:E$65536)</f>
        <v>0</v>
      </c>
      <c r="H593">
        <f>F593*G593</f>
        <v>0</v>
      </c>
    </row>
    <row r="594">
      <c r="C594" t="str">
        <f>'Isi Data'!B168</f>
        <v>Pekerja</v>
      </c>
      <c r="E594" t="str">
        <v>org/hr</v>
      </c>
      <c r="F594">
        <v>0.02</v>
      </c>
      <c r="G594">
        <f>SUMIF('Isi Data'!B$1:B$65536,SNI!C$1:C$65536,'Isi Data'!E$1:E$65536)</f>
        <v>0</v>
      </c>
      <c r="I594">
        <f>F594*G594</f>
        <v>0</v>
      </c>
    </row>
    <row r="595">
      <c r="C595" t="str">
        <f>'Isi Data'!B164</f>
        <v>Tukang Cat Biasa</v>
      </c>
      <c r="E595" t="str">
        <v>org/hr</v>
      </c>
      <c r="F595">
        <v>0.063</v>
      </c>
      <c r="G595">
        <f>SUMIF('Isi Data'!B$1:B$65536,SNI!C$1:C$65536,'Isi Data'!E$1:E$65536)</f>
        <v>0</v>
      </c>
      <c r="I595">
        <f>F595*G595</f>
        <v>0</v>
      </c>
    </row>
    <row r="596">
      <c r="C596" t="str">
        <f>'Isi Data'!B165</f>
        <v>Kepala Tukang Cat</v>
      </c>
      <c r="E596" t="str">
        <v>org/hr</v>
      </c>
      <c r="F596">
        <v>0.0063</v>
      </c>
      <c r="G596">
        <f>SUMIF('Isi Data'!B$1:B$65536,SNI!C$1:C$65536,'Isi Data'!E$1:E$65536)</f>
        <v>0</v>
      </c>
      <c r="I596">
        <f>F596*G596</f>
        <v>0</v>
      </c>
    </row>
    <row r="597">
      <c r="C597" t="str">
        <f>'Isi Data'!B169</f>
        <v xml:space="preserve">Mandor </v>
      </c>
      <c r="E597" t="str">
        <v>org/hr</v>
      </c>
      <c r="F597">
        <v>0.0025</v>
      </c>
      <c r="G597">
        <f>SUMIF('Isi Data'!B$1:B$65536,SNI!C$1:C$65536,'Isi Data'!E$1:E$65536)</f>
        <v>0</v>
      </c>
      <c r="I597">
        <f>F597*G597</f>
        <v>0</v>
      </c>
    </row>
    <row r="598">
      <c r="G598">
        <f>SUMIF('Isi Data'!B$1:B$65536,SNI!C$1:C$65536,'Isi Data'!E$1:E$65536)</f>
        <v>0</v>
      </c>
    </row>
    <row r="599">
      <c r="A599" t="str">
        <v>PT T-38-2000-C</v>
      </c>
      <c r="B599" t="str">
        <v>M2</v>
      </c>
      <c r="C599" t="str">
        <v>Cat plafond acrylic emulsion KW.II</v>
      </c>
      <c r="D599" t="str">
        <v>Interior</v>
      </c>
      <c r="G599">
        <f>SUMIF('Isi Data'!B$1:B$65536,SNI!C$1:C$65536,'Isi Data'!E$1:E$65536)</f>
        <v>0</v>
      </c>
      <c r="H599">
        <f>SUM(H600:H606)</f>
        <v>0</v>
      </c>
      <c r="I599">
        <f>SUM(I600:I606)</f>
        <v>0</v>
      </c>
      <c r="J599">
        <f>$J$3</f>
        <v>0.1</v>
      </c>
      <c r="K599">
        <f>SUM(H599:I599)*(1+J599)</f>
        <v>0</v>
      </c>
      <c r="L599">
        <f>ROUND(K599,-2)</f>
        <v>0</v>
      </c>
    </row>
    <row r="600">
      <c r="C600" t="str">
        <f>'Isi Data'!B96</f>
        <v xml:space="preserve">Plamir Tembok </v>
      </c>
      <c r="D600" t="str">
        <v>( 1 Lapis Plamir + 1 Lapis Cat Dasar + 2 Lapis + 2 Lapis Cat Penutup )</v>
      </c>
      <c r="E600" t="str">
        <v>kg</v>
      </c>
      <c r="F600">
        <v>0.1</v>
      </c>
      <c r="G600">
        <f>SUMIF('Isi Data'!B$1:B$65536,SNI!C$1:C$65536,'Isi Data'!E$1:E$65536)</f>
        <v>0</v>
      </c>
      <c r="H600">
        <f>F600*G600</f>
        <v>0</v>
      </c>
    </row>
    <row r="601">
      <c r="C601" t="str">
        <f>'Isi Data'!B95</f>
        <v>Cat Tembok kw2</v>
      </c>
      <c r="E601" t="str">
        <v>kg</v>
      </c>
      <c r="F601">
        <v>0.1</v>
      </c>
      <c r="G601">
        <f>SUMIF('Isi Data'!B$1:B$65536,SNI!C$1:C$65536,'Isi Data'!E$1:E$65536)</f>
        <v>0</v>
      </c>
      <c r="H601">
        <f>F601*G601</f>
        <v>0</v>
      </c>
    </row>
    <row r="602">
      <c r="C602" t="str">
        <f>'Isi Data'!B95</f>
        <v>Cat Tembok kw2</v>
      </c>
      <c r="E602" t="str">
        <v>kg</v>
      </c>
      <c r="F602">
        <v>0.26</v>
      </c>
      <c r="G602">
        <f>SUMIF('Isi Data'!B$1:B$65536,SNI!C$1:C$65536,'Isi Data'!E$1:E$65536)</f>
        <v>0</v>
      </c>
      <c r="H602">
        <f>F602*G602</f>
        <v>0</v>
      </c>
    </row>
    <row r="603">
      <c r="C603" t="str">
        <f>'Isi Data'!B168</f>
        <v>Pekerja</v>
      </c>
      <c r="E603" t="str">
        <v>org/hr</v>
      </c>
      <c r="F603">
        <v>0.02</v>
      </c>
      <c r="G603">
        <f>SUMIF('Isi Data'!B$1:B$65536,SNI!C$1:C$65536,'Isi Data'!E$1:E$65536)</f>
        <v>0</v>
      </c>
      <c r="I603">
        <f>F603*G603</f>
        <v>0</v>
      </c>
    </row>
    <row r="604">
      <c r="C604" t="str">
        <f>'Isi Data'!B164</f>
        <v>Tukang Cat Biasa</v>
      </c>
      <c r="E604" t="str">
        <v>org/hr</v>
      </c>
      <c r="F604">
        <v>0.063</v>
      </c>
      <c r="G604">
        <f>SUMIF('Isi Data'!B$1:B$65536,SNI!C$1:C$65536,'Isi Data'!E$1:E$65536)</f>
        <v>0</v>
      </c>
      <c r="I604">
        <f>F604*G604</f>
        <v>0</v>
      </c>
    </row>
    <row r="605">
      <c r="C605" t="str">
        <f>'Isi Data'!B165</f>
        <v>Kepala Tukang Cat</v>
      </c>
      <c r="E605" t="str">
        <v>org/hr</v>
      </c>
      <c r="F605">
        <v>0.0063</v>
      </c>
      <c r="G605">
        <f>SUMIF('Isi Data'!B$1:B$65536,SNI!C$1:C$65536,'Isi Data'!E$1:E$65536)</f>
        <v>0</v>
      </c>
      <c r="I605">
        <f>F605*G605</f>
        <v>0</v>
      </c>
    </row>
    <row r="606">
      <c r="C606" t="str">
        <f>'Isi Data'!B169</f>
        <v xml:space="preserve">Mandor </v>
      </c>
      <c r="E606" t="str">
        <v>org/hr</v>
      </c>
      <c r="F606">
        <v>0.0025</v>
      </c>
      <c r="G606">
        <f>SUMIF('Isi Data'!B$1:B$65536,SNI!C$1:C$65536,'Isi Data'!E$1:E$65536)</f>
        <v>0</v>
      </c>
      <c r="I606">
        <f>F606*G606</f>
        <v>0</v>
      </c>
    </row>
    <row r="607">
      <c r="G607">
        <f>SUMIF('Isi Data'!B$1:B$65536,SNI!C$1:C$65536,'Isi Data'!E$1:E$65536)</f>
        <v>0</v>
      </c>
    </row>
    <row r="608">
      <c r="G608">
        <f>SUMIF('Isi Data'!B$1:B$65536,SNI!C$1:C$65536,'Isi Data'!E$1:E$65536)</f>
        <v>0</v>
      </c>
    </row>
    <row r="609">
      <c r="A609" t="str">
        <v>PT T-38-2000-C</v>
      </c>
      <c r="B609" t="str">
        <v>M2</v>
      </c>
      <c r="C609" t="str">
        <v xml:space="preserve">Cat kayu synthetic </v>
      </c>
      <c r="D609" t="str">
        <v>( 1 Lapis Plamir + 1 Lapis Cat Dasar + 2 Lapis Cat Penutup )</v>
      </c>
      <c r="G609">
        <f>SUMIF('Isi Data'!B$1:B$65536,SNI!C$1:C$65536,'Isi Data'!E$1:E$65536)</f>
        <v>0</v>
      </c>
      <c r="H609">
        <f>SUM(H610:H617)</f>
        <v>0</v>
      </c>
      <c r="I609">
        <f>SUM(I610:I617)</f>
        <v>0</v>
      </c>
      <c r="J609">
        <f>$J$3</f>
        <v>0.1</v>
      </c>
      <c r="K609">
        <f>SUM(H609:I609)*(1+J609)</f>
        <v>0</v>
      </c>
      <c r="L609">
        <f>ROUND(K609,-2)</f>
        <v>0</v>
      </c>
    </row>
    <row r="610">
      <c r="C610" t="str">
        <f>'Isi Data'!B88</f>
        <v>Plamir Kayu</v>
      </c>
      <c r="E610" t="str">
        <v>kg</v>
      </c>
      <c r="F610">
        <v>0.15</v>
      </c>
      <c r="G610">
        <f>SUMIF('Isi Data'!B$1:B$65536,SNI!C$1:C$65536,'Isi Data'!E$1:E$65536)</f>
        <v>0</v>
      </c>
      <c r="H610">
        <f>F610*G610</f>
        <v>0</v>
      </c>
    </row>
    <row r="611">
      <c r="C611" t="str">
        <f>'Isi Data'!B89</f>
        <v xml:space="preserve">Meni kayu </v>
      </c>
      <c r="E611" t="str">
        <v>kg</v>
      </c>
      <c r="F611">
        <v>0.2</v>
      </c>
      <c r="G611">
        <f>SUMIF('Isi Data'!B$1:B$65536,SNI!C$1:C$65536,'Isi Data'!E$1:E$65536)</f>
        <v>0</v>
      </c>
      <c r="H611">
        <f>F611*G611</f>
        <v>0</v>
      </c>
    </row>
    <row r="612">
      <c r="C612" t="str">
        <f>'Isi Data'!B87</f>
        <v xml:space="preserve">Cat kayu/Besi </v>
      </c>
      <c r="D612" t="str">
        <v>Cat dasar 1x</v>
      </c>
      <c r="E612" t="str">
        <v>kg</v>
      </c>
      <c r="F612">
        <v>0.17</v>
      </c>
      <c r="G612">
        <f>SUMIF('Isi Data'!B$1:B$65536,SNI!C$1:C$65536,'Isi Data'!E$1:E$65536)</f>
        <v>0</v>
      </c>
      <c r="H612">
        <f>F612*G612</f>
        <v>0</v>
      </c>
    </row>
    <row r="613">
      <c r="C613" t="str">
        <f>'Isi Data'!B87</f>
        <v xml:space="preserve">Cat kayu/Besi </v>
      </c>
      <c r="D613" t="str">
        <v>Cat akhir 2x</v>
      </c>
      <c r="E613" t="str">
        <v>kg</v>
      </c>
      <c r="F613">
        <v>0.26</v>
      </c>
      <c r="G613">
        <f>SUMIF('Isi Data'!B$1:B$65536,SNI!C$1:C$65536,'Isi Data'!E$1:E$65536)</f>
        <v>0</v>
      </c>
      <c r="H613">
        <f>F613*G613</f>
        <v>0</v>
      </c>
    </row>
    <row r="614">
      <c r="C614" t="str">
        <f>'Isi Data'!B168</f>
        <v>Pekerja</v>
      </c>
      <c r="E614" t="str">
        <v>org/hr</v>
      </c>
      <c r="F614">
        <v>0.07</v>
      </c>
      <c r="G614">
        <f>SUMIF('Isi Data'!B$1:B$65536,SNI!C$1:C$65536,'Isi Data'!E$1:E$65536)</f>
        <v>0</v>
      </c>
      <c r="I614">
        <f>F614*G614</f>
        <v>0</v>
      </c>
    </row>
    <row r="615">
      <c r="C615" t="str">
        <f>'Isi Data'!B164</f>
        <v>Tukang Cat Biasa</v>
      </c>
      <c r="E615" t="str">
        <v>org/hr</v>
      </c>
      <c r="F615">
        <v>0.09</v>
      </c>
      <c r="G615">
        <f>SUMIF('Isi Data'!B$1:B$65536,SNI!C$1:C$65536,'Isi Data'!E$1:E$65536)</f>
        <v>0</v>
      </c>
      <c r="I615">
        <f>F615*G615</f>
        <v>0</v>
      </c>
    </row>
    <row r="616">
      <c r="C616" t="str">
        <f>'Isi Data'!B165</f>
        <v>Kepala Tukang Cat</v>
      </c>
      <c r="E616" t="str">
        <v>org/hr</v>
      </c>
      <c r="F616">
        <v>0.06</v>
      </c>
      <c r="G616">
        <f>SUMIF('Isi Data'!B$1:B$65536,SNI!C$1:C$65536,'Isi Data'!E$1:E$65536)</f>
        <v>0</v>
      </c>
      <c r="I616">
        <f>F616*G616</f>
        <v>0</v>
      </c>
    </row>
    <row r="617">
      <c r="C617" t="str">
        <f>'Isi Data'!B169</f>
        <v xml:space="preserve">Mandor </v>
      </c>
      <c r="E617" t="str">
        <v>org/hr</v>
      </c>
      <c r="F617">
        <v>0.025</v>
      </c>
      <c r="G617">
        <f>SUMIF('Isi Data'!B$1:B$65536,SNI!C$1:C$65536,'Isi Data'!E$1:E$65536)</f>
        <v>0</v>
      </c>
      <c r="I617">
        <f>F617*G617</f>
        <v>0</v>
      </c>
    </row>
    <row r="618">
      <c r="G618">
        <f>SUMIF('Isi Data'!B$1:B$65536,SNI!C$1:C$65536,'Isi Data'!E$1:E$65536)</f>
        <v>0</v>
      </c>
    </row>
    <row r="619">
      <c r="A619" t="str">
        <v>PT T-38-2000-C</v>
      </c>
      <c r="B619" t="str">
        <v>M2</v>
      </c>
      <c r="C619" t="str">
        <v xml:space="preserve">Cat besi synthetic </v>
      </c>
      <c r="D619" t="str">
        <v>( 1 Lapis Plamir + 1 Lapis Cat Dasar + 2 Lapis Cat Penutup )</v>
      </c>
      <c r="G619">
        <f>SUMIF('Isi Data'!B$1:B$65536,SNI!C$1:C$65536,'Isi Data'!E$1:E$65536)</f>
        <v>0</v>
      </c>
      <c r="H619">
        <f>SUM(H620:H627)</f>
        <v>0</v>
      </c>
      <c r="I619">
        <f>SUM(I620:I627)</f>
        <v>0</v>
      </c>
      <c r="J619">
        <f>$J$3</f>
        <v>0.1</v>
      </c>
      <c r="K619">
        <f>SUM(H619:I619)*(1+J619)</f>
        <v>0</v>
      </c>
      <c r="L619">
        <f>ROUND(K619,-2)</f>
        <v>0</v>
      </c>
    </row>
    <row r="620">
      <c r="C620" t="str">
        <f>'Isi Data'!B88</f>
        <v>Plamir Kayu</v>
      </c>
      <c r="E620" t="str">
        <v>kg</v>
      </c>
      <c r="F620">
        <v>0.15</v>
      </c>
      <c r="G620">
        <f>SUMIF('Isi Data'!B$1:B$65536,SNI!C$1:C$65536,'Isi Data'!E$1:E$65536)</f>
        <v>0</v>
      </c>
      <c r="H620">
        <f>F620*G620</f>
        <v>0</v>
      </c>
    </row>
    <row r="621">
      <c r="C621" t="str">
        <f>'Isi Data'!B89</f>
        <v xml:space="preserve">Meni kayu </v>
      </c>
      <c r="E621" t="str">
        <v>kg</v>
      </c>
      <c r="F621">
        <v>0.2</v>
      </c>
      <c r="G621">
        <f>SUMIF('Isi Data'!B$1:B$65536,SNI!C$1:C$65536,'Isi Data'!E$1:E$65536)</f>
        <v>0</v>
      </c>
      <c r="H621">
        <f>F621*G621</f>
        <v>0</v>
      </c>
      <c r="M621" t="str">
        <f>IF(G621=0,"edit"," ")</f>
        <v>edit</v>
      </c>
    </row>
    <row r="622">
      <c r="C622" t="str">
        <f>'Isi Data'!B87</f>
        <v xml:space="preserve">Cat kayu/Besi </v>
      </c>
      <c r="D622" t="str">
        <v>Cat dasar 1x</v>
      </c>
      <c r="E622" t="str">
        <v>kg</v>
      </c>
      <c r="F622">
        <v>0.17</v>
      </c>
      <c r="G622">
        <f>SUMIF('Isi Data'!B$1:B$65536,SNI!C$1:C$65536,'Isi Data'!E$1:E$65536)</f>
        <v>0</v>
      </c>
      <c r="H622">
        <f>F622*G622</f>
        <v>0</v>
      </c>
      <c r="M622" t="str">
        <f>IF(G622=0,"edit"," ")</f>
        <v>edit</v>
      </c>
    </row>
    <row r="623">
      <c r="C623" t="str">
        <f>'Isi Data'!B87</f>
        <v xml:space="preserve">Cat kayu/Besi </v>
      </c>
      <c r="D623" t="str">
        <v>Cat akhir 2x</v>
      </c>
      <c r="E623" t="str">
        <v>kg</v>
      </c>
      <c r="F623">
        <v>0.26</v>
      </c>
      <c r="G623">
        <f>SUMIF('Isi Data'!B$1:B$65536,SNI!C$1:C$65536,'Isi Data'!E$1:E$65536)</f>
        <v>0</v>
      </c>
      <c r="H623">
        <f>F623*G623</f>
        <v>0</v>
      </c>
      <c r="M623" t="str">
        <f>IF(G623=0,"edit"," ")</f>
        <v>edit</v>
      </c>
    </row>
    <row r="624">
      <c r="C624" t="str">
        <f>'Isi Data'!B168</f>
        <v>Pekerja</v>
      </c>
      <c r="E624" t="str">
        <v>org/hr</v>
      </c>
      <c r="F624">
        <v>0.07</v>
      </c>
      <c r="G624">
        <f>SUMIF('Isi Data'!B$1:B$65536,SNI!C$1:C$65536,'Isi Data'!E$1:E$65536)</f>
        <v>0</v>
      </c>
      <c r="I624">
        <f>F624*G624</f>
        <v>0</v>
      </c>
      <c r="M624" t="str">
        <f>IF(G624=0,"edit"," ")</f>
        <v>edit</v>
      </c>
    </row>
    <row r="625">
      <c r="C625" t="str">
        <f>'Isi Data'!B164</f>
        <v>Tukang Cat Biasa</v>
      </c>
      <c r="E625" t="str">
        <v>org/hr</v>
      </c>
      <c r="F625">
        <v>0.09</v>
      </c>
      <c r="G625">
        <f>SUMIF('Isi Data'!B$1:B$65536,SNI!C$1:C$65536,'Isi Data'!E$1:E$65536)</f>
        <v>0</v>
      </c>
      <c r="I625">
        <f>F625*G625</f>
        <v>0</v>
      </c>
      <c r="M625" t="str">
        <f>IF(G625=0,"edit"," ")</f>
        <v>edit</v>
      </c>
    </row>
    <row r="626">
      <c r="C626" t="str">
        <f>'Isi Data'!B165</f>
        <v>Kepala Tukang Cat</v>
      </c>
      <c r="E626" t="str">
        <v>org/hr</v>
      </c>
      <c r="F626">
        <v>0.06</v>
      </c>
      <c r="G626">
        <f>SUMIF('Isi Data'!B$1:B$65536,SNI!C$1:C$65536,'Isi Data'!E$1:E$65536)</f>
        <v>0</v>
      </c>
      <c r="I626">
        <f>F626*G626</f>
        <v>0</v>
      </c>
      <c r="M626" t="str">
        <f>IF(G626=0,"edit"," ")</f>
        <v>edit</v>
      </c>
    </row>
    <row r="627">
      <c r="C627" t="str">
        <f>'Isi Data'!B169</f>
        <v xml:space="preserve">Mandor </v>
      </c>
      <c r="E627" t="str">
        <v>org/hr</v>
      </c>
      <c r="F627">
        <v>0.025</v>
      </c>
      <c r="G627">
        <f>SUMIF('Isi Data'!B$1:B$65536,SNI!C$1:C$65536,'Isi Data'!E$1:E$65536)</f>
        <v>0</v>
      </c>
      <c r="I627">
        <f>F627*G627</f>
        <v>0</v>
      </c>
    </row>
    <row r="628">
      <c r="G628">
        <f>SUMIF('Isi Data'!B$1:B$65536,SNI!C$1:C$65536,'Isi Data'!E$1:E$65536)</f>
        <v>0</v>
      </c>
    </row>
    <row r="629">
      <c r="G629">
        <f>SUMIF('Isi Data'!B$1:B$65536,SNI!C$1:C$65536,'Isi Data'!E$1:E$65536)</f>
        <v>0</v>
      </c>
    </row>
    <row r="630">
      <c r="C630" t="str">
        <v>PEKERJAAN KUSEN</v>
      </c>
      <c r="G630">
        <f>SUMIF('Isi Data'!B$1:B$65536,SNI!C$1:C$65536,'Isi Data'!E$1:E$65536)</f>
        <v>0</v>
      </c>
    </row>
    <row r="632">
      <c r="A632" t="str">
        <v>SNI 7393:2008-6.11</v>
      </c>
      <c r="B632" t="str">
        <v>M</v>
      </c>
      <c r="C632" t="str">
        <v>Kusen Pintu dan Jendela Alumunium CA</v>
      </c>
      <c r="F632">
        <f>1/0.05/0.15</f>
        <v>133.33333333333334</v>
      </c>
      <c r="H632">
        <f>SUM(H633:H638)</f>
        <v>0</v>
      </c>
      <c r="I632">
        <f>SUM(I633:I638)</f>
        <v>0</v>
      </c>
      <c r="J632">
        <f>$J$3</f>
        <v>0.1</v>
      </c>
      <c r="K632">
        <f>SUM(H632:I632)*(1+J632)</f>
        <v>0</v>
      </c>
      <c r="L632">
        <f>ROUND(SUM(K632:K632),-2)</f>
        <v>0</v>
      </c>
    </row>
    <row r="633">
      <c r="C633" t="str">
        <f>'Isi Data'!B44</f>
        <v>Kusen Almunium</v>
      </c>
      <c r="E633" t="str">
        <v>m</v>
      </c>
      <c r="F633">
        <v>1.1</v>
      </c>
      <c r="G633">
        <f>SUMIF('Isi Data'!B$1:B$65536,SNI!C$1:C$65536,'Isi Data'!E$1:E$65536)</f>
        <v>0</v>
      </c>
      <c r="H633">
        <f>F633*G633</f>
        <v>0</v>
      </c>
    </row>
    <row r="634">
      <c r="C634" t="str">
        <f>'Isi Data'!B84</f>
        <v>Paku Skrup</v>
      </c>
      <c r="E634" t="str">
        <v>bh</v>
      </c>
      <c r="F634">
        <v>2</v>
      </c>
      <c r="G634">
        <f>SUMIF('Isi Data'!B$1:B$65536,SNI!C$1:C$65536,'Isi Data'!E$1:E$65536)</f>
        <v>0</v>
      </c>
      <c r="H634">
        <f>F634*G634</f>
        <v>0</v>
      </c>
    </row>
    <row r="635">
      <c r="C635" t="str">
        <f>'Isi Data'!B168</f>
        <v>Pekerja</v>
      </c>
      <c r="E635" t="str">
        <v>org/hr</v>
      </c>
      <c r="F635">
        <v>0.043</v>
      </c>
      <c r="G635">
        <f>SUMIF('Isi Data'!B$1:B$65536,SNI!C$1:C$65536,'Isi Data'!E$1:E$65536)</f>
        <v>0</v>
      </c>
      <c r="I635">
        <f>F635*G635</f>
        <v>0</v>
      </c>
    </row>
    <row r="636">
      <c r="C636" t="str">
        <f>'Isi Data'!B159</f>
        <v>Tukang Kayu Halus</v>
      </c>
      <c r="E636" t="str">
        <v>org/hr</v>
      </c>
      <c r="F636">
        <v>0.043</v>
      </c>
      <c r="G636">
        <f>SUMIF('Isi Data'!B$1:B$65536,SNI!C$1:C$65536,'Isi Data'!E$1:E$65536)</f>
        <v>0</v>
      </c>
      <c r="I636">
        <f>F636*G636</f>
        <v>0</v>
      </c>
    </row>
    <row r="637">
      <c r="C637" t="str">
        <f>'Isi Data'!B160</f>
        <v>Kepala Tukang Kayu</v>
      </c>
      <c r="E637" t="str">
        <v>org/hr</v>
      </c>
      <c r="F637">
        <v>0.0043</v>
      </c>
      <c r="G637">
        <f>SUMIF('Isi Data'!B$1:B$65536,SNI!C$1:C$65536,'Isi Data'!E$1:E$65536)</f>
        <v>0</v>
      </c>
      <c r="I637">
        <f>F637*G637</f>
        <v>0</v>
      </c>
    </row>
    <row r="638">
      <c r="C638" t="str">
        <f>'Isi Data'!B169</f>
        <v xml:space="preserve">Mandor </v>
      </c>
      <c r="E638" t="str">
        <v>org/hr</v>
      </c>
      <c r="F638">
        <v>0.0021</v>
      </c>
      <c r="G638">
        <f>SUMIF('Isi Data'!B$1:B$65536,SNI!C$1:C$65536,'Isi Data'!E$1:E$65536)</f>
        <v>0</v>
      </c>
      <c r="I638">
        <f>F638*G638</f>
        <v>0</v>
      </c>
    </row>
    <row r="639">
      <c r="G639">
        <f>SUMIF('Isi Data'!B$1:B$65536,SNI!C$1:C$65536,'Isi Data'!E$1:E$65536)</f>
        <v>0</v>
      </c>
    </row>
    <row r="640">
      <c r="A640" t="str">
        <v>SNI 7393:2008-6.11</v>
      </c>
      <c r="B640" t="str">
        <v>M</v>
      </c>
      <c r="C640" t="str">
        <v>Kusen Pintu dan Jendela Alumunium PC</v>
      </c>
      <c r="F640">
        <f>1/0.05/0.15</f>
        <v>133.33333333333334</v>
      </c>
      <c r="H640">
        <f>SUM(H641:H646)</f>
        <v>0</v>
      </c>
      <c r="I640">
        <f>SUM(I641:I646)</f>
        <v>0</v>
      </c>
      <c r="J640">
        <f>$J$3</f>
        <v>0.1</v>
      </c>
      <c r="K640">
        <f>SUM(H640:I640)*(1+J640)</f>
        <v>0</v>
      </c>
      <c r="L640">
        <f>ROUND(SUM(K640:K640),-2)</f>
        <v>0</v>
      </c>
    </row>
    <row r="641">
      <c r="C641" t="str">
        <f>'Isi Data'!B44</f>
        <v>Kusen Almunium</v>
      </c>
      <c r="E641" t="str">
        <v>m</v>
      </c>
      <c r="F641">
        <v>1.1</v>
      </c>
      <c r="G641">
        <f>SUMIF('Isi Data'!B$1:B$65536,SNI!C$1:C$65536,'Isi Data'!E$1:E$65536)</f>
        <v>0</v>
      </c>
      <c r="H641">
        <f>F641*G641</f>
        <v>0</v>
      </c>
    </row>
    <row r="642">
      <c r="C642" t="str">
        <f>'Isi Data'!B84</f>
        <v>Paku Skrup</v>
      </c>
      <c r="E642" t="str">
        <v>bh</v>
      </c>
      <c r="F642">
        <v>2</v>
      </c>
      <c r="G642">
        <f>SUMIF('Isi Data'!B$1:B$65536,SNI!C$1:C$65536,'Isi Data'!E$1:E$65536)</f>
        <v>0</v>
      </c>
      <c r="H642">
        <f>F642*G642</f>
        <v>0</v>
      </c>
    </row>
    <row r="643">
      <c r="C643" t="str">
        <f>'Isi Data'!B168</f>
        <v>Pekerja</v>
      </c>
      <c r="E643" t="str">
        <v>org/hr</v>
      </c>
      <c r="F643">
        <v>0.043</v>
      </c>
      <c r="G643">
        <f>SUMIF('Isi Data'!B$1:B$65536,SNI!C$1:C$65536,'Isi Data'!E$1:E$65536)</f>
        <v>0</v>
      </c>
      <c r="I643">
        <f>F643*G643</f>
        <v>0</v>
      </c>
    </row>
    <row r="644">
      <c r="C644" t="str">
        <f>'Isi Data'!B159</f>
        <v>Tukang Kayu Halus</v>
      </c>
      <c r="E644" t="str">
        <v>org/hr</v>
      </c>
      <c r="F644">
        <v>0.043</v>
      </c>
      <c r="G644">
        <f>SUMIF('Isi Data'!B$1:B$65536,SNI!C$1:C$65536,'Isi Data'!E$1:E$65536)</f>
        <v>0</v>
      </c>
      <c r="I644">
        <f>F644*G644</f>
        <v>0</v>
      </c>
    </row>
    <row r="645">
      <c r="C645" t="str">
        <f>'Isi Data'!B160</f>
        <v>Kepala Tukang Kayu</v>
      </c>
      <c r="E645" t="str">
        <v>org/hr</v>
      </c>
      <c r="F645">
        <v>0.0043</v>
      </c>
      <c r="G645">
        <f>SUMIF('Isi Data'!B$1:B$65536,SNI!C$1:C$65536,'Isi Data'!E$1:E$65536)</f>
        <v>0</v>
      </c>
      <c r="I645">
        <f>F645*G645</f>
        <v>0</v>
      </c>
    </row>
    <row r="646">
      <c r="C646" t="str">
        <f>'Isi Data'!B169</f>
        <v xml:space="preserve">Mandor </v>
      </c>
      <c r="E646" t="str">
        <v>org/hr</v>
      </c>
      <c r="F646">
        <v>0.0021</v>
      </c>
      <c r="G646">
        <f>SUMIF('Isi Data'!B$1:B$65536,SNI!C$1:C$65536,'Isi Data'!E$1:E$65536)</f>
        <v>0</v>
      </c>
      <c r="I646">
        <f>F646*G646</f>
        <v>0</v>
      </c>
    </row>
    <row r="647">
      <c r="G647">
        <f>SUMIF('Isi Data'!B$1:B$65536,SNI!C$1:C$65536,'Isi Data'!E$1:E$65536)</f>
        <v>0</v>
      </c>
    </row>
    <row r="648">
      <c r="B648" t="str">
        <v>unt</v>
      </c>
      <c r="C648" t="str">
        <v>Kusen &amp; Pintu PVC toilet</v>
      </c>
      <c r="F648">
        <f>1/0.05/0.15</f>
        <v>133.33333333333334</v>
      </c>
      <c r="H648">
        <f>SUM(H649:H654)</f>
        <v>0</v>
      </c>
      <c r="I648">
        <f>SUM(I649:I654)</f>
        <v>0</v>
      </c>
      <c r="J648">
        <f>$J$3</f>
        <v>0.1</v>
      </c>
      <c r="K648">
        <f>SUM(H648:I648)*(1+J648)</f>
        <v>0</v>
      </c>
      <c r="L648">
        <f>ROUND(SUM(K648:K648),-2)</f>
        <v>0</v>
      </c>
    </row>
    <row r="649">
      <c r="C649" t="str">
        <f>'Isi Data'!B47</f>
        <v>Kusen &amp; Pintu PVC toilet</v>
      </c>
      <c r="E649" t="str">
        <v>m</v>
      </c>
      <c r="F649">
        <v>1</v>
      </c>
      <c r="G649">
        <f>SUMIF('Isi Data'!B$1:B$65536,SNI!C$1:C$65536,'Isi Data'!E$1:E$65536)</f>
        <v>0</v>
      </c>
      <c r="H649">
        <f>F649*G649</f>
        <v>0</v>
      </c>
    </row>
    <row r="650">
      <c r="C650" t="str">
        <f>'Isi Data'!B84</f>
        <v>Paku Skrup</v>
      </c>
      <c r="E650" t="str">
        <v>bh</v>
      </c>
      <c r="F650">
        <v>6</v>
      </c>
      <c r="G650">
        <f>SUMIF('Isi Data'!B$1:B$65536,SNI!C$1:C$65536,'Isi Data'!E$1:E$65536)</f>
        <v>0</v>
      </c>
      <c r="H650">
        <f>F650*G650</f>
        <v>0</v>
      </c>
    </row>
    <row r="651">
      <c r="C651" t="str">
        <f>'Isi Data'!B168</f>
        <v>Pekerja</v>
      </c>
      <c r="E651" t="str">
        <v>org/hr</v>
      </c>
      <c r="F651">
        <f>6/F648</f>
        <v>0.045</v>
      </c>
      <c r="G651">
        <f>SUMIF('Isi Data'!B$1:B$65536,SNI!C$1:C$65536,'Isi Data'!E$1:E$65536)</f>
        <v>0</v>
      </c>
      <c r="I651">
        <f>F651*G651</f>
        <v>0</v>
      </c>
    </row>
    <row r="652">
      <c r="C652" t="str">
        <f>'Isi Data'!B159</f>
        <v>Tukang Kayu Halus</v>
      </c>
      <c r="E652" t="str">
        <v>org/hr</v>
      </c>
      <c r="F652">
        <f>18/F648</f>
        <v>0.13499999999999998</v>
      </c>
      <c r="G652">
        <f>SUMIF('Isi Data'!B$1:B$65536,SNI!C$1:C$65536,'Isi Data'!E$1:E$65536)</f>
        <v>0</v>
      </c>
      <c r="I652">
        <f>F652*G652</f>
        <v>0</v>
      </c>
    </row>
    <row r="653">
      <c r="C653" t="str">
        <f>'Isi Data'!B160</f>
        <v>Kepala Tukang Kayu</v>
      </c>
      <c r="E653" t="str">
        <v>org/hr</v>
      </c>
      <c r="F653">
        <f>1.8/F648</f>
        <v>0.0135</v>
      </c>
      <c r="G653">
        <f>SUMIF('Isi Data'!B$1:B$65536,SNI!C$1:C$65536,'Isi Data'!E$1:E$65536)</f>
        <v>0</v>
      </c>
      <c r="I653">
        <f>F653*G653</f>
        <v>0</v>
      </c>
    </row>
    <row r="654">
      <c r="C654" t="str">
        <f>'Isi Data'!B169</f>
        <v xml:space="preserve">Mandor </v>
      </c>
      <c r="E654" t="str">
        <v>org/hr</v>
      </c>
      <c r="F654">
        <f>0.3/F648</f>
        <v>0.00225</v>
      </c>
      <c r="G654">
        <f>SUMIF('Isi Data'!B$1:B$65536,SNI!C$1:C$65536,'Isi Data'!E$1:E$65536)</f>
        <v>0</v>
      </c>
      <c r="I654">
        <f>F654*G654</f>
        <v>0</v>
      </c>
    </row>
    <row r="655">
      <c r="G655">
        <f>SUMIF('Isi Data'!B$1:B$65536,SNI!C$1:C$65536,'Isi Data'!E$1:E$65536)</f>
        <v>0</v>
      </c>
    </row>
    <row r="656">
      <c r="A656" t="str">
        <v>SNI 7393:2008-6.11</v>
      </c>
      <c r="B656" t="str">
        <v>M</v>
      </c>
      <c r="C656" t="str">
        <v>RangkaPintu Alumunium CA</v>
      </c>
      <c r="F656">
        <f>1/0.05/0.15</f>
        <v>133.33333333333334</v>
      </c>
      <c r="G656">
        <f>SUMIF('Isi Data'!B$1:B$65536,SNI!C$1:C$65536,'Isi Data'!E$1:E$65536)</f>
        <v>0</v>
      </c>
      <c r="H656">
        <f>SUM(H657:H662)</f>
        <v>0</v>
      </c>
      <c r="I656">
        <f>SUM(I657:I662)</f>
        <v>0</v>
      </c>
      <c r="J656">
        <f>$J$3</f>
        <v>0.1</v>
      </c>
      <c r="K656">
        <f>SUM(H656:I656)*(1+J656)</f>
        <v>0</v>
      </c>
      <c r="L656">
        <f>ROUND(SUM(K656:K656),-2)</f>
        <v>0</v>
      </c>
    </row>
    <row r="657">
      <c r="C657" t="str">
        <f>'Isi Data'!B46</f>
        <v>Rangka Pintu Almunium</v>
      </c>
      <c r="E657" t="str">
        <v>m</v>
      </c>
      <c r="F657">
        <v>1.1</v>
      </c>
      <c r="G657">
        <f>SUMIF('Isi Data'!B$1:B$65536,SNI!C$1:C$65536,'Isi Data'!E$1:E$65536)</f>
        <v>0</v>
      </c>
      <c r="H657">
        <f>F657*G657</f>
        <v>0</v>
      </c>
    </row>
    <row r="658">
      <c r="C658" t="str">
        <f>'Isi Data'!B84</f>
        <v>Paku Skrup</v>
      </c>
      <c r="E658" t="str">
        <v>bh</v>
      </c>
      <c r="F658">
        <v>2</v>
      </c>
      <c r="G658">
        <f>SUMIF('Isi Data'!B$1:B$65536,SNI!C$1:C$65536,'Isi Data'!E$1:E$65536)</f>
        <v>0</v>
      </c>
      <c r="H658">
        <f>F658*G658</f>
        <v>0</v>
      </c>
    </row>
    <row r="659">
      <c r="C659" t="str">
        <f>'Isi Data'!B168</f>
        <v>Pekerja</v>
      </c>
      <c r="E659" t="str">
        <v>org/hr</v>
      </c>
      <c r="F659">
        <v>0.043</v>
      </c>
      <c r="G659">
        <f>SUMIF('Isi Data'!B$1:B$65536,SNI!C$1:C$65536,'Isi Data'!E$1:E$65536)</f>
        <v>0</v>
      </c>
      <c r="I659">
        <f>F659*G659</f>
        <v>0</v>
      </c>
    </row>
    <row r="660">
      <c r="C660" t="str">
        <f>'Isi Data'!B159</f>
        <v>Tukang Kayu Halus</v>
      </c>
      <c r="E660" t="str">
        <v>org/hr</v>
      </c>
      <c r="F660">
        <v>0.043</v>
      </c>
      <c r="G660">
        <f>SUMIF('Isi Data'!B$1:B$65536,SNI!C$1:C$65536,'Isi Data'!E$1:E$65536)</f>
        <v>0</v>
      </c>
      <c r="I660">
        <f>F660*G660</f>
        <v>0</v>
      </c>
    </row>
    <row r="661">
      <c r="C661" t="str">
        <f>'Isi Data'!B160</f>
        <v>Kepala Tukang Kayu</v>
      </c>
      <c r="E661" t="str">
        <v>org/hr</v>
      </c>
      <c r="F661">
        <v>0.0043</v>
      </c>
      <c r="G661">
        <f>SUMIF('Isi Data'!B$1:B$65536,SNI!C$1:C$65536,'Isi Data'!E$1:E$65536)</f>
        <v>0</v>
      </c>
      <c r="I661">
        <f>F661*G661</f>
        <v>0</v>
      </c>
    </row>
    <row r="662">
      <c r="C662" t="str">
        <f>'Isi Data'!B169</f>
        <v xml:space="preserve">Mandor </v>
      </c>
      <c r="E662" t="str">
        <v>org/hr</v>
      </c>
      <c r="F662">
        <v>0.0021</v>
      </c>
      <c r="G662">
        <f>SUMIF('Isi Data'!B$1:B$65536,SNI!C$1:C$65536,'Isi Data'!E$1:E$65536)</f>
        <v>0</v>
      </c>
      <c r="I662">
        <f>F662*G662</f>
        <v>0</v>
      </c>
    </row>
    <row r="663">
      <c r="G663">
        <f>SUMIF('Isi Data'!B$1:B$65536,SNI!C$1:C$65536,'Isi Data'!E$1:E$65536)</f>
        <v>0</v>
      </c>
    </row>
    <row r="664">
      <c r="A664" t="str">
        <v>SNI 7393:2008-6.11</v>
      </c>
      <c r="B664" t="str">
        <v>M</v>
      </c>
      <c r="C664" t="str">
        <v>Rangka Pintu Alumunium PC</v>
      </c>
      <c r="F664">
        <f>1/0.05/0.15</f>
        <v>133.33333333333334</v>
      </c>
      <c r="G664">
        <f>SUMIF('Isi Data'!B$1:B$65536,SNI!C$1:C$65536,'Isi Data'!E$1:E$65536)</f>
        <v>0</v>
      </c>
      <c r="H664">
        <f>SUM(H665:H670)</f>
        <v>0</v>
      </c>
      <c r="I664">
        <f>SUM(I665:I670)</f>
        <v>0</v>
      </c>
      <c r="J664">
        <f>$J$3</f>
        <v>0.1</v>
      </c>
      <c r="K664">
        <f>SUM(H664:I664)*(1+J664)</f>
        <v>0</v>
      </c>
      <c r="L664">
        <f>ROUND(SUM(K664:K664),-2)</f>
        <v>0</v>
      </c>
    </row>
    <row r="665">
      <c r="C665" t="str">
        <f>'Isi Data'!B46</f>
        <v>Rangka Pintu Almunium</v>
      </c>
      <c r="E665" t="str">
        <v>m</v>
      </c>
      <c r="F665">
        <v>1.1</v>
      </c>
      <c r="G665">
        <f>SUMIF('Isi Data'!B$1:B$65536,SNI!C$1:C$65536,'Isi Data'!E$1:E$65536)</f>
        <v>0</v>
      </c>
      <c r="H665">
        <f>F665*G665</f>
        <v>0</v>
      </c>
      <c r="M665" t="str">
        <f>IF(G665=0,"edit"," ")</f>
        <v>edit</v>
      </c>
    </row>
    <row r="666">
      <c r="C666" t="str">
        <f>'Isi Data'!B84</f>
        <v>Paku Skrup</v>
      </c>
      <c r="E666" t="str">
        <v>bh</v>
      </c>
      <c r="F666">
        <v>2</v>
      </c>
      <c r="G666">
        <f>SUMIF('Isi Data'!B$1:B$65536,SNI!C$1:C$65536,'Isi Data'!E$1:E$65536)</f>
        <v>0</v>
      </c>
      <c r="H666">
        <f>F666*G666</f>
        <v>0</v>
      </c>
      <c r="M666" t="str">
        <f>IF(G666=0,"edit"," ")</f>
        <v>edit</v>
      </c>
    </row>
    <row r="667">
      <c r="C667" t="str">
        <f>'Isi Data'!B168</f>
        <v>Pekerja</v>
      </c>
      <c r="E667" t="str">
        <v>org/hr</v>
      </c>
      <c r="F667">
        <v>0.043</v>
      </c>
      <c r="G667">
        <f>SUMIF('Isi Data'!B$1:B$65536,SNI!C$1:C$65536,'Isi Data'!E$1:E$65536)</f>
        <v>0</v>
      </c>
      <c r="I667">
        <f>F667*G667</f>
        <v>0</v>
      </c>
      <c r="M667" t="str">
        <f>IF(G667=0,"edit"," ")</f>
        <v>edit</v>
      </c>
    </row>
    <row r="668">
      <c r="C668" t="str">
        <f>'Isi Data'!B162</f>
        <v>Tukang Batu Halus</v>
      </c>
      <c r="E668" t="str">
        <v>org/hr</v>
      </c>
      <c r="F668">
        <v>0.043</v>
      </c>
      <c r="G668">
        <f>SUMIF('Isi Data'!B$1:B$65536,SNI!C$1:C$65536,'Isi Data'!E$1:E$65536)</f>
        <v>0</v>
      </c>
      <c r="I668">
        <f>F668*G668</f>
        <v>0</v>
      </c>
      <c r="M668" t="str">
        <f>IF(G668=0,"edit"," ")</f>
        <v>edit</v>
      </c>
    </row>
    <row r="669">
      <c r="C669" t="str">
        <f>'Isi Data'!B160</f>
        <v>Kepala Tukang Kayu</v>
      </c>
      <c r="E669" t="str">
        <v>org/hr</v>
      </c>
      <c r="F669">
        <v>0.0043</v>
      </c>
      <c r="G669">
        <f>SUMIF('Isi Data'!B$1:B$65536,SNI!C$1:C$65536,'Isi Data'!E$1:E$65536)</f>
        <v>0</v>
      </c>
      <c r="I669">
        <f>F669*G669</f>
        <v>0</v>
      </c>
      <c r="M669" t="str">
        <f>IF(G669=0,"edit"," ")</f>
        <v>edit</v>
      </c>
    </row>
    <row r="670">
      <c r="C670" t="str">
        <f>'Isi Data'!B169</f>
        <v xml:space="preserve">Mandor </v>
      </c>
      <c r="E670" t="str">
        <v>org/hr</v>
      </c>
      <c r="F670">
        <v>0.0021</v>
      </c>
      <c r="G670">
        <f>SUMIF('Isi Data'!B$1:B$65536,SNI!C$1:C$65536,'Isi Data'!E$1:E$65536)</f>
        <v>0</v>
      </c>
      <c r="I670">
        <f>F670*G670</f>
        <v>0</v>
      </c>
      <c r="M670" t="str">
        <f>IF(G670=0,"edit"," ")</f>
        <v>edit</v>
      </c>
    </row>
    <row r="671">
      <c r="G671">
        <f>SUMIF('Isi Data'!B$1:B$65536,SNI!C$1:C$65536,'Isi Data'!E$1:E$65536)</f>
        <v>0</v>
      </c>
    </row>
    <row r="672">
      <c r="G672">
        <f>SUMIF('Isi Data'!B$1:B$65536,SNI!C$1:C$65536,'Isi Data'!E$1:E$65536)</f>
        <v>0</v>
      </c>
    </row>
    <row r="673">
      <c r="B673" t="str">
        <v>M</v>
      </c>
      <c r="C673" t="str">
        <v>Rangka Jendela Alumunium</v>
      </c>
      <c r="F673">
        <f>1/0.05/0.15</f>
        <v>133.33333333333334</v>
      </c>
      <c r="G673">
        <f>SUMIF('Isi Data'!B$1:B$65536,SNI!C$1:C$65536,'Isi Data'!E$1:E$65536)</f>
        <v>0</v>
      </c>
      <c r="H673">
        <f>SUM(H674:H679)</f>
        <v>0</v>
      </c>
      <c r="I673">
        <f>SUM(I674:I679)</f>
        <v>0</v>
      </c>
      <c r="J673">
        <f>$J$3</f>
        <v>0.1</v>
      </c>
      <c r="K673">
        <f>SUM(H673:I673)*(1+J673)</f>
        <v>0</v>
      </c>
      <c r="L673">
        <f>ROUND(SUM(K673:K673),-2)</f>
        <v>0</v>
      </c>
    </row>
    <row r="674">
      <c r="C674" t="str">
        <f>'Isi Data'!B45</f>
        <v>Rangka Jendela Almunium</v>
      </c>
      <c r="E674" t="str">
        <v>m</v>
      </c>
      <c r="F674">
        <v>1.05</v>
      </c>
      <c r="G674">
        <f>SUMIF('Isi Data'!B$1:B$65536,SNI!C$1:C$65536,'Isi Data'!E$1:E$65536)</f>
        <v>0</v>
      </c>
      <c r="H674">
        <f>F674*G674</f>
        <v>0</v>
      </c>
      <c r="M674" t="str">
        <f>IF(G674=0,"edit"," ")</f>
        <v>edit</v>
      </c>
    </row>
    <row r="675">
      <c r="C675" t="str">
        <f>'Isi Data'!B84</f>
        <v>Paku Skrup</v>
      </c>
      <c r="E675" t="str">
        <v>bh</v>
      </c>
      <c r="F675">
        <v>1</v>
      </c>
      <c r="G675">
        <f>SUMIF('Isi Data'!B$1:B$65536,SNI!C$1:C$65536,'Isi Data'!E$1:E$65536)</f>
        <v>0</v>
      </c>
      <c r="H675">
        <f>F675*G675</f>
        <v>0</v>
      </c>
      <c r="M675" t="str">
        <f>IF(G675=0,"edit"," ")</f>
        <v>edit</v>
      </c>
    </row>
    <row r="676">
      <c r="C676" t="str">
        <f>'Isi Data'!B168</f>
        <v>Pekerja</v>
      </c>
      <c r="E676" t="str">
        <v>org/hr</v>
      </c>
      <c r="F676">
        <f>6/F673</f>
        <v>0.045</v>
      </c>
      <c r="G676">
        <f>SUMIF('Isi Data'!B$1:B$65536,SNI!C$1:C$65536,'Isi Data'!E$1:E$65536)</f>
        <v>0</v>
      </c>
      <c r="I676">
        <f>F676*G676</f>
        <v>0</v>
      </c>
      <c r="M676" t="str">
        <f>IF(G676=0,"edit"," ")</f>
        <v>edit</v>
      </c>
    </row>
    <row r="677">
      <c r="C677" t="str">
        <f>'Isi Data'!B159</f>
        <v>Tukang Kayu Halus</v>
      </c>
      <c r="E677" t="str">
        <v>org/hr</v>
      </c>
      <c r="F677">
        <f>18/F673</f>
        <v>0.13499999999999998</v>
      </c>
      <c r="G677">
        <f>SUMIF('Isi Data'!B$1:B$65536,SNI!C$1:C$65536,'Isi Data'!E$1:E$65536)</f>
        <v>0</v>
      </c>
      <c r="I677">
        <f>F677*G677</f>
        <v>0</v>
      </c>
      <c r="M677" t="str">
        <f>IF(G677=0,"edit"," ")</f>
        <v>edit</v>
      </c>
    </row>
    <row r="678">
      <c r="C678" t="str">
        <f>'Isi Data'!B160</f>
        <v>Kepala Tukang Kayu</v>
      </c>
      <c r="E678" t="str">
        <v>org/hr</v>
      </c>
      <c r="F678">
        <f>1.8/F673</f>
        <v>0.0135</v>
      </c>
      <c r="G678">
        <f>SUMIF('Isi Data'!B$1:B$65536,SNI!C$1:C$65536,'Isi Data'!E$1:E$65536)</f>
        <v>0</v>
      </c>
      <c r="I678">
        <f>F678*G678</f>
        <v>0</v>
      </c>
      <c r="M678" t="str">
        <f>IF(G678=0,"edit"," ")</f>
        <v>edit</v>
      </c>
    </row>
    <row r="679">
      <c r="C679" t="str">
        <f>'Isi Data'!B169</f>
        <v xml:space="preserve">Mandor </v>
      </c>
      <c r="E679" t="str">
        <v>org/hr</v>
      </c>
      <c r="F679">
        <f>0.3/F673</f>
        <v>0.00225</v>
      </c>
      <c r="G679">
        <f>SUMIF('Isi Data'!B$1:B$65536,SNI!C$1:C$65536,'Isi Data'!E$1:E$65536)</f>
        <v>0</v>
      </c>
      <c r="I679">
        <f>F679*G679</f>
        <v>0</v>
      </c>
      <c r="M679" t="str">
        <f>IF(G679=0,"edit"," ")</f>
        <v>edit</v>
      </c>
    </row>
    <row r="680">
      <c r="G680">
        <f>SUMIF('Isi Data'!B$1:B$65536,SNI!C$1:C$65536,'Isi Data'!E$1:E$65536)</f>
        <v>0</v>
      </c>
    </row>
    <row r="681">
      <c r="B681" t="str">
        <v>M</v>
      </c>
      <c r="C681" t="str">
        <v>Rangka Jendela Alumunium</v>
      </c>
      <c r="F681">
        <f>1/0.05/0.15</f>
        <v>133.33333333333334</v>
      </c>
      <c r="G681">
        <f>SUMIF('Isi Data'!B$1:B$65536,SNI!C$1:C$65536,'Isi Data'!E$1:E$65536)</f>
        <v>0</v>
      </c>
      <c r="H681">
        <f>SUM(H682:H687)</f>
        <v>0</v>
      </c>
      <c r="I681">
        <f>SUM(I682:I687)</f>
        <v>0</v>
      </c>
      <c r="J681">
        <f>$J$3</f>
        <v>0.1</v>
      </c>
      <c r="K681">
        <f>SUM(H681:I681)*(1+J681)</f>
        <v>0</v>
      </c>
      <c r="L681">
        <f>ROUND(SUM(K681:K681),-2)</f>
        <v>0</v>
      </c>
    </row>
    <row r="682">
      <c r="C682" t="str">
        <f>'Isi Data'!B46</f>
        <v>Rangka Pintu Almunium</v>
      </c>
      <c r="E682" t="str">
        <v>m</v>
      </c>
      <c r="F682">
        <v>1.05</v>
      </c>
      <c r="G682">
        <f>SUMIF('Isi Data'!B$1:B$65536,SNI!C$1:C$65536,'Isi Data'!E$1:E$65536)</f>
        <v>0</v>
      </c>
      <c r="H682">
        <f>F682*G682</f>
        <v>0</v>
      </c>
    </row>
    <row r="683">
      <c r="C683" t="str">
        <f>'Isi Data'!B84</f>
        <v>Paku Skrup</v>
      </c>
      <c r="E683" t="str">
        <v>bh</v>
      </c>
      <c r="F683">
        <v>1</v>
      </c>
      <c r="G683">
        <f>SUMIF('Isi Data'!B$1:B$65536,SNI!C$1:C$65536,'Isi Data'!E$1:E$65536)</f>
        <v>0</v>
      </c>
      <c r="H683">
        <f>F683*G683</f>
        <v>0</v>
      </c>
    </row>
    <row r="684">
      <c r="C684" t="str">
        <f>'Isi Data'!B168</f>
        <v>Pekerja</v>
      </c>
      <c r="E684" t="str">
        <v>org/hr</v>
      </c>
      <c r="F684">
        <f>6/F681</f>
        <v>0.045</v>
      </c>
      <c r="G684">
        <f>SUMIF('Isi Data'!B$1:B$65536,SNI!C$1:C$65536,'Isi Data'!E$1:E$65536)</f>
        <v>0</v>
      </c>
      <c r="I684">
        <f>F684*G684</f>
        <v>0</v>
      </c>
    </row>
    <row r="685">
      <c r="C685" t="str">
        <f>'Isi Data'!B159</f>
        <v>Tukang Kayu Halus</v>
      </c>
      <c r="E685" t="str">
        <v>org/hr</v>
      </c>
      <c r="F685">
        <f>18/F681</f>
        <v>0.13499999999999998</v>
      </c>
      <c r="G685">
        <f>SUMIF('Isi Data'!B$1:B$65536,SNI!C$1:C$65536,'Isi Data'!E$1:E$65536)</f>
        <v>0</v>
      </c>
      <c r="I685">
        <f>F685*G685</f>
        <v>0</v>
      </c>
    </row>
    <row r="686">
      <c r="C686" t="str">
        <f>'Isi Data'!B160</f>
        <v>Kepala Tukang Kayu</v>
      </c>
      <c r="E686" t="str">
        <v>org/hr</v>
      </c>
      <c r="F686">
        <f>1.8/F681</f>
        <v>0.0135</v>
      </c>
      <c r="G686">
        <f>SUMIF('Isi Data'!B$1:B$65536,SNI!C$1:C$65536,'Isi Data'!E$1:E$65536)</f>
        <v>0</v>
      </c>
      <c r="I686">
        <f>F686*G686</f>
        <v>0</v>
      </c>
    </row>
    <row r="687">
      <c r="C687" t="str">
        <f>'Isi Data'!B169</f>
        <v xml:space="preserve">Mandor </v>
      </c>
      <c r="E687" t="str">
        <v>org/hr</v>
      </c>
      <c r="F687">
        <f>0.3/F681</f>
        <v>0.00225</v>
      </c>
      <c r="G687">
        <f>SUMIF('Isi Data'!B$1:B$65536,SNI!C$1:C$65536,'Isi Data'!E$1:E$65536)</f>
        <v>0</v>
      </c>
      <c r="I687">
        <f>F687*G687</f>
        <v>0</v>
      </c>
    </row>
    <row r="688">
      <c r="G688">
        <f>SUMIF('Isi Data'!B$1:B$65536,SNI!C$1:C$65536,'Isi Data'!E$1:E$65536)</f>
        <v>0</v>
      </c>
    </row>
    <row r="689">
      <c r="G689">
        <f>SUMIF('Isi Data'!B$1:B$65536,SNI!C$1:C$65536,'Isi Data'!E$1:E$65536)</f>
        <v>0</v>
      </c>
    </row>
    <row r="690">
      <c r="A690" t="str">
        <v>SNI 3434:2008-6.1</v>
      </c>
      <c r="B690" t="str">
        <v>M3</v>
      </c>
      <c r="C690" t="str">
        <v>Kusen Pintu dan Jendela Kayu KW.I</v>
      </c>
      <c r="G690">
        <f>SUMIF('Isi Data'!B$1:B$65536,SNI!C$1:C$65536,'Isi Data'!E$1:E$65536)</f>
        <v>0</v>
      </c>
      <c r="H690">
        <f>SUM(H691:H697)</f>
        <v>0</v>
      </c>
      <c r="I690">
        <f>SUM(I691:I697)</f>
        <v>0</v>
      </c>
      <c r="J690">
        <f>$J$3</f>
        <v>0.1</v>
      </c>
      <c r="K690">
        <f>SUM(H690:I690)*(1+J690)</f>
        <v>0</v>
      </c>
      <c r="L690">
        <f>ROUND(K690,-2)</f>
        <v>0</v>
      </c>
    </row>
    <row r="691">
      <c r="C691" t="str">
        <f>'Isi Data'!B37</f>
        <v>Kayu Klas I</v>
      </c>
      <c r="D691" t="str">
        <v>Balok</v>
      </c>
      <c r="E691" t="str">
        <v>m3</v>
      </c>
      <c r="F691">
        <v>1.1</v>
      </c>
      <c r="G691">
        <f>SUMIF('Isi Data'!B$1:B$65536,SNI!C$1:C$65536,'Isi Data'!E$1:E$65536)</f>
        <v>0</v>
      </c>
      <c r="H691">
        <f>F691*G691</f>
        <v>0</v>
      </c>
      <c r="M691" t="str">
        <f>IF(G691=0,"edit"," ")</f>
        <v>edit</v>
      </c>
    </row>
    <row r="692">
      <c r="C692" t="str">
        <f>'Isi Data'!B82</f>
        <v>Paku 5 s/d 10 cm</v>
      </c>
      <c r="E692" t="str">
        <v>kg</v>
      </c>
      <c r="F692">
        <v>1.25</v>
      </c>
      <c r="G692">
        <f>SUMIF('Isi Data'!B$1:B$65536,SNI!C$1:C$65536,'Isi Data'!E$1:E$65536)</f>
        <v>0</v>
      </c>
      <c r="H692">
        <f>F692*G692</f>
        <v>0</v>
      </c>
      <c r="M692" t="str">
        <f>IF(G692=0,"edit"," ")</f>
        <v>edit</v>
      </c>
    </row>
    <row r="693">
      <c r="C693" t="str">
        <f>'Isi Data'!B97</f>
        <v>Lem Kayu</v>
      </c>
      <c r="E693" t="str">
        <v>kg</v>
      </c>
      <c r="F693">
        <v>1</v>
      </c>
      <c r="G693">
        <f>SUMIF('Isi Data'!B$1:B$65536,SNI!C$1:C$65536,'Isi Data'!E$1:E$65536)</f>
        <v>0</v>
      </c>
      <c r="H693">
        <f>F693*G693</f>
        <v>0</v>
      </c>
      <c r="M693" t="str">
        <f>IF(G693=0,"edit"," ")</f>
        <v>edit</v>
      </c>
    </row>
    <row r="694">
      <c r="C694" t="str">
        <f>'Isi Data'!B168</f>
        <v>Pekerja</v>
      </c>
      <c r="E694" t="str">
        <v>org/hr</v>
      </c>
      <c r="F694">
        <v>7</v>
      </c>
      <c r="G694">
        <f>SUMIF('Isi Data'!B$1:B$65536,SNI!C$1:C$65536,'Isi Data'!E$1:E$65536)</f>
        <v>0</v>
      </c>
      <c r="I694">
        <f>F694*G694</f>
        <v>0</v>
      </c>
      <c r="M694" t="str">
        <f>IF(G694=0,"edit"," ")</f>
        <v>edit</v>
      </c>
    </row>
    <row r="695">
      <c r="C695" t="str">
        <f>'Isi Data'!B159</f>
        <v>Tukang Kayu Halus</v>
      </c>
      <c r="E695" t="str">
        <v>org/hr</v>
      </c>
      <c r="F695">
        <v>21</v>
      </c>
      <c r="G695">
        <f>SUMIF('Isi Data'!B$1:B$65536,SNI!C$1:C$65536,'Isi Data'!E$1:E$65536)</f>
        <v>0</v>
      </c>
      <c r="I695">
        <f>F695*G695</f>
        <v>0</v>
      </c>
      <c r="M695" t="str">
        <f>IF(G695=0,"edit"," ")</f>
        <v>edit</v>
      </c>
    </row>
    <row r="696">
      <c r="C696" t="str">
        <f>'Isi Data'!B160</f>
        <v>Kepala Tukang Kayu</v>
      </c>
      <c r="E696" t="str">
        <v>org/hr</v>
      </c>
      <c r="F696">
        <v>2.1</v>
      </c>
      <c r="G696">
        <f>SUMIF('Isi Data'!B$1:B$65536,SNI!C$1:C$65536,'Isi Data'!E$1:E$65536)</f>
        <v>0</v>
      </c>
      <c r="I696">
        <f>F696*G696</f>
        <v>0</v>
      </c>
      <c r="M696" t="str">
        <f>IF(G696=0,"edit"," ")</f>
        <v>edit</v>
      </c>
    </row>
    <row r="697">
      <c r="C697" t="str">
        <f>'Isi Data'!B169</f>
        <v xml:space="preserve">Mandor </v>
      </c>
      <c r="E697" t="str">
        <v>org/hr</v>
      </c>
      <c r="F697">
        <v>0.35</v>
      </c>
      <c r="G697">
        <f>SUMIF('Isi Data'!B$1:B$65536,SNI!C$1:C$65536,'Isi Data'!E$1:E$65536)</f>
        <v>0</v>
      </c>
      <c r="I697">
        <f>F697*G697</f>
        <v>0</v>
      </c>
      <c r="M697" t="str">
        <f>IF(G697=0,"edit"," ")</f>
        <v>edit</v>
      </c>
    </row>
    <row r="698">
      <c r="G698">
        <f>SUMIF('Isi Data'!B$1:B$65536,SNI!C$1:C$65536,'Isi Data'!E$1:E$65536)</f>
        <v>0</v>
      </c>
    </row>
    <row r="699">
      <c r="A699" t="str">
        <v>SNI 3434:2008-6.2</v>
      </c>
      <c r="B699" t="str">
        <v>M3</v>
      </c>
      <c r="C699" t="str">
        <v>Kusen Pintu dan Jendela Kayu KW.II</v>
      </c>
      <c r="G699">
        <f>SUMIF('Isi Data'!B$1:B$65536,SNI!C$1:C$65536,'Isi Data'!E$1:E$65536)</f>
        <v>0</v>
      </c>
      <c r="H699">
        <f>SUM(H700:H706)</f>
        <v>0</v>
      </c>
      <c r="I699">
        <f>SUM(I700:I706)</f>
        <v>0</v>
      </c>
      <c r="J699">
        <f>$J$3</f>
        <v>0.1</v>
      </c>
      <c r="K699">
        <f>SUM(H699:I699)*(1+J699)</f>
        <v>0</v>
      </c>
      <c r="L699">
        <f>ROUND(K699,-2)</f>
        <v>0</v>
      </c>
    </row>
    <row r="700">
      <c r="C700" t="str">
        <f>'Isi Data'!B38</f>
        <v>Kayu Klas II</v>
      </c>
      <c r="D700" t="str">
        <v>balok</v>
      </c>
      <c r="E700" t="str">
        <v>m3</v>
      </c>
      <c r="F700">
        <v>1.2</v>
      </c>
      <c r="G700">
        <f>SUMIF('Isi Data'!B$1:B$65536,SNI!C$1:C$65536,'Isi Data'!E$1:E$65536)</f>
        <v>0</v>
      </c>
      <c r="H700">
        <f>F700*G700</f>
        <v>0</v>
      </c>
      <c r="M700" t="str">
        <f>IF(G700=0,"edit"," ")</f>
        <v>edit</v>
      </c>
    </row>
    <row r="701">
      <c r="C701" t="str">
        <f>'Isi Data'!B82</f>
        <v>Paku 5 s/d 10 cm</v>
      </c>
      <c r="E701" t="str">
        <v>kg</v>
      </c>
      <c r="F701">
        <v>1.25</v>
      </c>
      <c r="G701">
        <f>SUMIF('Isi Data'!B$1:B$65536,SNI!C$1:C$65536,'Isi Data'!E$1:E$65536)</f>
        <v>0</v>
      </c>
      <c r="H701">
        <f>F701*G701</f>
        <v>0</v>
      </c>
      <c r="M701" t="str">
        <f>IF(G701=0,"edit"," ")</f>
        <v>edit</v>
      </c>
    </row>
    <row r="702">
      <c r="C702" t="str">
        <f>'Isi Data'!B97</f>
        <v>Lem Kayu</v>
      </c>
      <c r="E702" t="str">
        <v>kg</v>
      </c>
      <c r="F702">
        <v>1</v>
      </c>
      <c r="G702">
        <f>SUMIF('Isi Data'!B$1:B$65536,SNI!C$1:C$65536,'Isi Data'!E$1:E$65536)</f>
        <v>0</v>
      </c>
      <c r="H702">
        <f>F702*G702</f>
        <v>0</v>
      </c>
      <c r="M702" t="str">
        <f>IF(G702=0,"edit"," ")</f>
        <v>edit</v>
      </c>
    </row>
    <row r="703">
      <c r="C703" t="str">
        <f>'Isi Data'!B168</f>
        <v>Pekerja</v>
      </c>
      <c r="E703" t="str">
        <v>org/hr</v>
      </c>
      <c r="F703">
        <v>6</v>
      </c>
      <c r="G703">
        <f>SUMIF('Isi Data'!B$1:B$65536,SNI!C$1:C$65536,'Isi Data'!E$1:E$65536)</f>
        <v>0</v>
      </c>
      <c r="I703">
        <f>F703*G703</f>
        <v>0</v>
      </c>
      <c r="M703" t="str">
        <f>IF(G703=0,"edit"," ")</f>
        <v>edit</v>
      </c>
    </row>
    <row r="704">
      <c r="C704" t="str">
        <f>'Isi Data'!B159</f>
        <v>Tukang Kayu Halus</v>
      </c>
      <c r="E704" t="str">
        <v>org/hr</v>
      </c>
      <c r="F704">
        <v>18</v>
      </c>
      <c r="G704">
        <f>SUMIF('Isi Data'!B$1:B$65536,SNI!C$1:C$65536,'Isi Data'!E$1:E$65536)</f>
        <v>0</v>
      </c>
      <c r="I704">
        <f>F704*G704</f>
        <v>0</v>
      </c>
      <c r="M704" t="str">
        <f>IF(G704=0,"edit"," ")</f>
        <v>edit</v>
      </c>
    </row>
    <row r="705">
      <c r="C705" t="str">
        <f>'Isi Data'!B160</f>
        <v>Kepala Tukang Kayu</v>
      </c>
      <c r="E705" t="str">
        <v>org/hr</v>
      </c>
      <c r="F705">
        <v>1.8</v>
      </c>
      <c r="G705">
        <f>SUMIF('Isi Data'!B$1:B$65536,SNI!C$1:C$65536,'Isi Data'!E$1:E$65536)</f>
        <v>0</v>
      </c>
      <c r="I705">
        <f>F705*G705</f>
        <v>0</v>
      </c>
      <c r="M705" t="str">
        <f>IF(G705=0,"edit"," ")</f>
        <v>edit</v>
      </c>
    </row>
    <row r="706">
      <c r="C706" t="str">
        <f>'Isi Data'!B169</f>
        <v xml:space="preserve">Mandor </v>
      </c>
      <c r="E706" t="str">
        <v>org/hr</v>
      </c>
      <c r="F706">
        <v>0.3</v>
      </c>
      <c r="G706">
        <f>SUMIF('Isi Data'!B$1:B$65536,SNI!C$1:C$65536,'Isi Data'!E$1:E$65536)</f>
        <v>0</v>
      </c>
      <c r="I706">
        <f>F706*G706</f>
        <v>0</v>
      </c>
      <c r="M706" t="str">
        <f>IF(G706=0,"edit"," ")</f>
        <v>edit</v>
      </c>
    </row>
    <row r="707">
      <c r="G707">
        <f>SUMIF('Isi Data'!B$1:B$65536,SNI!C$1:C$65536,'Isi Data'!E$1:E$65536)</f>
        <v>0</v>
      </c>
    </row>
    <row r="708">
      <c r="A708" t="str">
        <v>SNI 3434:2008-6.2</v>
      </c>
      <c r="B708" t="str">
        <v>M3</v>
      </c>
      <c r="C708" t="str">
        <v>Kusen Pintu dan Jendela Kayu KW.III</v>
      </c>
      <c r="G708">
        <f>SUMIF('Isi Data'!B$1:B$65536,SNI!C$1:C$65536,'Isi Data'!E$1:E$65536)</f>
        <v>0</v>
      </c>
      <c r="H708">
        <f>SUM(H709:H715)</f>
        <v>0</v>
      </c>
      <c r="I708">
        <f>SUM(I709:I715)</f>
        <v>0</v>
      </c>
      <c r="J708">
        <f>$J$3</f>
        <v>0.1</v>
      </c>
      <c r="K708">
        <f>SUM(H708:I708)*(1+J708)</f>
        <v>0</v>
      </c>
      <c r="L708">
        <f>ROUND(K708,-2)</f>
        <v>0</v>
      </c>
    </row>
    <row r="709">
      <c r="C709" t="str">
        <f>'Isi Data'!B39</f>
        <v>Kayu Klas III</v>
      </c>
      <c r="D709" t="str">
        <v>balok</v>
      </c>
      <c r="E709" t="str">
        <v>m3</v>
      </c>
      <c r="F709">
        <v>1.2</v>
      </c>
      <c r="G709">
        <f>SUMIF('Isi Data'!B$1:B$65536,SNI!C$1:C$65536,'Isi Data'!E$1:E$65536)</f>
        <v>0</v>
      </c>
      <c r="H709">
        <f>F709*G709</f>
        <v>0</v>
      </c>
      <c r="M709" t="str">
        <f>IF(G709=0,"edit"," ")</f>
        <v>edit</v>
      </c>
    </row>
    <row r="710">
      <c r="C710" t="str">
        <f>'Isi Data'!B82</f>
        <v>Paku 5 s/d 10 cm</v>
      </c>
      <c r="E710" t="str">
        <v>kg</v>
      </c>
      <c r="F710">
        <v>1.25</v>
      </c>
      <c r="G710">
        <f>SUMIF('Isi Data'!B$1:B$65536,SNI!C$1:C$65536,'Isi Data'!E$1:E$65536)</f>
        <v>0</v>
      </c>
      <c r="H710">
        <f>F710*G710</f>
        <v>0</v>
      </c>
      <c r="M710" t="str">
        <f>IF(G710=0,"edit"," ")</f>
        <v>edit</v>
      </c>
    </row>
    <row r="711">
      <c r="C711" t="str">
        <f>'Isi Data'!B97</f>
        <v>Lem Kayu</v>
      </c>
      <c r="E711" t="str">
        <v>kg</v>
      </c>
      <c r="F711">
        <v>1</v>
      </c>
      <c r="G711">
        <f>SUMIF('Isi Data'!B$1:B$65536,SNI!C$1:C$65536,'Isi Data'!E$1:E$65536)</f>
        <v>0</v>
      </c>
      <c r="H711">
        <f>F711*G711</f>
        <v>0</v>
      </c>
      <c r="M711" t="str">
        <f>IF(G711=0,"edit"," ")</f>
        <v>edit</v>
      </c>
    </row>
    <row r="712">
      <c r="C712" t="str">
        <f>'Isi Data'!B168</f>
        <v>Pekerja</v>
      </c>
      <c r="E712" t="str">
        <v>org/hr</v>
      </c>
      <c r="F712">
        <v>6</v>
      </c>
      <c r="G712">
        <f>SUMIF('Isi Data'!B$1:B$65536,SNI!C$1:C$65536,'Isi Data'!E$1:E$65536)</f>
        <v>0</v>
      </c>
      <c r="I712">
        <f>F712*G712</f>
        <v>0</v>
      </c>
      <c r="M712" t="str">
        <f>IF(G712=0,"edit"," ")</f>
        <v>edit</v>
      </c>
    </row>
    <row r="713">
      <c r="C713" t="str">
        <f>'Isi Data'!B159</f>
        <v>Tukang Kayu Halus</v>
      </c>
      <c r="E713" t="str">
        <v>org/hr</v>
      </c>
      <c r="F713">
        <v>18</v>
      </c>
      <c r="G713">
        <f>SUMIF('Isi Data'!B$1:B$65536,SNI!C$1:C$65536,'Isi Data'!E$1:E$65536)</f>
        <v>0</v>
      </c>
      <c r="I713">
        <f>F713*G713</f>
        <v>0</v>
      </c>
      <c r="M713" t="str">
        <f>IF(G713=0,"edit"," ")</f>
        <v>edit</v>
      </c>
    </row>
    <row r="714">
      <c r="C714" t="str">
        <f>'Isi Data'!B160</f>
        <v>Kepala Tukang Kayu</v>
      </c>
      <c r="E714" t="str">
        <v>org/hr</v>
      </c>
      <c r="F714">
        <v>1.8</v>
      </c>
      <c r="G714">
        <f>SUMIF('Isi Data'!B$1:B$65536,SNI!C$1:C$65536,'Isi Data'!E$1:E$65536)</f>
        <v>0</v>
      </c>
      <c r="I714">
        <f>F714*G714</f>
        <v>0</v>
      </c>
      <c r="M714" t="str">
        <f>IF(G714=0,"edit"," ")</f>
        <v>edit</v>
      </c>
    </row>
    <row r="715">
      <c r="C715" t="str">
        <f>'Isi Data'!B169</f>
        <v xml:space="preserve">Mandor </v>
      </c>
      <c r="E715" t="str">
        <v>org/hr</v>
      </c>
      <c r="F715">
        <v>0.3</v>
      </c>
      <c r="G715">
        <f>SUMIF('Isi Data'!B$1:B$65536,SNI!C$1:C$65536,'Isi Data'!E$1:E$65536)</f>
        <v>0</v>
      </c>
      <c r="I715">
        <f>F715*G715</f>
        <v>0</v>
      </c>
      <c r="M715" t="str">
        <f>IF(G715=0,"edit"," ")</f>
        <v>edit</v>
      </c>
    </row>
    <row r="716">
      <c r="G716">
        <f>SUMIF('Isi Data'!B$1:B$65536,SNI!C$1:C$65536,'Isi Data'!E$1:E$65536)</f>
        <v>0</v>
      </c>
    </row>
    <row r="717">
      <c r="A717" t="str">
        <v>SNI 3434:2008-6.6</v>
      </c>
      <c r="B717" t="str">
        <v>M2</v>
      </c>
      <c r="C717" t="str">
        <v>Daun Pintu dan Jendela Kayu KW.I</v>
      </c>
      <c r="D717" t="str">
        <v>Pintu &amp; jendela kaca</v>
      </c>
      <c r="G717">
        <f>SUMIF('Isi Data'!B$1:B$65536,SNI!C$1:C$65536,'Isi Data'!E$1:E$65536)</f>
        <v>0</v>
      </c>
      <c r="H717">
        <f>SUM(H718:H723)</f>
        <v>0</v>
      </c>
      <c r="I717">
        <f>SUM(I718:I723)</f>
        <v>0</v>
      </c>
      <c r="J717">
        <f>$J$3</f>
        <v>0.1</v>
      </c>
      <c r="K717">
        <f>SUM(H717:I717)*(1+J717)</f>
        <v>0</v>
      </c>
      <c r="L717">
        <f>ROUND(K717,-2)</f>
        <v>0</v>
      </c>
    </row>
    <row r="718">
      <c r="C718" t="str">
        <f>'Isi Data'!B37</f>
        <v>Kayu Klas I</v>
      </c>
      <c r="D718" t="str">
        <v>Papan</v>
      </c>
      <c r="E718" t="str">
        <v>m3</v>
      </c>
      <c r="F718">
        <v>0.024</v>
      </c>
      <c r="G718">
        <f>SUMIF('Isi Data'!B$1:B$65536,SNI!C$1:C$65536,'Isi Data'!E$1:E$65536)</f>
        <v>0</v>
      </c>
      <c r="H718">
        <f>F718*G718</f>
        <v>0</v>
      </c>
      <c r="M718" t="str">
        <f>IF(G718=0,"edit"," ")</f>
        <v>edit</v>
      </c>
    </row>
    <row r="719">
      <c r="C719" t="str">
        <f>'Isi Data'!B97</f>
        <v>Lem Kayu</v>
      </c>
      <c r="E719" t="str">
        <v>kg</v>
      </c>
      <c r="F719">
        <v>0.3</v>
      </c>
      <c r="G719">
        <f>SUMIF('Isi Data'!B$1:B$65536,SNI!C$1:C$65536,'Isi Data'!E$1:E$65536)</f>
        <v>0</v>
      </c>
      <c r="H719">
        <f>F719*G719</f>
        <v>0</v>
      </c>
      <c r="M719" t="str">
        <f>IF(G719=0,"edit"," ")</f>
        <v>edit</v>
      </c>
    </row>
    <row r="720">
      <c r="C720" t="str">
        <f>'Isi Data'!B168</f>
        <v>Pekerja</v>
      </c>
      <c r="E720" t="str">
        <v>org/hr</v>
      </c>
      <c r="F720">
        <v>0.8</v>
      </c>
      <c r="G720">
        <f>SUMIF('Isi Data'!B$1:B$65536,SNI!C$1:C$65536,'Isi Data'!E$1:E$65536)</f>
        <v>0</v>
      </c>
      <c r="I720">
        <f>F720*G720</f>
        <v>0</v>
      </c>
      <c r="M720" t="str">
        <f>IF(G720=0,"edit"," ")</f>
        <v>edit</v>
      </c>
    </row>
    <row r="721">
      <c r="C721" t="str">
        <f>'Isi Data'!B159</f>
        <v>Tukang Kayu Halus</v>
      </c>
      <c r="E721" t="str">
        <v>org/hr</v>
      </c>
      <c r="F721">
        <v>2.4</v>
      </c>
      <c r="G721">
        <f>SUMIF('Isi Data'!B$1:B$65536,SNI!C$1:C$65536,'Isi Data'!E$1:E$65536)</f>
        <v>0</v>
      </c>
      <c r="I721">
        <f>F721*G721</f>
        <v>0</v>
      </c>
      <c r="M721" t="str">
        <f>IF(G721=0,"edit"," ")</f>
        <v>edit</v>
      </c>
    </row>
    <row r="722">
      <c r="C722" t="str">
        <f>'Isi Data'!B160</f>
        <v>Kepala Tukang Kayu</v>
      </c>
      <c r="E722" t="str">
        <v>org/hr</v>
      </c>
      <c r="F722">
        <v>0.24</v>
      </c>
      <c r="G722">
        <f>SUMIF('Isi Data'!B$1:B$65536,SNI!C$1:C$65536,'Isi Data'!E$1:E$65536)</f>
        <v>0</v>
      </c>
      <c r="I722">
        <f>F722*G722</f>
        <v>0</v>
      </c>
      <c r="M722" t="str">
        <f>IF(G722=0,"edit"," ")</f>
        <v>edit</v>
      </c>
    </row>
    <row r="723">
      <c r="C723" t="str">
        <f>'Isi Data'!B169</f>
        <v xml:space="preserve">Mandor </v>
      </c>
      <c r="E723" t="str">
        <v>org/hr</v>
      </c>
      <c r="F723">
        <v>0.04</v>
      </c>
      <c r="G723">
        <f>SUMIF('Isi Data'!B$1:B$65536,SNI!C$1:C$65536,'Isi Data'!E$1:E$65536)</f>
        <v>0</v>
      </c>
      <c r="I723">
        <f>F723*G723</f>
        <v>0</v>
      </c>
      <c r="M723" t="str">
        <f>IF(G723=0,"edit"," ")</f>
        <v>edit</v>
      </c>
    </row>
    <row r="724">
      <c r="G724">
        <f>SUMIF('Isi Data'!B$1:B$65536,SNI!C$1:C$65536,'Isi Data'!E$1:E$65536)</f>
        <v>0</v>
      </c>
    </row>
    <row r="725">
      <c r="A725" t="str">
        <v>SNI 3434:2008-6.6</v>
      </c>
      <c r="B725" t="str">
        <v>M2</v>
      </c>
      <c r="C725" t="str">
        <v>Daun Pintu dan Jendela Kayu KW.II</v>
      </c>
      <c r="D725" t="str">
        <v>Pintu &amp; jendela kaca</v>
      </c>
      <c r="G725">
        <f>SUMIF('Isi Data'!B$1:B$65536,SNI!C$1:C$65536,'Isi Data'!E$1:E$65536)</f>
        <v>0</v>
      </c>
      <c r="H725">
        <f>SUM(H726:H731)</f>
        <v>0</v>
      </c>
      <c r="I725">
        <f>SUM(I726:I731)</f>
        <v>0</v>
      </c>
      <c r="J725">
        <f>$J$3</f>
        <v>0.1</v>
      </c>
      <c r="K725">
        <f>SUM(H725:I725)*(1+J725)</f>
        <v>0</v>
      </c>
      <c r="L725">
        <f>ROUND(K725,-2)</f>
        <v>0</v>
      </c>
    </row>
    <row r="726">
      <c r="C726" t="str">
        <f>'Isi Data'!B38</f>
        <v>Kayu Klas II</v>
      </c>
      <c r="D726" t="str">
        <v>Papan</v>
      </c>
      <c r="E726" t="str">
        <v>m3</v>
      </c>
      <c r="F726">
        <v>0.024</v>
      </c>
      <c r="G726">
        <f>SUMIF('Isi Data'!B$1:B$65536,SNI!C$1:C$65536,'Isi Data'!E$1:E$65536)</f>
        <v>0</v>
      </c>
      <c r="H726">
        <f>F726*G726</f>
        <v>0</v>
      </c>
      <c r="M726" t="str">
        <f>IF(G726=0,"edit"," ")</f>
        <v>edit</v>
      </c>
    </row>
    <row r="727">
      <c r="C727" t="str">
        <f>'Isi Data'!B97</f>
        <v>Lem Kayu</v>
      </c>
      <c r="E727" t="str">
        <v>kg</v>
      </c>
      <c r="F727">
        <v>0.3</v>
      </c>
      <c r="G727">
        <f>SUMIF('Isi Data'!B$1:B$65536,SNI!C$1:C$65536,'Isi Data'!E$1:E$65536)</f>
        <v>0</v>
      </c>
      <c r="H727">
        <f>F727*G727</f>
        <v>0</v>
      </c>
      <c r="M727" t="str">
        <f>IF(G727=0,"edit"," ")</f>
        <v>edit</v>
      </c>
    </row>
    <row r="728">
      <c r="C728" t="str">
        <f>'Isi Data'!B168</f>
        <v>Pekerja</v>
      </c>
      <c r="E728" t="str">
        <v>org/hr</v>
      </c>
      <c r="F728">
        <v>0.8</v>
      </c>
      <c r="G728">
        <f>SUMIF('Isi Data'!B$1:B$65536,SNI!C$1:C$65536,'Isi Data'!E$1:E$65536)</f>
        <v>0</v>
      </c>
      <c r="I728">
        <f>F728*G728</f>
        <v>0</v>
      </c>
      <c r="M728" t="str">
        <f>IF(G728=0,"edit"," ")</f>
        <v>edit</v>
      </c>
    </row>
    <row r="729">
      <c r="C729" t="str">
        <f>'Isi Data'!B159</f>
        <v>Tukang Kayu Halus</v>
      </c>
      <c r="E729" t="str">
        <v>org/hr</v>
      </c>
      <c r="F729">
        <v>2.4</v>
      </c>
      <c r="G729">
        <f>SUMIF('Isi Data'!B$1:B$65536,SNI!C$1:C$65536,'Isi Data'!E$1:E$65536)</f>
        <v>0</v>
      </c>
      <c r="I729">
        <f>F729*G729</f>
        <v>0</v>
      </c>
      <c r="M729" t="str">
        <f>IF(G729=0,"edit"," ")</f>
        <v>edit</v>
      </c>
    </row>
    <row r="730">
      <c r="C730" t="str">
        <f>'Isi Data'!B160</f>
        <v>Kepala Tukang Kayu</v>
      </c>
      <c r="E730" t="str">
        <v>org/hr</v>
      </c>
      <c r="F730">
        <v>0.24</v>
      </c>
      <c r="G730">
        <f>SUMIF('Isi Data'!B$1:B$65536,SNI!C$1:C$65536,'Isi Data'!E$1:E$65536)</f>
        <v>0</v>
      </c>
      <c r="I730">
        <f>F730*G730</f>
        <v>0</v>
      </c>
      <c r="M730" t="str">
        <f>IF(G730=0,"edit"," ")</f>
        <v>edit</v>
      </c>
    </row>
    <row r="731">
      <c r="C731" t="str">
        <f>'Isi Data'!B169</f>
        <v xml:space="preserve">Mandor </v>
      </c>
      <c r="E731" t="str">
        <v>org/hr</v>
      </c>
      <c r="F731">
        <v>0.04</v>
      </c>
      <c r="G731">
        <f>SUMIF('Isi Data'!B$1:B$65536,SNI!C$1:C$65536,'Isi Data'!E$1:E$65536)</f>
        <v>0</v>
      </c>
      <c r="I731">
        <f>F731*G731</f>
        <v>0</v>
      </c>
      <c r="M731" t="str">
        <f>IF(G731=0,"edit"," ")</f>
        <v>edit</v>
      </c>
    </row>
    <row r="732">
      <c r="G732">
        <f>SUMIF('Isi Data'!B$1:B$65536,SNI!C$1:C$65536,'Isi Data'!E$1:E$65536)</f>
        <v>0</v>
      </c>
    </row>
    <row r="733">
      <c r="A733" t="str">
        <v>SNI 3434:2008-6.4</v>
      </c>
      <c r="B733" t="str">
        <v>M2</v>
      </c>
      <c r="C733" t="str">
        <v>Daun Pintu dan Jendela Kayu KW.III</v>
      </c>
      <c r="D733" t="str">
        <v>Pintu &amp; jendela kaca</v>
      </c>
      <c r="G733">
        <f>SUMIF('Isi Data'!B$1:B$65536,SNI!C$1:C$65536,'Isi Data'!E$1:E$65536)</f>
        <v>0</v>
      </c>
      <c r="H733">
        <f>SUM(H734:H739)</f>
        <v>0</v>
      </c>
      <c r="I733">
        <f>SUM(I734:I739)</f>
        <v>0</v>
      </c>
      <c r="J733">
        <f>$J$3</f>
        <v>0.1</v>
      </c>
      <c r="K733">
        <f>SUM(H733:I733)*(1+J733)</f>
        <v>0</v>
      </c>
      <c r="L733">
        <f>ROUND(K733,-2)</f>
        <v>0</v>
      </c>
    </row>
    <row r="734">
      <c r="C734" t="str">
        <f>'Isi Data'!B39</f>
        <v>Kayu Klas III</v>
      </c>
      <c r="D734" t="str">
        <v>Papan</v>
      </c>
      <c r="E734" t="str">
        <v>m3</v>
      </c>
      <c r="F734">
        <v>0.04</v>
      </c>
      <c r="G734">
        <f>SUMIF('Isi Data'!B$1:B$65536,SNI!C$1:C$65536,'Isi Data'!E$1:E$65536)</f>
        <v>0</v>
      </c>
      <c r="H734">
        <f>F734*G734</f>
        <v>0</v>
      </c>
      <c r="M734" t="str">
        <f>IF(G734=0,"edit"," ")</f>
        <v>edit</v>
      </c>
    </row>
    <row r="735">
      <c r="C735" t="str">
        <f>'Isi Data'!B82</f>
        <v>Paku 5 s/d 10 cm</v>
      </c>
      <c r="E735" t="str">
        <v>kg</v>
      </c>
      <c r="F735">
        <v>0.5</v>
      </c>
      <c r="G735">
        <f>SUMIF('Isi Data'!B$1:B$65536,SNI!C$1:C$65536,'Isi Data'!E$1:E$65536)</f>
        <v>0</v>
      </c>
      <c r="H735">
        <f>F735*G735</f>
        <v>0</v>
      </c>
      <c r="M735" t="str">
        <f>IF(G735=0,"edit"," ")</f>
        <v>edit</v>
      </c>
    </row>
    <row r="736">
      <c r="C736" t="str">
        <f>'Isi Data'!B168</f>
        <v>Pekerja</v>
      </c>
      <c r="E736" t="str">
        <v>org/hr</v>
      </c>
      <c r="F736">
        <v>0.35</v>
      </c>
      <c r="G736">
        <f>SUMIF('Isi Data'!B$1:B$65536,SNI!C$1:C$65536,'Isi Data'!E$1:E$65536)</f>
        <v>0</v>
      </c>
      <c r="I736">
        <f>F736*G736</f>
        <v>0</v>
      </c>
      <c r="M736" t="str">
        <f>IF(G736=0,"edit"," ")</f>
        <v>edit</v>
      </c>
    </row>
    <row r="737">
      <c r="C737" t="str">
        <f>'Isi Data'!B159</f>
        <v>Tukang Kayu Halus</v>
      </c>
      <c r="E737" t="str">
        <v>org/hr</v>
      </c>
      <c r="F737">
        <v>1.05</v>
      </c>
      <c r="G737">
        <f>SUMIF('Isi Data'!B$1:B$65536,SNI!C$1:C$65536,'Isi Data'!E$1:E$65536)</f>
        <v>0</v>
      </c>
      <c r="I737">
        <f>F737*G737</f>
        <v>0</v>
      </c>
      <c r="M737" t="str">
        <f>IF(G737=0,"edit"," ")</f>
        <v>edit</v>
      </c>
    </row>
    <row r="738">
      <c r="C738" t="str">
        <f>'Isi Data'!B160</f>
        <v>Kepala Tukang Kayu</v>
      </c>
      <c r="E738" t="str">
        <v>org/hr</v>
      </c>
      <c r="F738">
        <v>0.0105</v>
      </c>
      <c r="G738">
        <f>SUMIF('Isi Data'!B$1:B$65536,SNI!C$1:C$65536,'Isi Data'!E$1:E$65536)</f>
        <v>0</v>
      </c>
      <c r="I738">
        <f>F738*G738</f>
        <v>0</v>
      </c>
      <c r="M738" t="str">
        <f>IF(G738=0,"edit"," ")</f>
        <v>edit</v>
      </c>
    </row>
    <row r="739">
      <c r="C739" t="str">
        <f>'Isi Data'!B169</f>
        <v xml:space="preserve">Mandor </v>
      </c>
      <c r="E739" t="str">
        <v>org/hr</v>
      </c>
      <c r="F739">
        <v>0.018</v>
      </c>
      <c r="G739">
        <f>SUMIF('Isi Data'!B$1:B$65536,SNI!C$1:C$65536,'Isi Data'!E$1:E$65536)</f>
        <v>0</v>
      </c>
      <c r="I739">
        <f>F739*G739</f>
        <v>0</v>
      </c>
      <c r="M739" t="str">
        <f>IF(G739=0,"edit"," ")</f>
        <v>edit</v>
      </c>
    </row>
    <row r="740">
      <c r="G740">
        <f>SUMIF('Isi Data'!B$1:B$65536,SNI!C$1:C$65536,'Isi Data'!E$1:E$65536)</f>
        <v>0</v>
      </c>
    </row>
    <row r="741">
      <c r="A741" t="str">
        <v>SNI 3434:2008-6.5</v>
      </c>
      <c r="B741" t="str">
        <v>M2</v>
      </c>
      <c r="C741" t="str">
        <v>Daun Pintu Panel KW.I</v>
      </c>
      <c r="G741">
        <f>SUMIF('Isi Data'!B$1:B$65536,SNI!C$1:C$65536,'Isi Data'!E$1:E$65536)</f>
        <v>0</v>
      </c>
      <c r="H741">
        <f>SUM(H742:H747)</f>
        <v>0</v>
      </c>
      <c r="I741">
        <f>SUM(I742:I747)</f>
        <v>0</v>
      </c>
      <c r="J741">
        <f>$J$3</f>
        <v>0.1</v>
      </c>
      <c r="K741">
        <f>SUM(H741:I741)*(1+J741)</f>
        <v>0</v>
      </c>
      <c r="L741">
        <f>ROUND(K741,-2)</f>
        <v>0</v>
      </c>
    </row>
    <row r="742">
      <c r="C742" t="str">
        <f>'Isi Data'!B37</f>
        <v>Kayu Klas I</v>
      </c>
      <c r="D742" t="str">
        <v>papan</v>
      </c>
      <c r="E742" t="str">
        <v>m3</v>
      </c>
      <c r="F742">
        <v>0.04</v>
      </c>
      <c r="G742">
        <f>SUMIF('Isi Data'!B$1:B$65536,SNI!C$1:C$65536,'Isi Data'!E$1:E$65536)</f>
        <v>0</v>
      </c>
      <c r="H742">
        <f>F742*G742</f>
        <v>0</v>
      </c>
      <c r="M742" t="str">
        <f>IF(G742=0,"edit"," ")</f>
        <v>edit</v>
      </c>
    </row>
    <row r="743">
      <c r="C743" t="str">
        <f>'Isi Data'!B97</f>
        <v>Lem Kayu</v>
      </c>
      <c r="E743" t="str">
        <v>kg</v>
      </c>
      <c r="F743">
        <v>0.5</v>
      </c>
      <c r="G743">
        <f>SUMIF('Isi Data'!B$1:B$65536,SNI!C$1:C$65536,'Isi Data'!E$1:E$65536)</f>
        <v>0</v>
      </c>
      <c r="H743">
        <f>F743*G743</f>
        <v>0</v>
      </c>
      <c r="M743" t="str">
        <f>IF(G743=0,"edit"," ")</f>
        <v>edit</v>
      </c>
    </row>
    <row r="744">
      <c r="C744" t="str">
        <f>'Isi Data'!B168</f>
        <v>Pekerja</v>
      </c>
      <c r="E744" t="str">
        <v>org/hr</v>
      </c>
      <c r="F744">
        <v>1</v>
      </c>
      <c r="G744">
        <f>SUMIF('Isi Data'!B$1:B$65536,SNI!C$1:C$65536,'Isi Data'!E$1:E$65536)</f>
        <v>0</v>
      </c>
      <c r="I744">
        <f>F744*G744</f>
        <v>0</v>
      </c>
      <c r="M744" t="str">
        <f>IF(G744=0,"edit"," ")</f>
        <v>edit</v>
      </c>
    </row>
    <row r="745">
      <c r="C745" t="str">
        <f>'Isi Data'!B159</f>
        <v>Tukang Kayu Halus</v>
      </c>
      <c r="E745" t="str">
        <v>org/hr</v>
      </c>
      <c r="F745">
        <v>3</v>
      </c>
      <c r="G745">
        <f>SUMIF('Isi Data'!B$1:B$65536,SNI!C$1:C$65536,'Isi Data'!E$1:E$65536)</f>
        <v>0</v>
      </c>
      <c r="I745">
        <f>F745*G745</f>
        <v>0</v>
      </c>
      <c r="M745" t="str">
        <f>IF(G745=0,"edit"," ")</f>
        <v>edit</v>
      </c>
    </row>
    <row r="746">
      <c r="C746" t="str">
        <f>'Isi Data'!B160</f>
        <v>Kepala Tukang Kayu</v>
      </c>
      <c r="E746" t="str">
        <v>org/hr</v>
      </c>
      <c r="F746">
        <v>0.3</v>
      </c>
      <c r="G746">
        <f>SUMIF('Isi Data'!B$1:B$65536,SNI!C$1:C$65536,'Isi Data'!E$1:E$65536)</f>
        <v>0</v>
      </c>
      <c r="I746">
        <f>F746*G746</f>
        <v>0</v>
      </c>
      <c r="M746" t="str">
        <f>IF(G746=0,"edit"," ")</f>
        <v>edit</v>
      </c>
    </row>
    <row r="747">
      <c r="C747" t="str">
        <f>'Isi Data'!B169</f>
        <v xml:space="preserve">Mandor </v>
      </c>
      <c r="E747" t="str">
        <v>org/hr</v>
      </c>
      <c r="F747">
        <v>0.05</v>
      </c>
      <c r="G747">
        <f>SUMIF('Isi Data'!B$1:B$65536,SNI!C$1:C$65536,'Isi Data'!E$1:E$65536)</f>
        <v>0</v>
      </c>
      <c r="I747">
        <f>F747*G747</f>
        <v>0</v>
      </c>
      <c r="M747" t="str">
        <f>IF(G747=0,"edit"," ")</f>
        <v>edit</v>
      </c>
    </row>
    <row r="748">
      <c r="G748">
        <f>SUMIF('Isi Data'!B$1:B$65536,SNI!C$1:C$65536,'Isi Data'!E$1:E$65536)</f>
        <v>0</v>
      </c>
    </row>
    <row r="749">
      <c r="A749" t="str">
        <v>SNI 3434:2008-6.5</v>
      </c>
      <c r="B749" t="str">
        <v>M2</v>
      </c>
      <c r="C749" t="str">
        <v>Daun Pintu Panel KW.II</v>
      </c>
      <c r="G749">
        <f>SUMIF('Isi Data'!B$1:B$65536,SNI!C$1:C$65536,'Isi Data'!E$1:E$65536)</f>
        <v>0</v>
      </c>
      <c r="H749">
        <f>SUM(H750:H755)</f>
        <v>0</v>
      </c>
      <c r="I749">
        <f>SUM(I750:I755)</f>
        <v>0</v>
      </c>
      <c r="J749">
        <f>$J$3</f>
        <v>0.1</v>
      </c>
      <c r="K749">
        <f>SUM(H749:I749)*(1+J749)</f>
        <v>0</v>
      </c>
      <c r="L749">
        <f>ROUND(K749,-2)</f>
        <v>0</v>
      </c>
    </row>
    <row r="750">
      <c r="C750" t="str">
        <f>'Isi Data'!B38</f>
        <v>Kayu Klas II</v>
      </c>
      <c r="D750" t="str">
        <v>papan</v>
      </c>
      <c r="E750" t="str">
        <v>m3</v>
      </c>
      <c r="F750">
        <v>0.04</v>
      </c>
      <c r="G750">
        <f>SUMIF('Isi Data'!B$1:B$65536,SNI!C$1:C$65536,'Isi Data'!E$1:E$65536)</f>
        <v>0</v>
      </c>
      <c r="H750">
        <f>F750*G750</f>
        <v>0</v>
      </c>
    </row>
    <row r="751">
      <c r="C751" t="str">
        <f>'Isi Data'!B97</f>
        <v>Lem Kayu</v>
      </c>
      <c r="E751" t="str">
        <v>kg</v>
      </c>
      <c r="F751">
        <v>0.5</v>
      </c>
      <c r="G751">
        <f>SUMIF('Isi Data'!B$1:B$65536,SNI!C$1:C$65536,'Isi Data'!E$1:E$65536)</f>
        <v>0</v>
      </c>
      <c r="H751">
        <f>F751*G751</f>
        <v>0</v>
      </c>
    </row>
    <row r="752">
      <c r="C752" t="str">
        <f>'Isi Data'!B168</f>
        <v>Pekerja</v>
      </c>
      <c r="E752" t="str">
        <v>org/hr</v>
      </c>
      <c r="F752">
        <v>1</v>
      </c>
      <c r="G752">
        <f>SUMIF('Isi Data'!B$1:B$65536,SNI!C$1:C$65536,'Isi Data'!E$1:E$65536)</f>
        <v>0</v>
      </c>
      <c r="I752">
        <f>F752*G752</f>
        <v>0</v>
      </c>
    </row>
    <row r="753">
      <c r="C753" t="str">
        <f>'Isi Data'!B159</f>
        <v>Tukang Kayu Halus</v>
      </c>
      <c r="E753" t="str">
        <v>org/hr</v>
      </c>
      <c r="F753">
        <v>3</v>
      </c>
      <c r="G753">
        <f>SUMIF('Isi Data'!B$1:B$65536,SNI!C$1:C$65536,'Isi Data'!E$1:E$65536)</f>
        <v>0</v>
      </c>
      <c r="I753">
        <f>F753*G753</f>
        <v>0</v>
      </c>
    </row>
    <row r="754">
      <c r="C754" t="str">
        <f>'Isi Data'!B160</f>
        <v>Kepala Tukang Kayu</v>
      </c>
      <c r="E754" t="str">
        <v>org/hr</v>
      </c>
      <c r="F754">
        <v>0.3</v>
      </c>
      <c r="G754">
        <f>SUMIF('Isi Data'!B$1:B$65536,SNI!C$1:C$65536,'Isi Data'!E$1:E$65536)</f>
        <v>0</v>
      </c>
      <c r="I754">
        <f>F754*G754</f>
        <v>0</v>
      </c>
    </row>
    <row r="755">
      <c r="C755" t="str">
        <f>'Isi Data'!B169</f>
        <v xml:space="preserve">Mandor </v>
      </c>
      <c r="E755" t="str">
        <v>org/hr</v>
      </c>
      <c r="F755">
        <v>0.05</v>
      </c>
      <c r="G755">
        <f>SUMIF('Isi Data'!B$1:B$65536,SNI!C$1:C$65536,'Isi Data'!E$1:E$65536)</f>
        <v>0</v>
      </c>
      <c r="I755">
        <f>F755*G755</f>
        <v>0</v>
      </c>
    </row>
    <row r="756">
      <c r="G756">
        <f>SUMIF('Isi Data'!B$1:B$65536,SNI!C$1:C$65536,'Isi Data'!E$1:E$65536)</f>
        <v>0</v>
      </c>
    </row>
    <row r="757">
      <c r="A757" t="str">
        <v>SNI DT 91-0011-2007</v>
      </c>
      <c r="B757" t="str">
        <v>M2</v>
      </c>
      <c r="C757" t="str">
        <v>Daun Pintu Panel KW.III</v>
      </c>
      <c r="G757">
        <f>SUMIF('Isi Data'!B$1:B$65536,SNI!C$1:C$65536,'Isi Data'!E$1:E$65536)</f>
        <v>0</v>
      </c>
      <c r="H757">
        <f>SUM(H758:H763)</f>
        <v>0</v>
      </c>
      <c r="I757">
        <f>SUM(I758:I763)</f>
        <v>0</v>
      </c>
      <c r="J757">
        <f>$J$3</f>
        <v>0.1</v>
      </c>
      <c r="K757">
        <f>SUM(H757:I757)*(1+J757)</f>
        <v>0</v>
      </c>
      <c r="L757">
        <f>ROUND(K757,-2)</f>
        <v>0</v>
      </c>
    </row>
    <row r="758">
      <c r="C758" t="str">
        <f>'Isi Data'!B39</f>
        <v>Kayu Klas III</v>
      </c>
      <c r="D758" t="str">
        <v>papan</v>
      </c>
      <c r="E758" t="str">
        <v>m3</v>
      </c>
      <c r="F758">
        <v>0.04</v>
      </c>
      <c r="G758">
        <f>SUMIF('Isi Data'!B$1:B$65536,SNI!C$1:C$65536,'Isi Data'!E$1:E$65536)</f>
        <v>0</v>
      </c>
      <c r="H758">
        <f>F758*G758</f>
        <v>0</v>
      </c>
    </row>
    <row r="759">
      <c r="C759" t="str">
        <f>'Isi Data'!B97</f>
        <v>Lem Kayu</v>
      </c>
      <c r="E759" t="str">
        <v>kg</v>
      </c>
      <c r="F759">
        <v>0.5</v>
      </c>
      <c r="G759">
        <f>SUMIF('Isi Data'!B$1:B$65536,SNI!C$1:C$65536,'Isi Data'!E$1:E$65536)</f>
        <v>0</v>
      </c>
      <c r="H759">
        <f>F759*G759</f>
        <v>0</v>
      </c>
    </row>
    <row r="760">
      <c r="C760" t="str">
        <f>'Isi Data'!B168</f>
        <v>Pekerja</v>
      </c>
      <c r="E760" t="str">
        <v>org/hr</v>
      </c>
      <c r="F760">
        <v>1</v>
      </c>
      <c r="G760">
        <f>SUMIF('Isi Data'!B$1:B$65536,SNI!C$1:C$65536,'Isi Data'!E$1:E$65536)</f>
        <v>0</v>
      </c>
      <c r="I760">
        <f>F760*G760</f>
        <v>0</v>
      </c>
    </row>
    <row r="761">
      <c r="C761" t="str">
        <f>'Isi Data'!B159</f>
        <v>Tukang Kayu Halus</v>
      </c>
      <c r="E761" t="str">
        <v>org/hr</v>
      </c>
      <c r="F761">
        <v>3</v>
      </c>
      <c r="G761">
        <f>SUMIF('Isi Data'!B$1:B$65536,SNI!C$1:C$65536,'Isi Data'!E$1:E$65536)</f>
        <v>0</v>
      </c>
      <c r="I761">
        <f>F761*G761</f>
        <v>0</v>
      </c>
    </row>
    <row r="762">
      <c r="C762" t="str">
        <f>'Isi Data'!B160</f>
        <v>Kepala Tukang Kayu</v>
      </c>
      <c r="E762" t="str">
        <v>org/hr</v>
      </c>
      <c r="F762">
        <v>0.3</v>
      </c>
      <c r="G762">
        <f>SUMIF('Isi Data'!B$1:B$65536,SNI!C$1:C$65536,'Isi Data'!E$1:E$65536)</f>
        <v>0</v>
      </c>
      <c r="I762">
        <f>F762*G762</f>
        <v>0</v>
      </c>
    </row>
    <row r="763">
      <c r="C763" t="str">
        <f>'Isi Data'!B169</f>
        <v xml:space="preserve">Mandor </v>
      </c>
      <c r="E763" t="str">
        <v>org/hr</v>
      </c>
      <c r="F763">
        <v>0.05</v>
      </c>
      <c r="G763">
        <f>SUMIF('Isi Data'!B$1:B$65536,SNI!C$1:C$65536,'Isi Data'!E$1:E$65536)</f>
        <v>0</v>
      </c>
      <c r="I763">
        <f>F763*G763</f>
        <v>0</v>
      </c>
    </row>
    <row r="764">
      <c r="G764">
        <f>SUMIF('Isi Data'!B$1:B$65536,SNI!C$1:C$65536,'Isi Data'!E$1:E$65536)</f>
        <v>0</v>
      </c>
    </row>
    <row r="765">
      <c r="A765" t="str">
        <v>SNI 3434:2008-6.8</v>
      </c>
      <c r="B765" t="str">
        <v>M2</v>
      </c>
      <c r="C765" t="str">
        <v xml:space="preserve">Daun Pintu double teakwood; rangka kayu KW.II  tertutup </v>
      </c>
      <c r="G765">
        <f>SUMIF('Isi Data'!B$1:B$65536,SNI!C$1:C$65536,'Isi Data'!E$1:E$65536)</f>
        <v>0</v>
      </c>
      <c r="H765">
        <f>SUM(H766:H773)</f>
        <v>0</v>
      </c>
      <c r="I765">
        <f>SUM(I766:I773)</f>
        <v>0</v>
      </c>
      <c r="J765">
        <f>$J$3</f>
        <v>0.1</v>
      </c>
      <c r="K765">
        <f>SUM(H765:I765)*(1+J765)</f>
        <v>0</v>
      </c>
      <c r="L765">
        <f>ROUND(K765,-2)</f>
        <v>0</v>
      </c>
    </row>
    <row r="766">
      <c r="C766" t="str">
        <f>'Isi Data'!B38</f>
        <v>Kayu Klas II</v>
      </c>
      <c r="D766" t="str">
        <v>papan</v>
      </c>
      <c r="E766" t="str">
        <v>m3</v>
      </c>
      <c r="F766">
        <v>0.025</v>
      </c>
      <c r="G766">
        <f>SUMIF('Isi Data'!B$1:B$65536,SNI!C$1:C$65536,'Isi Data'!E$1:E$65536)</f>
        <v>0</v>
      </c>
      <c r="H766">
        <f>F766*G766</f>
        <v>0</v>
      </c>
      <c r="M766" t="str">
        <f>IF(G766=0,"edit"," ")</f>
        <v>edit</v>
      </c>
    </row>
    <row r="767">
      <c r="C767" t="str">
        <f>'Isi Data'!B97</f>
        <v>Lem Kayu</v>
      </c>
      <c r="E767" t="str">
        <v>kg</v>
      </c>
      <c r="F767">
        <v>0.5</v>
      </c>
      <c r="G767">
        <f>SUMIF('Isi Data'!B$1:B$65536,SNI!C$1:C$65536,'Isi Data'!E$1:E$65536)</f>
        <v>0</v>
      </c>
      <c r="H767">
        <f>F767*G767</f>
        <v>0</v>
      </c>
      <c r="M767" t="str">
        <f>IF(G767=0,"edit"," ")</f>
        <v>edit</v>
      </c>
    </row>
    <row r="768">
      <c r="C768" t="str">
        <f>'Isi Data'!B81</f>
        <v>Paku 1 s/d 3 cm</v>
      </c>
      <c r="E768" t="str">
        <v>kg</v>
      </c>
      <c r="F768">
        <v>0.03</v>
      </c>
      <c r="G768">
        <f>SUMIF('Isi Data'!B$1:B$65536,SNI!C$1:C$65536,'Isi Data'!E$1:E$65536)</f>
        <v>0</v>
      </c>
      <c r="H768">
        <f>F768*G768</f>
        <v>0</v>
      </c>
      <c r="M768" t="str">
        <f>IF(G768=0,"edit"," ")</f>
        <v>edit</v>
      </c>
    </row>
    <row r="769">
      <c r="C769" t="str">
        <f>'Isi Data'!B58</f>
        <v>Triplek  t. 3 mm</v>
      </c>
      <c r="D769" t="str">
        <v>uk. 90x220</v>
      </c>
      <c r="E769" t="str">
        <v>lbr</v>
      </c>
      <c r="F769">
        <v>1</v>
      </c>
      <c r="G769">
        <f>SUMIF('Isi Data'!B$1:B$65536,SNI!C$1:C$65536,'Isi Data'!E$1:E$65536)</f>
        <v>0</v>
      </c>
      <c r="H769">
        <f>F769*G769</f>
        <v>0</v>
      </c>
      <c r="M769" t="str">
        <f>IF(G769=0,"edit"," ")</f>
        <v>edit</v>
      </c>
    </row>
    <row r="770">
      <c r="C770" t="str">
        <f>'Isi Data'!B168</f>
        <v>Pekerja</v>
      </c>
      <c r="E770" t="str">
        <v>org/hr</v>
      </c>
      <c r="F770">
        <v>0.7</v>
      </c>
      <c r="G770">
        <f>SUMIF('Isi Data'!B$1:B$65536,SNI!C$1:C$65536,'Isi Data'!E$1:E$65536)</f>
        <v>0</v>
      </c>
      <c r="I770">
        <f>F770*G770</f>
        <v>0</v>
      </c>
      <c r="M770" t="str">
        <f>IF(G770=0,"edit"," ")</f>
        <v>edit</v>
      </c>
    </row>
    <row r="771">
      <c r="C771" t="str">
        <f>'Isi Data'!B159</f>
        <v>Tukang Kayu Halus</v>
      </c>
      <c r="E771" t="str">
        <v>org/hr</v>
      </c>
      <c r="F771">
        <v>2.1</v>
      </c>
      <c r="G771">
        <f>SUMIF('Isi Data'!B$1:B$65536,SNI!C$1:C$65536,'Isi Data'!E$1:E$65536)</f>
        <v>0</v>
      </c>
      <c r="I771">
        <f>F771*G771</f>
        <v>0</v>
      </c>
      <c r="M771" t="str">
        <f>IF(G771=0,"edit"," ")</f>
        <v>edit</v>
      </c>
    </row>
    <row r="772">
      <c r="C772" t="str">
        <f>'Isi Data'!B160</f>
        <v>Kepala Tukang Kayu</v>
      </c>
      <c r="E772" t="str">
        <v>org/hr</v>
      </c>
      <c r="F772">
        <v>0.21</v>
      </c>
      <c r="G772">
        <f>SUMIF('Isi Data'!B$1:B$65536,SNI!C$1:C$65536,'Isi Data'!E$1:E$65536)</f>
        <v>0</v>
      </c>
      <c r="I772">
        <f>F772*G772</f>
        <v>0</v>
      </c>
      <c r="M772" t="str">
        <f>IF(G772=0,"edit"," ")</f>
        <v>edit</v>
      </c>
    </row>
    <row r="773">
      <c r="C773" t="str">
        <f>'Isi Data'!B169</f>
        <v xml:space="preserve">Mandor </v>
      </c>
      <c r="E773" t="str">
        <v>org/hr</v>
      </c>
      <c r="F773">
        <v>0.35</v>
      </c>
      <c r="G773">
        <f>SUMIF('Isi Data'!B$1:B$65536,SNI!C$1:C$65536,'Isi Data'!E$1:E$65536)</f>
        <v>0</v>
      </c>
      <c r="I773">
        <f>F773*G773</f>
        <v>0</v>
      </c>
      <c r="M773" t="str">
        <f>IF(G773=0,"edit"," ")</f>
        <v>edit</v>
      </c>
    </row>
    <row r="774">
      <c r="G774">
        <f>SUMIF('Isi Data'!B$1:B$65536,SNI!C$1:C$65536,'Isi Data'!E$1:E$65536)</f>
        <v>0</v>
      </c>
    </row>
    <row r="775">
      <c r="A775" t="str">
        <v>SNI DT 91-0011-2007</v>
      </c>
      <c r="B775" t="str">
        <v>M2</v>
      </c>
      <c r="C775" t="str">
        <v>Daun Pintu double triplex; rangka kayu KW.III tertutup</v>
      </c>
      <c r="G775">
        <f>SUMIF('Isi Data'!B$1:B$65536,SNI!C$1:C$65536,'Isi Data'!E$1:E$65536)</f>
        <v>0</v>
      </c>
      <c r="H775">
        <f>SUM(H776:H783)</f>
        <v>0</v>
      </c>
      <c r="I775">
        <f>SUM(I776:I783)</f>
        <v>0</v>
      </c>
      <c r="J775">
        <f>$J$3</f>
        <v>0.1</v>
      </c>
      <c r="K775">
        <f>SUM(H775:I775)*(1+J775)</f>
        <v>0</v>
      </c>
      <c r="L775">
        <f>ROUND(K775,-2)</f>
        <v>0</v>
      </c>
    </row>
    <row r="776">
      <c r="C776" t="str">
        <f>'Isi Data'!B39</f>
        <v>Kayu Klas III</v>
      </c>
      <c r="D776" t="str">
        <v>papan</v>
      </c>
      <c r="E776" t="str">
        <v>m3</v>
      </c>
      <c r="F776">
        <v>0.025</v>
      </c>
      <c r="G776">
        <f>SUMIF('Isi Data'!B$1:B$65536,SNI!C$1:C$65536,'Isi Data'!E$1:E$65536)</f>
        <v>0</v>
      </c>
      <c r="H776">
        <f>F776*G776</f>
        <v>0</v>
      </c>
      <c r="M776" t="str">
        <f>IF(G776=0,"edit"," ")</f>
        <v>edit</v>
      </c>
    </row>
    <row r="777">
      <c r="C777" t="str">
        <f>'Isi Data'!B97</f>
        <v>Lem Kayu</v>
      </c>
      <c r="E777" t="str">
        <v>kg</v>
      </c>
      <c r="F777">
        <v>0.5</v>
      </c>
      <c r="G777">
        <f>SUMIF('Isi Data'!B$1:B$65536,SNI!C$1:C$65536,'Isi Data'!E$1:E$65536)</f>
        <v>0</v>
      </c>
      <c r="H777">
        <f>F777*G777</f>
        <v>0</v>
      </c>
      <c r="M777" t="str">
        <f>IF(G777=0,"edit"," ")</f>
        <v>edit</v>
      </c>
    </row>
    <row r="778">
      <c r="C778" t="str">
        <f>'Isi Data'!B81</f>
        <v>Paku 1 s/d 3 cm</v>
      </c>
      <c r="E778" t="str">
        <v>kg</v>
      </c>
      <c r="F778">
        <v>0.03</v>
      </c>
      <c r="G778">
        <f>SUMIF('Isi Data'!B$1:B$65536,SNI!C$1:C$65536,'Isi Data'!E$1:E$65536)</f>
        <v>0</v>
      </c>
      <c r="H778">
        <f>F778*G778</f>
        <v>0</v>
      </c>
      <c r="M778" t="str">
        <f>IF(G778=0,"edit"," ")</f>
        <v>edit</v>
      </c>
    </row>
    <row r="779">
      <c r="C779" t="str">
        <f>'Isi Data'!B59</f>
        <v>Triplex  t. 4 mm</v>
      </c>
      <c r="D779" t="str">
        <v>uk. 90x220</v>
      </c>
      <c r="E779" t="str">
        <v>lbr</v>
      </c>
      <c r="F779">
        <v>2</v>
      </c>
      <c r="G779">
        <f>SUMIF('Isi Data'!B$1:B$65536,SNI!C$1:C$65536,'Isi Data'!E$1:E$65536)</f>
        <v>0</v>
      </c>
      <c r="H779">
        <f>F779*G779</f>
        <v>0</v>
      </c>
      <c r="M779" t="str">
        <f>IF(G779=0,"edit"," ")</f>
        <v>edit</v>
      </c>
    </row>
    <row r="780">
      <c r="C780" t="str">
        <f>'Isi Data'!B168</f>
        <v>Pekerja</v>
      </c>
      <c r="E780" t="str">
        <v>org/hr</v>
      </c>
      <c r="F780">
        <v>0.8</v>
      </c>
      <c r="G780">
        <f>SUMIF('Isi Data'!B$1:B$65536,SNI!C$1:C$65536,'Isi Data'!E$1:E$65536)</f>
        <v>0</v>
      </c>
      <c r="I780">
        <f>F780*G780</f>
        <v>0</v>
      </c>
      <c r="M780" t="str">
        <f>IF(G780=0,"edit"," ")</f>
        <v>edit</v>
      </c>
    </row>
    <row r="781">
      <c r="C781" t="str">
        <f>'Isi Data'!B159</f>
        <v>Tukang Kayu Halus</v>
      </c>
      <c r="E781" t="str">
        <v>org/hr</v>
      </c>
      <c r="F781">
        <v>2.4</v>
      </c>
      <c r="G781">
        <f>SUMIF('Isi Data'!B$1:B$65536,SNI!C$1:C$65536,'Isi Data'!E$1:E$65536)</f>
        <v>0</v>
      </c>
      <c r="I781">
        <f>F781*G781</f>
        <v>0</v>
      </c>
      <c r="M781" t="str">
        <f>IF(G781=0,"edit"," ")</f>
        <v>edit</v>
      </c>
    </row>
    <row r="782">
      <c r="C782" t="str">
        <f>'Isi Data'!B160</f>
        <v>Kepala Tukang Kayu</v>
      </c>
      <c r="E782" t="str">
        <v>org/hr</v>
      </c>
      <c r="F782">
        <v>0.24</v>
      </c>
      <c r="G782">
        <f>SUMIF('Isi Data'!B$1:B$65536,SNI!C$1:C$65536,'Isi Data'!E$1:E$65536)</f>
        <v>0</v>
      </c>
      <c r="I782">
        <f>F782*G782</f>
        <v>0</v>
      </c>
      <c r="M782" t="str">
        <f>IF(G782=0,"edit"," ")</f>
        <v>edit</v>
      </c>
    </row>
    <row r="783">
      <c r="C783" t="str">
        <f>'Isi Data'!B169</f>
        <v xml:space="preserve">Mandor </v>
      </c>
      <c r="E783" t="str">
        <v>org/hr</v>
      </c>
      <c r="F783">
        <v>0.04</v>
      </c>
      <c r="G783">
        <f>SUMIF('Isi Data'!B$1:B$65536,SNI!C$1:C$65536,'Isi Data'!E$1:E$65536)</f>
        <v>0</v>
      </c>
      <c r="I783">
        <f>F783*G783</f>
        <v>0</v>
      </c>
      <c r="M783" t="str">
        <f>IF(G783=0,"edit"," ")</f>
        <v>edit</v>
      </c>
    </row>
    <row r="784">
      <c r="G784">
        <f>SUMIF('Isi Data'!B$1:B$65536,SNI!C$1:C$65536,'Isi Data'!E$1:E$65536)</f>
        <v>0</v>
      </c>
    </row>
    <row r="785">
      <c r="A785" t="str">
        <v>SNI 7393:2008-6.4</v>
      </c>
      <c r="B785" t="str">
        <v>M2</v>
      </c>
      <c r="C785" t="str">
        <v>Pintu besi plat baja t. 2 mm rangkap; rangka besi siku</v>
      </c>
      <c r="G785">
        <f>SUMIF('Isi Data'!B$1:B$65536,SNI!C$1:C$65536,'Isi Data'!E$1:E$65536)</f>
        <v>0</v>
      </c>
      <c r="H785">
        <f>SUM(H786:H792)</f>
        <v>0</v>
      </c>
      <c r="I785">
        <f>SUM(I786:I792)</f>
        <v>0</v>
      </c>
      <c r="J785">
        <f>$J$3</f>
        <v>0.1</v>
      </c>
      <c r="K785">
        <f>SUM(H785:I785)*(1+J785)</f>
        <v>0</v>
      </c>
      <c r="L785">
        <f>ROUND(K785,-2)</f>
        <v>0</v>
      </c>
    </row>
    <row r="786">
      <c r="C786" t="str">
        <f>'Isi Data'!B31</f>
        <v xml:space="preserve">Besi Plat rata2 </v>
      </c>
      <c r="D786" t="str">
        <v>besi siku 30.30.3 mm</v>
      </c>
      <c r="E786" t="str">
        <v>kg</v>
      </c>
      <c r="F786">
        <v>15</v>
      </c>
      <c r="G786">
        <f>SUMIF('Isi Data'!B$1:B$65536,SNI!C$1:C$65536,'Isi Data'!E$1:E$65536)</f>
        <v>0</v>
      </c>
      <c r="H786">
        <f>F786*G786</f>
        <v>0</v>
      </c>
      <c r="M786" t="str">
        <f>IF(G786=0,"edit"," ")</f>
        <v>edit</v>
      </c>
    </row>
    <row r="787">
      <c r="C787" t="str">
        <f>'Isi Data'!B31</f>
        <v xml:space="preserve">Besi Plat rata2 </v>
      </c>
      <c r="D787" t="str">
        <v>besi plat</v>
      </c>
      <c r="E787" t="str">
        <v>kg</v>
      </c>
      <c r="F787">
        <v>32.8</v>
      </c>
      <c r="G787">
        <f>SUMIF('Isi Data'!B$1:B$65536,SNI!C$1:C$65536,'Isi Data'!E$1:E$65536)</f>
        <v>0</v>
      </c>
      <c r="H787">
        <f>F787*G787</f>
        <v>0</v>
      </c>
      <c r="M787" t="str">
        <f>IF(G787=0,"edit"," ")</f>
        <v>edit</v>
      </c>
    </row>
    <row r="788">
      <c r="C788" t="str">
        <f>'Isi Data'!B34</f>
        <v>Kawat beton</v>
      </c>
      <c r="E788" t="str">
        <v>kg</v>
      </c>
      <c r="F788">
        <v>0.05</v>
      </c>
      <c r="G788">
        <f>SUMIF('Isi Data'!B$1:B$65536,SNI!C$1:C$65536,'Isi Data'!E$1:E$65536)</f>
        <v>0</v>
      </c>
      <c r="H788">
        <f>F788*G788</f>
        <v>0</v>
      </c>
      <c r="M788" t="str">
        <f>IF(G788=0,"edit"," ")</f>
        <v>edit</v>
      </c>
    </row>
    <row r="789">
      <c r="C789" t="str">
        <f>'Isi Data'!B168</f>
        <v>Pekerja</v>
      </c>
      <c r="E789" t="str">
        <v>org/hr</v>
      </c>
      <c r="F789">
        <v>1.05</v>
      </c>
      <c r="G789">
        <f>SUMIF('Isi Data'!B$1:B$65536,SNI!C$1:C$65536,'Isi Data'!E$1:E$65536)</f>
        <v>0</v>
      </c>
      <c r="I789">
        <f>F789*G789</f>
        <v>0</v>
      </c>
      <c r="M789" t="str">
        <f>IF(G789=0,"edit"," ")</f>
        <v>edit</v>
      </c>
    </row>
    <row r="790">
      <c r="C790" t="str">
        <f>'Isi Data'!B155</f>
        <v>Tukang Besi Konstruksi</v>
      </c>
      <c r="E790" t="str">
        <v>org/hr</v>
      </c>
      <c r="F790">
        <v>1.05</v>
      </c>
      <c r="G790">
        <f>SUMIF('Isi Data'!B$1:B$65536,SNI!C$1:C$65536,'Isi Data'!E$1:E$65536)</f>
        <v>0</v>
      </c>
      <c r="I790">
        <f>F790*G790</f>
        <v>0</v>
      </c>
      <c r="M790" t="str">
        <f>IF(G790=0,"edit"," ")</f>
        <v>edit</v>
      </c>
    </row>
    <row r="791">
      <c r="C791" t="str">
        <f>'Isi Data'!B157</f>
        <v>Kepala Tukang Besi</v>
      </c>
      <c r="E791" t="str">
        <v>org/hr</v>
      </c>
      <c r="F791">
        <v>0.105</v>
      </c>
      <c r="G791">
        <f>SUMIF('Isi Data'!B$1:B$65536,SNI!C$1:C$65536,'Isi Data'!E$1:E$65536)</f>
        <v>0</v>
      </c>
      <c r="I791">
        <f>F791*G791</f>
        <v>0</v>
      </c>
      <c r="M791" t="str">
        <f>IF(G791=0,"edit"," ")</f>
        <v>edit</v>
      </c>
    </row>
    <row r="792">
      <c r="C792" t="str">
        <f>'Isi Data'!B169</f>
        <v xml:space="preserve">Mandor </v>
      </c>
      <c r="E792" t="str">
        <v>org/hr</v>
      </c>
      <c r="F792">
        <v>0.052</v>
      </c>
      <c r="G792">
        <f>SUMIF('Isi Data'!B$1:B$65536,SNI!C$1:C$65536,'Isi Data'!E$1:E$65536)</f>
        <v>0</v>
      </c>
      <c r="I792">
        <f>F792*G792</f>
        <v>0</v>
      </c>
      <c r="M792" t="str">
        <f>IF(G792=0,"edit"," ")</f>
        <v>edit</v>
      </c>
    </row>
    <row r="795">
      <c r="B795" t="str">
        <v>M2</v>
      </c>
      <c r="C795" t="str">
        <v xml:space="preserve">Pagar Besi </v>
      </c>
      <c r="H795">
        <f>SUM(H796:H801)</f>
        <v>0</v>
      </c>
      <c r="I795">
        <f>SUM(I796:I801)</f>
        <v>0</v>
      </c>
      <c r="J795">
        <f>$J$3</f>
        <v>0.1</v>
      </c>
      <c r="K795">
        <f>SUM(H795:I795)*(1+J795)</f>
        <v>0</v>
      </c>
      <c r="L795">
        <f>ROUND(K795,-2)</f>
        <v>0</v>
      </c>
    </row>
    <row r="796">
      <c r="C796" t="str">
        <f>'Isi Data'!B31</f>
        <v xml:space="preserve">Besi Plat rata2 </v>
      </c>
      <c r="E796" t="str">
        <v>kg</v>
      </c>
      <c r="F796">
        <f>20*1.25</f>
        <v>25</v>
      </c>
      <c r="G796">
        <f>SUMIF('Isi Data'!B$1:B$65536,SNI!C$1:C$65536,'Isi Data'!E$1:E$65536)</f>
        <v>0</v>
      </c>
      <c r="H796">
        <f>F796*G796</f>
        <v>0</v>
      </c>
      <c r="M796" t="str">
        <f>IF(G796=0,"edit"," ")</f>
        <v>edit</v>
      </c>
    </row>
    <row r="797">
      <c r="C797" t="str">
        <f>'Isi Data'!B34</f>
        <v>Kawat beton</v>
      </c>
      <c r="E797" t="str">
        <v>kg</v>
      </c>
      <c r="F797">
        <v>0.05</v>
      </c>
      <c r="G797">
        <f>SUMIF('Isi Data'!B$1:B$65536,SNI!C$1:C$65536,'Isi Data'!E$1:E$65536)</f>
        <v>0</v>
      </c>
      <c r="H797">
        <f>F797*G797</f>
        <v>0</v>
      </c>
      <c r="M797" t="str">
        <f>IF(G797=0,"edit"," ")</f>
        <v>edit</v>
      </c>
    </row>
    <row r="798">
      <c r="C798" t="str">
        <f>'Isi Data'!B168</f>
        <v>Pekerja</v>
      </c>
      <c r="E798" t="str">
        <v>org/hr</v>
      </c>
      <c r="F798">
        <v>1.05</v>
      </c>
      <c r="G798">
        <f>SUMIF('Isi Data'!B$1:B$65536,SNI!C$1:C$65536,'Isi Data'!E$1:E$65536)</f>
        <v>0</v>
      </c>
      <c r="I798">
        <f>F798*G798</f>
        <v>0</v>
      </c>
      <c r="M798" t="str">
        <f>IF(G798=0,"edit"," ")</f>
        <v>edit</v>
      </c>
    </row>
    <row r="799">
      <c r="C799" t="str">
        <f>'Isi Data'!B155</f>
        <v>Tukang Besi Konstruksi</v>
      </c>
      <c r="E799" t="str">
        <v>org/hr</v>
      </c>
      <c r="F799">
        <v>1.05</v>
      </c>
      <c r="G799">
        <f>SUMIF('Isi Data'!B$1:B$65536,SNI!C$1:C$65536,'Isi Data'!E$1:E$65536)</f>
        <v>0</v>
      </c>
      <c r="I799">
        <f>F799*G799</f>
        <v>0</v>
      </c>
      <c r="M799" t="str">
        <f>IF(G799=0,"edit"," ")</f>
        <v>edit</v>
      </c>
    </row>
    <row r="800">
      <c r="C800" t="str">
        <f>'Isi Data'!B157</f>
        <v>Kepala Tukang Besi</v>
      </c>
      <c r="E800" t="str">
        <v>org/hr</v>
      </c>
      <c r="F800">
        <v>0.105</v>
      </c>
      <c r="G800">
        <f>SUMIF('Isi Data'!B$1:B$65536,SNI!C$1:C$65536,'Isi Data'!E$1:E$65536)</f>
        <v>0</v>
      </c>
      <c r="I800">
        <f>F800*G800</f>
        <v>0</v>
      </c>
      <c r="M800" t="str">
        <f>IF(G800=0,"edit"," ")</f>
        <v>edit</v>
      </c>
    </row>
    <row r="801">
      <c r="C801" t="str">
        <f>'Isi Data'!B169</f>
        <v xml:space="preserve">Mandor </v>
      </c>
      <c r="E801" t="str">
        <v>org/hr</v>
      </c>
      <c r="F801">
        <v>0.052</v>
      </c>
      <c r="G801">
        <f>SUMIF('Isi Data'!B$1:B$65536,SNI!C$1:C$65536,'Isi Data'!E$1:E$65536)</f>
        <v>0</v>
      </c>
      <c r="I801">
        <f>F801*G801</f>
        <v>0</v>
      </c>
      <c r="M801" t="str">
        <f>IF(G801=0,"edit"," ")</f>
        <v>edit</v>
      </c>
    </row>
    <row r="802">
      <c r="I802">
        <f>F802*G802</f>
        <v>0</v>
      </c>
    </row>
    <row r="803">
      <c r="B803" t="str">
        <v>M2</v>
      </c>
      <c r="C803" t="str">
        <v>Pagar Besi Tempa</v>
      </c>
      <c r="H803">
        <f>SUM(H804:H809)</f>
        <v>0</v>
      </c>
      <c r="I803">
        <f>SUM(I804:I809)</f>
        <v>0</v>
      </c>
      <c r="J803">
        <f>$J$3</f>
        <v>0.1</v>
      </c>
      <c r="K803">
        <f>SUM(H803:I803)*(1+J803)</f>
        <v>0</v>
      </c>
      <c r="L803">
        <f>ROUND(K803,-2)</f>
        <v>0</v>
      </c>
    </row>
    <row r="804">
      <c r="C804" t="str">
        <f>'Isi Data'!B32</f>
        <v>Besi Tempa</v>
      </c>
      <c r="E804" t="str">
        <v>m2</v>
      </c>
      <c r="F804">
        <v>1.2</v>
      </c>
      <c r="G804">
        <f>SUMIF('Isi Data'!B$1:B$65536,SNI!C$1:C$65536,'Isi Data'!E$1:E$65536)</f>
        <v>0</v>
      </c>
      <c r="H804">
        <f>F804*G804</f>
        <v>0</v>
      </c>
    </row>
    <row r="805">
      <c r="C805" t="str">
        <f>'Isi Data'!B34</f>
        <v>Kawat beton</v>
      </c>
      <c r="E805" t="str">
        <v>kg</v>
      </c>
      <c r="F805">
        <v>0.05</v>
      </c>
      <c r="G805">
        <f>SUMIF('Isi Data'!B$1:B$65536,SNI!C$1:C$65536,'Isi Data'!E$1:E$65536)</f>
        <v>0</v>
      </c>
      <c r="H805">
        <f>F805*G805</f>
        <v>0</v>
      </c>
    </row>
    <row r="806">
      <c r="C806" t="str">
        <f>'Isi Data'!B168</f>
        <v>Pekerja</v>
      </c>
      <c r="E806" t="str">
        <v>org/hr</v>
      </c>
      <c r="F806">
        <v>1.05</v>
      </c>
      <c r="G806">
        <f>SUMIF('Isi Data'!B$1:B$65536,SNI!C$1:C$65536,'Isi Data'!E$1:E$65536)</f>
        <v>0</v>
      </c>
      <c r="I806">
        <f>F806*G806</f>
        <v>0</v>
      </c>
    </row>
    <row r="807">
      <c r="C807" t="str">
        <f>'Isi Data'!B155</f>
        <v>Tukang Besi Konstruksi</v>
      </c>
      <c r="E807" t="str">
        <v>org/hr</v>
      </c>
      <c r="F807">
        <v>1.05</v>
      </c>
      <c r="G807">
        <f>SUMIF('Isi Data'!B$1:B$65536,SNI!C$1:C$65536,'Isi Data'!E$1:E$65536)</f>
        <v>0</v>
      </c>
      <c r="I807">
        <f>F807*G807</f>
        <v>0</v>
      </c>
    </row>
    <row r="808">
      <c r="C808" t="str">
        <f>'Isi Data'!B157</f>
        <v>Kepala Tukang Besi</v>
      </c>
      <c r="E808" t="str">
        <v>org/hr</v>
      </c>
      <c r="F808">
        <v>0.105</v>
      </c>
      <c r="G808">
        <f>SUMIF('Isi Data'!B$1:B$65536,SNI!C$1:C$65536,'Isi Data'!E$1:E$65536)</f>
        <v>0</v>
      </c>
      <c r="I808">
        <f>F808*G808</f>
        <v>0</v>
      </c>
    </row>
    <row r="809">
      <c r="C809" t="str">
        <f>'Isi Data'!B169</f>
        <v xml:space="preserve">Mandor </v>
      </c>
      <c r="E809" t="str">
        <v>org/hr</v>
      </c>
      <c r="F809">
        <v>0.052</v>
      </c>
      <c r="G809">
        <f>SUMIF('Isi Data'!B$1:B$65536,SNI!C$1:C$65536,'Isi Data'!E$1:E$65536)</f>
        <v>0</v>
      </c>
      <c r="I809">
        <f>F809*G809</f>
        <v>0</v>
      </c>
    </row>
    <row r="811">
      <c r="C811" t="str">
        <v>PEKERJAAN KUNCI DAN PENGGANTUNG</v>
      </c>
      <c r="G811">
        <f>SUMIF('Isi Data'!B$1:B$65536,SNI!C$1:C$65536,'Isi Data'!E$1:E$65536)</f>
        <v>0</v>
      </c>
    </row>
    <row r="812">
      <c r="G812">
        <f>SUMIF('Isi Data'!B$1:B$65536,SNI!C$1:C$65536,'Isi Data'!E$1:E$65536)</f>
        <v>0</v>
      </c>
    </row>
    <row r="813">
      <c r="A813" t="str">
        <v>PT T-30-2000-C</v>
      </c>
      <c r="B813" t="str">
        <v>BH</v>
      </c>
      <c r="C813" t="str">
        <v>Pas. Kunci pintu ruangan</v>
      </c>
      <c r="G813">
        <f>SUMIF('Isi Data'!B$1:B$65536,SNI!C$1:C$65536,'Isi Data'!E$1:E$65536)</f>
        <v>0</v>
      </c>
      <c r="H813">
        <f>SUM(H814:H818)</f>
        <v>0</v>
      </c>
      <c r="I813">
        <f>SUM(I814:I818)</f>
        <v>0</v>
      </c>
      <c r="J813">
        <f>$J$3</f>
        <v>0.1</v>
      </c>
      <c r="K813">
        <f>SUM(H813:I813)*(1+J813)</f>
        <v>0</v>
      </c>
      <c r="L813">
        <f>ROUND(K813,-2)</f>
        <v>0</v>
      </c>
    </row>
    <row r="814">
      <c r="C814" t="str">
        <f>'Isi Data'!B49</f>
        <v xml:space="preserve">Handle pintu </v>
      </c>
      <c r="E814" t="str">
        <v>bh</v>
      </c>
      <c r="F814">
        <v>1</v>
      </c>
      <c r="G814">
        <f>SUMIF('Isi Data'!B$1:B$65536,SNI!C$1:C$65536,'Isi Data'!E$1:E$65536)</f>
        <v>0</v>
      </c>
      <c r="H814">
        <f>F814*G814</f>
        <v>0</v>
      </c>
      <c r="M814" t="str">
        <f>IF(G814=0,"edit"," ")</f>
        <v>edit</v>
      </c>
    </row>
    <row r="815">
      <c r="C815" t="str">
        <f>'Isi Data'!B168</f>
        <v>Pekerja</v>
      </c>
      <c r="E815" t="str">
        <v>org/hr</v>
      </c>
      <c r="F815">
        <v>0</v>
      </c>
      <c r="G815">
        <f>SUMIF('Isi Data'!B$1:B$65536,SNI!C$1:C$65536,'Isi Data'!E$1:E$65536)</f>
        <v>0</v>
      </c>
      <c r="I815">
        <f>F815*G815</f>
        <v>0</v>
      </c>
      <c r="M815" t="str">
        <f>IF(G815=0,"edit"," ")</f>
        <v>edit</v>
      </c>
    </row>
    <row r="816">
      <c r="C816" t="str">
        <f>'Isi Data'!B159</f>
        <v>Tukang Kayu Halus</v>
      </c>
      <c r="E816" t="str">
        <v>org/hr</v>
      </c>
      <c r="F816">
        <v>0.5</v>
      </c>
      <c r="G816">
        <f>SUMIF('Isi Data'!B$1:B$65536,SNI!C$1:C$65536,'Isi Data'!E$1:E$65536)</f>
        <v>0</v>
      </c>
      <c r="I816">
        <f>F816*G816</f>
        <v>0</v>
      </c>
      <c r="M816" t="str">
        <f>IF(G816=0,"edit"," ")</f>
        <v>edit</v>
      </c>
    </row>
    <row r="817">
      <c r="C817" t="str">
        <f>'Isi Data'!B160</f>
        <v>Kepala Tukang Kayu</v>
      </c>
      <c r="E817" t="str">
        <v>org/hr</v>
      </c>
      <c r="F817">
        <v>0.05</v>
      </c>
      <c r="G817">
        <f>SUMIF('Isi Data'!B$1:B$65536,SNI!C$1:C$65536,'Isi Data'!E$1:E$65536)</f>
        <v>0</v>
      </c>
      <c r="I817">
        <f>F817*G817</f>
        <v>0</v>
      </c>
      <c r="M817" t="str">
        <f>IF(G817=0,"edit"," ")</f>
        <v>edit</v>
      </c>
    </row>
    <row r="818">
      <c r="C818" t="str">
        <f>'Isi Data'!B169</f>
        <v xml:space="preserve">Mandor </v>
      </c>
      <c r="E818" t="str">
        <v>org/hr</v>
      </c>
      <c r="F818">
        <v>0</v>
      </c>
      <c r="G818">
        <f>SUMIF('Isi Data'!B$1:B$65536,SNI!C$1:C$65536,'Isi Data'!E$1:E$65536)</f>
        <v>0</v>
      </c>
      <c r="I818">
        <f>F818*G818</f>
        <v>0</v>
      </c>
      <c r="M818" t="str">
        <f>IF(G818=0,"edit"," ")</f>
        <v>edit</v>
      </c>
    </row>
    <row r="819">
      <c r="G819">
        <f>SUMIF('Isi Data'!B$1:B$65536,SNI!C$1:C$65536,'Isi Data'!E$1:E$65536)</f>
        <v>0</v>
      </c>
    </row>
    <row r="820">
      <c r="A820" t="str">
        <v>PT T-30-2000-C</v>
      </c>
      <c r="B820" t="str">
        <v>BH</v>
      </c>
      <c r="C820" t="str">
        <v>Pas. Kunci tanam biasa</v>
      </c>
      <c r="G820">
        <f>SUMIF('Isi Data'!B$1:B$65536,SNI!C$1:C$65536,'Isi Data'!E$1:E$65536)</f>
        <v>0</v>
      </c>
      <c r="H820">
        <f>SUM(H821:H825)</f>
        <v>0</v>
      </c>
      <c r="I820">
        <f>SUM(I821:I825)</f>
        <v>0</v>
      </c>
      <c r="J820">
        <f>$J$3</f>
        <v>0.1</v>
      </c>
      <c r="K820">
        <f>SUM(H820:I820)*(1+J820)</f>
        <v>0</v>
      </c>
      <c r="L820">
        <f>ROUND(K820,-2)</f>
        <v>0</v>
      </c>
    </row>
    <row r="821">
      <c r="C821" t="str">
        <f>'Isi Data'!B49</f>
        <v xml:space="preserve">Handle pintu </v>
      </c>
      <c r="E821" t="str">
        <v>bh</v>
      </c>
      <c r="F821">
        <v>1</v>
      </c>
      <c r="G821">
        <f>SUMIF('Isi Data'!B$1:B$65536,SNI!C$1:C$65536,'Isi Data'!E$1:E$65536)</f>
        <v>0</v>
      </c>
      <c r="H821">
        <f>F821*G821</f>
        <v>0</v>
      </c>
    </row>
    <row r="822">
      <c r="C822" t="str">
        <f>'Isi Data'!B168</f>
        <v>Pekerja</v>
      </c>
      <c r="E822" t="str">
        <v>org/hr</v>
      </c>
      <c r="F822">
        <v>0</v>
      </c>
      <c r="G822">
        <f>SUMIF('Isi Data'!B$1:B$65536,SNI!C$1:C$65536,'Isi Data'!E$1:E$65536)</f>
        <v>0</v>
      </c>
      <c r="I822">
        <f>F822*G822</f>
        <v>0</v>
      </c>
    </row>
    <row r="823">
      <c r="C823" t="str">
        <f>'Isi Data'!B159</f>
        <v>Tukang Kayu Halus</v>
      </c>
      <c r="E823" t="str">
        <v>org/hr</v>
      </c>
      <c r="F823">
        <v>0.5</v>
      </c>
      <c r="G823">
        <f>SUMIF('Isi Data'!B$1:B$65536,SNI!C$1:C$65536,'Isi Data'!E$1:E$65536)</f>
        <v>0</v>
      </c>
      <c r="I823">
        <f>F823*G823</f>
        <v>0</v>
      </c>
    </row>
    <row r="824">
      <c r="C824" t="str">
        <f>'Isi Data'!B160</f>
        <v>Kepala Tukang Kayu</v>
      </c>
      <c r="E824" t="str">
        <v>org/hr</v>
      </c>
      <c r="F824">
        <v>0.05</v>
      </c>
      <c r="G824">
        <f>SUMIF('Isi Data'!B$1:B$65536,SNI!C$1:C$65536,'Isi Data'!E$1:E$65536)</f>
        <v>0</v>
      </c>
      <c r="I824">
        <f>F824*G824</f>
        <v>0</v>
      </c>
    </row>
    <row r="825">
      <c r="C825" t="str">
        <f>'Isi Data'!B169</f>
        <v xml:space="preserve">Mandor </v>
      </c>
      <c r="E825" t="str">
        <v>org/hr</v>
      </c>
      <c r="F825">
        <v>0</v>
      </c>
      <c r="G825">
        <f>SUMIF('Isi Data'!B$1:B$65536,SNI!C$1:C$65536,'Isi Data'!E$1:E$65536)</f>
        <v>0</v>
      </c>
      <c r="I825">
        <f>F825*G825</f>
        <v>0</v>
      </c>
    </row>
    <row r="826">
      <c r="G826">
        <f>SUMIF('Isi Data'!B$1:B$65536,SNI!C$1:C$65536,'Isi Data'!E$1:E$65536)</f>
        <v>0</v>
      </c>
    </row>
    <row r="827">
      <c r="A827" t="str">
        <v>PT T-30-2000-C</v>
      </c>
      <c r="B827" t="str">
        <v>BH</v>
      </c>
      <c r="C827" t="str">
        <v>Pas. Kunci tanam pintu Almunium</v>
      </c>
      <c r="G827">
        <f>SUMIF('Isi Data'!B$1:B$65536,SNI!C$1:C$65536,'Isi Data'!E$1:E$65536)</f>
        <v>0</v>
      </c>
      <c r="H827">
        <f>SUM(H828:H832)</f>
        <v>0</v>
      </c>
      <c r="I827">
        <f>SUM(I828:I832)</f>
        <v>0</v>
      </c>
      <c r="J827">
        <f>$J$3</f>
        <v>0.1</v>
      </c>
      <c r="K827">
        <f>SUM(H827:I827)*(1+J827)</f>
        <v>0</v>
      </c>
      <c r="L827">
        <f>ROUND(K827,-2)</f>
        <v>0</v>
      </c>
    </row>
    <row r="828">
      <c r="C828" t="str">
        <f>'Isi Data'!B49</f>
        <v xml:space="preserve">Handle pintu </v>
      </c>
      <c r="E828" t="str">
        <v>bh</v>
      </c>
      <c r="F828">
        <v>1</v>
      </c>
      <c r="G828">
        <f>SUMIF('Isi Data'!B$1:B$65536,SNI!C$1:C$65536,'Isi Data'!E$1:E$65536)</f>
        <v>0</v>
      </c>
      <c r="H828">
        <f>F828*G828</f>
        <v>0</v>
      </c>
    </row>
    <row r="829">
      <c r="C829" t="str">
        <f>'Isi Data'!B168</f>
        <v>Pekerja</v>
      </c>
      <c r="E829" t="str">
        <v>org/hr</v>
      </c>
      <c r="F829">
        <v>0</v>
      </c>
      <c r="G829">
        <f>SUMIF('Isi Data'!B$1:B$65536,SNI!C$1:C$65536,'Isi Data'!E$1:E$65536)</f>
        <v>0</v>
      </c>
      <c r="I829">
        <f>F829*G829</f>
        <v>0</v>
      </c>
    </row>
    <row r="830">
      <c r="C830" t="str">
        <f>'Isi Data'!B159</f>
        <v>Tukang Kayu Halus</v>
      </c>
      <c r="E830" t="str">
        <v>org/hr</v>
      </c>
      <c r="F830">
        <v>0.5</v>
      </c>
      <c r="G830">
        <f>SUMIF('Isi Data'!B$1:B$65536,SNI!C$1:C$65536,'Isi Data'!E$1:E$65536)</f>
        <v>0</v>
      </c>
      <c r="I830">
        <f>F830*G830</f>
        <v>0</v>
      </c>
    </row>
    <row r="831">
      <c r="C831" t="str">
        <f>'Isi Data'!B160</f>
        <v>Kepala Tukang Kayu</v>
      </c>
      <c r="E831" t="str">
        <v>org/hr</v>
      </c>
      <c r="F831">
        <v>0.05</v>
      </c>
      <c r="G831">
        <f>SUMIF('Isi Data'!B$1:B$65536,SNI!C$1:C$65536,'Isi Data'!E$1:E$65536)</f>
        <v>0</v>
      </c>
      <c r="I831">
        <f>F831*G831</f>
        <v>0</v>
      </c>
    </row>
    <row r="832">
      <c r="C832" t="str">
        <f>'Isi Data'!B169</f>
        <v xml:space="preserve">Mandor </v>
      </c>
      <c r="E832" t="str">
        <v>org/hr</v>
      </c>
      <c r="F832">
        <v>0</v>
      </c>
      <c r="G832">
        <f>SUMIF('Isi Data'!B$1:B$65536,SNI!C$1:C$65536,'Isi Data'!E$1:E$65536)</f>
        <v>0</v>
      </c>
      <c r="I832">
        <f>F832*G832</f>
        <v>0</v>
      </c>
    </row>
    <row r="833">
      <c r="G833">
        <f>SUMIF('Isi Data'!B$1:B$65536,SNI!C$1:C$65536,'Isi Data'!E$1:E$65536)</f>
        <v>0</v>
      </c>
    </row>
    <row r="834">
      <c r="A834" t="str">
        <v>PT T-30-2000-C</v>
      </c>
      <c r="B834" t="str">
        <v>BH</v>
      </c>
      <c r="C834" t="str">
        <v>Pas. Silinder pintu Almunium</v>
      </c>
      <c r="G834">
        <f>SUMIF('Isi Data'!B$1:B$65536,SNI!C$1:C$65536,'Isi Data'!E$1:E$65536)</f>
        <v>0</v>
      </c>
      <c r="H834">
        <f>SUM(H835:H839)</f>
        <v>0</v>
      </c>
      <c r="I834">
        <f>SUM(I835:I839)</f>
        <v>0</v>
      </c>
      <c r="J834">
        <f>$J$3</f>
        <v>0.1</v>
      </c>
      <c r="K834">
        <f>SUM(H834:I834)*(1+J834)</f>
        <v>0</v>
      </c>
      <c r="L834">
        <f>ROUND(K834,-2)</f>
        <v>0</v>
      </c>
    </row>
    <row r="835">
      <c r="C835" t="str">
        <f>'Isi Data'!B50</f>
        <v xml:space="preserve">Selinder </v>
      </c>
      <c r="E835" t="str">
        <v>bh</v>
      </c>
      <c r="F835">
        <v>1</v>
      </c>
      <c r="G835">
        <f>SUMIF('Isi Data'!B$1:B$65536,SNI!C$1:C$65536,'Isi Data'!E$1:E$65536)</f>
        <v>0</v>
      </c>
      <c r="H835">
        <f>F835*G835</f>
        <v>0</v>
      </c>
      <c r="M835" t="str">
        <f>IF(G835=0,"edit"," ")</f>
        <v>edit</v>
      </c>
    </row>
    <row r="836">
      <c r="C836" t="str">
        <f>'Isi Data'!B168</f>
        <v>Pekerja</v>
      </c>
      <c r="E836" t="str">
        <v>org/hr</v>
      </c>
      <c r="F836">
        <v>0</v>
      </c>
      <c r="G836">
        <f>SUMIF('Isi Data'!B$1:B$65536,SNI!C$1:C$65536,'Isi Data'!E$1:E$65536)</f>
        <v>0</v>
      </c>
      <c r="I836">
        <f>F836*G836</f>
        <v>0</v>
      </c>
      <c r="M836" t="str">
        <f>IF(G836=0,"edit"," ")</f>
        <v>edit</v>
      </c>
    </row>
    <row r="837">
      <c r="C837" t="str">
        <f>'Isi Data'!B159</f>
        <v>Tukang Kayu Halus</v>
      </c>
      <c r="E837" t="str">
        <v>org/hr</v>
      </c>
      <c r="F837">
        <v>0.5</v>
      </c>
      <c r="G837">
        <f>SUMIF('Isi Data'!B$1:B$65536,SNI!C$1:C$65536,'Isi Data'!E$1:E$65536)</f>
        <v>0</v>
      </c>
      <c r="I837">
        <f>F837*G837</f>
        <v>0</v>
      </c>
      <c r="M837" t="str">
        <f>IF(G837=0,"edit"," ")</f>
        <v>edit</v>
      </c>
    </row>
    <row r="838">
      <c r="C838" t="str">
        <f>'Isi Data'!B160</f>
        <v>Kepala Tukang Kayu</v>
      </c>
      <c r="E838" t="str">
        <v>org/hr</v>
      </c>
      <c r="F838">
        <v>0.05</v>
      </c>
      <c r="G838">
        <f>SUMIF('Isi Data'!B$1:B$65536,SNI!C$1:C$65536,'Isi Data'!E$1:E$65536)</f>
        <v>0</v>
      </c>
      <c r="I838">
        <f>F838*G838</f>
        <v>0</v>
      </c>
      <c r="M838" t="str">
        <f>IF(G838=0,"edit"," ")</f>
        <v>edit</v>
      </c>
    </row>
    <row r="839">
      <c r="C839" t="str">
        <f>'Isi Data'!B169</f>
        <v xml:space="preserve">Mandor </v>
      </c>
      <c r="E839" t="str">
        <v>org/hr</v>
      </c>
      <c r="F839">
        <v>0</v>
      </c>
      <c r="G839">
        <f>SUMIF('Isi Data'!B$1:B$65536,SNI!C$1:C$65536,'Isi Data'!E$1:E$65536)</f>
        <v>0</v>
      </c>
      <c r="I839">
        <f>F839*G839</f>
        <v>0</v>
      </c>
      <c r="M839" t="str">
        <f>IF(G839=0,"edit"," ")</f>
        <v>edit</v>
      </c>
    </row>
    <row r="840">
      <c r="G840">
        <f>SUMIF('Isi Data'!B$1:B$65536,SNI!C$1:C$65536,'Isi Data'!E$1:E$65536)</f>
        <v>0</v>
      </c>
    </row>
    <row r="841">
      <c r="B841" t="str">
        <v>BH</v>
      </c>
      <c r="C841" t="str">
        <v>Pas. Kunci knob pintu kamar mandi</v>
      </c>
      <c r="G841">
        <f>SUMIF('Isi Data'!B$1:B$65536,SNI!C$1:C$65536,'Isi Data'!E$1:E$65536)</f>
        <v>0</v>
      </c>
      <c r="H841">
        <f>SUM(H842:H846)</f>
        <v>0</v>
      </c>
      <c r="I841">
        <f>SUM(I842:I846)</f>
        <v>0</v>
      </c>
      <c r="J841">
        <f>$J$3</f>
        <v>0.1</v>
      </c>
      <c r="K841">
        <f>SUM(H841:I841)*(1+J841)</f>
        <v>0</v>
      </c>
      <c r="L841">
        <f>ROUND(K841,-2)</f>
        <v>0</v>
      </c>
    </row>
    <row r="842">
      <c r="C842" t="str">
        <f>'Isi Data'!B49</f>
        <v xml:space="preserve">Handle pintu </v>
      </c>
      <c r="E842" t="str">
        <v>bh</v>
      </c>
      <c r="F842">
        <v>1</v>
      </c>
      <c r="G842">
        <f>SUMIF('Isi Data'!B$1:B$65536,SNI!C$1:C$65536,'Isi Data'!E$1:E$65536)</f>
        <v>0</v>
      </c>
      <c r="H842">
        <f>F842*G842</f>
        <v>0</v>
      </c>
    </row>
    <row r="843">
      <c r="C843" t="str">
        <f>'Isi Data'!B168</f>
        <v>Pekerja</v>
      </c>
      <c r="E843" t="str">
        <v>org/hr</v>
      </c>
      <c r="F843">
        <v>0</v>
      </c>
      <c r="G843">
        <f>SUMIF('Isi Data'!B$1:B$65536,SNI!C$1:C$65536,'Isi Data'!E$1:E$65536)</f>
        <v>0</v>
      </c>
      <c r="I843">
        <f>F843*G843</f>
        <v>0</v>
      </c>
    </row>
    <row r="844">
      <c r="C844" t="str">
        <f>'Isi Data'!B159</f>
        <v>Tukang Kayu Halus</v>
      </c>
      <c r="E844" t="str">
        <v>org/hr</v>
      </c>
      <c r="F844">
        <v>0.6</v>
      </c>
      <c r="G844">
        <f>SUMIF('Isi Data'!B$1:B$65536,SNI!C$1:C$65536,'Isi Data'!E$1:E$65536)</f>
        <v>0</v>
      </c>
      <c r="I844">
        <f>F844*G844</f>
        <v>0</v>
      </c>
    </row>
    <row r="845">
      <c r="C845" t="str">
        <f>'Isi Data'!B160</f>
        <v>Kepala Tukang Kayu</v>
      </c>
      <c r="E845" t="str">
        <v>org/hr</v>
      </c>
      <c r="F845">
        <v>0.06</v>
      </c>
      <c r="G845">
        <f>SUMIF('Isi Data'!B$1:B$65536,SNI!C$1:C$65536,'Isi Data'!E$1:E$65536)</f>
        <v>0</v>
      </c>
      <c r="I845">
        <f>F845*G845</f>
        <v>0</v>
      </c>
    </row>
    <row r="846">
      <c r="C846" t="str">
        <f>'Isi Data'!B169</f>
        <v xml:space="preserve">Mandor </v>
      </c>
      <c r="E846" t="str">
        <v>org/hr</v>
      </c>
      <c r="F846">
        <v>0</v>
      </c>
      <c r="G846">
        <f>SUMIF('Isi Data'!B$1:B$65536,SNI!C$1:C$65536,'Isi Data'!E$1:E$65536)</f>
        <v>0</v>
      </c>
      <c r="I846">
        <f>F846*G846</f>
        <v>0</v>
      </c>
    </row>
    <row r="847">
      <c r="G847">
        <f>SUMIF('Isi Data'!B$1:B$65536,SNI!C$1:C$65536,'Isi Data'!E$1:E$65536)</f>
        <v>0</v>
      </c>
    </row>
    <row r="848">
      <c r="B848" t="str">
        <v>BH</v>
      </c>
      <c r="C848" t="str">
        <v>Pas. Door Stoper</v>
      </c>
      <c r="G848">
        <f>SUMIF('Isi Data'!B$1:B$65536,SNI!C$1:C$65536,'Isi Data'!E$1:E$65536)</f>
        <v>0</v>
      </c>
      <c r="H848">
        <f>SUM(H849:H853)</f>
        <v>0</v>
      </c>
      <c r="I848">
        <f>SUM(I849:I853)</f>
        <v>0</v>
      </c>
      <c r="J848">
        <f>$J$3</f>
        <v>0.1</v>
      </c>
      <c r="K848">
        <f>SUM(H848:I848)*(1+J848)</f>
        <v>0</v>
      </c>
      <c r="L848">
        <f>ROUND(K848,-2)</f>
        <v>0</v>
      </c>
    </row>
    <row r="849">
      <c r="C849" t="str">
        <f>'Isi Data'!B51</f>
        <v>Door Stoper</v>
      </c>
      <c r="E849" t="str">
        <v>bh</v>
      </c>
      <c r="F849">
        <v>1</v>
      </c>
      <c r="G849">
        <f>SUMIF('Isi Data'!B$1:B$65536,SNI!C$1:C$65536,'Isi Data'!E$1:E$65536)</f>
        <v>0</v>
      </c>
      <c r="H849">
        <f>F849*G849</f>
        <v>0</v>
      </c>
    </row>
    <row r="850">
      <c r="C850" t="str">
        <f>'Isi Data'!B168</f>
        <v>Pekerja</v>
      </c>
      <c r="E850" t="str">
        <v>org/hr</v>
      </c>
      <c r="F850">
        <v>0</v>
      </c>
      <c r="G850">
        <f>SUMIF('Isi Data'!B$1:B$65536,SNI!C$1:C$65536,'Isi Data'!E$1:E$65536)</f>
        <v>0</v>
      </c>
      <c r="I850">
        <f>F850*G850</f>
        <v>0</v>
      </c>
    </row>
    <row r="851">
      <c r="C851" t="str">
        <f>'Isi Data'!B159</f>
        <v>Tukang Kayu Halus</v>
      </c>
      <c r="E851" t="str">
        <v>org/hr</v>
      </c>
      <c r="F851">
        <v>0.6</v>
      </c>
      <c r="G851">
        <f>SUMIF('Isi Data'!B$1:B$65536,SNI!C$1:C$65536,'Isi Data'!E$1:E$65536)</f>
        <v>0</v>
      </c>
      <c r="I851">
        <f>F851*G851</f>
        <v>0</v>
      </c>
    </row>
    <row r="852">
      <c r="C852" t="str">
        <f>'Isi Data'!B160</f>
        <v>Kepala Tukang Kayu</v>
      </c>
      <c r="E852" t="str">
        <v>org/hr</v>
      </c>
      <c r="F852">
        <v>0.06</v>
      </c>
      <c r="G852">
        <f>SUMIF('Isi Data'!B$1:B$65536,SNI!C$1:C$65536,'Isi Data'!E$1:E$65536)</f>
        <v>0</v>
      </c>
      <c r="I852">
        <f>F852*G852</f>
        <v>0</v>
      </c>
    </row>
    <row r="853">
      <c r="C853" t="str">
        <f>'Isi Data'!B169</f>
        <v xml:space="preserve">Mandor </v>
      </c>
      <c r="E853" t="str">
        <v>org/hr</v>
      </c>
      <c r="F853">
        <v>0</v>
      </c>
      <c r="G853">
        <f>SUMIF('Isi Data'!B$1:B$65536,SNI!C$1:C$65536,'Isi Data'!E$1:E$65536)</f>
        <v>0</v>
      </c>
      <c r="I853">
        <f>F853*G853</f>
        <v>0</v>
      </c>
    </row>
    <row r="854">
      <c r="G854">
        <f>SUMIF('Isi Data'!B$1:B$65536,SNI!C$1:C$65536,'Isi Data'!E$1:E$65536)</f>
        <v>0</v>
      </c>
    </row>
    <row r="855">
      <c r="B855" t="str">
        <v>BH</v>
      </c>
      <c r="C855" t="str">
        <v>Pas. Door Closer</v>
      </c>
      <c r="G855">
        <f>SUMIF('Isi Data'!B$1:B$65536,SNI!C$1:C$65536,'Isi Data'!E$1:E$65536)</f>
        <v>0</v>
      </c>
      <c r="H855">
        <f>SUM(H856:H860)</f>
        <v>0</v>
      </c>
      <c r="I855">
        <f>SUM(I856:I860)</f>
        <v>0</v>
      </c>
      <c r="J855">
        <f>$J$3</f>
        <v>0.1</v>
      </c>
      <c r="K855">
        <f>SUM(H855:I855)*(1+J855)</f>
        <v>0</v>
      </c>
      <c r="L855">
        <f>ROUND(K855,-2)</f>
        <v>0</v>
      </c>
    </row>
    <row r="856">
      <c r="C856" t="str">
        <f>'Isi Data'!B52</f>
        <v>Door closer</v>
      </c>
      <c r="E856" t="str">
        <v>bh</v>
      </c>
      <c r="F856">
        <v>1</v>
      </c>
      <c r="G856">
        <f>SUMIF('Isi Data'!B$1:B$65536,SNI!C$1:C$65536,'Isi Data'!E$1:E$65536)</f>
        <v>0</v>
      </c>
      <c r="H856">
        <f>F856*G856</f>
        <v>0</v>
      </c>
      <c r="M856" t="str">
        <f>IF(G856=0,"edit"," ")</f>
        <v>edit</v>
      </c>
    </row>
    <row r="857">
      <c r="C857" t="str">
        <f>'Isi Data'!B168</f>
        <v>Pekerja</v>
      </c>
      <c r="E857" t="str">
        <v>org/hr</v>
      </c>
      <c r="F857">
        <v>0</v>
      </c>
      <c r="G857">
        <f>SUMIF('Isi Data'!B$1:B$65536,SNI!C$1:C$65536,'Isi Data'!E$1:E$65536)</f>
        <v>0</v>
      </c>
      <c r="I857">
        <f>F857*G857</f>
        <v>0</v>
      </c>
      <c r="M857" t="str">
        <f>IF(G857=0,"edit"," ")</f>
        <v>edit</v>
      </c>
    </row>
    <row r="858">
      <c r="C858" t="str">
        <f>'Isi Data'!B159</f>
        <v>Tukang Kayu Halus</v>
      </c>
      <c r="E858" t="str">
        <v>org/hr</v>
      </c>
      <c r="F858">
        <v>0.6</v>
      </c>
      <c r="G858">
        <f>SUMIF('Isi Data'!B$1:B$65536,SNI!C$1:C$65536,'Isi Data'!E$1:E$65536)</f>
        <v>0</v>
      </c>
      <c r="I858">
        <f>F858*G858</f>
        <v>0</v>
      </c>
      <c r="M858" t="str">
        <f>IF(G858=0,"edit"," ")</f>
        <v>edit</v>
      </c>
    </row>
    <row r="859">
      <c r="C859" t="str">
        <f>'Isi Data'!B160</f>
        <v>Kepala Tukang Kayu</v>
      </c>
      <c r="E859" t="str">
        <v>org/hr</v>
      </c>
      <c r="F859">
        <v>0.06</v>
      </c>
      <c r="G859">
        <f>SUMIF('Isi Data'!B$1:B$65536,SNI!C$1:C$65536,'Isi Data'!E$1:E$65536)</f>
        <v>0</v>
      </c>
      <c r="I859">
        <f>F859*G859</f>
        <v>0</v>
      </c>
      <c r="M859" t="str">
        <f>IF(G859=0,"edit"," ")</f>
        <v>edit</v>
      </c>
    </row>
    <row r="860">
      <c r="C860" t="str">
        <f>'Isi Data'!B169</f>
        <v xml:space="preserve">Mandor </v>
      </c>
      <c r="E860" t="str">
        <v>org/hr</v>
      </c>
      <c r="F860">
        <v>0</v>
      </c>
      <c r="G860">
        <f>SUMIF('Isi Data'!B$1:B$65536,SNI!C$1:C$65536,'Isi Data'!E$1:E$65536)</f>
        <v>0</v>
      </c>
      <c r="I860">
        <f>F860*G860</f>
        <v>0</v>
      </c>
      <c r="M860" t="str">
        <f>IF(G860=0,"edit"," ")</f>
        <v>edit</v>
      </c>
    </row>
    <row r="861">
      <c r="G861">
        <f>SUMIF('Isi Data'!B$1:B$65536,SNI!C$1:C$65536,'Isi Data'!E$1:E$65536)</f>
        <v>0</v>
      </c>
    </row>
    <row r="862">
      <c r="B862" t="str">
        <v>M</v>
      </c>
      <c r="C862" t="str">
        <v>Rel pintu gantung</v>
      </c>
      <c r="G862">
        <f>SUMIF('Isi Data'!B$1:B$65536,SNI!C$1:C$65536,'Isi Data'!E$1:E$65536)</f>
        <v>0</v>
      </c>
      <c r="H862">
        <f>SUM(H863:H867)</f>
        <v>2750000</v>
      </c>
      <c r="I862">
        <f>SUM(I863:I867)</f>
        <v>0</v>
      </c>
      <c r="J862">
        <f>$J$3</f>
        <v>0.1</v>
      </c>
      <c r="K862">
        <f>SUM(H862:I862)*(1+J862)</f>
        <v>3025000.0000000005</v>
      </c>
      <c r="L862">
        <f>ROUND(K862,-2)</f>
        <v>3025000</v>
      </c>
    </row>
    <row r="863">
      <c r="C863" t="str">
        <v>Rel Pintu Lipat 4 Pintu Zinkalume Lokal</v>
      </c>
      <c r="E863" t="str">
        <v>bh</v>
      </c>
      <c r="F863">
        <v>1</v>
      </c>
      <c r="G863">
        <v>2750000</v>
      </c>
      <c r="H863">
        <f>F863*G863</f>
        <v>2750000</v>
      </c>
    </row>
    <row r="864">
      <c r="C864" t="str">
        <f>'Isi Data'!B168</f>
        <v>Pekerja</v>
      </c>
      <c r="E864" t="str">
        <v>org/hr</v>
      </c>
      <c r="F864">
        <v>0</v>
      </c>
      <c r="G864">
        <f>SUMIF('Isi Data'!B$1:B$65536,SNI!C$1:C$65536,'Isi Data'!E$1:E$65536)</f>
        <v>0</v>
      </c>
      <c r="I864">
        <f>F864*G864</f>
        <v>0</v>
      </c>
    </row>
    <row r="865">
      <c r="C865" t="str">
        <f>'Isi Data'!B159</f>
        <v>Tukang Kayu Halus</v>
      </c>
      <c r="E865" t="str">
        <v>org/hr</v>
      </c>
      <c r="F865">
        <f>0.6*5</f>
        <v>3</v>
      </c>
      <c r="G865">
        <f>SUMIF('Isi Data'!B$1:B$65536,SNI!C$1:C$65536,'Isi Data'!E$1:E$65536)</f>
        <v>0</v>
      </c>
      <c r="I865">
        <f>F865*G865</f>
        <v>0</v>
      </c>
    </row>
    <row r="866">
      <c r="C866" t="str">
        <f>'Isi Data'!B160</f>
        <v>Kepala Tukang Kayu</v>
      </c>
      <c r="E866" t="str">
        <v>org/hr</v>
      </c>
      <c r="F866">
        <f>0.06*5</f>
        <v>0.3</v>
      </c>
      <c r="G866">
        <f>SUMIF('Isi Data'!B$1:B$65536,SNI!C$1:C$65536,'Isi Data'!E$1:E$65536)</f>
        <v>0</v>
      </c>
      <c r="I866">
        <f>F866*G866</f>
        <v>0</v>
      </c>
    </row>
    <row r="867">
      <c r="C867" t="str">
        <f>'Isi Data'!B169</f>
        <v xml:space="preserve">Mandor </v>
      </c>
      <c r="E867" t="str">
        <v>org/hr</v>
      </c>
      <c r="F867">
        <v>0</v>
      </c>
      <c r="G867">
        <f>SUMIF('Isi Data'!B$1:B$65536,SNI!C$1:C$65536,'Isi Data'!E$1:E$65536)</f>
        <v>0</v>
      </c>
      <c r="I867">
        <f>F867*G867</f>
        <v>0</v>
      </c>
    </row>
    <row r="868">
      <c r="G868">
        <f>SUMIF('Isi Data'!B$1:B$65536,SNI!C$1:C$65536,'Isi Data'!E$1:E$65536)</f>
        <v>0</v>
      </c>
    </row>
    <row r="869">
      <c r="A869" t="str">
        <v>PT T-30-2000-C</v>
      </c>
      <c r="B869" t="str">
        <v>BH</v>
      </c>
      <c r="C869" t="str">
        <v>Pas. Grendel Pintu</v>
      </c>
      <c r="G869">
        <f>SUMIF('Isi Data'!B$1:B$65536,SNI!C$1:C$65536,'Isi Data'!E$1:E$65536)</f>
        <v>0</v>
      </c>
      <c r="H869">
        <f>SUM(H870:H874)</f>
        <v>0</v>
      </c>
      <c r="I869">
        <f>SUM(I870:I874)</f>
        <v>0</v>
      </c>
      <c r="J869">
        <f>$J$3</f>
        <v>0.1</v>
      </c>
      <c r="K869">
        <f>SUM(H869:I869)*(1+J869)</f>
        <v>0</v>
      </c>
      <c r="L869">
        <f>ROUND(K869,-2)</f>
        <v>0</v>
      </c>
    </row>
    <row r="870">
      <c r="C870" t="str">
        <f>'Isi Data'!B55</f>
        <v>Grendel</v>
      </c>
      <c r="E870" t="str">
        <v>bh</v>
      </c>
      <c r="F870">
        <v>1</v>
      </c>
      <c r="G870">
        <f>SUMIF('Isi Data'!B$1:B$65536,SNI!C$1:C$65536,'Isi Data'!E$1:E$65536)</f>
        <v>0</v>
      </c>
      <c r="H870">
        <f>F870*G870</f>
        <v>0</v>
      </c>
    </row>
    <row r="871">
      <c r="C871" t="str">
        <f>'Isi Data'!B168</f>
        <v>Pekerja</v>
      </c>
      <c r="E871" t="str">
        <v>org/hr</v>
      </c>
      <c r="F871">
        <v>0</v>
      </c>
      <c r="G871">
        <f>SUMIF('Isi Data'!B$1:B$65536,SNI!C$1:C$65536,'Isi Data'!E$1:E$65536)</f>
        <v>0</v>
      </c>
      <c r="I871">
        <f>F871*G871</f>
        <v>0</v>
      </c>
    </row>
    <row r="872">
      <c r="C872" t="str">
        <f>'Isi Data'!B159</f>
        <v>Tukang Kayu Halus</v>
      </c>
      <c r="E872" t="str">
        <v>org/hr</v>
      </c>
      <c r="F872">
        <v>0.25</v>
      </c>
      <c r="G872">
        <f>SUMIF('Isi Data'!B$1:B$65536,SNI!C$1:C$65536,'Isi Data'!E$1:E$65536)</f>
        <v>0</v>
      </c>
      <c r="I872">
        <f>F872*G872</f>
        <v>0</v>
      </c>
    </row>
    <row r="873">
      <c r="C873" t="str">
        <f>'Isi Data'!B160</f>
        <v>Kepala Tukang Kayu</v>
      </c>
      <c r="E873" t="str">
        <v>org/hr</v>
      </c>
      <c r="F873">
        <v>0.025</v>
      </c>
      <c r="G873">
        <f>SUMIF('Isi Data'!B$1:B$65536,SNI!C$1:C$65536,'Isi Data'!E$1:E$65536)</f>
        <v>0</v>
      </c>
      <c r="I873">
        <f>F873*G873</f>
        <v>0</v>
      </c>
    </row>
    <row r="874">
      <c r="C874" t="str">
        <f>'Isi Data'!B169</f>
        <v xml:space="preserve">Mandor </v>
      </c>
      <c r="E874" t="str">
        <v>org/hr</v>
      </c>
      <c r="F874">
        <v>0</v>
      </c>
      <c r="G874">
        <f>SUMIF('Isi Data'!B$1:B$65536,SNI!C$1:C$65536,'Isi Data'!E$1:E$65536)</f>
        <v>0</v>
      </c>
      <c r="I874">
        <f>F874*G874</f>
        <v>0</v>
      </c>
    </row>
    <row r="875">
      <c r="G875">
        <f>SUMIF('Isi Data'!B$1:B$65536,SNI!C$1:C$65536,'Isi Data'!E$1:E$65536)</f>
        <v>0</v>
      </c>
    </row>
    <row r="876">
      <c r="A876" t="str">
        <v>PT T-30-2000-C</v>
      </c>
      <c r="B876" t="str">
        <v>BH</v>
      </c>
      <c r="C876" t="str">
        <v>Pas. Grendel Jendela</v>
      </c>
      <c r="G876">
        <f>SUMIF('Isi Data'!B$1:B$65536,SNI!C$1:C$65536,'Isi Data'!E$1:E$65536)</f>
        <v>0</v>
      </c>
      <c r="H876">
        <f>SUM(H877:H881)</f>
        <v>0</v>
      </c>
      <c r="I876">
        <f>SUM(I877:I881)</f>
        <v>0</v>
      </c>
      <c r="J876">
        <f>$J$3</f>
        <v>0.1</v>
      </c>
      <c r="K876">
        <f>SUM(H876:I876)*(1+J876)</f>
        <v>0</v>
      </c>
      <c r="L876">
        <f>ROUND(K876,-2)</f>
        <v>0</v>
      </c>
    </row>
    <row r="877">
      <c r="C877" t="str">
        <f>'Isi Data'!B55</f>
        <v>Grendel</v>
      </c>
      <c r="E877" t="str">
        <v>bh</v>
      </c>
      <c r="F877">
        <v>1</v>
      </c>
      <c r="G877">
        <f>SUMIF('Isi Data'!B$1:B$65536,SNI!C$1:C$65536,'Isi Data'!E$1:E$65536)</f>
        <v>0</v>
      </c>
      <c r="H877">
        <f>F877*G877</f>
        <v>0</v>
      </c>
      <c r="M877" t="str">
        <f>IF(G877=0,"edit"," ")</f>
        <v>edit</v>
      </c>
    </row>
    <row r="878">
      <c r="C878" t="str">
        <f>'Isi Data'!B168</f>
        <v>Pekerja</v>
      </c>
      <c r="E878" t="str">
        <v>org/hr</v>
      </c>
      <c r="F878">
        <v>0</v>
      </c>
      <c r="G878">
        <f>SUMIF('Isi Data'!B$1:B$65536,SNI!C$1:C$65536,'Isi Data'!E$1:E$65536)</f>
        <v>0</v>
      </c>
      <c r="I878">
        <f>F878*G878</f>
        <v>0</v>
      </c>
      <c r="M878" t="str">
        <f>IF(G878=0,"edit"," ")</f>
        <v>edit</v>
      </c>
    </row>
    <row r="879">
      <c r="C879" t="str">
        <f>'Isi Data'!B159</f>
        <v>Tukang Kayu Halus</v>
      </c>
      <c r="E879" t="str">
        <v>org/hr</v>
      </c>
      <c r="F879">
        <v>0.25</v>
      </c>
      <c r="G879">
        <f>SUMIF('Isi Data'!B$1:B$65536,SNI!C$1:C$65536,'Isi Data'!E$1:E$65536)</f>
        <v>0</v>
      </c>
      <c r="I879">
        <f>F879*G879</f>
        <v>0</v>
      </c>
      <c r="M879" t="str">
        <f>IF(G879=0,"edit"," ")</f>
        <v>edit</v>
      </c>
    </row>
    <row r="880">
      <c r="C880" t="str">
        <f>'Isi Data'!B160</f>
        <v>Kepala Tukang Kayu</v>
      </c>
      <c r="E880" t="str">
        <v>org/hr</v>
      </c>
      <c r="F880">
        <v>0.025</v>
      </c>
      <c r="G880">
        <f>SUMIF('Isi Data'!B$1:B$65536,SNI!C$1:C$65536,'Isi Data'!E$1:E$65536)</f>
        <v>0</v>
      </c>
      <c r="I880">
        <f>F880*G880</f>
        <v>0</v>
      </c>
      <c r="M880" t="str">
        <f>IF(G880=0,"edit"," ")</f>
        <v>edit</v>
      </c>
    </row>
    <row r="881">
      <c r="C881" t="str">
        <f>'Isi Data'!B169</f>
        <v xml:space="preserve">Mandor </v>
      </c>
      <c r="E881" t="str">
        <v>org/hr</v>
      </c>
      <c r="F881">
        <v>0</v>
      </c>
      <c r="G881">
        <f>SUMIF('Isi Data'!B$1:B$65536,SNI!C$1:C$65536,'Isi Data'!E$1:E$65536)</f>
        <v>0</v>
      </c>
      <c r="I881">
        <f>F881*G881</f>
        <v>0</v>
      </c>
      <c r="M881" t="str">
        <f>IF(G881=0,"edit"," ")</f>
        <v>edit</v>
      </c>
    </row>
    <row r="882">
      <c r="G882">
        <f>SUMIF('Isi Data'!B$1:B$65536,SNI!C$1:C$65536,'Isi Data'!E$1:E$65536)</f>
        <v>0</v>
      </c>
    </row>
    <row r="883">
      <c r="A883" t="str">
        <v>PT T-30-2000-C</v>
      </c>
      <c r="B883" t="str">
        <v>BH</v>
      </c>
      <c r="C883" t="str">
        <v>Pas. Slot tanam pintu doble</v>
      </c>
      <c r="G883">
        <f>SUMIF('Isi Data'!B$1:B$65536,SNI!C$1:C$65536,'Isi Data'!E$1:E$65536)</f>
        <v>0</v>
      </c>
      <c r="H883">
        <f>SUM(H884:H888)</f>
        <v>0</v>
      </c>
      <c r="I883">
        <f>SUM(I884:I888)</f>
        <v>0</v>
      </c>
      <c r="J883">
        <f>$J$3</f>
        <v>0.1</v>
      </c>
      <c r="K883">
        <f>SUM(H883:I883)*(1+J883)</f>
        <v>0</v>
      </c>
      <c r="L883">
        <f>ROUND(K883,-2)</f>
        <v>0</v>
      </c>
    </row>
    <row r="884">
      <c r="C884" t="str">
        <f>'Isi Data'!B53</f>
        <v>Slot Tanam</v>
      </c>
      <c r="E884" t="str">
        <v>bh</v>
      </c>
      <c r="F884">
        <v>1</v>
      </c>
      <c r="G884">
        <f>SUMIF('Isi Data'!B$1:B$65536,SNI!C$1:C$65536,'Isi Data'!E$1:E$65536)</f>
        <v>0</v>
      </c>
      <c r="H884">
        <f>F884*G884</f>
        <v>0</v>
      </c>
    </row>
    <row r="885">
      <c r="C885" t="str">
        <f>'Isi Data'!B168</f>
        <v>Pekerja</v>
      </c>
      <c r="E885" t="str">
        <v>org/hr</v>
      </c>
      <c r="F885">
        <v>0</v>
      </c>
      <c r="G885">
        <f>SUMIF('Isi Data'!B$1:B$65536,SNI!C$1:C$65536,'Isi Data'!E$1:E$65536)</f>
        <v>0</v>
      </c>
      <c r="I885">
        <f>F885*G885</f>
        <v>0</v>
      </c>
    </row>
    <row r="886">
      <c r="C886" t="str">
        <f>'Isi Data'!B159</f>
        <v>Tukang Kayu Halus</v>
      </c>
      <c r="E886" t="str">
        <v>org/hr</v>
      </c>
      <c r="F886">
        <v>0.25</v>
      </c>
      <c r="G886">
        <f>SUMIF('Isi Data'!B$1:B$65536,SNI!C$1:C$65536,'Isi Data'!E$1:E$65536)</f>
        <v>0</v>
      </c>
      <c r="I886">
        <f>F886*G886</f>
        <v>0</v>
      </c>
    </row>
    <row r="887">
      <c r="C887" t="str">
        <f>'Isi Data'!B160</f>
        <v>Kepala Tukang Kayu</v>
      </c>
      <c r="E887" t="str">
        <v>org/hr</v>
      </c>
      <c r="F887">
        <v>0.025</v>
      </c>
      <c r="G887">
        <f>SUMIF('Isi Data'!B$1:B$65536,SNI!C$1:C$65536,'Isi Data'!E$1:E$65536)</f>
        <v>0</v>
      </c>
      <c r="I887">
        <f>F887*G887</f>
        <v>0</v>
      </c>
    </row>
    <row r="888">
      <c r="C888" t="str">
        <f>'Isi Data'!B169</f>
        <v xml:space="preserve">Mandor </v>
      </c>
      <c r="E888" t="str">
        <v>org/hr</v>
      </c>
      <c r="F888">
        <v>0</v>
      </c>
      <c r="G888">
        <f>SUMIF('Isi Data'!B$1:B$65536,SNI!C$1:C$65536,'Isi Data'!E$1:E$65536)</f>
        <v>0</v>
      </c>
      <c r="I888">
        <f>F888*G888</f>
        <v>0</v>
      </c>
    </row>
    <row r="889">
      <c r="G889">
        <f>SUMIF('Isi Data'!B$1:B$65536,SNI!C$1:C$65536,'Isi Data'!E$1:E$65536)</f>
        <v>0</v>
      </c>
    </row>
    <row r="890">
      <c r="A890" t="str">
        <v>PT T-30-2000-C</v>
      </c>
      <c r="B890" t="str">
        <v>BH</v>
      </c>
      <c r="C890" t="str">
        <v>Pas. Rel pintu lipat 4 pintu</v>
      </c>
      <c r="G890">
        <f>SUMIF('Isi Data'!B$1:B$65536,SNI!C$1:C$65536,'Isi Data'!E$1:E$65536)</f>
        <v>0</v>
      </c>
      <c r="H890">
        <f>SUM(H891:H895)</f>
        <v>0</v>
      </c>
      <c r="I890">
        <f>SUM(I891:I895)</f>
        <v>0</v>
      </c>
      <c r="J890">
        <f>$J$3</f>
        <v>0.1</v>
      </c>
      <c r="K890">
        <f>SUM(H890:I890)*(1+J890)</f>
        <v>0</v>
      </c>
      <c r="L890">
        <f>ROUND(K890,-2)</f>
        <v>0</v>
      </c>
    </row>
    <row r="891">
      <c r="C891" t="e">
        <f>#REF!</f>
        <v>#REF!</v>
      </c>
      <c r="E891" t="str">
        <v>bh</v>
      </c>
      <c r="F891">
        <v>1</v>
      </c>
      <c r="G891">
        <f>SUMIF('Isi Data'!B$1:B$65536,SNI!C$1:C$65536,'Isi Data'!E$1:E$65536)</f>
        <v>0</v>
      </c>
      <c r="H891">
        <f>F891*G891</f>
        <v>0</v>
      </c>
    </row>
    <row r="892">
      <c r="C892" t="str">
        <f>'Isi Data'!B168</f>
        <v>Pekerja</v>
      </c>
      <c r="E892" t="str">
        <v>org/hr</v>
      </c>
      <c r="F892">
        <v>0</v>
      </c>
      <c r="G892">
        <f>SUMIF('Isi Data'!B$1:B$65536,SNI!C$1:C$65536,'Isi Data'!E$1:E$65536)</f>
        <v>0</v>
      </c>
      <c r="I892">
        <f>F892*G892</f>
        <v>0</v>
      </c>
    </row>
    <row r="893">
      <c r="C893" t="str">
        <f>'Isi Data'!B159</f>
        <v>Tukang Kayu Halus</v>
      </c>
      <c r="E893" t="str">
        <v>org/hr</v>
      </c>
      <c r="F893">
        <v>0.125</v>
      </c>
      <c r="G893">
        <f>SUMIF('Isi Data'!B$1:B$65536,SNI!C$1:C$65536,'Isi Data'!E$1:E$65536)</f>
        <v>0</v>
      </c>
      <c r="I893">
        <f>F893*G893</f>
        <v>0</v>
      </c>
    </row>
    <row r="894">
      <c r="C894" t="str">
        <f>'Isi Data'!B160</f>
        <v>Kepala Tukang Kayu</v>
      </c>
      <c r="E894" t="str">
        <v>org/hr</v>
      </c>
      <c r="F894">
        <v>0.013</v>
      </c>
      <c r="G894">
        <f>SUMIF('Isi Data'!B$1:B$65536,SNI!C$1:C$65536,'Isi Data'!E$1:E$65536)</f>
        <v>0</v>
      </c>
      <c r="I894">
        <f>F894*G894</f>
        <v>0</v>
      </c>
    </row>
    <row r="895">
      <c r="C895" t="str">
        <f>'Isi Data'!B169</f>
        <v xml:space="preserve">Mandor </v>
      </c>
      <c r="E895" t="str">
        <v>org/hr</v>
      </c>
      <c r="F895">
        <v>0</v>
      </c>
      <c r="G895">
        <f>SUMIF('Isi Data'!B$1:B$65536,SNI!C$1:C$65536,'Isi Data'!E$1:E$65536)</f>
        <v>0</v>
      </c>
      <c r="I895">
        <f>F895*G895</f>
        <v>0</v>
      </c>
    </row>
    <row r="896">
      <c r="G896">
        <f>SUMIF('Isi Data'!B$1:B$65536,SNI!C$1:C$65536,'Isi Data'!E$1:E$65536)</f>
        <v>0</v>
      </c>
    </row>
    <row r="897">
      <c r="A897" t="str">
        <v>PT T-30-2000-C</v>
      </c>
      <c r="B897" t="str">
        <v>BH</v>
      </c>
      <c r="C897" t="str">
        <v>Pas. Engsel pintu</v>
      </c>
      <c r="G897">
        <f>SUMIF('Isi Data'!B$1:B$65536,SNI!C$1:C$65536,'Isi Data'!E$1:E$65536)</f>
        <v>0</v>
      </c>
      <c r="H897">
        <f>SUM(H898:H902)</f>
        <v>0</v>
      </c>
      <c r="I897">
        <f>SUM(I898:I902)</f>
        <v>0</v>
      </c>
      <c r="J897">
        <f>$J$3</f>
        <v>0.1</v>
      </c>
      <c r="K897">
        <f>SUM(H897:I897)*(1+J897)</f>
        <v>0</v>
      </c>
      <c r="L897">
        <f>ROUND(K897,-2)</f>
        <v>0</v>
      </c>
    </row>
    <row r="898">
      <c r="C898" t="str">
        <f>'Isi Data'!B48</f>
        <v xml:space="preserve">Engsel </v>
      </c>
      <c r="E898" t="str">
        <v>bh</v>
      </c>
      <c r="F898">
        <v>1</v>
      </c>
      <c r="G898">
        <f>SUMIF('Isi Data'!B$1:B$65536,SNI!C$1:C$65536,'Isi Data'!E$1:E$65536)</f>
        <v>0</v>
      </c>
      <c r="H898">
        <f>F898*G898</f>
        <v>0</v>
      </c>
    </row>
    <row r="899">
      <c r="C899" t="str">
        <f>'Isi Data'!B168</f>
        <v>Pekerja</v>
      </c>
      <c r="E899" t="str">
        <v>org/hr</v>
      </c>
      <c r="F899">
        <v>0</v>
      </c>
      <c r="G899">
        <f>SUMIF('Isi Data'!B$1:B$65536,SNI!C$1:C$65536,'Isi Data'!E$1:E$65536)</f>
        <v>0</v>
      </c>
      <c r="I899">
        <f>F899*G899</f>
        <v>0</v>
      </c>
    </row>
    <row r="900">
      <c r="C900" t="str">
        <f>'Isi Data'!B159</f>
        <v>Tukang Kayu Halus</v>
      </c>
      <c r="E900" t="str">
        <v>org/hr</v>
      </c>
      <c r="F900">
        <v>0.125</v>
      </c>
      <c r="G900">
        <f>SUMIF('Isi Data'!B$1:B$65536,SNI!C$1:C$65536,'Isi Data'!E$1:E$65536)</f>
        <v>0</v>
      </c>
      <c r="I900">
        <f>F900*G900</f>
        <v>0</v>
      </c>
    </row>
    <row r="901">
      <c r="C901" t="str">
        <f>'Isi Data'!B160</f>
        <v>Kepala Tukang Kayu</v>
      </c>
      <c r="E901" t="str">
        <v>org/hr</v>
      </c>
      <c r="F901">
        <v>0.013</v>
      </c>
      <c r="G901">
        <f>SUMIF('Isi Data'!B$1:B$65536,SNI!C$1:C$65536,'Isi Data'!E$1:E$65536)</f>
        <v>0</v>
      </c>
      <c r="I901">
        <f>F901*G901</f>
        <v>0</v>
      </c>
    </row>
    <row r="902">
      <c r="C902" t="str">
        <f>'Isi Data'!B169</f>
        <v xml:space="preserve">Mandor </v>
      </c>
      <c r="E902" t="str">
        <v>org/hr</v>
      </c>
      <c r="F902">
        <v>0</v>
      </c>
      <c r="G902">
        <f>SUMIF('Isi Data'!B$1:B$65536,SNI!C$1:C$65536,'Isi Data'!E$1:E$65536)</f>
        <v>0</v>
      </c>
      <c r="I902">
        <f>F902*G902</f>
        <v>0</v>
      </c>
    </row>
    <row r="903">
      <c r="G903">
        <f>SUMIF('Isi Data'!B$1:B$65536,SNI!C$1:C$65536,'Isi Data'!E$1:E$65536)</f>
        <v>0</v>
      </c>
    </row>
    <row r="904">
      <c r="A904" t="str">
        <v>PT T-30-2000-C</v>
      </c>
      <c r="B904" t="str">
        <v>BH</v>
      </c>
      <c r="C904" t="str">
        <v>Pas. Engsel jendela</v>
      </c>
      <c r="G904">
        <f>SUMIF('Isi Data'!B$1:B$65536,SNI!C$1:C$65536,'Isi Data'!E$1:E$65536)</f>
        <v>0</v>
      </c>
      <c r="H904">
        <f>SUM(H905:H909)</f>
        <v>0</v>
      </c>
      <c r="I904">
        <f>SUM(I905:I909)</f>
        <v>0</v>
      </c>
      <c r="J904">
        <f>$J$3</f>
        <v>0.1</v>
      </c>
      <c r="K904">
        <f>SUM(H904:I904)*(1+J904)</f>
        <v>0</v>
      </c>
      <c r="L904">
        <f>ROUND(K904,-2)</f>
        <v>0</v>
      </c>
    </row>
    <row r="905">
      <c r="C905" t="str">
        <f>'Isi Data'!B48</f>
        <v xml:space="preserve">Engsel </v>
      </c>
      <c r="E905" t="str">
        <v>bh</v>
      </c>
      <c r="F905">
        <v>1</v>
      </c>
      <c r="G905">
        <f>SUMIF('Isi Data'!B$1:B$65536,SNI!C$1:C$65536,'Isi Data'!E$1:E$65536)</f>
        <v>0</v>
      </c>
      <c r="H905">
        <f>F905*G905</f>
        <v>0</v>
      </c>
      <c r="M905" t="str">
        <f>IF(G905=0,"edit"," ")</f>
        <v>edit</v>
      </c>
    </row>
    <row r="906">
      <c r="C906" t="str">
        <f>'Isi Data'!B168</f>
        <v>Pekerja</v>
      </c>
      <c r="E906" t="str">
        <v>org/hr</v>
      </c>
      <c r="F906">
        <v>0</v>
      </c>
      <c r="G906">
        <f>SUMIF('Isi Data'!B$1:B$65536,SNI!C$1:C$65536,'Isi Data'!E$1:E$65536)</f>
        <v>0</v>
      </c>
      <c r="I906">
        <f>F906*G906</f>
        <v>0</v>
      </c>
      <c r="M906" t="str">
        <f>IF(G906=0,"edit"," ")</f>
        <v>edit</v>
      </c>
    </row>
    <row r="907">
      <c r="C907" t="str">
        <f>'Isi Data'!B159</f>
        <v>Tukang Kayu Halus</v>
      </c>
      <c r="E907" t="str">
        <v>org/hr</v>
      </c>
      <c r="F907">
        <v>0.1</v>
      </c>
      <c r="G907">
        <f>SUMIF('Isi Data'!B$1:B$65536,SNI!C$1:C$65536,'Isi Data'!E$1:E$65536)</f>
        <v>0</v>
      </c>
      <c r="I907">
        <f>F907*G907</f>
        <v>0</v>
      </c>
      <c r="M907" t="str">
        <f>IF(G907=0,"edit"," ")</f>
        <v>edit</v>
      </c>
    </row>
    <row r="908">
      <c r="C908" t="str">
        <f>'Isi Data'!B160</f>
        <v>Kepala Tukang Kayu</v>
      </c>
      <c r="E908" t="str">
        <v>org/hr</v>
      </c>
      <c r="F908">
        <v>0.01</v>
      </c>
      <c r="G908">
        <f>SUMIF('Isi Data'!B$1:B$65536,SNI!C$1:C$65536,'Isi Data'!E$1:E$65536)</f>
        <v>0</v>
      </c>
      <c r="I908">
        <f>F908*G908</f>
        <v>0</v>
      </c>
      <c r="M908" t="str">
        <f>IF(G908=0,"edit"," ")</f>
        <v>edit</v>
      </c>
    </row>
    <row r="909">
      <c r="C909" t="str">
        <f>'Isi Data'!B169</f>
        <v xml:space="preserve">Mandor </v>
      </c>
      <c r="E909" t="str">
        <v>org/hr</v>
      </c>
      <c r="F909">
        <v>0</v>
      </c>
      <c r="G909">
        <f>SUMIF('Isi Data'!B$1:B$65536,SNI!C$1:C$65536,'Isi Data'!E$1:E$65536)</f>
        <v>0</v>
      </c>
      <c r="I909">
        <f>F909*G909</f>
        <v>0</v>
      </c>
      <c r="M909" t="str">
        <f>IF(G909=0,"edit"," ")</f>
        <v>edit</v>
      </c>
    </row>
    <row r="910">
      <c r="G910">
        <f>SUMIF('Isi Data'!B$1:B$65536,SNI!C$1:C$65536,'Isi Data'!E$1:E$65536)</f>
        <v>0</v>
      </c>
    </row>
    <row r="911">
      <c r="A911" t="str">
        <v>PT T-30-2000-C</v>
      </c>
      <c r="B911" t="str">
        <v>BH</v>
      </c>
      <c r="C911" t="str">
        <v>Pas. Kait angin jendela</v>
      </c>
      <c r="G911">
        <f>SUMIF('Isi Data'!B$1:B$65536,SNI!C$1:C$65536,'Isi Data'!E$1:E$65536)</f>
        <v>0</v>
      </c>
      <c r="H911">
        <f>SUM(H912:H916)</f>
        <v>0</v>
      </c>
      <c r="I911">
        <f>SUM(I912:I916)</f>
        <v>0</v>
      </c>
      <c r="J911">
        <f>$J$3</f>
        <v>0.1</v>
      </c>
      <c r="K911">
        <f>SUM(H911:I911)*(1+J911)</f>
        <v>0</v>
      </c>
      <c r="L911">
        <f>ROUND(K911,-2)</f>
        <v>0</v>
      </c>
    </row>
    <row r="912">
      <c r="C912" t="str">
        <f>'Isi Data'!B54</f>
        <v>Kait Angin</v>
      </c>
      <c r="E912" t="str">
        <v>bh</v>
      </c>
      <c r="F912">
        <v>1</v>
      </c>
      <c r="G912">
        <f>SUMIF('Isi Data'!B$1:B$65536,SNI!C$1:C$65536,'Isi Data'!E$1:E$65536)</f>
        <v>0</v>
      </c>
      <c r="H912">
        <f>F912*G912</f>
        <v>0</v>
      </c>
    </row>
    <row r="913">
      <c r="C913" t="str">
        <f>'Isi Data'!B168</f>
        <v>Pekerja</v>
      </c>
      <c r="E913" t="str">
        <v>org/hr</v>
      </c>
      <c r="F913">
        <v>0</v>
      </c>
      <c r="G913">
        <f>SUMIF('Isi Data'!B$1:B$65536,SNI!C$1:C$65536,'Isi Data'!E$1:E$65536)</f>
        <v>0</v>
      </c>
      <c r="I913">
        <f>F913*G913</f>
        <v>0</v>
      </c>
    </row>
    <row r="914">
      <c r="C914" t="str">
        <f>'Isi Data'!B159</f>
        <v>Tukang Kayu Halus</v>
      </c>
      <c r="E914" t="str">
        <v>org/hr</v>
      </c>
      <c r="F914">
        <v>0.1</v>
      </c>
      <c r="G914">
        <f>SUMIF('Isi Data'!B$1:B$65536,SNI!C$1:C$65536,'Isi Data'!E$1:E$65536)</f>
        <v>0</v>
      </c>
      <c r="I914">
        <f>F914*G914</f>
        <v>0</v>
      </c>
    </row>
    <row r="915">
      <c r="C915" t="str">
        <f>'Isi Data'!B160</f>
        <v>Kepala Tukang Kayu</v>
      </c>
      <c r="E915" t="str">
        <v>org/hr</v>
      </c>
      <c r="F915">
        <v>0.01</v>
      </c>
      <c r="G915">
        <f>SUMIF('Isi Data'!B$1:B$65536,SNI!C$1:C$65536,'Isi Data'!E$1:E$65536)</f>
        <v>0</v>
      </c>
      <c r="I915">
        <f>F915*G915</f>
        <v>0</v>
      </c>
    </row>
    <row r="916">
      <c r="C916" t="str">
        <f>'Isi Data'!B169</f>
        <v xml:space="preserve">Mandor </v>
      </c>
      <c r="E916" t="str">
        <v>org/hr</v>
      </c>
      <c r="F916">
        <v>0</v>
      </c>
      <c r="G916">
        <f>SUMIF('Isi Data'!B$1:B$65536,SNI!C$1:C$65536,'Isi Data'!E$1:E$65536)</f>
        <v>0</v>
      </c>
      <c r="I916">
        <f>F916*G916</f>
        <v>0</v>
      </c>
    </row>
    <row r="917">
      <c r="G917">
        <f>SUMIF('Isi Data'!B$1:B$65536,SNI!C$1:C$65536,'Isi Data'!E$1:E$65536)</f>
        <v>0</v>
      </c>
    </row>
    <row r="918">
      <c r="A918" t="str">
        <v>PT T-30-2000-C</v>
      </c>
      <c r="B918" t="str">
        <v>BH</v>
      </c>
      <c r="C918" t="str">
        <v>Pas. Kaca polos 3 mm</v>
      </c>
      <c r="G918">
        <f>SUMIF('Isi Data'!B$1:B$65536,SNI!C$1:C$65536,'Isi Data'!E$1:E$65536)</f>
        <v>0</v>
      </c>
      <c r="H918">
        <f>SUM(H919:H923)</f>
        <v>0</v>
      </c>
      <c r="I918">
        <f>SUM(I919:I923)</f>
        <v>0</v>
      </c>
      <c r="J918">
        <f>$J$3</f>
        <v>0.1</v>
      </c>
      <c r="K918">
        <f>SUM(H918:I918)*(1+J918)</f>
        <v>0</v>
      </c>
      <c r="L918">
        <f>ROUND(K918,-2)</f>
        <v>0</v>
      </c>
    </row>
    <row r="919">
      <c r="C919" t="str">
        <f>'Isi Data'!B76</f>
        <v>Kaca Polos 3 mm</v>
      </c>
      <c r="E919" t="str">
        <v>m2</v>
      </c>
      <c r="F919">
        <v>1.05</v>
      </c>
      <c r="G919">
        <f>SUMIF('Isi Data'!B$1:B$65536,SNI!C$1:C$65536,'Isi Data'!E$1:E$65536)</f>
        <v>0</v>
      </c>
      <c r="H919">
        <f>F919*G919</f>
        <v>0</v>
      </c>
    </row>
    <row r="920">
      <c r="C920" t="str">
        <f>'Isi Data'!B168</f>
        <v>Pekerja</v>
      </c>
      <c r="E920" t="str">
        <v>org/hr</v>
      </c>
      <c r="F920">
        <v>0.16</v>
      </c>
      <c r="G920">
        <f>SUMIF('Isi Data'!B$1:B$65536,SNI!C$1:C$65536,'Isi Data'!E$1:E$65536)</f>
        <v>0</v>
      </c>
      <c r="I920">
        <f>F920*G920</f>
        <v>0</v>
      </c>
    </row>
    <row r="921">
      <c r="C921" t="str">
        <f>'Isi Data'!B159</f>
        <v>Tukang Kayu Halus</v>
      </c>
      <c r="E921" t="str">
        <v>org/hr</v>
      </c>
      <c r="F921">
        <v>0.16</v>
      </c>
      <c r="G921">
        <f>SUMIF('Isi Data'!B$1:B$65536,SNI!C$1:C$65536,'Isi Data'!E$1:E$65536)</f>
        <v>0</v>
      </c>
      <c r="I921">
        <f>F921*G921</f>
        <v>0</v>
      </c>
    </row>
    <row r="922">
      <c r="C922" t="str">
        <f>'Isi Data'!B160</f>
        <v>Kepala Tukang Kayu</v>
      </c>
      <c r="E922" t="str">
        <v>org/hr</v>
      </c>
      <c r="F922">
        <v>0.016</v>
      </c>
      <c r="G922">
        <f>SUMIF('Isi Data'!B$1:B$65536,SNI!C$1:C$65536,'Isi Data'!E$1:E$65536)</f>
        <v>0</v>
      </c>
      <c r="I922">
        <f>F922*G922</f>
        <v>0</v>
      </c>
    </row>
    <row r="923">
      <c r="C923" t="str">
        <f>'Isi Data'!B169</f>
        <v xml:space="preserve">Mandor </v>
      </c>
      <c r="E923" t="str">
        <v>org/hr</v>
      </c>
      <c r="F923">
        <v>0.008</v>
      </c>
      <c r="G923">
        <f>SUMIF('Isi Data'!B$1:B$65536,SNI!C$1:C$65536,'Isi Data'!E$1:E$65536)</f>
        <v>0</v>
      </c>
      <c r="I923">
        <f>F923*G923</f>
        <v>0</v>
      </c>
    </row>
    <row r="924">
      <c r="G924">
        <f>SUMIF('Isi Data'!B$1:B$65536,SNI!C$1:C$65536,'Isi Data'!E$1:E$65536)</f>
        <v>0</v>
      </c>
    </row>
    <row r="925">
      <c r="A925" t="str">
        <v>PT T-30-2000-C</v>
      </c>
      <c r="B925" t="str">
        <v>BH</v>
      </c>
      <c r="C925" t="str">
        <v>Pas. Kaca polos 5 mm</v>
      </c>
      <c r="H925">
        <f>SUM(H926:H930)</f>
        <v>0</v>
      </c>
      <c r="I925">
        <f>SUM(I926:I930)</f>
        <v>0</v>
      </c>
      <c r="J925">
        <f>$J$3</f>
        <v>0.1</v>
      </c>
      <c r="K925">
        <f>SUM(H925:I925)*(1+J925)</f>
        <v>0</v>
      </c>
      <c r="L925">
        <f>ROUND(K925,-2)</f>
        <v>0</v>
      </c>
    </row>
    <row r="926">
      <c r="C926" t="str">
        <f>'Isi Data'!B77</f>
        <v>Kaca Polos 5 mm</v>
      </c>
      <c r="E926" t="str">
        <v>m2</v>
      </c>
      <c r="F926">
        <v>1.05</v>
      </c>
      <c r="G926">
        <f>SUMIF('Isi Data'!B$1:B$65536,SNI!C$1:C$65536,'Isi Data'!E$1:E$65536)</f>
        <v>0</v>
      </c>
      <c r="H926">
        <f>F926*G926</f>
        <v>0</v>
      </c>
      <c r="M926" t="str">
        <f>IF(G926=0,"edit"," ")</f>
        <v>edit</v>
      </c>
    </row>
    <row r="927">
      <c r="C927" t="str">
        <f>'Isi Data'!B168</f>
        <v>Pekerja</v>
      </c>
      <c r="E927" t="str">
        <v>org/hr</v>
      </c>
      <c r="F927">
        <v>0.16</v>
      </c>
      <c r="G927">
        <f>SUMIF('Isi Data'!B$1:B$65536,SNI!C$1:C$65536,'Isi Data'!E$1:E$65536)</f>
        <v>0</v>
      </c>
      <c r="I927">
        <f>F927*G927</f>
        <v>0</v>
      </c>
      <c r="M927" t="str">
        <f>IF(G927=0,"edit"," ")</f>
        <v>edit</v>
      </c>
    </row>
    <row r="928">
      <c r="C928" t="str">
        <f>'Isi Data'!B159</f>
        <v>Tukang Kayu Halus</v>
      </c>
      <c r="E928" t="str">
        <v>org/hr</v>
      </c>
      <c r="F928">
        <v>0.16</v>
      </c>
      <c r="G928">
        <f>SUMIF('Isi Data'!B$1:B$65536,SNI!C$1:C$65536,'Isi Data'!E$1:E$65536)</f>
        <v>0</v>
      </c>
      <c r="I928">
        <f>F928*G928</f>
        <v>0</v>
      </c>
      <c r="M928" t="str">
        <f>IF(G928=0,"edit"," ")</f>
        <v>edit</v>
      </c>
    </row>
    <row r="929">
      <c r="C929" t="str">
        <f>'Isi Data'!B160</f>
        <v>Kepala Tukang Kayu</v>
      </c>
      <c r="E929" t="str">
        <v>org/hr</v>
      </c>
      <c r="F929">
        <v>0.016</v>
      </c>
      <c r="G929">
        <f>SUMIF('Isi Data'!B$1:B$65536,SNI!C$1:C$65536,'Isi Data'!E$1:E$65536)</f>
        <v>0</v>
      </c>
      <c r="I929">
        <f>F929*G929</f>
        <v>0</v>
      </c>
      <c r="M929" t="str">
        <f>IF(G929=0,"edit"," ")</f>
        <v>edit</v>
      </c>
    </row>
    <row r="930">
      <c r="C930" t="str">
        <f>'Isi Data'!B169</f>
        <v xml:space="preserve">Mandor </v>
      </c>
      <c r="E930" t="str">
        <v>org/hr</v>
      </c>
      <c r="F930">
        <v>0.008</v>
      </c>
      <c r="G930">
        <f>SUMIF('Isi Data'!B$1:B$65536,SNI!C$1:C$65536,'Isi Data'!E$1:E$65536)</f>
        <v>0</v>
      </c>
      <c r="I930">
        <f>F930*G930</f>
        <v>0</v>
      </c>
      <c r="M930" t="str">
        <f>IF(G930=0,"edit"," ")</f>
        <v>edit</v>
      </c>
    </row>
    <row r="931">
      <c r="G931">
        <f>SUMIF('Isi Data'!B$1:B$65536,SNI!C$1:C$65536,'Isi Data'!E$1:E$65536)</f>
        <v>0</v>
      </c>
    </row>
    <row r="932">
      <c r="A932" t="str">
        <v>PT T-30-2000-C</v>
      </c>
      <c r="B932" t="str">
        <v>BH</v>
      </c>
      <c r="C932" t="str">
        <v>Pas. Kaca 8 mm</v>
      </c>
      <c r="H932">
        <f>SUM(H933:H937)</f>
        <v>0</v>
      </c>
      <c r="I932">
        <f>SUM(I933:I937)</f>
        <v>0</v>
      </c>
      <c r="J932">
        <f>$J$3</f>
        <v>0.1</v>
      </c>
      <c r="K932">
        <f>SUM(H932:I932)*(1+J932)</f>
        <v>0</v>
      </c>
      <c r="L932">
        <f>ROUND(K932,-2)</f>
        <v>0</v>
      </c>
    </row>
    <row r="933">
      <c r="C933" t="str">
        <f>'Isi Data'!B78</f>
        <v>Kaca Polos 8 mm</v>
      </c>
      <c r="E933" t="str">
        <v>m2</v>
      </c>
      <c r="F933">
        <v>1.05</v>
      </c>
      <c r="G933">
        <f>SUMIF('Isi Data'!B$1:B$65536,SNI!C$1:C$65536,'Isi Data'!E$1:E$65536)</f>
        <v>0</v>
      </c>
      <c r="H933">
        <f>F933*G933</f>
        <v>0</v>
      </c>
    </row>
    <row r="934">
      <c r="C934" t="str">
        <f>'Isi Data'!B168</f>
        <v>Pekerja</v>
      </c>
      <c r="E934" t="str">
        <v>org/hr</v>
      </c>
      <c r="F934">
        <v>0.16</v>
      </c>
      <c r="G934">
        <f>SUMIF('Isi Data'!B$1:B$65536,SNI!C$1:C$65536,'Isi Data'!E$1:E$65536)</f>
        <v>0</v>
      </c>
      <c r="I934">
        <f>F934*G934</f>
        <v>0</v>
      </c>
    </row>
    <row r="935">
      <c r="C935" t="str">
        <f>'Isi Data'!B159</f>
        <v>Tukang Kayu Halus</v>
      </c>
      <c r="E935" t="str">
        <v>org/hr</v>
      </c>
      <c r="F935">
        <v>0.16</v>
      </c>
      <c r="G935">
        <f>SUMIF('Isi Data'!B$1:B$65536,SNI!C$1:C$65536,'Isi Data'!E$1:E$65536)</f>
        <v>0</v>
      </c>
      <c r="I935">
        <f>F935*G935</f>
        <v>0</v>
      </c>
    </row>
    <row r="936">
      <c r="C936" t="str">
        <f>'Isi Data'!B160</f>
        <v>Kepala Tukang Kayu</v>
      </c>
      <c r="E936" t="str">
        <v>org/hr</v>
      </c>
      <c r="F936">
        <v>0.016</v>
      </c>
      <c r="G936">
        <f>SUMIF('Isi Data'!B$1:B$65536,SNI!C$1:C$65536,'Isi Data'!E$1:E$65536)</f>
        <v>0</v>
      </c>
      <c r="I936">
        <f>F936*G936</f>
        <v>0</v>
      </c>
    </row>
    <row r="937">
      <c r="C937" t="str">
        <f>'Isi Data'!B169</f>
        <v xml:space="preserve">Mandor </v>
      </c>
      <c r="E937" t="str">
        <v>org/hr</v>
      </c>
      <c r="F937">
        <v>0.008</v>
      </c>
      <c r="G937">
        <f>SUMIF('Isi Data'!B$1:B$65536,SNI!C$1:C$65536,'Isi Data'!E$1:E$65536)</f>
        <v>0</v>
      </c>
      <c r="I937">
        <f>F937*G937</f>
        <v>0</v>
      </c>
    </row>
    <row r="941">
      <c r="C941" t="str">
        <v>PEKERJAAN SANITER</v>
      </c>
    </row>
    <row r="942">
      <c r="A942" t="str">
        <v>RSNI T-15-2002</v>
      </c>
      <c r="B942" t="str">
        <v>BH</v>
      </c>
      <c r="C942" t="str">
        <v>Pas. Washtafel keramik</v>
      </c>
      <c r="G942">
        <f>SUMIF('Isi Data'!B$1:B$65536,SNI!C$1:C$65536,'Isi Data'!E$1:E$65536)</f>
        <v>0</v>
      </c>
      <c r="H942">
        <f>SUM(H943:H948)</f>
        <v>0</v>
      </c>
      <c r="I942">
        <f>SUM(I943:I948)</f>
        <v>0</v>
      </c>
      <c r="J942">
        <f>$J$3</f>
        <v>0.1</v>
      </c>
      <c r="K942">
        <f>SUM(H942:I942)*(1+J942)</f>
        <v>0</v>
      </c>
      <c r="L942">
        <f>ROUND(K942,-2)</f>
        <v>0</v>
      </c>
    </row>
    <row r="943">
      <c r="C943" t="str">
        <f>'Isi Data'!B102</f>
        <v xml:space="preserve">Wastafel </v>
      </c>
      <c r="E943" t="str">
        <v>bh</v>
      </c>
      <c r="F943">
        <v>1</v>
      </c>
      <c r="G943">
        <f>SUMIF('Isi Data'!B$1:B$65536,SNI!C$1:C$65536,'Isi Data'!E$1:E$65536)</f>
        <v>0</v>
      </c>
      <c r="H943">
        <f>F943*G943</f>
        <v>0</v>
      </c>
      <c r="M943" t="str">
        <f>IF(G943=0,"edit"," ")</f>
        <v>edit</v>
      </c>
    </row>
    <row r="944">
      <c r="C944" t="str">
        <f>'Isi Data'!B98</f>
        <v>Seal tape</v>
      </c>
      <c r="E944" t="str">
        <v>bh</v>
      </c>
      <c r="F944">
        <v>1</v>
      </c>
      <c r="G944">
        <f>SUMIF('Isi Data'!B$1:B$65536,SNI!C$1:C$65536,'Isi Data'!E$1:E$65536)</f>
        <v>0</v>
      </c>
      <c r="H944">
        <f>F944*G944</f>
        <v>0</v>
      </c>
      <c r="M944" t="str">
        <f>IF(G944=0,"edit"," ")</f>
        <v>edit</v>
      </c>
    </row>
    <row r="945">
      <c r="C945" t="str">
        <f>'Isi Data'!B168</f>
        <v>Pekerja</v>
      </c>
      <c r="E945" t="str">
        <v>org/hr</v>
      </c>
      <c r="F945">
        <v>1.2</v>
      </c>
      <c r="G945">
        <f>SUMIF('Isi Data'!B$1:B$65536,SNI!C$1:C$65536,'Isi Data'!E$1:E$65536)</f>
        <v>0</v>
      </c>
      <c r="I945">
        <f>F945*G945</f>
        <v>0</v>
      </c>
      <c r="M945" t="str">
        <f>IF(G945=0,"edit"," ")</f>
        <v>edit</v>
      </c>
    </row>
    <row r="946">
      <c r="C946" t="str">
        <f>'Isi Data'!B162</f>
        <v>Tukang Batu Halus</v>
      </c>
      <c r="E946" t="str">
        <v>org/hr</v>
      </c>
      <c r="F946">
        <v>1.45</v>
      </c>
      <c r="G946">
        <f>SUMIF('Isi Data'!B$1:B$65536,SNI!C$1:C$65536,'Isi Data'!E$1:E$65536)</f>
        <v>0</v>
      </c>
      <c r="I946">
        <f>F946*G946</f>
        <v>0</v>
      </c>
      <c r="M946" t="str">
        <f>IF(G946=0,"edit"," ")</f>
        <v>edit</v>
      </c>
    </row>
    <row r="947">
      <c r="C947" t="str">
        <f>'Isi Data'!B163</f>
        <v>Kepala Tukang Batu</v>
      </c>
      <c r="E947" t="str">
        <v>org/hr</v>
      </c>
      <c r="F947">
        <v>0.15</v>
      </c>
      <c r="G947">
        <f>SUMIF('Isi Data'!B$1:B$65536,SNI!C$1:C$65536,'Isi Data'!E$1:E$65536)</f>
        <v>0</v>
      </c>
      <c r="I947">
        <f>F947*G947</f>
        <v>0</v>
      </c>
      <c r="M947" t="str">
        <f>IF(G947=0,"edit"," ")</f>
        <v>edit</v>
      </c>
    </row>
    <row r="948">
      <c r="C948" t="str">
        <f>'Isi Data'!B169</f>
        <v xml:space="preserve">Mandor </v>
      </c>
      <c r="E948" t="str">
        <v>org/hr</v>
      </c>
      <c r="F948">
        <v>0.1</v>
      </c>
      <c r="G948">
        <f>SUMIF('Isi Data'!B$1:B$65536,SNI!C$1:C$65536,'Isi Data'!E$1:E$65536)</f>
        <v>0</v>
      </c>
      <c r="I948">
        <f>F948*G948</f>
        <v>0</v>
      </c>
      <c r="M948" t="str">
        <f>IF(G948=0,"edit"," ")</f>
        <v>edit</v>
      </c>
    </row>
    <row r="950">
      <c r="A950" t="str">
        <v>RSNI T-15-2002</v>
      </c>
      <c r="B950" t="str">
        <v>BH</v>
      </c>
      <c r="C950" t="str">
        <v>Pas. Kloset Duduk Keramik</v>
      </c>
      <c r="H950">
        <f>SUM(H951:H956)</f>
        <v>0</v>
      </c>
      <c r="I950">
        <f>SUM(I951:I956)</f>
        <v>0</v>
      </c>
      <c r="J950">
        <f>$J$3</f>
        <v>0.1</v>
      </c>
      <c r="K950">
        <f>SUM(H950:I950)*(1+J950)</f>
        <v>0</v>
      </c>
      <c r="L950">
        <f>ROUND(K950,-2)</f>
        <v>0</v>
      </c>
    </row>
    <row r="951">
      <c r="C951" t="str">
        <f>'Isi Data'!B103</f>
        <v xml:space="preserve">Kloset duduk </v>
      </c>
      <c r="E951" t="str">
        <v>bh</v>
      </c>
      <c r="F951">
        <v>1</v>
      </c>
      <c r="G951">
        <f>SUMIF('Isi Data'!B$1:B$65536,SNI!C$1:C$65536,'Isi Data'!E$1:E$65536)</f>
        <v>0</v>
      </c>
      <c r="H951">
        <f>F951*G951</f>
        <v>0</v>
      </c>
    </row>
    <row r="952">
      <c r="C952" t="str">
        <f>'Isi Data'!B168</f>
        <v>Pekerja</v>
      </c>
      <c r="E952" t="str">
        <v>org/hr</v>
      </c>
      <c r="F952">
        <v>3.3</v>
      </c>
      <c r="G952">
        <f>SUMIF('Isi Data'!B$1:B$65536,SNI!C$1:C$65536,'Isi Data'!E$1:E$65536)</f>
        <v>0</v>
      </c>
      <c r="I952">
        <f>F952*G952</f>
        <v>0</v>
      </c>
    </row>
    <row r="953">
      <c r="C953" t="str">
        <f>'Isi Data'!B162</f>
        <v>Tukang Batu Halus</v>
      </c>
      <c r="E953" t="str">
        <v>org/hr</v>
      </c>
      <c r="F953">
        <v>1.1</v>
      </c>
      <c r="G953">
        <f>SUMIF('Isi Data'!B$1:B$65536,SNI!C$1:C$65536,'Isi Data'!E$1:E$65536)</f>
        <v>0</v>
      </c>
      <c r="I953">
        <f>F953*G953</f>
        <v>0</v>
      </c>
    </row>
    <row r="954">
      <c r="C954" t="str">
        <f>'Isi Data'!B163</f>
        <v>Kepala Tukang Batu</v>
      </c>
      <c r="E954" t="str">
        <v>org/hr</v>
      </c>
      <c r="F954">
        <v>0.11</v>
      </c>
      <c r="G954">
        <f>SUMIF('Isi Data'!B$1:B$65536,SNI!C$1:C$65536,'Isi Data'!E$1:E$65536)</f>
        <v>0</v>
      </c>
      <c r="I954">
        <f>F954*G954</f>
        <v>0</v>
      </c>
    </row>
    <row r="955">
      <c r="C955" t="str">
        <f>'Isi Data'!B169</f>
        <v xml:space="preserve">Mandor </v>
      </c>
      <c r="E955" t="str">
        <v>org/hr</v>
      </c>
      <c r="F955">
        <v>0.016</v>
      </c>
      <c r="G955">
        <f>SUMIF('Isi Data'!B$1:B$65536,SNI!C$1:C$65536,'Isi Data'!E$1:E$65536)</f>
        <v>0</v>
      </c>
      <c r="I955">
        <f>F955*G955</f>
        <v>0</v>
      </c>
    </row>
    <row r="956">
      <c r="G956">
        <f>SUMIF('Isi Data'!B$1:B$65536,SNI!C$1:C$65536,'Isi Data'!E$1:E$65536)</f>
        <v>0</v>
      </c>
    </row>
    <row r="957">
      <c r="A957" t="str">
        <v>RSNI T-15-2002</v>
      </c>
      <c r="B957" t="str">
        <v>BH</v>
      </c>
      <c r="C957" t="str">
        <v>Pas. Urinoir Keramik</v>
      </c>
      <c r="H957">
        <f>SUM(H958:H963)</f>
        <v>0</v>
      </c>
      <c r="I957">
        <f>SUM(I958:I963)</f>
        <v>0</v>
      </c>
      <c r="J957">
        <f>$J$3</f>
        <v>0.1</v>
      </c>
      <c r="K957">
        <f>SUM(H957:I957)*(1+J957)</f>
        <v>0</v>
      </c>
      <c r="L957">
        <f>ROUND(K957,-2)</f>
        <v>0</v>
      </c>
    </row>
    <row r="958">
      <c r="C958" t="str">
        <f>'Isi Data'!B105</f>
        <v xml:space="preserve">Urinoir </v>
      </c>
      <c r="E958" t="str">
        <v>bh</v>
      </c>
      <c r="F958">
        <v>1</v>
      </c>
      <c r="G958">
        <f>SUMIF('Isi Data'!B$1:B$65536,SNI!C$1:C$65536,'Isi Data'!E$1:E$65536)</f>
        <v>0</v>
      </c>
      <c r="H958">
        <f>F958*G958</f>
        <v>0</v>
      </c>
    </row>
    <row r="959">
      <c r="C959" t="str">
        <f>'Isi Data'!B168</f>
        <v>Pekerja</v>
      </c>
      <c r="E959" t="str">
        <v>org/hr</v>
      </c>
      <c r="F959">
        <v>3.3</v>
      </c>
      <c r="G959">
        <f>SUMIF('Isi Data'!B$1:B$65536,SNI!C$1:C$65536,'Isi Data'!E$1:E$65536)</f>
        <v>0</v>
      </c>
      <c r="I959">
        <f>F959*G959</f>
        <v>0</v>
      </c>
    </row>
    <row r="960">
      <c r="C960" t="str">
        <f>'Isi Data'!B162</f>
        <v>Tukang Batu Halus</v>
      </c>
      <c r="E960" t="str">
        <v>org/hr</v>
      </c>
      <c r="F960">
        <v>1.1</v>
      </c>
      <c r="G960">
        <f>SUMIF('Isi Data'!B$1:B$65536,SNI!C$1:C$65536,'Isi Data'!E$1:E$65536)</f>
        <v>0</v>
      </c>
      <c r="I960">
        <f>F960*G960</f>
        <v>0</v>
      </c>
    </row>
    <row r="961">
      <c r="C961" t="str">
        <f>'Isi Data'!B163</f>
        <v>Kepala Tukang Batu</v>
      </c>
      <c r="E961" t="str">
        <v>org/hr</v>
      </c>
      <c r="F961">
        <v>0.11</v>
      </c>
      <c r="G961">
        <f>SUMIF('Isi Data'!B$1:B$65536,SNI!C$1:C$65536,'Isi Data'!E$1:E$65536)</f>
        <v>0</v>
      </c>
      <c r="I961">
        <f>F961*G961</f>
        <v>0</v>
      </c>
    </row>
    <row r="962">
      <c r="C962" t="str">
        <f>'Isi Data'!B169</f>
        <v xml:space="preserve">Mandor </v>
      </c>
      <c r="E962" t="str">
        <v>org/hr</v>
      </c>
      <c r="F962">
        <v>0.016</v>
      </c>
      <c r="G962">
        <f>SUMIF('Isi Data'!B$1:B$65536,SNI!C$1:C$65536,'Isi Data'!E$1:E$65536)</f>
        <v>0</v>
      </c>
      <c r="I962">
        <f>F962*G962</f>
        <v>0</v>
      </c>
    </row>
    <row r="963">
      <c r="G963">
        <f>SUMIF('Isi Data'!B$1:B$65536,SNI!C$1:C$65536,'Isi Data'!E$1:E$65536)</f>
        <v>0</v>
      </c>
    </row>
    <row r="964">
      <c r="A964" t="str">
        <v>RSNI T-15-2002</v>
      </c>
      <c r="B964" t="str">
        <v>BH</v>
      </c>
      <c r="C964" t="str">
        <v>Pas. Kloset Jongkok Keramik</v>
      </c>
      <c r="G964">
        <f>SUMIF('Isi Data'!B$1:B$65536,SNI!C$1:C$65536,'Isi Data'!E$1:E$65536)</f>
        <v>0</v>
      </c>
      <c r="H964">
        <f>SUM(H965:H970)</f>
        <v>0</v>
      </c>
      <c r="I964">
        <f>SUM(I965:I970)</f>
        <v>0</v>
      </c>
      <c r="J964">
        <f>$J$3</f>
        <v>0.1</v>
      </c>
      <c r="K964">
        <f>SUM(H964:I964)*(1+J964)</f>
        <v>0</v>
      </c>
      <c r="L964">
        <f>ROUND(K964,-2)</f>
        <v>0</v>
      </c>
    </row>
    <row r="965">
      <c r="C965" t="str">
        <f>'Isi Data'!B104</f>
        <v xml:space="preserve">Kloset Jongkok </v>
      </c>
      <c r="E965" t="str">
        <v>bh</v>
      </c>
      <c r="F965">
        <v>1</v>
      </c>
      <c r="G965">
        <f>SUMIF('Isi Data'!B$1:B$65536,SNI!C$1:C$65536,'Isi Data'!E$1:E$65536)</f>
        <v>0</v>
      </c>
      <c r="H965">
        <f>F965*G965</f>
        <v>0</v>
      </c>
      <c r="M965" t="str">
        <f>IF(G965=0,"edit"," ")</f>
        <v>edit</v>
      </c>
    </row>
    <row r="966">
      <c r="C966" t="str">
        <f>'Isi Data'!B25</f>
        <v>Semen (50 Kg)</v>
      </c>
      <c r="E966" t="str">
        <v>zak</v>
      </c>
      <c r="F966">
        <v>0.12</v>
      </c>
      <c r="G966">
        <f>SUMIF('Isi Data'!B$1:B$65536,SNI!C$1:C$65536,'Isi Data'!E$1:E$65536)</f>
        <v>0</v>
      </c>
      <c r="H966">
        <f>F966*G966</f>
        <v>0</v>
      </c>
      <c r="M966" t="str">
        <f>IF(G966=0,"edit"," ")</f>
        <v>edit</v>
      </c>
    </row>
    <row r="967">
      <c r="C967" t="str">
        <f>'Isi Data'!B168</f>
        <v>Pekerja</v>
      </c>
      <c r="E967" t="str">
        <v>org/hr</v>
      </c>
      <c r="F967">
        <v>0</v>
      </c>
      <c r="G967">
        <f>SUMIF('Isi Data'!B$1:B$65536,SNI!C$1:C$65536,'Isi Data'!E$1:E$65536)</f>
        <v>0</v>
      </c>
      <c r="I967">
        <f>F967*G967</f>
        <v>0</v>
      </c>
      <c r="M967" t="str">
        <f>IF(G967=0,"edit"," ")</f>
        <v>edit</v>
      </c>
    </row>
    <row r="968">
      <c r="C968" t="str">
        <f>'Isi Data'!B162</f>
        <v>Tukang Batu Halus</v>
      </c>
      <c r="E968" t="str">
        <v>org/hr</v>
      </c>
      <c r="F968">
        <v>1.1</v>
      </c>
      <c r="G968">
        <f>SUMIF('Isi Data'!B$1:B$65536,SNI!C$1:C$65536,'Isi Data'!E$1:E$65536)</f>
        <v>0</v>
      </c>
      <c r="I968">
        <f>F968*G968</f>
        <v>0</v>
      </c>
      <c r="M968" t="str">
        <f>IF(G968=0,"edit"," ")</f>
        <v>edit</v>
      </c>
    </row>
    <row r="969">
      <c r="C969" t="str">
        <f>'Isi Data'!B163</f>
        <v>Kepala Tukang Batu</v>
      </c>
      <c r="E969" t="str">
        <v>org/hr</v>
      </c>
      <c r="F969">
        <v>0.11</v>
      </c>
      <c r="G969">
        <f>SUMIF('Isi Data'!B$1:B$65536,SNI!C$1:C$65536,'Isi Data'!E$1:E$65536)</f>
        <v>0</v>
      </c>
      <c r="I969">
        <f>F969*G969</f>
        <v>0</v>
      </c>
      <c r="M969" t="str">
        <f>IF(G969=0,"edit"," ")</f>
        <v>edit</v>
      </c>
    </row>
    <row r="970">
      <c r="C970" t="str">
        <f>'Isi Data'!B169</f>
        <v xml:space="preserve">Mandor </v>
      </c>
      <c r="E970" t="str">
        <v>org/hr</v>
      </c>
      <c r="F970">
        <v>0.016</v>
      </c>
      <c r="G970">
        <f>SUMIF('Isi Data'!B$1:B$65536,SNI!C$1:C$65536,'Isi Data'!E$1:E$65536)</f>
        <v>0</v>
      </c>
      <c r="I970">
        <f>F970*G970</f>
        <v>0</v>
      </c>
      <c r="M970" t="str">
        <f>IF(G970=0,"edit"," ")</f>
        <v>edit</v>
      </c>
    </row>
    <row r="971">
      <c r="C971" t="str">
        <v>Perlengkapan</v>
      </c>
      <c r="G971">
        <f>SUMIF('Isi Data'!B$1:B$65536,SNI!C$1:C$65536,'Isi Data'!E$1:E$65536)</f>
        <v>0</v>
      </c>
    </row>
    <row r="972">
      <c r="G972">
        <f>SUMIF('Isi Data'!B$1:B$65536,SNI!C$1:C$65536,'Isi Data'!E$1:E$65536)</f>
        <v>0</v>
      </c>
    </row>
    <row r="973">
      <c r="A973" t="str">
        <v>RSNI T-15-2002</v>
      </c>
      <c r="B973" t="str">
        <v>BH</v>
      </c>
      <c r="C973" t="str">
        <v>Pas. Bak Air Fiberglass</v>
      </c>
      <c r="G973">
        <f>SUMIF('Isi Data'!B$1:B$65536,SNI!C$1:C$65536,'Isi Data'!E$1:E$65536)</f>
        <v>0</v>
      </c>
      <c r="H973">
        <f>SUM(H974:H979)</f>
        <v>0</v>
      </c>
      <c r="I973">
        <f>SUM(I974:I979)</f>
        <v>0</v>
      </c>
      <c r="J973">
        <f>$J$3</f>
        <v>0.1</v>
      </c>
      <c r="K973">
        <f>SUM(H973:I973)*(1+J973)</f>
        <v>0</v>
      </c>
      <c r="L973">
        <f>ROUND(K973,-2)</f>
        <v>0</v>
      </c>
    </row>
    <row r="974">
      <c r="C974" t="str">
        <f>'Isi Data'!B106</f>
        <v xml:space="preserve">Bak air fibreglass  </v>
      </c>
      <c r="E974" t="str">
        <v>bh</v>
      </c>
      <c r="F974">
        <v>1</v>
      </c>
      <c r="G974">
        <f>SUMIF('Isi Data'!B$1:B$65536,SNI!C$1:C$65536,'Isi Data'!E$1:E$65536)</f>
        <v>0</v>
      </c>
      <c r="H974">
        <f>F974*G974</f>
        <v>0</v>
      </c>
    </row>
    <row r="975">
      <c r="C975" t="str">
        <f>'Isi Data'!B168</f>
        <v>Pekerja</v>
      </c>
      <c r="E975" t="str">
        <v>org/hr</v>
      </c>
      <c r="F975">
        <v>1.8</v>
      </c>
      <c r="G975">
        <f>SUMIF('Isi Data'!B$1:B$65536,SNI!C$1:C$65536,'Isi Data'!E$1:E$65536)</f>
        <v>0</v>
      </c>
      <c r="I975">
        <f>F975*G975</f>
        <v>0</v>
      </c>
    </row>
    <row r="976">
      <c r="C976" t="str">
        <f>'Isi Data'!B162</f>
        <v>Tukang Batu Halus</v>
      </c>
      <c r="E976" t="str">
        <v>org/hr</v>
      </c>
      <c r="F976">
        <v>2.7</v>
      </c>
      <c r="G976">
        <f>SUMIF('Isi Data'!B$1:B$65536,SNI!C$1:C$65536,'Isi Data'!E$1:E$65536)</f>
        <v>0</v>
      </c>
      <c r="I976">
        <f>F976*G976</f>
        <v>0</v>
      </c>
    </row>
    <row r="977">
      <c r="C977" t="str">
        <f>'Isi Data'!B163</f>
        <v>Kepala Tukang Batu</v>
      </c>
      <c r="E977" t="str">
        <v>org/hr</v>
      </c>
      <c r="F977">
        <v>0.54</v>
      </c>
      <c r="G977">
        <f>SUMIF('Isi Data'!B$1:B$65536,SNI!C$1:C$65536,'Isi Data'!E$1:E$65536)</f>
        <v>0</v>
      </c>
      <c r="I977">
        <f>F977*G977</f>
        <v>0</v>
      </c>
    </row>
    <row r="978">
      <c r="C978" t="str">
        <f>'Isi Data'!B169</f>
        <v xml:space="preserve">Mandor </v>
      </c>
      <c r="E978" t="str">
        <v>org/hr</v>
      </c>
      <c r="F978">
        <v>0.11</v>
      </c>
      <c r="G978">
        <f>SUMIF('Isi Data'!B$1:B$65536,SNI!C$1:C$65536,'Isi Data'!E$1:E$65536)</f>
        <v>0</v>
      </c>
      <c r="I978">
        <f>F978*G978</f>
        <v>0</v>
      </c>
    </row>
    <row r="979">
      <c r="C979" t="str">
        <v>Perlengkapan</v>
      </c>
      <c r="E979" t="str">
        <v>harga</v>
      </c>
      <c r="F979">
        <v>0.18</v>
      </c>
      <c r="G979">
        <f>SUMIF('Isi Data'!B$1:B$65536,SNI!C$1:C$65536,'Isi Data'!E$1:E$65536)</f>
        <v>0</v>
      </c>
    </row>
    <row r="980">
      <c r="G980">
        <f>SUMIF('Isi Data'!B$1:B$65536,SNI!C$1:C$65536,'Isi Data'!E$1:E$65536)</f>
        <v>0</v>
      </c>
    </row>
    <row r="981">
      <c r="A981" t="str">
        <v>RSNI T-15-2002</v>
      </c>
      <c r="B981" t="str">
        <v>BH</v>
      </c>
      <c r="C981" t="str">
        <v>Pas. Shower spray</v>
      </c>
      <c r="G981">
        <f>SUMIF('Isi Data'!B$1:B$65536,SNI!C$1:C$65536,'Isi Data'!E$1:E$65536)</f>
        <v>0</v>
      </c>
      <c r="H981">
        <f>SUM(H982:H987)</f>
        <v>0</v>
      </c>
      <c r="I981">
        <f>SUM(I982:I987)</f>
        <v>0</v>
      </c>
      <c r="J981">
        <f>$J$3</f>
        <v>0.1</v>
      </c>
      <c r="K981">
        <f>SUM(H981:I981)*(1+J981)</f>
        <v>0</v>
      </c>
      <c r="L981">
        <f>ROUND(K981,-2)</f>
        <v>0</v>
      </c>
    </row>
    <row r="982">
      <c r="C982" t="str">
        <f>'Isi Data'!B107</f>
        <v xml:space="preserve">Shower Spray </v>
      </c>
      <c r="E982" t="str">
        <v>bh</v>
      </c>
      <c r="F982">
        <v>1</v>
      </c>
      <c r="G982">
        <f>SUMIF('Isi Data'!B$1:B$65536,SNI!C$1:C$65536,'Isi Data'!E$1:E$65536)</f>
        <v>0</v>
      </c>
      <c r="H982">
        <f>F982*G982</f>
        <v>0</v>
      </c>
    </row>
    <row r="983">
      <c r="C983" t="str">
        <f>'Isi Data'!B98</f>
        <v>Seal tape</v>
      </c>
      <c r="E983" t="str">
        <v>bh</v>
      </c>
      <c r="F983">
        <v>0.025</v>
      </c>
      <c r="G983">
        <f>SUMIF('Isi Data'!B$1:B$65536,SNI!C$1:C$65536,'Isi Data'!E$1:E$65536)</f>
        <v>0</v>
      </c>
      <c r="H983">
        <f>F983*G983</f>
        <v>0</v>
      </c>
    </row>
    <row r="984">
      <c r="C984" t="str">
        <f>'Isi Data'!B168</f>
        <v>Pekerja</v>
      </c>
      <c r="E984" t="str">
        <v>org/hr</v>
      </c>
      <c r="F984">
        <v>0</v>
      </c>
      <c r="G984">
        <f>SUMIF('Isi Data'!B$1:B$65536,SNI!C$1:C$65536,'Isi Data'!E$1:E$65536)</f>
        <v>0</v>
      </c>
      <c r="I984">
        <f>F984*G984</f>
        <v>0</v>
      </c>
    </row>
    <row r="985">
      <c r="C985" t="str">
        <f>'Isi Data'!B162</f>
        <v>Tukang Batu Halus</v>
      </c>
      <c r="E985" t="str">
        <v>org/hr</v>
      </c>
      <c r="F985">
        <v>0.1</v>
      </c>
      <c r="G985">
        <f>SUMIF('Isi Data'!B$1:B$65536,SNI!C$1:C$65536,'Isi Data'!E$1:E$65536)</f>
        <v>0</v>
      </c>
      <c r="I985">
        <f>F985*G985</f>
        <v>0</v>
      </c>
    </row>
    <row r="986">
      <c r="C986" t="str">
        <f>'Isi Data'!B163</f>
        <v>Kepala Tukang Batu</v>
      </c>
      <c r="E986" t="str">
        <v>org/hr</v>
      </c>
      <c r="F986">
        <v>0.01</v>
      </c>
      <c r="G986">
        <f>SUMIF('Isi Data'!B$1:B$65536,SNI!C$1:C$65536,'Isi Data'!E$1:E$65536)</f>
        <v>0</v>
      </c>
      <c r="I986">
        <f>F986*G986</f>
        <v>0</v>
      </c>
    </row>
    <row r="987">
      <c r="C987" t="str">
        <f>'Isi Data'!B169</f>
        <v xml:space="preserve">Mandor </v>
      </c>
      <c r="E987" t="str">
        <v>org/hr</v>
      </c>
      <c r="F987">
        <v>0</v>
      </c>
      <c r="G987">
        <f>SUMIF('Isi Data'!B$1:B$65536,SNI!C$1:C$65536,'Isi Data'!E$1:E$65536)</f>
        <v>0</v>
      </c>
      <c r="I987">
        <f>F987*G987</f>
        <v>0</v>
      </c>
    </row>
    <row r="988">
      <c r="G988">
        <f>SUMIF('Isi Data'!B$1:B$65536,SNI!C$1:C$65536,'Isi Data'!E$1:E$65536)</f>
        <v>0</v>
      </c>
    </row>
    <row r="989">
      <c r="A989" t="str">
        <v>RSNI T-15-2002</v>
      </c>
      <c r="B989" t="str">
        <v>BH</v>
      </c>
      <c r="C989" t="str">
        <v>Pas. Shower set</v>
      </c>
      <c r="G989">
        <f>SUMIF('Isi Data'!B$1:B$65536,SNI!C$1:C$65536,'Isi Data'!E$1:E$65536)</f>
        <v>0</v>
      </c>
      <c r="H989">
        <f>SUM(H990:H995)</f>
        <v>0</v>
      </c>
      <c r="I989">
        <f>SUM(I990:I995)</f>
        <v>0</v>
      </c>
      <c r="J989">
        <f>$J$3</f>
        <v>0.1</v>
      </c>
      <c r="K989">
        <f>SUM(H989:I989)*(1+J989)</f>
        <v>0</v>
      </c>
      <c r="L989">
        <f>ROUND(K989,-2)</f>
        <v>0</v>
      </c>
    </row>
    <row r="990">
      <c r="C990" t="str">
        <f>'Isi Data'!B108</f>
        <v xml:space="preserve">Shower Set </v>
      </c>
      <c r="E990" t="str">
        <v>bh</v>
      </c>
      <c r="F990">
        <v>1</v>
      </c>
      <c r="G990">
        <f>SUMIF('Isi Data'!B$1:B$65536,SNI!C$1:C$65536,'Isi Data'!E$1:E$65536)</f>
        <v>0</v>
      </c>
      <c r="H990">
        <f>F990*G990</f>
        <v>0</v>
      </c>
      <c r="M990" t="str">
        <f>IF(G990=0,"edit"," ")</f>
        <v>edit</v>
      </c>
    </row>
    <row r="991">
      <c r="C991" t="str">
        <f>'Isi Data'!B98</f>
        <v>Seal tape</v>
      </c>
      <c r="E991" t="str">
        <v>bh</v>
      </c>
      <c r="F991">
        <v>0.025</v>
      </c>
      <c r="G991">
        <f>SUMIF('Isi Data'!B$1:B$65536,SNI!C$1:C$65536,'Isi Data'!E$1:E$65536)</f>
        <v>0</v>
      </c>
      <c r="H991">
        <f>F991*G991</f>
        <v>0</v>
      </c>
      <c r="M991" t="str">
        <f>IF(G991=0,"edit"," ")</f>
        <v>edit</v>
      </c>
    </row>
    <row r="992">
      <c r="C992" t="str">
        <f>'Isi Data'!B168</f>
        <v>Pekerja</v>
      </c>
      <c r="E992" t="str">
        <v>org/hr</v>
      </c>
      <c r="F992">
        <v>0</v>
      </c>
      <c r="G992">
        <f>SUMIF('Isi Data'!B$1:B$65536,SNI!C$1:C$65536,'Isi Data'!E$1:E$65536)</f>
        <v>0</v>
      </c>
      <c r="I992">
        <f>F992*G992</f>
        <v>0</v>
      </c>
      <c r="M992" t="str">
        <f>IF(G992=0,"edit"," ")</f>
        <v>edit</v>
      </c>
    </row>
    <row r="993">
      <c r="C993" t="str">
        <f>'Isi Data'!B162</f>
        <v>Tukang Batu Halus</v>
      </c>
      <c r="E993" t="str">
        <v>org/hr</v>
      </c>
      <c r="F993">
        <v>1.1</v>
      </c>
      <c r="G993">
        <f>SUMIF('Isi Data'!B$1:B$65536,SNI!C$1:C$65536,'Isi Data'!E$1:E$65536)</f>
        <v>0</v>
      </c>
      <c r="I993">
        <f>F993*G993</f>
        <v>0</v>
      </c>
      <c r="M993" t="str">
        <f>IF(G993=0,"edit"," ")</f>
        <v>edit</v>
      </c>
    </row>
    <row r="994">
      <c r="C994" t="str">
        <f>'Isi Data'!B163</f>
        <v>Kepala Tukang Batu</v>
      </c>
      <c r="E994" t="str">
        <v>org/hr</v>
      </c>
      <c r="F994">
        <v>0.11</v>
      </c>
      <c r="G994">
        <f>SUMIF('Isi Data'!B$1:B$65536,SNI!C$1:C$65536,'Isi Data'!E$1:E$65536)</f>
        <v>0</v>
      </c>
      <c r="I994">
        <f>F994*G994</f>
        <v>0</v>
      </c>
      <c r="M994" t="str">
        <f>IF(G994=0,"edit"," ")</f>
        <v>edit</v>
      </c>
    </row>
    <row r="995">
      <c r="C995" t="str">
        <f>'Isi Data'!B169</f>
        <v xml:space="preserve">Mandor </v>
      </c>
      <c r="E995" t="str">
        <v>org/hr</v>
      </c>
      <c r="F995">
        <v>0.016</v>
      </c>
      <c r="G995">
        <f>SUMIF('Isi Data'!B$1:B$65536,SNI!C$1:C$65536,'Isi Data'!E$1:E$65536)</f>
        <v>0</v>
      </c>
      <c r="I995">
        <f>F995*G995</f>
        <v>0</v>
      </c>
      <c r="M995" t="str">
        <f>IF(G995=0,"edit"," ")</f>
        <v>edit</v>
      </c>
    </row>
    <row r="996">
      <c r="G996">
        <f>SUMIF('Isi Data'!B$1:B$65536,SNI!C$1:C$65536,'Isi Data'!E$1:E$65536)</f>
        <v>0</v>
      </c>
    </row>
    <row r="997">
      <c r="A997" t="str">
        <v>RSNI T-15-2002</v>
      </c>
      <c r="B997" t="str">
        <v>BH</v>
      </c>
      <c r="C997" t="str">
        <v>Pas. Tempat sabun keramik</v>
      </c>
      <c r="G997">
        <f>SUMIF('Isi Data'!B$1:B$65536,SNI!C$1:C$65536,'Isi Data'!E$1:E$65536)</f>
        <v>0</v>
      </c>
      <c r="H997">
        <f>SUM(H998:H1003)</f>
        <v>0</v>
      </c>
      <c r="I997">
        <f>SUM(I998:I1003)</f>
        <v>0</v>
      </c>
      <c r="J997">
        <f>$J$3</f>
        <v>0.1</v>
      </c>
      <c r="K997">
        <f>SUM(H997:I997)*(1+J997)</f>
        <v>0</v>
      </c>
      <c r="L997">
        <f>ROUND(K997,-2)</f>
        <v>0</v>
      </c>
    </row>
    <row r="998">
      <c r="C998" t="str">
        <f>'Isi Data'!B110</f>
        <v xml:space="preserve">Tempat Sabun </v>
      </c>
      <c r="E998" t="str">
        <v>bh</v>
      </c>
      <c r="F998">
        <v>1</v>
      </c>
      <c r="G998">
        <f>SUMIF('Isi Data'!B$1:B$65536,SNI!C$1:C$65536,'Isi Data'!E$1:E$65536)</f>
        <v>0</v>
      </c>
      <c r="H998">
        <f>F998*G998</f>
        <v>0</v>
      </c>
    </row>
    <row r="999">
      <c r="C999" t="str">
        <f>'Isi Data'!B25</f>
        <v>Semen (50 Kg)</v>
      </c>
      <c r="E999" t="str">
        <v>zak</v>
      </c>
      <c r="F999">
        <v>0.12</v>
      </c>
      <c r="G999">
        <f>SUMIF('Isi Data'!B$1:B$65536,SNI!C$1:C$65536,'Isi Data'!E$1:E$65536)</f>
        <v>0</v>
      </c>
      <c r="H999">
        <f>F999*G999</f>
        <v>0</v>
      </c>
    </row>
    <row r="1000">
      <c r="C1000" t="str">
        <f>'Isi Data'!B168</f>
        <v>Pekerja</v>
      </c>
      <c r="E1000" t="str">
        <v>org/hr</v>
      </c>
      <c r="F1000">
        <v>0</v>
      </c>
      <c r="G1000">
        <f>SUMIF('Isi Data'!B$1:B$65536,SNI!C$1:C$65536,'Isi Data'!E$1:E$65536)</f>
        <v>0</v>
      </c>
      <c r="I1000">
        <f>F1000*G1000</f>
        <v>0</v>
      </c>
    </row>
    <row r="1001">
      <c r="C1001" t="str">
        <f>'Isi Data'!B162</f>
        <v>Tukang Batu Halus</v>
      </c>
      <c r="E1001" t="str">
        <v>org/hr</v>
      </c>
      <c r="F1001">
        <v>0.25</v>
      </c>
      <c r="G1001">
        <f>SUMIF('Isi Data'!B$1:B$65536,SNI!C$1:C$65536,'Isi Data'!E$1:E$65536)</f>
        <v>0</v>
      </c>
      <c r="I1001">
        <f>F1001*G1001</f>
        <v>0</v>
      </c>
    </row>
    <row r="1002">
      <c r="C1002" t="str">
        <f>'Isi Data'!B163</f>
        <v>Kepala Tukang Batu</v>
      </c>
      <c r="E1002" t="str">
        <v>org/hr</v>
      </c>
      <c r="F1002">
        <v>0.01</v>
      </c>
      <c r="G1002">
        <f>SUMIF('Isi Data'!B$1:B$65536,SNI!C$1:C$65536,'Isi Data'!E$1:E$65536)</f>
        <v>0</v>
      </c>
      <c r="I1002">
        <f>F1002*G1002</f>
        <v>0</v>
      </c>
    </row>
    <row r="1003">
      <c r="C1003" t="str">
        <f>'Isi Data'!B169</f>
        <v xml:space="preserve">Mandor </v>
      </c>
      <c r="E1003" t="str">
        <v>org/hr</v>
      </c>
      <c r="F1003">
        <v>0</v>
      </c>
      <c r="G1003">
        <f>SUMIF('Isi Data'!B$1:B$65536,SNI!C$1:C$65536,'Isi Data'!E$1:E$65536)</f>
        <v>0</v>
      </c>
      <c r="I1003">
        <f>F1003*G1003</f>
        <v>0</v>
      </c>
    </row>
    <row r="1004">
      <c r="G1004">
        <f>SUMIF('Isi Data'!B$1:B$65536,SNI!C$1:C$65536,'Isi Data'!E$1:E$65536)</f>
        <v>0</v>
      </c>
    </row>
    <row r="1005">
      <c r="A1005" t="str">
        <v>RSNI T-15-2002</v>
      </c>
      <c r="B1005" t="str">
        <v>BH</v>
      </c>
      <c r="C1005" t="str">
        <v>Pas. Kitchenzink stainlees stell 1 lubang</v>
      </c>
      <c r="G1005">
        <f>SUMIF('Isi Data'!B$1:B$65536,SNI!C$1:C$65536,'Isi Data'!E$1:E$65536)</f>
        <v>0</v>
      </c>
      <c r="H1005">
        <f>SUM(H1006:H1011)</f>
        <v>0</v>
      </c>
      <c r="I1005">
        <f>SUM(I1006:I1011)</f>
        <v>0</v>
      </c>
      <c r="J1005">
        <f>$J$3</f>
        <v>0.1</v>
      </c>
      <c r="K1005">
        <f>SUM(H1005:I1005)*(1+J1005)</f>
        <v>0</v>
      </c>
      <c r="L1005">
        <f>ROUND(K1005,-2)</f>
        <v>0</v>
      </c>
    </row>
    <row r="1006">
      <c r="C1006" t="str">
        <f>'Isi Data'!B112</f>
        <v xml:space="preserve">Kitchenzink  </v>
      </c>
      <c r="E1006" t="str">
        <v>bh</v>
      </c>
      <c r="F1006">
        <v>1</v>
      </c>
      <c r="G1006">
        <f>SUMIF('Isi Data'!B$1:B$65536,SNI!C$1:C$65536,'Isi Data'!E$1:E$65536)</f>
        <v>0</v>
      </c>
      <c r="H1006">
        <f>F1006*G1006</f>
        <v>0</v>
      </c>
      <c r="M1006" t="str">
        <f>IF(G1006=0,"edit"," ")</f>
        <v>edit</v>
      </c>
    </row>
    <row r="1007">
      <c r="C1007" t="str">
        <v>Fitting, Stop valve &amp; support</v>
      </c>
      <c r="E1007" t="str">
        <v>set</v>
      </c>
      <c r="F1007">
        <v>0.3</v>
      </c>
      <c r="G1007">
        <f>G1006</f>
        <v>0</v>
      </c>
      <c r="H1007">
        <f>F1007*G1007</f>
        <v>0</v>
      </c>
      <c r="M1007" t="str">
        <f>IF(G1007=0,"edit"," ")</f>
        <v>edit</v>
      </c>
    </row>
    <row r="1008">
      <c r="C1008" t="str">
        <f>'Isi Data'!B168</f>
        <v>Pekerja</v>
      </c>
      <c r="E1008" t="str">
        <v>org/hr</v>
      </c>
      <c r="F1008">
        <v>1</v>
      </c>
      <c r="G1008">
        <f>SUMIF('Isi Data'!B$1:B$65536,SNI!C$1:C$65536,'Isi Data'!E$1:E$65536)</f>
        <v>0</v>
      </c>
      <c r="I1008">
        <f>F1008*G1008</f>
        <v>0</v>
      </c>
      <c r="M1008" t="str">
        <f>IF(G1008=0,"edit"," ")</f>
        <v>edit</v>
      </c>
    </row>
    <row r="1009">
      <c r="C1009" t="str">
        <f>'Isi Data'!B162</f>
        <v>Tukang Batu Halus</v>
      </c>
      <c r="E1009" t="str">
        <v>org/hr</v>
      </c>
      <c r="F1009">
        <v>1</v>
      </c>
      <c r="G1009">
        <f>SUMIF('Isi Data'!B$1:B$65536,SNI!C$1:C$65536,'Isi Data'!E$1:E$65536)</f>
        <v>0</v>
      </c>
      <c r="I1009">
        <f>F1009*G1009</f>
        <v>0</v>
      </c>
      <c r="M1009" t="str">
        <f>IF(G1009=0,"edit"," ")</f>
        <v>edit</v>
      </c>
    </row>
    <row r="1010">
      <c r="C1010" t="str">
        <f>'Isi Data'!B163</f>
        <v>Kepala Tukang Batu</v>
      </c>
      <c r="E1010" t="str">
        <v>org/hr</v>
      </c>
      <c r="F1010">
        <v>0.1</v>
      </c>
      <c r="G1010">
        <f>SUMIF('Isi Data'!B$1:B$65536,SNI!C$1:C$65536,'Isi Data'!E$1:E$65536)</f>
        <v>0</v>
      </c>
      <c r="I1010">
        <f>F1010*G1010</f>
        <v>0</v>
      </c>
      <c r="M1010" t="str">
        <f>IF(G1010=0,"edit"," ")</f>
        <v>edit</v>
      </c>
    </row>
    <row r="1011">
      <c r="C1011" t="str">
        <f>'Isi Data'!B169</f>
        <v xml:space="preserve">Mandor </v>
      </c>
      <c r="E1011" t="str">
        <v>org/hr</v>
      </c>
      <c r="F1011">
        <v>0.1</v>
      </c>
      <c r="G1011">
        <f>SUMIF('Isi Data'!B$1:B$65536,SNI!C$1:C$65536,'Isi Data'!E$1:E$65536)</f>
        <v>0</v>
      </c>
      <c r="I1011">
        <f>F1011*G1011</f>
        <v>0</v>
      </c>
      <c r="M1011" t="str">
        <f>IF(G1011=0,"edit"," ")</f>
        <v>edit</v>
      </c>
    </row>
    <row r="1012">
      <c r="G1012">
        <f>SUMIF('Isi Data'!B$1:B$65536,SNI!C$1:C$65536,'Isi Data'!E$1:E$65536)</f>
        <v>0</v>
      </c>
    </row>
    <row r="1013">
      <c r="A1013" t="str">
        <v>RSNI T-15-2002</v>
      </c>
      <c r="B1013" t="str">
        <v>BH</v>
      </c>
      <c r="C1013" t="str">
        <v>Pas. Kran zink</v>
      </c>
      <c r="G1013">
        <f>SUMIF('Isi Data'!B$1:B$65536,SNI!C$1:C$65536,'Isi Data'!E$1:E$65536)</f>
        <v>0</v>
      </c>
      <c r="H1013">
        <f>SUM(H1014:H1019)</f>
        <v>0</v>
      </c>
      <c r="I1013">
        <f>SUM(I1014:I1019)</f>
        <v>0</v>
      </c>
      <c r="J1013">
        <f>$J$3</f>
        <v>0.1</v>
      </c>
      <c r="K1013">
        <f>SUM(H1013:I1013)*(1+J1013)</f>
        <v>0</v>
      </c>
      <c r="L1013">
        <f>ROUND(K1013,-2)</f>
        <v>0</v>
      </c>
    </row>
    <row r="1014">
      <c r="C1014" t="str">
        <f>'Isi Data'!B111</f>
        <v>Kran zink</v>
      </c>
      <c r="E1014" t="str">
        <v>bh</v>
      </c>
      <c r="F1014">
        <v>1</v>
      </c>
      <c r="G1014">
        <f>SUMIF('Isi Data'!B$1:B$65536,SNI!C$1:C$65536,'Isi Data'!E$1:E$65536)</f>
        <v>0</v>
      </c>
      <c r="H1014">
        <f>F1014*G1014</f>
        <v>0</v>
      </c>
    </row>
    <row r="1015">
      <c r="C1015" t="str">
        <f>'Isi Data'!B98</f>
        <v>Seal tape</v>
      </c>
      <c r="E1015" t="str">
        <v>bh</v>
      </c>
      <c r="F1015">
        <v>0.025</v>
      </c>
      <c r="G1015">
        <f>SUMIF('Isi Data'!B$1:B$65536,SNI!C$1:C$65536,'Isi Data'!E$1:E$65536)</f>
        <v>0</v>
      </c>
      <c r="H1015">
        <f>F1015*G1015</f>
        <v>0</v>
      </c>
    </row>
    <row r="1016">
      <c r="C1016" t="str">
        <f>'Isi Data'!B168</f>
        <v>Pekerja</v>
      </c>
      <c r="E1016" t="str">
        <v>org/hr</v>
      </c>
      <c r="F1016">
        <v>0</v>
      </c>
      <c r="G1016">
        <f>SUMIF('Isi Data'!B$1:B$65536,SNI!C$1:C$65536,'Isi Data'!E$1:E$65536)</f>
        <v>0</v>
      </c>
      <c r="I1016">
        <f>F1016*G1016</f>
        <v>0</v>
      </c>
    </row>
    <row r="1017">
      <c r="C1017" t="str">
        <f>'Isi Data'!B162</f>
        <v>Tukang Batu Halus</v>
      </c>
      <c r="E1017" t="str">
        <v>org/hr</v>
      </c>
      <c r="F1017">
        <v>0.1</v>
      </c>
      <c r="G1017">
        <f>SUMIF('Isi Data'!B$1:B$65536,SNI!C$1:C$65536,'Isi Data'!E$1:E$65536)</f>
        <v>0</v>
      </c>
      <c r="I1017">
        <f>F1017*G1017</f>
        <v>0</v>
      </c>
    </row>
    <row r="1018">
      <c r="C1018" t="str">
        <f>'Isi Data'!B163</f>
        <v>Kepala Tukang Batu</v>
      </c>
      <c r="E1018" t="str">
        <v>org/hr</v>
      </c>
      <c r="F1018">
        <v>0.01</v>
      </c>
      <c r="G1018">
        <f>SUMIF('Isi Data'!B$1:B$65536,SNI!C$1:C$65536,'Isi Data'!E$1:E$65536)</f>
        <v>0</v>
      </c>
      <c r="I1018">
        <f>F1018*G1018</f>
        <v>0</v>
      </c>
    </row>
    <row r="1019">
      <c r="C1019" t="str">
        <f>'Isi Data'!B169</f>
        <v xml:space="preserve">Mandor </v>
      </c>
      <c r="E1019" t="str">
        <v>org/hr</v>
      </c>
      <c r="F1019">
        <v>0</v>
      </c>
      <c r="G1019">
        <f>SUMIF('Isi Data'!B$1:B$65536,SNI!C$1:C$65536,'Isi Data'!E$1:E$65536)</f>
        <v>0</v>
      </c>
      <c r="I1019">
        <f>F1019*G1019</f>
        <v>0</v>
      </c>
    </row>
    <row r="1020">
      <c r="G1020">
        <f>SUMIF('Isi Data'!B$1:B$65536,SNI!C$1:C$65536,'Isi Data'!E$1:E$65536)</f>
        <v>0</v>
      </c>
    </row>
    <row r="1021">
      <c r="A1021" t="str">
        <v>RSNI T-15-2002</v>
      </c>
      <c r="B1021" t="str">
        <v>BH</v>
      </c>
      <c r="C1021" t="str">
        <v>Pas. Kran dinding</v>
      </c>
      <c r="G1021">
        <f>SUMIF('Isi Data'!B$1:B$65536,SNI!C$1:C$65536,'Isi Data'!E$1:E$65536)</f>
        <v>0</v>
      </c>
      <c r="H1021">
        <f>SUM(H1022:H1027)</f>
        <v>0</v>
      </c>
      <c r="I1021">
        <f>SUM(I1022:I1027)</f>
        <v>0</v>
      </c>
      <c r="J1021">
        <f>$J$3</f>
        <v>0.1</v>
      </c>
      <c r="K1021">
        <f>SUM(H1021:I1021)*(1+J1021)</f>
        <v>0</v>
      </c>
      <c r="L1021">
        <f>ROUND(K1021,-2)</f>
        <v>0</v>
      </c>
    </row>
    <row r="1022">
      <c r="C1022" t="str">
        <f>'Isi Data'!B113</f>
        <v xml:space="preserve">Kran dinding </v>
      </c>
      <c r="E1022" t="str">
        <v>bh</v>
      </c>
      <c r="F1022">
        <v>1</v>
      </c>
      <c r="G1022">
        <f>SUMIF('Isi Data'!B$1:B$65536,SNI!C$1:C$65536,'Isi Data'!E$1:E$65536)</f>
        <v>0</v>
      </c>
      <c r="H1022">
        <f>F1022*G1022</f>
        <v>0</v>
      </c>
    </row>
    <row r="1023">
      <c r="C1023" t="str">
        <f>'Isi Data'!B98</f>
        <v>Seal tape</v>
      </c>
      <c r="E1023" t="str">
        <v>bh</v>
      </c>
      <c r="F1023">
        <v>0.025</v>
      </c>
      <c r="G1023">
        <f>SUMIF('Isi Data'!B$1:B$65536,SNI!C$1:C$65536,'Isi Data'!E$1:E$65536)</f>
        <v>0</v>
      </c>
      <c r="H1023">
        <f>F1023*G1023</f>
        <v>0</v>
      </c>
    </row>
    <row r="1024">
      <c r="C1024" t="str">
        <f>'Isi Data'!B168</f>
        <v>Pekerja</v>
      </c>
      <c r="E1024" t="str">
        <v>org/hr</v>
      </c>
      <c r="F1024">
        <v>0</v>
      </c>
      <c r="G1024">
        <f>SUMIF('Isi Data'!B$1:B$65536,SNI!C$1:C$65536,'Isi Data'!E$1:E$65536)</f>
        <v>0</v>
      </c>
      <c r="I1024">
        <f>F1024*G1024</f>
        <v>0</v>
      </c>
    </row>
    <row r="1025">
      <c r="C1025" t="str">
        <f>'Isi Data'!B162</f>
        <v>Tukang Batu Halus</v>
      </c>
      <c r="E1025" t="str">
        <v>org/hr</v>
      </c>
      <c r="F1025">
        <v>0.1</v>
      </c>
      <c r="G1025">
        <f>SUMIF('Isi Data'!B$1:B$65536,SNI!C$1:C$65536,'Isi Data'!E$1:E$65536)</f>
        <v>0</v>
      </c>
      <c r="I1025">
        <f>F1025*G1025</f>
        <v>0</v>
      </c>
    </row>
    <row r="1026">
      <c r="C1026" t="str">
        <f>'Isi Data'!B163</f>
        <v>Kepala Tukang Batu</v>
      </c>
      <c r="E1026" t="str">
        <v>org/hr</v>
      </c>
      <c r="F1026">
        <v>0.01</v>
      </c>
      <c r="G1026">
        <f>SUMIF('Isi Data'!B$1:B$65536,SNI!C$1:C$65536,'Isi Data'!E$1:E$65536)</f>
        <v>0</v>
      </c>
      <c r="I1026">
        <f>F1026*G1026</f>
        <v>0</v>
      </c>
    </row>
    <row r="1027">
      <c r="C1027" t="str">
        <f>'Isi Data'!B169</f>
        <v xml:space="preserve">Mandor </v>
      </c>
      <c r="E1027" t="str">
        <v>org/hr</v>
      </c>
      <c r="F1027">
        <v>0</v>
      </c>
      <c r="G1027">
        <f>SUMIF('Isi Data'!B$1:B$65536,SNI!C$1:C$65536,'Isi Data'!E$1:E$65536)</f>
        <v>0</v>
      </c>
      <c r="I1027">
        <f>F1027*G1027</f>
        <v>0</v>
      </c>
    </row>
    <row r="1028">
      <c r="G1028">
        <f>SUMIF('Isi Data'!B$1:B$65536,SNI!C$1:C$65536,'Isi Data'!E$1:E$65536)</f>
        <v>0</v>
      </c>
    </row>
    <row r="1029">
      <c r="A1029" t="str">
        <v>RSNI T-15-2002</v>
      </c>
      <c r="B1029" t="str">
        <v>BH</v>
      </c>
      <c r="C1029" t="str">
        <v>Pas. Floor Drain</v>
      </c>
      <c r="G1029">
        <f>SUMIF('Isi Data'!B$1:B$65536,SNI!C$1:C$65536,'Isi Data'!E$1:E$65536)</f>
        <v>0</v>
      </c>
      <c r="H1029">
        <f>SUM(H1030:H1035)</f>
        <v>0</v>
      </c>
      <c r="I1029">
        <f>SUM(I1030:I1035)</f>
        <v>0</v>
      </c>
      <c r="J1029">
        <f>$J$3</f>
        <v>0.1</v>
      </c>
      <c r="K1029">
        <f>SUM(H1029:I1029)*(1+J1029)</f>
        <v>0</v>
      </c>
      <c r="L1029">
        <f>ROUND(K1029,-2)</f>
        <v>0</v>
      </c>
    </row>
    <row r="1030">
      <c r="C1030" t="str">
        <f>'Isi Data'!B109</f>
        <v xml:space="preserve">Floordrain </v>
      </c>
      <c r="E1030" t="str">
        <v>bh</v>
      </c>
      <c r="F1030">
        <v>1</v>
      </c>
      <c r="G1030">
        <f>SUMIF('Isi Data'!B$1:B$65536,SNI!C$1:C$65536,'Isi Data'!E$1:E$65536)</f>
        <v>0</v>
      </c>
      <c r="H1030">
        <f>F1030*G1030</f>
        <v>0</v>
      </c>
      <c r="M1030" t="str">
        <f>IF(G1030=0,"edit"," ")</f>
        <v>edit</v>
      </c>
    </row>
    <row r="1031">
      <c r="C1031" t="str">
        <f>'Isi Data'!B25</f>
        <v>Semen (50 Kg)</v>
      </c>
      <c r="E1031" t="str">
        <v>zak</v>
      </c>
      <c r="F1031">
        <v>0.12</v>
      </c>
      <c r="G1031">
        <f>SUMIF('Isi Data'!B$1:B$65536,SNI!C$1:C$65536,'Isi Data'!E$1:E$65536)</f>
        <v>0</v>
      </c>
      <c r="H1031">
        <f>F1031*G1031</f>
        <v>0</v>
      </c>
      <c r="M1031" t="str">
        <f>IF(G1031=0,"edit"," ")</f>
        <v>edit</v>
      </c>
    </row>
    <row r="1032">
      <c r="C1032" t="str">
        <f>'Isi Data'!B168</f>
        <v>Pekerja</v>
      </c>
      <c r="E1032" t="str">
        <v>org/hr</v>
      </c>
      <c r="F1032">
        <v>0</v>
      </c>
      <c r="G1032">
        <f>SUMIF('Isi Data'!B$1:B$65536,SNI!C$1:C$65536,'Isi Data'!E$1:E$65536)</f>
        <v>0</v>
      </c>
      <c r="I1032">
        <f>F1032*G1032</f>
        <v>0</v>
      </c>
      <c r="M1032" t="str">
        <f>IF(G1032=0,"edit"," ")</f>
        <v>edit</v>
      </c>
    </row>
    <row r="1033">
      <c r="C1033" t="str">
        <f>'Isi Data'!B162</f>
        <v>Tukang Batu Halus</v>
      </c>
      <c r="E1033" t="str">
        <v>org/hr</v>
      </c>
      <c r="F1033">
        <v>1.1</v>
      </c>
      <c r="G1033">
        <f>SUMIF('Isi Data'!B$1:B$65536,SNI!C$1:C$65536,'Isi Data'!E$1:E$65536)</f>
        <v>0</v>
      </c>
      <c r="I1033">
        <f>F1033*G1033</f>
        <v>0</v>
      </c>
      <c r="M1033" t="str">
        <f>IF(G1033=0,"edit"," ")</f>
        <v>edit</v>
      </c>
    </row>
    <row r="1034">
      <c r="C1034" t="str">
        <f>'Isi Data'!B163</f>
        <v>Kepala Tukang Batu</v>
      </c>
      <c r="E1034" t="str">
        <v>org/hr</v>
      </c>
      <c r="F1034">
        <v>0.11</v>
      </c>
      <c r="G1034">
        <f>SUMIF('Isi Data'!B$1:B$65536,SNI!C$1:C$65536,'Isi Data'!E$1:E$65536)</f>
        <v>0</v>
      </c>
      <c r="I1034">
        <f>F1034*G1034</f>
        <v>0</v>
      </c>
      <c r="M1034" t="str">
        <f>IF(G1034=0,"edit"," ")</f>
        <v>edit</v>
      </c>
    </row>
    <row r="1035">
      <c r="C1035" t="str">
        <f>'Isi Data'!B169</f>
        <v xml:space="preserve">Mandor </v>
      </c>
      <c r="E1035" t="str">
        <v>org/hr</v>
      </c>
      <c r="F1035">
        <v>0.016</v>
      </c>
      <c r="G1035">
        <f>SUMIF('Isi Data'!B$1:B$65536,SNI!C$1:C$65536,'Isi Data'!E$1:E$65536)</f>
        <v>0</v>
      </c>
      <c r="I1035">
        <f>F1035*G1035</f>
        <v>0</v>
      </c>
      <c r="M1035" t="str">
        <f>IF(G1035=0,"edit"," ")</f>
        <v>edit</v>
      </c>
    </row>
    <row r="1036">
      <c r="G1036">
        <f>SUMIF('Isi Data'!B$1:B$65536,SNI!C$1:C$65536,'Isi Data'!E$1:E$65536)</f>
        <v>0</v>
      </c>
    </row>
    <row r="1037">
      <c r="A1037" t="str">
        <v>RSNI T-15-2002</v>
      </c>
      <c r="B1037" t="str">
        <v>BH</v>
      </c>
      <c r="C1037" t="str">
        <v>Pas. Roof Drain</v>
      </c>
      <c r="G1037">
        <f>SUMIF('Isi Data'!B$1:B$65536,SNI!C$1:C$65536,'Isi Data'!E$1:E$65536)</f>
        <v>0</v>
      </c>
      <c r="H1037">
        <f>SUM(H1038:H1043)</f>
        <v>0</v>
      </c>
      <c r="I1037">
        <f>SUM(I1038:I1043)</f>
        <v>0</v>
      </c>
      <c r="J1037">
        <f>$J$3</f>
        <v>0.1</v>
      </c>
      <c r="K1037">
        <f>SUM(H1037:I1037)*(1+J1037)</f>
        <v>0</v>
      </c>
      <c r="L1037">
        <f>ROUND(K1037,-2)</f>
        <v>0</v>
      </c>
    </row>
    <row r="1038">
      <c r="C1038" t="str">
        <f>'Isi Data'!B132</f>
        <v>Roof Drain Metal</v>
      </c>
      <c r="E1038" t="str">
        <v>bh</v>
      </c>
      <c r="F1038">
        <v>1</v>
      </c>
      <c r="G1038">
        <f>SUMIF('Isi Data'!B$1:B$65536,SNI!C$1:C$65536,'Isi Data'!E$1:E$65536)</f>
        <v>0</v>
      </c>
      <c r="H1038">
        <f>F1038*G1038</f>
        <v>0</v>
      </c>
    </row>
    <row r="1039">
      <c r="C1039" t="str">
        <f>'Isi Data'!B25</f>
        <v>Semen (50 Kg)</v>
      </c>
      <c r="E1039" t="str">
        <v>zak</v>
      </c>
      <c r="F1039">
        <v>0.12</v>
      </c>
      <c r="G1039">
        <f>SUMIF('Isi Data'!B$1:B$65536,SNI!C$1:C$65536,'Isi Data'!E$1:E$65536)</f>
        <v>0</v>
      </c>
      <c r="H1039">
        <f>F1039*G1039</f>
        <v>0</v>
      </c>
    </row>
    <row r="1040">
      <c r="C1040" t="str">
        <f>'Isi Data'!B168</f>
        <v>Pekerja</v>
      </c>
      <c r="E1040" t="str">
        <v>org/hr</v>
      </c>
      <c r="F1040">
        <v>0</v>
      </c>
      <c r="G1040">
        <f>SUMIF('Isi Data'!B$1:B$65536,SNI!C$1:C$65536,'Isi Data'!E$1:E$65536)</f>
        <v>0</v>
      </c>
      <c r="I1040">
        <f>F1040*G1040</f>
        <v>0</v>
      </c>
    </row>
    <row r="1041">
      <c r="C1041" t="str">
        <f>'Isi Data'!B162</f>
        <v>Tukang Batu Halus</v>
      </c>
      <c r="E1041" t="str">
        <v>org/hr</v>
      </c>
      <c r="F1041">
        <v>1.1</v>
      </c>
      <c r="G1041">
        <f>SUMIF('Isi Data'!B$1:B$65536,SNI!C$1:C$65536,'Isi Data'!E$1:E$65536)</f>
        <v>0</v>
      </c>
      <c r="I1041">
        <f>F1041*G1041</f>
        <v>0</v>
      </c>
    </row>
    <row r="1042">
      <c r="C1042" t="str">
        <f>'Isi Data'!B163</f>
        <v>Kepala Tukang Batu</v>
      </c>
      <c r="E1042" t="str">
        <v>org/hr</v>
      </c>
      <c r="F1042">
        <v>0.11</v>
      </c>
      <c r="G1042">
        <f>SUMIF('Isi Data'!B$1:B$65536,SNI!C$1:C$65536,'Isi Data'!E$1:E$65536)</f>
        <v>0</v>
      </c>
      <c r="I1042">
        <f>F1042*G1042</f>
        <v>0</v>
      </c>
    </row>
    <row r="1043">
      <c r="C1043" t="str">
        <f>'Isi Data'!B169</f>
        <v xml:space="preserve">Mandor </v>
      </c>
      <c r="E1043" t="str">
        <v>org/hr</v>
      </c>
      <c r="F1043">
        <v>0.016</v>
      </c>
      <c r="G1043">
        <f>SUMIF('Isi Data'!B$1:B$65536,SNI!C$1:C$65536,'Isi Data'!E$1:E$65536)</f>
        <v>0</v>
      </c>
      <c r="I1043">
        <f>F1043*G1043</f>
        <v>0</v>
      </c>
    </row>
    <row r="1044">
      <c r="G1044">
        <f>SUMIF('Isi Data'!B$1:B$65536,SNI!C$1:C$65536,'Isi Data'!E$1:E$65536)</f>
        <v>0</v>
      </c>
    </row>
    <row r="1045">
      <c r="B1045" t="str">
        <v>unt</v>
      </c>
      <c r="C1045" t="str">
        <v>Pas. Meja Pantry uk. 600x 1500 mm</v>
      </c>
      <c r="H1045">
        <f>SUM(H1046:H1049)</f>
        <v>0</v>
      </c>
      <c r="I1045">
        <f>SUM(I1046:I1050)</f>
        <v>0</v>
      </c>
      <c r="J1045">
        <f>$J$3</f>
        <v>0.1</v>
      </c>
      <c r="K1045">
        <f>SUM(H1045:I1045)*(1+J1045)</f>
        <v>0</v>
      </c>
      <c r="L1045">
        <f>ROUND(K1045,-2)</f>
        <v>0</v>
      </c>
    </row>
    <row r="1046">
      <c r="C1046" t="str">
        <v>Beton K - 200</v>
      </c>
      <c r="E1046" t="str">
        <v>m3</v>
      </c>
      <c r="F1046">
        <f>0.6*1.5*0.1</f>
        <v>0.09</v>
      </c>
      <c r="G1046">
        <f>SUMIF(C$1:C$65536,C$1:C$65536,L$1:L$65536)</f>
        <v>0</v>
      </c>
      <c r="H1046">
        <f>F1046*G1046</f>
        <v>0</v>
      </c>
    </row>
    <row r="1047">
      <c r="C1047" t="str">
        <v>Tulangan besi beton U-24</v>
      </c>
      <c r="E1047" t="str">
        <v>kg</v>
      </c>
      <c r="F1047">
        <f>F1046*100</f>
        <v>9</v>
      </c>
      <c r="G1047">
        <f>SUMIF(C$1:C$65536,C$1:C$65536,L$1:L$65536)</f>
        <v>0</v>
      </c>
      <c r="H1047">
        <f>F1047*G1047</f>
        <v>0</v>
      </c>
    </row>
    <row r="1048">
      <c r="C1048" t="str">
        <v>Bekisting beton plat lantai</v>
      </c>
      <c r="E1048" t="str">
        <v>m2</v>
      </c>
      <c r="F1048">
        <f>0.6*1.5*1.1</f>
        <v>0.99</v>
      </c>
      <c r="G1048">
        <f>SUMIF(C$1:C$65536,C$1:C$65536,L$1:L$65536)</f>
        <v>0</v>
      </c>
      <c r="H1048">
        <f>F1048*G1048</f>
        <v>0</v>
      </c>
    </row>
    <row r="1049">
      <c r="C1049" t="str">
        <v>Pas. Dinding Keramik 300x300</v>
      </c>
      <c r="E1049" t="str">
        <v>m2</v>
      </c>
      <c r="F1049">
        <f>0.6*1.5*1.1</f>
        <v>0.99</v>
      </c>
      <c r="G1049">
        <f>SUMIF(C$1:C$65536,C$1:C$65536,L$1:L$65536)</f>
        <v>0</v>
      </c>
      <c r="H1049">
        <f>F1049*G1049</f>
        <v>0</v>
      </c>
    </row>
    <row r="1052">
      <c r="C1052" t="str">
        <v xml:space="preserve">PEKERJAAN PIPA </v>
      </c>
    </row>
    <row r="1053">
      <c r="A1053" t="str">
        <v>RSNI T-15-2002</v>
      </c>
      <c r="B1053" t="str">
        <v>M1</v>
      </c>
      <c r="C1053" t="str">
        <v xml:space="preserve">Pipa PVC dia. 4" </v>
      </c>
      <c r="H1053">
        <f>SUM(H1054:H1059)</f>
        <v>0</v>
      </c>
      <c r="I1053">
        <f>SUM(I1054:I1059)</f>
        <v>0</v>
      </c>
      <c r="J1053">
        <f>$J$3</f>
        <v>0.1</v>
      </c>
      <c r="K1053">
        <f>SUM(H1053:I1053)*(1+J1053)</f>
        <v>0</v>
      </c>
      <c r="L1053">
        <f>ROUND(K1053,-2)</f>
        <v>0</v>
      </c>
    </row>
    <row r="1054">
      <c r="C1054" t="str">
        <f>'Isi Data'!B126</f>
        <v xml:space="preserve">Pipa PVC dia 4" </v>
      </c>
      <c r="E1054" t="str">
        <v>m</v>
      </c>
      <c r="F1054">
        <v>1.2</v>
      </c>
      <c r="G1054">
        <f>SUMIF('Isi Data'!B$1:B$65536,SNI!C$1:C$65536,'Isi Data'!E$1:E$65536)</f>
        <v>0</v>
      </c>
      <c r="H1054">
        <f>F1054*G1054</f>
        <v>0</v>
      </c>
    </row>
    <row r="1055">
      <c r="C1055" t="str">
        <v>Perlengkapan</v>
      </c>
      <c r="E1055" t="str">
        <v>m</v>
      </c>
      <c r="F1055">
        <v>0.35</v>
      </c>
      <c r="G1055">
        <f>G1054</f>
        <v>0</v>
      </c>
      <c r="H1055">
        <f>F1055*G1055</f>
        <v>0</v>
      </c>
    </row>
    <row r="1056">
      <c r="C1056" t="str">
        <f>'Isi Data'!B168</f>
        <v>Pekerja</v>
      </c>
      <c r="E1056" t="str">
        <v>org/hr</v>
      </c>
      <c r="F1056">
        <v>0.081</v>
      </c>
      <c r="G1056">
        <f>SUMIF('Isi Data'!B$1:B$65536,SNI!C$1:C$65536,'Isi Data'!E$1:E$65536)</f>
        <v>0</v>
      </c>
      <c r="I1056">
        <f>F1056*G1056</f>
        <v>0</v>
      </c>
    </row>
    <row r="1057">
      <c r="C1057" t="str">
        <f>'Isi Data'!B162</f>
        <v>Tukang Batu Halus</v>
      </c>
      <c r="E1057" t="str">
        <v>org/hr</v>
      </c>
      <c r="F1057">
        <v>0.135</v>
      </c>
      <c r="G1057">
        <f>SUMIF('Isi Data'!B$1:B$65536,SNI!C$1:C$65536,'Isi Data'!E$1:E$65536)</f>
        <v>0</v>
      </c>
      <c r="I1057">
        <f>F1057*G1057</f>
        <v>0</v>
      </c>
    </row>
    <row r="1058">
      <c r="C1058" t="str">
        <f>'Isi Data'!B163</f>
        <v>Kepala Tukang Batu</v>
      </c>
      <c r="E1058" t="str">
        <v>org/hr</v>
      </c>
      <c r="F1058">
        <v>0.0135</v>
      </c>
      <c r="G1058">
        <f>SUMIF('Isi Data'!B$1:B$65536,SNI!C$1:C$65536,'Isi Data'!E$1:E$65536)</f>
        <v>0</v>
      </c>
      <c r="I1058">
        <f>F1058*G1058</f>
        <v>0</v>
      </c>
    </row>
    <row r="1059">
      <c r="C1059" t="str">
        <f>'Isi Data'!B169</f>
        <v xml:space="preserve">Mandor </v>
      </c>
      <c r="E1059" t="str">
        <v>org/hr</v>
      </c>
      <c r="F1059">
        <v>0.0041</v>
      </c>
      <c r="G1059">
        <f>SUMIF('Isi Data'!B$1:B$65536,SNI!C$1:C$65536,'Isi Data'!E$1:E$65536)</f>
        <v>0</v>
      </c>
      <c r="I1059">
        <f>F1059*G1059</f>
        <v>0</v>
      </c>
    </row>
    <row r="1062">
      <c r="A1062" t="str">
        <v>RSNI T-15-2002</v>
      </c>
      <c r="B1062" t="str">
        <v>M1</v>
      </c>
      <c r="C1062" t="str">
        <v xml:space="preserve">Pipa PVC dia. 3" </v>
      </c>
      <c r="H1062">
        <f>SUM(H1063:H1068)</f>
        <v>0</v>
      </c>
      <c r="I1062">
        <f>SUM(I1063:I1068)</f>
        <v>0</v>
      </c>
      <c r="J1062">
        <f>$J$3</f>
        <v>0.1</v>
      </c>
      <c r="K1062">
        <f>SUM(H1062:I1062)*(1+J1062)</f>
        <v>0</v>
      </c>
      <c r="L1062">
        <f>ROUND(K1062,-2)</f>
        <v>0</v>
      </c>
    </row>
    <row r="1063">
      <c r="C1063" t="str">
        <v xml:space="preserve">Pipa PVC dia 3" </v>
      </c>
      <c r="E1063" t="str">
        <v>m</v>
      </c>
      <c r="F1063">
        <v>1.2</v>
      </c>
      <c r="G1063">
        <f>SUMIF('Isi Data'!B$1:B$65536,SNI!C$1:C$65536,'Isi Data'!E$1:E$65536)</f>
        <v>0</v>
      </c>
      <c r="H1063">
        <f>F1063*G1063</f>
        <v>0</v>
      </c>
    </row>
    <row r="1064">
      <c r="C1064" t="str">
        <v>Perlengkapan</v>
      </c>
      <c r="E1064" t="str">
        <v>m</v>
      </c>
      <c r="F1064">
        <v>0.35</v>
      </c>
      <c r="G1064">
        <f>G1063</f>
        <v>0</v>
      </c>
      <c r="H1064">
        <f>F1064*G1064</f>
        <v>0</v>
      </c>
    </row>
    <row r="1065">
      <c r="C1065" t="str">
        <f>'Isi Data'!B168</f>
        <v>Pekerja</v>
      </c>
      <c r="E1065" t="str">
        <v>org/hr</v>
      </c>
      <c r="F1065">
        <v>0.081</v>
      </c>
      <c r="G1065">
        <f>SUMIF('Isi Data'!B$1:B$65536,SNI!C$1:C$65536,'Isi Data'!E$1:E$65536)</f>
        <v>0</v>
      </c>
      <c r="I1065">
        <f>F1065*G1065</f>
        <v>0</v>
      </c>
    </row>
    <row r="1066">
      <c r="C1066" t="str">
        <f>'Isi Data'!B162</f>
        <v>Tukang Batu Halus</v>
      </c>
      <c r="E1066" t="str">
        <v>org/hr</v>
      </c>
      <c r="F1066">
        <v>0.135</v>
      </c>
      <c r="G1066">
        <f>SUMIF('Isi Data'!B$1:B$65536,SNI!C$1:C$65536,'Isi Data'!E$1:E$65536)</f>
        <v>0</v>
      </c>
      <c r="I1066">
        <f>F1066*G1066</f>
        <v>0</v>
      </c>
    </row>
    <row r="1067">
      <c r="C1067" t="str">
        <f>'Isi Data'!B163</f>
        <v>Kepala Tukang Batu</v>
      </c>
      <c r="E1067" t="str">
        <v>org/hr</v>
      </c>
      <c r="F1067">
        <v>0.0135</v>
      </c>
      <c r="G1067">
        <f>SUMIF('Isi Data'!B$1:B$65536,SNI!C$1:C$65536,'Isi Data'!E$1:E$65536)</f>
        <v>0</v>
      </c>
      <c r="I1067">
        <f>F1067*G1067</f>
        <v>0</v>
      </c>
    </row>
    <row r="1068">
      <c r="C1068" t="str">
        <f>'Isi Data'!B169</f>
        <v xml:space="preserve">Mandor </v>
      </c>
      <c r="E1068" t="str">
        <v>org/hr</v>
      </c>
      <c r="F1068">
        <v>0.004</v>
      </c>
      <c r="G1068">
        <f>SUMIF('Isi Data'!B$1:B$65536,SNI!C$1:C$65536,'Isi Data'!E$1:E$65536)</f>
        <v>0</v>
      </c>
      <c r="I1068">
        <f>F1068*G1068</f>
        <v>0</v>
      </c>
    </row>
    <row r="1071">
      <c r="A1071" t="str">
        <v>RSNI T-15-2002</v>
      </c>
      <c r="B1071" t="str">
        <v>M1</v>
      </c>
      <c r="C1071" t="str">
        <v xml:space="preserve">Pipa PVC dia. 2" </v>
      </c>
      <c r="H1071">
        <f>SUM(H1072:H1077)</f>
        <v>0</v>
      </c>
      <c r="I1071">
        <f>SUM(I1072:I1077)</f>
        <v>0</v>
      </c>
      <c r="J1071">
        <f>$J$3</f>
        <v>0.1</v>
      </c>
      <c r="K1071">
        <f>SUM(H1071:I1071)*(1+J1071)</f>
        <v>0</v>
      </c>
      <c r="L1071">
        <f>ROUND(K1071,-2)</f>
        <v>0</v>
      </c>
    </row>
    <row r="1072">
      <c r="C1072" t="str">
        <f>'Isi Data'!B124</f>
        <v xml:space="preserve">Pipa PVC dia 2" </v>
      </c>
      <c r="E1072" t="str">
        <v>m</v>
      </c>
      <c r="F1072">
        <v>1.2</v>
      </c>
      <c r="G1072">
        <f>SUMIF('Isi Data'!B$1:B$65536,SNI!C$1:C$65536,'Isi Data'!E$1:E$65536)</f>
        <v>0</v>
      </c>
      <c r="H1072">
        <f>F1072*G1072</f>
        <v>0</v>
      </c>
    </row>
    <row r="1073">
      <c r="C1073" t="str">
        <v>Perlengkapan</v>
      </c>
      <c r="E1073" t="str">
        <v>m</v>
      </c>
      <c r="F1073">
        <v>0.35</v>
      </c>
      <c r="G1073">
        <f>G1072</f>
        <v>0</v>
      </c>
      <c r="H1073">
        <f>F1073*G1073</f>
        <v>0</v>
      </c>
    </row>
    <row r="1074">
      <c r="C1074" t="str">
        <f>'Isi Data'!B168</f>
        <v>Pekerja</v>
      </c>
      <c r="E1074" t="str">
        <v>org/hr</v>
      </c>
      <c r="F1074">
        <v>0.054</v>
      </c>
      <c r="G1074">
        <f>SUMIF('Isi Data'!B$1:B$65536,SNI!C$1:C$65536,'Isi Data'!E$1:E$65536)</f>
        <v>0</v>
      </c>
      <c r="I1074">
        <f>F1074*G1074</f>
        <v>0</v>
      </c>
    </row>
    <row r="1075">
      <c r="C1075" t="str">
        <f>'Isi Data'!B162</f>
        <v>Tukang Batu Halus</v>
      </c>
      <c r="E1075" t="str">
        <v>org/hr</v>
      </c>
      <c r="F1075">
        <v>0.09</v>
      </c>
      <c r="G1075">
        <f>SUMIF('Isi Data'!B$1:B$65536,SNI!C$1:C$65536,'Isi Data'!E$1:E$65536)</f>
        <v>0</v>
      </c>
      <c r="I1075">
        <f>F1075*G1075</f>
        <v>0</v>
      </c>
    </row>
    <row r="1076">
      <c r="C1076" t="str">
        <f>'Isi Data'!B163</f>
        <v>Kepala Tukang Batu</v>
      </c>
      <c r="E1076" t="str">
        <v>org/hr</v>
      </c>
      <c r="F1076">
        <v>0.009</v>
      </c>
      <c r="G1076">
        <f>SUMIF('Isi Data'!B$1:B$65536,SNI!C$1:C$65536,'Isi Data'!E$1:E$65536)</f>
        <v>0</v>
      </c>
      <c r="I1076">
        <f>F1076*G1076</f>
        <v>0</v>
      </c>
    </row>
    <row r="1077">
      <c r="C1077" t="str">
        <f>'Isi Data'!B169</f>
        <v xml:space="preserve">Mandor </v>
      </c>
      <c r="E1077" t="str">
        <v>org/hr</v>
      </c>
      <c r="F1077">
        <v>0.0027</v>
      </c>
      <c r="G1077">
        <f>SUMIF('Isi Data'!B$1:B$65536,SNI!C$1:C$65536,'Isi Data'!E$1:E$65536)</f>
        <v>0</v>
      </c>
      <c r="I1077">
        <f>F1077*G1077</f>
        <v>0</v>
      </c>
    </row>
    <row r="1080">
      <c r="A1080" t="str">
        <v>RSNI T-15-2002</v>
      </c>
      <c r="B1080" t="str">
        <v>M1</v>
      </c>
      <c r="C1080" t="str">
        <v xml:space="preserve">Pipa PVC dia. 1" </v>
      </c>
      <c r="H1080">
        <f>SUM(H1081:H1086)</f>
        <v>0</v>
      </c>
      <c r="I1080">
        <f>SUM(I1081:I1086)</f>
        <v>0</v>
      </c>
      <c r="J1080">
        <f>$J$3</f>
        <v>0.1</v>
      </c>
      <c r="K1080">
        <f>SUM(H1080:I1080)*(1+J1080)</f>
        <v>0</v>
      </c>
      <c r="L1080">
        <f>ROUND(K1080,-2)</f>
        <v>0</v>
      </c>
    </row>
    <row r="1081">
      <c r="C1081" t="str">
        <f>'Isi Data'!B123</f>
        <v xml:space="preserve">Pipa PVC dia 1" </v>
      </c>
      <c r="E1081" t="str">
        <v>m</v>
      </c>
      <c r="F1081">
        <v>1.2</v>
      </c>
      <c r="G1081">
        <f>SUMIF('Isi Data'!B$1:B$65536,SNI!C$1:C$65536,'Isi Data'!E$1:E$65536)</f>
        <v>0</v>
      </c>
      <c r="H1081">
        <f>F1081*G1081</f>
        <v>0</v>
      </c>
    </row>
    <row r="1082">
      <c r="C1082" t="str">
        <v>Perlengkapan</v>
      </c>
      <c r="E1082" t="str">
        <v>m</v>
      </c>
      <c r="F1082">
        <v>0.35</v>
      </c>
      <c r="G1082">
        <f>G1081</f>
        <v>0</v>
      </c>
      <c r="H1082">
        <f>F1082*G1082</f>
        <v>0</v>
      </c>
    </row>
    <row r="1083">
      <c r="C1083" t="str">
        <f>'Isi Data'!B168</f>
        <v>Pekerja</v>
      </c>
      <c r="E1083" t="str">
        <v>org/hr</v>
      </c>
      <c r="F1083">
        <v>0.036</v>
      </c>
      <c r="G1083">
        <f>SUMIF('Isi Data'!B$1:B$65536,SNI!C$1:C$65536,'Isi Data'!E$1:E$65536)</f>
        <v>0</v>
      </c>
      <c r="I1083">
        <f>F1083*G1083</f>
        <v>0</v>
      </c>
    </row>
    <row r="1084">
      <c r="C1084" t="str">
        <f>'Isi Data'!B162</f>
        <v>Tukang Batu Halus</v>
      </c>
      <c r="E1084" t="str">
        <v>org/hr</v>
      </c>
      <c r="F1084">
        <v>0.06</v>
      </c>
      <c r="G1084">
        <f>SUMIF('Isi Data'!B$1:B$65536,SNI!C$1:C$65536,'Isi Data'!E$1:E$65536)</f>
        <v>0</v>
      </c>
      <c r="I1084">
        <f>F1084*G1084</f>
        <v>0</v>
      </c>
    </row>
    <row r="1085">
      <c r="C1085" t="str">
        <f>'Isi Data'!B163</f>
        <v>Kepala Tukang Batu</v>
      </c>
      <c r="E1085" t="str">
        <v>org/hr</v>
      </c>
      <c r="F1085">
        <v>0.006</v>
      </c>
      <c r="G1085">
        <f>SUMIF('Isi Data'!B$1:B$65536,SNI!C$1:C$65536,'Isi Data'!E$1:E$65536)</f>
        <v>0</v>
      </c>
      <c r="I1085">
        <f>F1085*G1085</f>
        <v>0</v>
      </c>
    </row>
    <row r="1086">
      <c r="C1086" t="str">
        <f>'Isi Data'!B169</f>
        <v xml:space="preserve">Mandor </v>
      </c>
      <c r="E1086" t="str">
        <v>org/hr</v>
      </c>
      <c r="F1086">
        <v>0.0018</v>
      </c>
      <c r="G1086">
        <f>SUMIF('Isi Data'!B$1:B$65536,SNI!C$1:C$65536,'Isi Data'!E$1:E$65536)</f>
        <v>0</v>
      </c>
      <c r="I1086">
        <f>F1086*G1086</f>
        <v>0</v>
      </c>
    </row>
    <row r="1088">
      <c r="A1088" t="str">
        <v>RSNI T-15-2002</v>
      </c>
      <c r="B1088" t="str">
        <v>M1</v>
      </c>
      <c r="C1088" t="str">
        <v xml:space="preserve">Pipa PVC dia. 3/4" </v>
      </c>
      <c r="H1088">
        <f>SUM(H1089:H1094)</f>
        <v>0</v>
      </c>
      <c r="I1088">
        <f>SUM(I1089:I1094)</f>
        <v>0</v>
      </c>
      <c r="J1088">
        <f>$J$3</f>
        <v>0.1</v>
      </c>
      <c r="K1088">
        <f>SUM(H1088:I1088)*(1+J1088)</f>
        <v>0</v>
      </c>
      <c r="L1088">
        <f>ROUND(K1088,-2)</f>
        <v>0</v>
      </c>
    </row>
    <row r="1089">
      <c r="C1089" t="str">
        <f>'Isi Data'!B122</f>
        <v xml:space="preserve">Pipa PVC dia 3/4" </v>
      </c>
      <c r="E1089" t="str">
        <v>m</v>
      </c>
      <c r="F1089">
        <v>1.2</v>
      </c>
      <c r="G1089">
        <f>SUMIF('Isi Data'!B$1:B$65536,SNI!C$1:C$65536,'Isi Data'!E$1:E$65536)</f>
        <v>0</v>
      </c>
      <c r="H1089">
        <f>F1089*G1089</f>
        <v>0</v>
      </c>
    </row>
    <row r="1090">
      <c r="C1090" t="str">
        <v>Perlengkapan</v>
      </c>
      <c r="E1090" t="str">
        <v>m</v>
      </c>
      <c r="F1090">
        <v>0.35</v>
      </c>
      <c r="G1090">
        <f>G1089</f>
        <v>0</v>
      </c>
      <c r="H1090">
        <f>F1090*G1090</f>
        <v>0</v>
      </c>
    </row>
    <row r="1091">
      <c r="C1091" t="str">
        <f>'Isi Data'!B168</f>
        <v>Pekerja</v>
      </c>
      <c r="E1091" t="str">
        <v>org/hr</v>
      </c>
      <c r="F1091">
        <v>0.036</v>
      </c>
      <c r="G1091">
        <f>SUMIF('Isi Data'!B$1:B$65536,SNI!C$1:C$65536,'Isi Data'!E$1:E$65536)</f>
        <v>0</v>
      </c>
      <c r="I1091">
        <f>F1091*G1091</f>
        <v>0</v>
      </c>
    </row>
    <row r="1092">
      <c r="C1092" t="str">
        <f>'Isi Data'!B162</f>
        <v>Tukang Batu Halus</v>
      </c>
      <c r="E1092" t="str">
        <v>org/hr</v>
      </c>
      <c r="F1092">
        <v>0.06</v>
      </c>
      <c r="G1092">
        <f>SUMIF('Isi Data'!B$1:B$65536,SNI!C$1:C$65536,'Isi Data'!E$1:E$65536)</f>
        <v>0</v>
      </c>
      <c r="I1092">
        <f>F1092*G1092</f>
        <v>0</v>
      </c>
    </row>
    <row r="1093">
      <c r="C1093" t="str">
        <f>'Isi Data'!B163</f>
        <v>Kepala Tukang Batu</v>
      </c>
      <c r="E1093" t="str">
        <v>org/hr</v>
      </c>
      <c r="F1093">
        <v>0.006</v>
      </c>
      <c r="G1093">
        <f>SUMIF('Isi Data'!B$1:B$65536,SNI!C$1:C$65536,'Isi Data'!E$1:E$65536)</f>
        <v>0</v>
      </c>
      <c r="I1093">
        <f>F1093*G1093</f>
        <v>0</v>
      </c>
    </row>
    <row r="1094">
      <c r="C1094" t="str">
        <f>'Isi Data'!B169</f>
        <v xml:space="preserve">Mandor </v>
      </c>
      <c r="E1094" t="str">
        <v>org/hr</v>
      </c>
      <c r="F1094">
        <v>0.0018</v>
      </c>
      <c r="G1094">
        <f>SUMIF('Isi Data'!B$1:B$65536,SNI!C$1:C$65536,'Isi Data'!E$1:E$65536)</f>
        <v>0</v>
      </c>
      <c r="I1094">
        <f>F1094*G1094</f>
        <v>0</v>
      </c>
    </row>
    <row r="1096">
      <c r="A1096" t="str">
        <v>RSNI T-15-2002</v>
      </c>
      <c r="B1096" t="str">
        <v>M1</v>
      </c>
      <c r="C1096" t="str">
        <v xml:space="preserve">Pipa PVC dia. 1/2" </v>
      </c>
      <c r="H1096">
        <f>SUM(H1097:H1102)</f>
        <v>0</v>
      </c>
      <c r="I1096">
        <f>SUM(I1097:I1102)</f>
        <v>0</v>
      </c>
      <c r="J1096">
        <f>$J$3</f>
        <v>0.1</v>
      </c>
      <c r="K1096">
        <f>SUM(H1096:I1096)*(1+J1096)</f>
        <v>0</v>
      </c>
      <c r="L1096">
        <f>ROUND(K1096,-2)</f>
        <v>0</v>
      </c>
    </row>
    <row r="1097">
      <c r="C1097" t="str">
        <f>'Isi Data'!B121</f>
        <v xml:space="preserve">Pipa PVC dia 1/2" </v>
      </c>
      <c r="E1097" t="str">
        <v>m</v>
      </c>
      <c r="F1097">
        <v>1.2</v>
      </c>
      <c r="G1097">
        <f>SUMIF('Isi Data'!B$1:B$65536,SNI!C$1:C$65536,'Isi Data'!E$1:E$65536)</f>
        <v>0</v>
      </c>
      <c r="H1097">
        <f>F1097*G1097</f>
        <v>0</v>
      </c>
    </row>
    <row r="1098">
      <c r="C1098" t="str">
        <v>Perlengkapan</v>
      </c>
      <c r="E1098" t="str">
        <v>m</v>
      </c>
      <c r="F1098">
        <v>0.35</v>
      </c>
      <c r="G1098">
        <f>G1097</f>
        <v>0</v>
      </c>
      <c r="H1098">
        <f>F1098*G1098</f>
        <v>0</v>
      </c>
    </row>
    <row r="1099">
      <c r="C1099" t="str">
        <f>'Isi Data'!B168</f>
        <v>Pekerja</v>
      </c>
      <c r="E1099" t="str">
        <v>org/hr</v>
      </c>
      <c r="F1099">
        <v>0.036</v>
      </c>
      <c r="G1099">
        <f>SUMIF('Isi Data'!B$1:B$65536,SNI!C$1:C$65536,'Isi Data'!E$1:E$65536)</f>
        <v>0</v>
      </c>
      <c r="I1099">
        <f>F1099*G1099</f>
        <v>0</v>
      </c>
    </row>
    <row r="1100">
      <c r="C1100" t="str">
        <f>'Isi Data'!B162</f>
        <v>Tukang Batu Halus</v>
      </c>
      <c r="E1100" t="str">
        <v>org/hr</v>
      </c>
      <c r="F1100">
        <v>0.06</v>
      </c>
      <c r="G1100">
        <f>SUMIF('Isi Data'!B$1:B$65536,SNI!C$1:C$65536,'Isi Data'!E$1:E$65536)</f>
        <v>0</v>
      </c>
      <c r="I1100">
        <f>F1100*G1100</f>
        <v>0</v>
      </c>
    </row>
    <row r="1101">
      <c r="C1101" t="str">
        <f>'Isi Data'!B163</f>
        <v>Kepala Tukang Batu</v>
      </c>
      <c r="E1101" t="str">
        <v>org/hr</v>
      </c>
      <c r="F1101">
        <v>0.006</v>
      </c>
      <c r="G1101">
        <f>SUMIF('Isi Data'!B$1:B$65536,SNI!C$1:C$65536,'Isi Data'!E$1:E$65536)</f>
        <v>0</v>
      </c>
      <c r="I1101">
        <f>F1101*G1101</f>
        <v>0</v>
      </c>
    </row>
    <row r="1102">
      <c r="C1102" t="str">
        <f>'Isi Data'!B169</f>
        <v xml:space="preserve">Mandor </v>
      </c>
      <c r="E1102" t="str">
        <v>org/hr</v>
      </c>
      <c r="F1102">
        <v>0.0018</v>
      </c>
      <c r="G1102">
        <f>SUMIF('Isi Data'!B$1:B$65536,SNI!C$1:C$65536,'Isi Data'!E$1:E$65536)</f>
        <v>0</v>
      </c>
      <c r="I1102">
        <f>F1102*G1102</f>
        <v>0</v>
      </c>
    </row>
    <row r="1105">
      <c r="B1105" t="str">
        <v>M1</v>
      </c>
      <c r="C1105" t="str">
        <v>Stop kran dia. 1"</v>
      </c>
      <c r="H1105">
        <f>SUM(H1106:H1111)</f>
        <v>0</v>
      </c>
      <c r="I1105">
        <f>SUM(I1106:I1111)</f>
        <v>0</v>
      </c>
      <c r="J1105">
        <f>$J$3</f>
        <v>0.1</v>
      </c>
      <c r="K1105">
        <f>SUM(H1105:I1105)*(1+J1105)</f>
        <v>0</v>
      </c>
      <c r="L1105">
        <f>ROUND(K1105,-2)</f>
        <v>0</v>
      </c>
    </row>
    <row r="1106">
      <c r="C1106" t="str">
        <f>'Isi Data'!B127</f>
        <v xml:space="preserve">Stop kran dia 1" </v>
      </c>
      <c r="E1106" t="str">
        <v>bh</v>
      </c>
      <c r="F1106">
        <v>1</v>
      </c>
      <c r="G1106">
        <f>SUMIF('Isi Data'!B$1:B$65536,SNI!C$1:C$65536,'Isi Data'!E$1:E$65536)</f>
        <v>0</v>
      </c>
      <c r="H1106">
        <f>F1106*G1106</f>
        <v>0</v>
      </c>
    </row>
    <row r="1107">
      <c r="C1107" t="str">
        <v>Perlengkapan</v>
      </c>
      <c r="E1107" t="str">
        <v>bh</v>
      </c>
      <c r="F1107">
        <v>0.35</v>
      </c>
      <c r="G1107">
        <f>G1106</f>
        <v>0</v>
      </c>
      <c r="H1107">
        <f>F1107*G1107</f>
        <v>0</v>
      </c>
    </row>
    <row r="1108">
      <c r="C1108" t="str">
        <f>'Isi Data'!B168</f>
        <v>Pekerja</v>
      </c>
      <c r="E1108" t="str">
        <v>org/hr</v>
      </c>
      <c r="F1108">
        <v>0.036</v>
      </c>
      <c r="G1108">
        <f>SUMIF('Isi Data'!B$1:B$65536,SNI!C$1:C$65536,'Isi Data'!E$1:E$65536)</f>
        <v>0</v>
      </c>
      <c r="I1108">
        <f>F1108*G1108</f>
        <v>0</v>
      </c>
    </row>
    <row r="1109">
      <c r="C1109" t="str">
        <f>'Isi Data'!B162</f>
        <v>Tukang Batu Halus</v>
      </c>
      <c r="E1109" t="str">
        <v>org/hr</v>
      </c>
      <c r="F1109">
        <v>0.06</v>
      </c>
      <c r="G1109">
        <f>SUMIF('Isi Data'!B$1:B$65536,SNI!C$1:C$65536,'Isi Data'!E$1:E$65536)</f>
        <v>0</v>
      </c>
      <c r="I1109">
        <f>F1109*G1109</f>
        <v>0</v>
      </c>
    </row>
    <row r="1110">
      <c r="C1110" t="str">
        <f>'Isi Data'!B163</f>
        <v>Kepala Tukang Batu</v>
      </c>
      <c r="E1110" t="str">
        <v>org/hr</v>
      </c>
      <c r="F1110">
        <v>0.006</v>
      </c>
      <c r="G1110">
        <f>SUMIF('Isi Data'!B$1:B$65536,SNI!C$1:C$65536,'Isi Data'!E$1:E$65536)</f>
        <v>0</v>
      </c>
      <c r="I1110">
        <f>F1110*G1110</f>
        <v>0</v>
      </c>
    </row>
    <row r="1111">
      <c r="C1111" t="str">
        <f>'Isi Data'!B169</f>
        <v xml:space="preserve">Mandor </v>
      </c>
      <c r="E1111" t="str">
        <v>org/hr</v>
      </c>
      <c r="F1111">
        <v>0.0018</v>
      </c>
      <c r="G1111">
        <f>SUMIF('Isi Data'!B$1:B$65536,SNI!C$1:C$65536,'Isi Data'!E$1:E$65536)</f>
        <v>0</v>
      </c>
      <c r="I1111">
        <f>F1111*G1111</f>
        <v>0</v>
      </c>
    </row>
    <row r="1113">
      <c r="B1113" t="str">
        <v>M1</v>
      </c>
      <c r="C1113" t="str">
        <v>Klep diameter 3/4"</v>
      </c>
      <c r="H1113">
        <f>SUM(H1114:H1119)</f>
        <v>0</v>
      </c>
      <c r="I1113">
        <f>SUM(I1114:I1119)</f>
        <v>0</v>
      </c>
      <c r="J1113">
        <f>$J$3</f>
        <v>0.1</v>
      </c>
      <c r="K1113">
        <f>SUM(H1113:I1113)*(1+J1113)</f>
        <v>0</v>
      </c>
      <c r="L1113">
        <f>ROUND(K1113,-2)</f>
        <v>0</v>
      </c>
    </row>
    <row r="1114">
      <c r="C1114" t="str">
        <f>'Isi Data'!B128</f>
        <v xml:space="preserve">Klep diameter 3/4" </v>
      </c>
      <c r="E1114" t="str">
        <v>m</v>
      </c>
      <c r="F1114">
        <v>1.2</v>
      </c>
      <c r="G1114">
        <f>SUMIF('Isi Data'!B$1:B$65536,SNI!C$1:C$65536,'Isi Data'!E$1:E$65536)</f>
        <v>0</v>
      </c>
      <c r="H1114">
        <f>F1114*G1114</f>
        <v>0</v>
      </c>
    </row>
    <row r="1115">
      <c r="C1115" t="str">
        <v>Perlengkapan</v>
      </c>
      <c r="E1115" t="str">
        <v>m</v>
      </c>
      <c r="F1115">
        <v>0.35</v>
      </c>
      <c r="G1115">
        <f>G1114</f>
        <v>0</v>
      </c>
      <c r="H1115">
        <f>F1115*G1115</f>
        <v>0</v>
      </c>
    </row>
    <row r="1116">
      <c r="C1116" t="str">
        <f>'Isi Data'!B168</f>
        <v>Pekerja</v>
      </c>
      <c r="E1116" t="str">
        <v>org/hr</v>
      </c>
      <c r="F1116">
        <v>0.036</v>
      </c>
      <c r="G1116">
        <f>SUMIF('Isi Data'!B$1:B$65536,SNI!C$1:C$65536,'Isi Data'!E$1:E$65536)</f>
        <v>0</v>
      </c>
      <c r="I1116">
        <f>F1116*G1116</f>
        <v>0</v>
      </c>
    </row>
    <row r="1117">
      <c r="C1117" t="str">
        <f>'Isi Data'!B162</f>
        <v>Tukang Batu Halus</v>
      </c>
      <c r="E1117" t="str">
        <v>org/hr</v>
      </c>
      <c r="F1117">
        <v>0.06</v>
      </c>
      <c r="G1117">
        <f>SUMIF('Isi Data'!B$1:B$65536,SNI!C$1:C$65536,'Isi Data'!E$1:E$65536)</f>
        <v>0</v>
      </c>
      <c r="I1117">
        <f>F1117*G1117</f>
        <v>0</v>
      </c>
    </row>
    <row r="1118">
      <c r="C1118" t="str">
        <f>'Isi Data'!B163</f>
        <v>Kepala Tukang Batu</v>
      </c>
      <c r="E1118" t="str">
        <v>org/hr</v>
      </c>
      <c r="F1118">
        <v>0.006</v>
      </c>
      <c r="G1118">
        <f>SUMIF('Isi Data'!B$1:B$65536,SNI!C$1:C$65536,'Isi Data'!E$1:E$65536)</f>
        <v>0</v>
      </c>
      <c r="I1118">
        <f>F1118*G1118</f>
        <v>0</v>
      </c>
    </row>
    <row r="1119">
      <c r="C1119" t="str">
        <f>'Isi Data'!B169</f>
        <v xml:space="preserve">Mandor </v>
      </c>
      <c r="E1119" t="str">
        <v>org/hr</v>
      </c>
      <c r="F1119">
        <v>0.0018</v>
      </c>
      <c r="G1119">
        <f>SUMIF('Isi Data'!B$1:B$65536,SNI!C$1:C$65536,'Isi Data'!E$1:E$65536)</f>
        <v>0</v>
      </c>
      <c r="I1119">
        <f>F1119*G1119</f>
        <v>0</v>
      </c>
    </row>
    <row r="1122">
      <c r="A1122" t="str">
        <v>RSNI T-15-2002</v>
      </c>
      <c r="B1122" t="str">
        <v>M1</v>
      </c>
      <c r="C1122" t="str">
        <v>Roofdrain</v>
      </c>
      <c r="H1122">
        <f>SUM(H1123:H1128)</f>
        <v>0</v>
      </c>
      <c r="I1122">
        <f>SUM(I1123:I1128)</f>
        <v>0</v>
      </c>
      <c r="J1122">
        <f>$J$3</f>
        <v>0.1</v>
      </c>
      <c r="K1122">
        <f>SUM(H1122:I1122)*(1+J1122)</f>
        <v>0</v>
      </c>
      <c r="L1122">
        <f>ROUND(K1122,-2)</f>
        <v>0</v>
      </c>
    </row>
    <row r="1123">
      <c r="C1123" t="str">
        <f>'Isi Data'!B132</f>
        <v>Roof Drain Metal</v>
      </c>
      <c r="E1123" t="str">
        <v>m</v>
      </c>
      <c r="F1123">
        <v>1.2</v>
      </c>
      <c r="G1123">
        <f>SUMIF('Isi Data'!B$1:B$65536,SNI!C$1:C$65536,'Isi Data'!E$1:E$65536)</f>
        <v>0</v>
      </c>
      <c r="H1123">
        <f>F1123*G1123</f>
        <v>0</v>
      </c>
    </row>
    <row r="1124">
      <c r="C1124" t="str">
        <f>'Isi Data'!B25</f>
        <v>Semen (50 Kg)</v>
      </c>
      <c r="E1124" t="str">
        <v>zak</v>
      </c>
      <c r="F1124">
        <v>0.12</v>
      </c>
      <c r="G1124">
        <f>SUMIF('Isi Data'!B$1:B$65536,SNI!C$1:C$65536,'Isi Data'!E$1:E$65536)</f>
        <v>0</v>
      </c>
      <c r="H1124">
        <f>F1124*G1124</f>
        <v>0</v>
      </c>
    </row>
    <row r="1125">
      <c r="C1125" t="str">
        <f>'Isi Data'!B168</f>
        <v>Pekerja</v>
      </c>
      <c r="E1125" t="str">
        <v>org/hr</v>
      </c>
      <c r="F1125">
        <v>0</v>
      </c>
      <c r="G1125">
        <f>SUMIF('Isi Data'!B$1:B$65536,SNI!C$1:C$65536,'Isi Data'!E$1:E$65536)</f>
        <v>0</v>
      </c>
      <c r="I1125">
        <f>F1125*G1125</f>
        <v>0</v>
      </c>
    </row>
    <row r="1126">
      <c r="C1126" t="str">
        <f>'Isi Data'!B162</f>
        <v>Tukang Batu Halus</v>
      </c>
      <c r="E1126" t="str">
        <v>org/hr</v>
      </c>
      <c r="F1126">
        <v>1.1</v>
      </c>
      <c r="G1126">
        <f>SUMIF('Isi Data'!B$1:B$65536,SNI!C$1:C$65536,'Isi Data'!E$1:E$65536)</f>
        <v>0</v>
      </c>
      <c r="I1126">
        <f>F1126*G1126</f>
        <v>0</v>
      </c>
    </row>
    <row r="1127">
      <c r="C1127" t="str">
        <f>'Isi Data'!B163</f>
        <v>Kepala Tukang Batu</v>
      </c>
      <c r="E1127" t="str">
        <v>org/hr</v>
      </c>
      <c r="F1127">
        <v>0.11</v>
      </c>
      <c r="G1127">
        <f>SUMIF('Isi Data'!B$1:B$65536,SNI!C$1:C$65536,'Isi Data'!E$1:E$65536)</f>
        <v>0</v>
      </c>
      <c r="I1127">
        <f>F1127*G1127</f>
        <v>0</v>
      </c>
    </row>
    <row r="1128">
      <c r="C1128" t="str">
        <f>'Isi Data'!B169</f>
        <v xml:space="preserve">Mandor </v>
      </c>
      <c r="E1128" t="str">
        <v>org/hr</v>
      </c>
      <c r="F1128">
        <v>0.016</v>
      </c>
      <c r="G1128">
        <f>SUMIF('Isi Data'!B$1:B$65536,SNI!C$1:C$65536,'Isi Data'!E$1:E$65536)</f>
        <v>0</v>
      </c>
      <c r="I1128">
        <f>F1128*G1128</f>
        <v>0</v>
      </c>
    </row>
    <row r="1130">
      <c r="B1130" t="str">
        <v>M1</v>
      </c>
      <c r="C1130" t="str">
        <v>Mesin Jet Pump kap.250 watt</v>
      </c>
      <c r="H1130">
        <f>SUM(H1131:H1135)</f>
        <v>0</v>
      </c>
      <c r="I1130">
        <f>SUM(I1131:I1135)</f>
        <v>0</v>
      </c>
      <c r="J1130">
        <f>$J$3</f>
        <v>0.1</v>
      </c>
      <c r="K1130">
        <f>SUM(H1130:I1130)*(1+J1130)</f>
        <v>0</v>
      </c>
      <c r="L1130">
        <f>ROUND(K1130,-2)</f>
        <v>0</v>
      </c>
    </row>
    <row r="1131">
      <c r="C1131" t="str">
        <f>'Isi Data'!B133</f>
        <v>Mesin Jet Pump kap.250 watt</v>
      </c>
      <c r="E1131" t="str">
        <v>m</v>
      </c>
      <c r="F1131">
        <v>1.2</v>
      </c>
      <c r="G1131">
        <f>SUMIF('Isi Data'!B$1:B$65536,SNI!C$1:C$65536,'Isi Data'!E$1:E$65536)</f>
        <v>0</v>
      </c>
      <c r="H1131">
        <f>F1131*G1131</f>
        <v>0</v>
      </c>
    </row>
    <row r="1132">
      <c r="C1132" t="str">
        <f>'Isi Data'!B168</f>
        <v>Pekerja</v>
      </c>
      <c r="E1132" t="str">
        <v>org/hr</v>
      </c>
      <c r="F1132">
        <v>1</v>
      </c>
      <c r="G1132">
        <f>SUMIF('Isi Data'!B$1:B$65536,SNI!C$1:C$65536,'Isi Data'!E$1:E$65536)</f>
        <v>0</v>
      </c>
      <c r="I1132">
        <f>F1132*G1132</f>
        <v>0</v>
      </c>
    </row>
    <row r="1133">
      <c r="C1133" t="str">
        <f>'Isi Data'!B166</f>
        <v>Tukang Listrik</v>
      </c>
      <c r="E1133" t="str">
        <v>org/hr</v>
      </c>
      <c r="F1133">
        <v>0.5</v>
      </c>
      <c r="G1133">
        <f>SUMIF('Isi Data'!B$1:B$65536,SNI!C$1:C$65536,'Isi Data'!E$1:E$65536)</f>
        <v>0</v>
      </c>
      <c r="I1133">
        <f>F1133*G1133</f>
        <v>0</v>
      </c>
    </row>
    <row r="1134">
      <c r="C1134" t="str">
        <f>'Isi Data'!B167</f>
        <v>Kepala Tukang Listrik</v>
      </c>
      <c r="E1134" t="str">
        <v>org/hr</v>
      </c>
      <c r="F1134">
        <v>0.11</v>
      </c>
      <c r="G1134">
        <f>SUMIF('Isi Data'!B$1:B$65536,SNI!C$1:C$65536,'Isi Data'!E$1:E$65536)</f>
        <v>0</v>
      </c>
      <c r="I1134">
        <f>F1134*G1134</f>
        <v>0</v>
      </c>
    </row>
    <row r="1135">
      <c r="C1135" t="str">
        <f>'Isi Data'!B169</f>
        <v xml:space="preserve">Mandor </v>
      </c>
      <c r="E1135" t="str">
        <v>org/hr</v>
      </c>
      <c r="F1135">
        <v>0.016</v>
      </c>
      <c r="G1135">
        <f>SUMIF('Isi Data'!B$1:B$65536,SNI!C$1:C$65536,'Isi Data'!E$1:E$65536)</f>
        <v>0</v>
      </c>
      <c r="I1135">
        <f>F1135*G1135</f>
        <v>0</v>
      </c>
    </row>
    <row r="1137">
      <c r="B1137" t="str">
        <v>M1</v>
      </c>
      <c r="C1137" t="str">
        <v>Mesin pompa kap.150 watt</v>
      </c>
      <c r="H1137">
        <f>SUM(H1138:H1142)</f>
        <v>0</v>
      </c>
      <c r="I1137">
        <f>SUM(I1138:I1142)</f>
        <v>0</v>
      </c>
      <c r="J1137">
        <f>$J$3</f>
        <v>0.1</v>
      </c>
      <c r="K1137">
        <f>SUM(H1137:I1137)*(1+J1137)</f>
        <v>0</v>
      </c>
      <c r="L1137">
        <f>ROUND(K1137,-2)</f>
        <v>0</v>
      </c>
    </row>
    <row r="1138">
      <c r="C1138" t="str">
        <f>'Isi Data'!B134</f>
        <v>Mesin Pompa tekan kap. 150 watt</v>
      </c>
      <c r="E1138" t="str">
        <v>m</v>
      </c>
      <c r="F1138">
        <v>1.2</v>
      </c>
      <c r="G1138">
        <f>SUMIF('Isi Data'!B$1:B$65536,SNI!C$1:C$65536,'Isi Data'!E$1:E$65536)</f>
        <v>0</v>
      </c>
      <c r="H1138">
        <f>F1138*G1138</f>
        <v>0</v>
      </c>
    </row>
    <row r="1139">
      <c r="C1139" t="str">
        <f>'Isi Data'!B168</f>
        <v>Pekerja</v>
      </c>
      <c r="E1139" t="str">
        <v>org/hr</v>
      </c>
      <c r="F1139">
        <v>1</v>
      </c>
      <c r="G1139">
        <f>SUMIF('Isi Data'!B$1:B$65536,SNI!C$1:C$65536,'Isi Data'!E$1:E$65536)</f>
        <v>0</v>
      </c>
      <c r="I1139">
        <f>F1139*G1139</f>
        <v>0</v>
      </c>
    </row>
    <row r="1140">
      <c r="C1140" t="str">
        <f>'Isi Data'!B166</f>
        <v>Tukang Listrik</v>
      </c>
      <c r="E1140" t="str">
        <v>org/hr</v>
      </c>
      <c r="F1140">
        <v>0.5</v>
      </c>
      <c r="G1140">
        <f>SUMIF('Isi Data'!B$1:B$65536,SNI!C$1:C$65536,'Isi Data'!E$1:E$65536)</f>
        <v>0</v>
      </c>
      <c r="I1140">
        <f>F1140*G1140</f>
        <v>0</v>
      </c>
    </row>
    <row r="1141">
      <c r="C1141" t="str">
        <f>'Isi Data'!B167</f>
        <v>Kepala Tukang Listrik</v>
      </c>
      <c r="E1141" t="str">
        <v>org/hr</v>
      </c>
      <c r="F1141">
        <v>0.11</v>
      </c>
      <c r="G1141">
        <f>SUMIF('Isi Data'!B$1:B$65536,SNI!C$1:C$65536,'Isi Data'!E$1:E$65536)</f>
        <v>0</v>
      </c>
      <c r="I1141">
        <f>F1141*G1141</f>
        <v>0</v>
      </c>
    </row>
    <row r="1142">
      <c r="C1142" t="str">
        <f>'Isi Data'!B169</f>
        <v xml:space="preserve">Mandor </v>
      </c>
      <c r="E1142" t="str">
        <v>org/hr</v>
      </c>
      <c r="F1142">
        <v>0.016</v>
      </c>
      <c r="G1142">
        <f>SUMIF('Isi Data'!B$1:B$65536,SNI!C$1:C$65536,'Isi Data'!E$1:E$65536)</f>
        <v>0</v>
      </c>
      <c r="I1142">
        <f>F1142*G1142</f>
        <v>0</v>
      </c>
    </row>
    <row r="1144">
      <c r="B1144" t="str">
        <v>M1</v>
      </c>
      <c r="C1144" t="str">
        <v>Tangki air 1000 liter</v>
      </c>
      <c r="H1144">
        <f>SUM(H1145:H1150)</f>
        <v>0</v>
      </c>
      <c r="I1144">
        <f>SUM(I1145:I1150)</f>
        <v>0</v>
      </c>
      <c r="J1144">
        <f>$J$3</f>
        <v>0.1</v>
      </c>
      <c r="K1144">
        <f>SUM(H1144:I1144)*(1+J1144)</f>
        <v>0</v>
      </c>
      <c r="L1144">
        <f>ROUND(K1144,-2)</f>
        <v>0</v>
      </c>
    </row>
    <row r="1145">
      <c r="C1145" t="str">
        <f>'Isi Data'!B129</f>
        <v>Tangki air 1000 liter</v>
      </c>
      <c r="E1145" t="str">
        <v>bh</v>
      </c>
      <c r="F1145">
        <v>1</v>
      </c>
      <c r="G1145">
        <f>SUMIF('Isi Data'!B$1:B$65536,SNI!C$1:C$65536,'Isi Data'!E$1:E$65536)</f>
        <v>0</v>
      </c>
      <c r="H1145">
        <f>F1145*G1145</f>
        <v>0</v>
      </c>
    </row>
    <row r="1146">
      <c r="C1146" t="str">
        <f>'Isi Data'!B131</f>
        <v>Pelampung otomatis</v>
      </c>
      <c r="E1146" t="str">
        <v>bh</v>
      </c>
      <c r="F1146">
        <v>1</v>
      </c>
      <c r="G1146">
        <f>SUMIF('Isi Data'!B$1:B$65536,SNI!C$1:C$65536,'Isi Data'!E$1:E$65536)</f>
        <v>0</v>
      </c>
      <c r="H1146">
        <f>F1146*G1146</f>
        <v>0</v>
      </c>
    </row>
    <row r="1147">
      <c r="C1147" t="str">
        <f>'Isi Data'!B168</f>
        <v>Pekerja</v>
      </c>
      <c r="E1147" t="str">
        <v>org/hr</v>
      </c>
      <c r="F1147">
        <v>1</v>
      </c>
      <c r="G1147">
        <f>SUMIF('Isi Data'!B$1:B$65536,SNI!C$1:C$65536,'Isi Data'!E$1:E$65536)</f>
        <v>0</v>
      </c>
      <c r="I1147">
        <f>F1147*G1147</f>
        <v>0</v>
      </c>
    </row>
    <row r="1148">
      <c r="C1148" t="str">
        <f>'Isi Data'!B166</f>
        <v>Tukang Listrik</v>
      </c>
      <c r="E1148" t="str">
        <v>org/hr</v>
      </c>
      <c r="F1148">
        <v>0.5</v>
      </c>
      <c r="G1148">
        <f>SUMIF('Isi Data'!B$1:B$65536,SNI!C$1:C$65536,'Isi Data'!E$1:E$65536)</f>
        <v>0</v>
      </c>
      <c r="I1148">
        <f>F1148*G1148</f>
        <v>0</v>
      </c>
    </row>
    <row r="1149">
      <c r="C1149" t="str">
        <f>'Isi Data'!B167</f>
        <v>Kepala Tukang Listrik</v>
      </c>
      <c r="E1149" t="str">
        <v>org/hr</v>
      </c>
      <c r="F1149">
        <v>0.11</v>
      </c>
      <c r="G1149">
        <f>SUMIF('Isi Data'!B$1:B$65536,SNI!C$1:C$65536,'Isi Data'!E$1:E$65536)</f>
        <v>0</v>
      </c>
      <c r="I1149">
        <f>F1149*G1149</f>
        <v>0</v>
      </c>
    </row>
    <row r="1150">
      <c r="C1150" t="str">
        <f>'Isi Data'!B169</f>
        <v xml:space="preserve">Mandor </v>
      </c>
      <c r="E1150" t="str">
        <v>org/hr</v>
      </c>
      <c r="F1150">
        <v>0.016</v>
      </c>
      <c r="G1150">
        <f>SUMIF('Isi Data'!B$1:B$65536,SNI!C$1:C$65536,'Isi Data'!E$1:E$65536)</f>
        <v>0</v>
      </c>
      <c r="I1150">
        <f>F1150*G1150</f>
        <v>0</v>
      </c>
    </row>
    <row r="1152">
      <c r="B1152" t="str">
        <v>M1</v>
      </c>
      <c r="C1152" t="str">
        <v>Tangki air 500 liter</v>
      </c>
      <c r="H1152">
        <f>SUM(H1153:H1158)</f>
        <v>0</v>
      </c>
      <c r="I1152">
        <f>SUM(I1153:I1158)</f>
        <v>0</v>
      </c>
      <c r="J1152">
        <f>$J$3</f>
        <v>0.1</v>
      </c>
      <c r="K1152">
        <f>SUM(H1152:I1152)*(1+J1152)</f>
        <v>0</v>
      </c>
      <c r="L1152">
        <f>ROUND(K1152,-2)</f>
        <v>0</v>
      </c>
    </row>
    <row r="1153">
      <c r="C1153" t="str">
        <f>'Isi Data'!B130</f>
        <v>Tangki air 500 liter</v>
      </c>
      <c r="E1153" t="str">
        <v>bh</v>
      </c>
      <c r="F1153">
        <v>1</v>
      </c>
      <c r="G1153">
        <f>SUMIF('Isi Data'!B$1:B$65536,SNI!C$1:C$65536,'Isi Data'!E$1:E$65536)</f>
        <v>0</v>
      </c>
      <c r="H1153">
        <f>F1153*G1153</f>
        <v>0</v>
      </c>
      <c r="M1153" t="str">
        <f>IF(G1153=0,"edit"," ")</f>
        <v>edit</v>
      </c>
    </row>
    <row r="1154">
      <c r="C1154" t="str">
        <f>'Isi Data'!B131</f>
        <v>Pelampung otomatis</v>
      </c>
      <c r="E1154" t="str">
        <v>bh</v>
      </c>
      <c r="F1154">
        <v>1</v>
      </c>
      <c r="G1154">
        <f>SUMIF('Isi Data'!B$1:B$65536,SNI!C$1:C$65536,'Isi Data'!E$1:E$65536)</f>
        <v>0</v>
      </c>
      <c r="H1154">
        <f>F1154*G1154</f>
        <v>0</v>
      </c>
      <c r="M1154" t="str">
        <f>IF(G1154=0,"edit"," ")</f>
        <v>edit</v>
      </c>
    </row>
    <row r="1155">
      <c r="C1155" t="str">
        <f>'Isi Data'!B168</f>
        <v>Pekerja</v>
      </c>
      <c r="E1155" t="str">
        <v>org/hr</v>
      </c>
      <c r="F1155">
        <v>1</v>
      </c>
      <c r="G1155">
        <f>SUMIF('Isi Data'!B$1:B$65536,SNI!C$1:C$65536,'Isi Data'!E$1:E$65536)</f>
        <v>0</v>
      </c>
      <c r="I1155">
        <f>F1155*G1155</f>
        <v>0</v>
      </c>
      <c r="M1155" t="str">
        <f>IF(G1155=0,"edit"," ")</f>
        <v>edit</v>
      </c>
    </row>
    <row r="1156">
      <c r="C1156" t="str">
        <f>'Isi Data'!B166</f>
        <v>Tukang Listrik</v>
      </c>
      <c r="E1156" t="str">
        <v>org/hr</v>
      </c>
      <c r="F1156">
        <v>0.5</v>
      </c>
      <c r="G1156">
        <f>SUMIF('Isi Data'!B$1:B$65536,SNI!C$1:C$65536,'Isi Data'!E$1:E$65536)</f>
        <v>0</v>
      </c>
      <c r="I1156">
        <f>F1156*G1156</f>
        <v>0</v>
      </c>
      <c r="M1156" t="str">
        <f>IF(G1156=0,"edit"," ")</f>
        <v>edit</v>
      </c>
    </row>
    <row r="1157">
      <c r="C1157" t="str">
        <f>'Isi Data'!B167</f>
        <v>Kepala Tukang Listrik</v>
      </c>
      <c r="E1157" t="str">
        <v>org/hr</v>
      </c>
      <c r="F1157">
        <v>0.11</v>
      </c>
      <c r="G1157">
        <f>SUMIF('Isi Data'!B$1:B$65536,SNI!C$1:C$65536,'Isi Data'!E$1:E$65536)</f>
        <v>0</v>
      </c>
      <c r="I1157">
        <f>F1157*G1157</f>
        <v>0</v>
      </c>
      <c r="M1157" t="str">
        <f>IF(G1157=0,"edit"," ")</f>
        <v>edit</v>
      </c>
    </row>
    <row r="1158">
      <c r="C1158" t="str">
        <f>'Isi Data'!B169</f>
        <v xml:space="preserve">Mandor </v>
      </c>
      <c r="E1158" t="str">
        <v>org/hr</v>
      </c>
      <c r="F1158">
        <v>0.016</v>
      </c>
      <c r="G1158">
        <f>SUMIF('Isi Data'!B$1:B$65536,SNI!C$1:C$65536,'Isi Data'!E$1:E$65536)</f>
        <v>0</v>
      </c>
      <c r="I1158">
        <f>F1158*G1158</f>
        <v>0</v>
      </c>
      <c r="M1158" t="str">
        <f>IF(G1158=0,"edit"," ")</f>
        <v>edit</v>
      </c>
    </row>
    <row r="1160">
      <c r="B1160" t="str">
        <v>M1</v>
      </c>
      <c r="C1160" t="str">
        <v>Dudukan tangki air</v>
      </c>
      <c r="H1160">
        <f>SUM(H1161:H1165)</f>
        <v>0</v>
      </c>
      <c r="I1160">
        <f>SUM(I1161:I1165)</f>
        <v>0</v>
      </c>
      <c r="J1160">
        <f>$J$3</f>
        <v>0.1</v>
      </c>
      <c r="K1160">
        <f>SUM(H1160:I1160)*(1+J1160)</f>
        <v>0</v>
      </c>
      <c r="L1160">
        <f>ROUND(K1160,-2)</f>
        <v>0</v>
      </c>
    </row>
    <row r="1161">
      <c r="C1161" t="str">
        <f>'Isi Data'!B31</f>
        <v xml:space="preserve">Besi Plat rata2 </v>
      </c>
      <c r="D1161" t="str">
        <v>Besi siku 50.50.5</v>
      </c>
      <c r="E1161" t="str">
        <v>kg</v>
      </c>
      <c r="F1161">
        <f>1*2*35</f>
        <v>70</v>
      </c>
      <c r="G1161">
        <f>SUMIF('Isi Data'!B$1:B$65536,SNI!C$1:C$65536,'Isi Data'!E$1:E$65536)</f>
        <v>0</v>
      </c>
      <c r="H1161">
        <f>F1161*G1161</f>
        <v>0</v>
      </c>
    </row>
    <row r="1162">
      <c r="C1162" t="str">
        <f>'Isi Data'!B168</f>
        <v>Pekerja</v>
      </c>
      <c r="E1162" t="str">
        <v>org/hr</v>
      </c>
      <c r="F1162">
        <v>1</v>
      </c>
      <c r="G1162">
        <f>SUMIF('Isi Data'!B$1:B$65536,SNI!C$1:C$65536,'Isi Data'!E$1:E$65536)</f>
        <v>0</v>
      </c>
      <c r="I1162">
        <f>F1162*G1162</f>
        <v>0</v>
      </c>
    </row>
    <row r="1163">
      <c r="C1163" t="str">
        <f>'Isi Data'!B166</f>
        <v>Tukang Listrik</v>
      </c>
      <c r="E1163" t="str">
        <v>org/hr</v>
      </c>
      <c r="F1163">
        <v>0.5</v>
      </c>
      <c r="G1163">
        <f>SUMIF('Isi Data'!B$1:B$65536,SNI!C$1:C$65536,'Isi Data'!E$1:E$65536)</f>
        <v>0</v>
      </c>
      <c r="I1163">
        <f>F1163*G1163</f>
        <v>0</v>
      </c>
    </row>
    <row r="1164">
      <c r="C1164" t="str">
        <f>'Isi Data'!B167</f>
        <v>Kepala Tukang Listrik</v>
      </c>
      <c r="E1164" t="str">
        <v>org/hr</v>
      </c>
      <c r="F1164">
        <v>0.11</v>
      </c>
      <c r="G1164">
        <f>SUMIF('Isi Data'!B$1:B$65536,SNI!C$1:C$65536,'Isi Data'!E$1:E$65536)</f>
        <v>0</v>
      </c>
      <c r="I1164">
        <f>F1164*G1164</f>
        <v>0</v>
      </c>
    </row>
    <row r="1165">
      <c r="C1165" t="str">
        <f>'Isi Data'!B169</f>
        <v xml:space="preserve">Mandor </v>
      </c>
      <c r="E1165" t="str">
        <v>org/hr</v>
      </c>
      <c r="F1165">
        <v>0.016</v>
      </c>
      <c r="G1165">
        <f>SUMIF('Isi Data'!B$1:B$65536,SNI!C$1:C$65536,'Isi Data'!E$1:E$65536)</f>
        <v>0</v>
      </c>
      <c r="I1165">
        <f>F1165*G1165</f>
        <v>0</v>
      </c>
    </row>
    <row r="1168">
      <c r="B1168" t="str">
        <v>UNIT</v>
      </c>
      <c r="C1168" t="str">
        <v>Septictank Buis beton + Rembesan</v>
      </c>
      <c r="H1168">
        <f>SUM(H1169:H1178)</f>
        <v>0</v>
      </c>
      <c r="I1168">
        <f>SUM(I1169:I1178)</f>
        <v>0</v>
      </c>
      <c r="J1168">
        <f>$J$3</f>
        <v>0.1</v>
      </c>
      <c r="K1168">
        <f>SUM(H1168:I1168)*(1+J1168)</f>
        <v>0</v>
      </c>
      <c r="L1168">
        <f>ROUND(K1168,-2)</f>
        <v>0</v>
      </c>
    </row>
    <row r="1169">
      <c r="C1169" t="str">
        <v>Galian tanah, dalam  s/d 1 m</v>
      </c>
      <c r="D1169" t="str">
        <v>ukuran Ø1,2X 1,5 m + Rembesan</v>
      </c>
      <c r="E1169" t="str">
        <v>m3</v>
      </c>
      <c r="F1169">
        <v>2</v>
      </c>
      <c r="G1169">
        <f>SUMIF(C$1:C$65536,C$1:C$65536,L$1:L$65536)</f>
        <v>0</v>
      </c>
      <c r="H1169">
        <f>F1169*G1169</f>
        <v>0</v>
      </c>
      <c r="M1169" t="str">
        <f>IF(G1169=0,"edit"," ")</f>
        <v>edit</v>
      </c>
    </row>
    <row r="1170">
      <c r="C1170" t="str">
        <v>Pas. Urugan pasir</v>
      </c>
      <c r="E1170" t="str">
        <v>m3</v>
      </c>
      <c r="F1170">
        <v>0.2</v>
      </c>
      <c r="G1170">
        <f>SUMIF(C$1:C$65536,C$1:C$65536,L$1:L$65536)</f>
        <v>0</v>
      </c>
      <c r="H1170">
        <f>F1170*G1170</f>
        <v>0</v>
      </c>
      <c r="M1170" t="str">
        <f>IF(G1170=0,"edit"," ")</f>
        <v>edit</v>
      </c>
    </row>
    <row r="1171">
      <c r="C1171" t="str">
        <v>Pas. Lantai kerja beton tumbuk 1:3:5</v>
      </c>
      <c r="E1171" t="str">
        <v>m2</v>
      </c>
      <c r="F1171">
        <v>1.766</v>
      </c>
      <c r="G1171">
        <f>SUMIF(C$1:C$65536,C$1:C$65536,L$1:L$65536)</f>
        <v>0</v>
      </c>
      <c r="H1171">
        <f>F1171*G1171</f>
        <v>0</v>
      </c>
      <c r="M1171" t="str">
        <f>IF(G1171=0,"edit"," ")</f>
        <v>edit</v>
      </c>
    </row>
    <row r="1172">
      <c r="C1172" t="str">
        <v>Beton K - 200</v>
      </c>
      <c r="D1172" t="str">
        <v>Balok &amp; Tutup manhole</v>
      </c>
      <c r="E1172" t="str">
        <v>m3</v>
      </c>
      <c r="F1172">
        <v>0.203</v>
      </c>
      <c r="G1172">
        <f>SUMIF(C$1:C$65536,C$1:C$65536,L$1:L$65536)</f>
        <v>0</v>
      </c>
      <c r="H1172">
        <f>F1172*G1172</f>
        <v>0</v>
      </c>
    </row>
    <row r="1173">
      <c r="C1173" t="str">
        <v>Pipa PVC dia. 4" AW</v>
      </c>
      <c r="E1173" t="str">
        <v>m'</v>
      </c>
      <c r="F1173">
        <v>5.4</v>
      </c>
      <c r="G1173">
        <f>SUMIF(C$1:C$65536,C$1:C$65536,L$1:L$65536)</f>
        <v>0</v>
      </c>
      <c r="H1173">
        <f>F1173*G1173</f>
        <v>0</v>
      </c>
    </row>
    <row r="1174">
      <c r="C1174" t="str">
        <v>Pipa PVC dia. 1" AW</v>
      </c>
      <c r="E1174" t="str">
        <v>m'</v>
      </c>
      <c r="F1174">
        <v>1.2</v>
      </c>
      <c r="G1174">
        <f>SUMIF(C$1:C$65536,C$1:C$65536,L$1:L$65536)</f>
        <v>0</v>
      </c>
      <c r="H1174">
        <f>F1174*G1174</f>
        <v>0</v>
      </c>
    </row>
    <row r="1175">
      <c r="C1175" t="str">
        <v>Galian tanah, dalam  s/d 1 m</v>
      </c>
      <c r="E1175" t="str">
        <v>m3</v>
      </c>
      <c r="F1175">
        <v>3.375</v>
      </c>
      <c r="G1175">
        <f>SUMIF(C$1:C$65536,C$1:C$65536,L$1:L$65536)</f>
        <v>0</v>
      </c>
      <c r="H1175">
        <f>F1175*G1175</f>
        <v>0</v>
      </c>
    </row>
    <row r="1176">
      <c r="C1176" t="str">
        <f>'Isi Data'!B18</f>
        <v>Batu Kerikil</v>
      </c>
      <c r="D1176" t="str">
        <v>urugan</v>
      </c>
      <c r="E1176" t="str">
        <v>m3</v>
      </c>
      <c r="F1176">
        <v>1.05</v>
      </c>
      <c r="G1176">
        <f>SUMIF('Isi Data'!B$1:B$65536,SNI!C$1:C$65536,'Isi Data'!E$1:E$65536)</f>
        <v>0</v>
      </c>
      <c r="H1176">
        <f>F1176*G1176</f>
        <v>0</v>
      </c>
    </row>
    <row r="1177">
      <c r="C1177" t="str">
        <v>Pipa PVC dia. 4" AW</v>
      </c>
      <c r="D1177" t="str">
        <v>berlobang</v>
      </c>
      <c r="E1177" t="str">
        <v>m'</v>
      </c>
      <c r="F1177">
        <v>9</v>
      </c>
      <c r="G1177">
        <f>SUMIF(C$1:C$65536,C$1:C$65536,L$1:L$65536)</f>
        <v>0</v>
      </c>
      <c r="H1177">
        <f>F1177*G1177</f>
        <v>0</v>
      </c>
    </row>
    <row r="1178">
      <c r="C1178" t="str">
        <v>Urugan tanah kembali</v>
      </c>
      <c r="E1178" t="str">
        <v>m3</v>
      </c>
      <c r="F1178">
        <v>1.125</v>
      </c>
      <c r="G1178">
        <f>SUMIF(C$1:C$65536,C$1:C$65536,L$1:L$65536)</f>
        <v>0</v>
      </c>
      <c r="H1178">
        <f>F1178*G1178</f>
        <v>0</v>
      </c>
    </row>
    <row r="1181">
      <c r="B1181" t="str">
        <v>UNIT</v>
      </c>
      <c r="C1181" t="str">
        <v xml:space="preserve">Septictank Pas. Bata kap. 3,00 m3 + Rembesan </v>
      </c>
      <c r="D1181" t="str">
        <v>uk. 2 X 1,5 X 1 m + Rembesan</v>
      </c>
      <c r="H1181">
        <f>SUM(H1182:H1193)</f>
        <v>54888750</v>
      </c>
      <c r="I1181">
        <f>SUM(I1182:I1193)</f>
        <v>0</v>
      </c>
      <c r="J1181">
        <f>$J$3</f>
        <v>0.1</v>
      </c>
      <c r="K1181">
        <f>SUM(H1181:I1181)*(1+J1181)</f>
        <v>60377625.00000001</v>
      </c>
      <c r="L1181">
        <f>ROUND(K1181,-2)</f>
        <v>60377600</v>
      </c>
    </row>
    <row r="1182">
      <c r="C1182" t="str">
        <v>Galian tanah, dalam  s/d 1 m</v>
      </c>
      <c r="D1182">
        <f>2*1.5*1</f>
        <v>3</v>
      </c>
      <c r="E1182" t="str">
        <v>m3</v>
      </c>
      <c r="F1182">
        <v>3</v>
      </c>
      <c r="G1182">
        <f>SUMIF(C$1:C$65536,C$1:C$65536,L$1:L$65536)</f>
        <v>0</v>
      </c>
      <c r="H1182">
        <f>F1182*G1182</f>
        <v>0</v>
      </c>
      <c r="M1182" t="str">
        <f>IF(G1182=0,"edit"," ")</f>
        <v>edit</v>
      </c>
    </row>
    <row r="1183">
      <c r="C1183" t="str">
        <v>Pas. Urugan pasir</v>
      </c>
      <c r="E1183" t="str">
        <v>m3</v>
      </c>
      <c r="F1183">
        <v>0.3</v>
      </c>
      <c r="G1183">
        <f>SUMIF(C$1:C$65536,C$1:C$65536,L$1:L$65536)</f>
        <v>0</v>
      </c>
      <c r="H1183">
        <f>F1183*G1183</f>
        <v>0</v>
      </c>
      <c r="M1183" t="str">
        <f>IF(G1183=0,"edit"," ")</f>
        <v>edit</v>
      </c>
    </row>
    <row r="1184">
      <c r="C1184" t="str">
        <v>Pas. Lantai kerja beton tumbuk 1:3:5</v>
      </c>
      <c r="E1184" t="str">
        <v>m2</v>
      </c>
      <c r="F1184">
        <v>3</v>
      </c>
      <c r="G1184">
        <f>SUMIF(C$1:C$65536,C$1:C$65536,L$1:L$65536)</f>
        <v>0</v>
      </c>
      <c r="H1184">
        <f>F1184*G1184</f>
        <v>0</v>
      </c>
      <c r="M1184" t="str">
        <f>IF(G1184=0,"edit"," ")</f>
        <v>edit</v>
      </c>
    </row>
    <row r="1185">
      <c r="C1185" t="str">
        <v>Pas. Dinding batu bata; ad 1:2</v>
      </c>
      <c r="E1185" t="str">
        <v>m2</v>
      </c>
      <c r="F1185">
        <v>10.5</v>
      </c>
      <c r="G1185">
        <f>SUMIF(C$1:C$65536,C$1:C$65536,L$1:L$65536)</f>
        <v>5227500</v>
      </c>
      <c r="H1185">
        <f>F1185*G1185</f>
        <v>54888750</v>
      </c>
      <c r="M1185" t="str">
        <f>IF(G1185=0,"edit"," ")</f>
        <v xml:space="preserve"> </v>
      </c>
    </row>
    <row r="1186">
      <c r="C1186" t="str">
        <v>Pas. Plester acian; ad. 1:2</v>
      </c>
      <c r="E1186" t="str">
        <v>m2</v>
      </c>
      <c r="F1186">
        <v>12</v>
      </c>
      <c r="G1186">
        <f>SUMIF(C$1:C$65536,C$1:C$65536,L$1:L$65536)</f>
        <v>0</v>
      </c>
      <c r="H1186">
        <f>F1186*G1186</f>
        <v>0</v>
      </c>
      <c r="M1186" t="str">
        <f>IF(G1186=0,"edit"," ")</f>
        <v>edit</v>
      </c>
    </row>
    <row r="1187">
      <c r="C1187" t="str">
        <v>Beton K - 200</v>
      </c>
      <c r="D1187" t="str">
        <v>Balok &amp; Tutup manhole</v>
      </c>
      <c r="E1187" t="str">
        <v>m3</v>
      </c>
      <c r="F1187">
        <v>0.36</v>
      </c>
      <c r="G1187">
        <f>SUMIF(C$1:C$65536,C$1:C$65536,L$1:L$65536)</f>
        <v>0</v>
      </c>
      <c r="H1187">
        <f>F1187*G1187</f>
        <v>0</v>
      </c>
      <c r="M1187" t="str">
        <f>IF(G1187=0,"edit"," ")</f>
        <v>edit</v>
      </c>
    </row>
    <row r="1188">
      <c r="C1188" t="str">
        <v>Pipa PVC dia. 4" AW</v>
      </c>
      <c r="E1188" t="str">
        <v>m'</v>
      </c>
      <c r="F1188">
        <v>5.4</v>
      </c>
      <c r="G1188">
        <f>SUMIF(C$1:C$65536,C$1:C$65536,L$1:L$65536)</f>
        <v>0</v>
      </c>
      <c r="H1188">
        <f>F1188*G1188</f>
        <v>0</v>
      </c>
      <c r="M1188" t="str">
        <f>IF(G1188=0,"edit"," ")</f>
        <v>edit</v>
      </c>
    </row>
    <row r="1189">
      <c r="C1189" t="str">
        <v>Pipa PVC dia. 1" AW</v>
      </c>
      <c r="E1189" t="str">
        <v>m'</v>
      </c>
      <c r="F1189">
        <v>1.2</v>
      </c>
      <c r="G1189">
        <f>SUMIF(C$1:C$65536,C$1:C$65536,L$1:L$65536)</f>
        <v>0</v>
      </c>
      <c r="H1189">
        <f>F1189*G1189</f>
        <v>0</v>
      </c>
      <c r="M1189" t="str">
        <f>IF(G1189=0,"edit"," ")</f>
        <v>edit</v>
      </c>
    </row>
    <row r="1190">
      <c r="C1190" t="str">
        <v>Galian tanah, dalam  s/d 1 m</v>
      </c>
      <c r="E1190" t="str">
        <v>m3</v>
      </c>
      <c r="F1190">
        <v>3.375</v>
      </c>
      <c r="G1190">
        <f>SUMIF(C$1:C$65536,C$1:C$65536,L$1:L$65536)</f>
        <v>0</v>
      </c>
      <c r="H1190">
        <f>F1190*G1190</f>
        <v>0</v>
      </c>
      <c r="M1190" t="str">
        <f>IF(G1190=0,"edit"," ")</f>
        <v>edit</v>
      </c>
    </row>
    <row r="1191">
      <c r="C1191" t="str">
        <f>'Isi Data'!B18</f>
        <v>Batu Kerikil</v>
      </c>
      <c r="D1191" t="str">
        <v>urugan</v>
      </c>
      <c r="E1191" t="str">
        <v>m3</v>
      </c>
      <c r="F1191">
        <v>1.05</v>
      </c>
      <c r="G1191">
        <f>SUMIF('Isi Data'!B$1:B$65536,SNI!C$1:C$65536,'Isi Data'!E$1:E$65536)</f>
        <v>0</v>
      </c>
      <c r="H1191">
        <f>F1191*G1191</f>
        <v>0</v>
      </c>
      <c r="M1191" t="str">
        <f>IF(G1191=0,"edit"," ")</f>
        <v>edit</v>
      </c>
    </row>
    <row r="1192">
      <c r="C1192" t="str">
        <v>Pipa PVC dia. 4" AW</v>
      </c>
      <c r="D1192" t="str">
        <v>perforated</v>
      </c>
      <c r="E1192" t="str">
        <v>m'</v>
      </c>
      <c r="F1192">
        <v>9</v>
      </c>
      <c r="G1192">
        <f>SUMIF(C$1:C$65536,C$1:C$65536,L$1:L$65536)</f>
        <v>0</v>
      </c>
      <c r="H1192">
        <f>F1192*G1192</f>
        <v>0</v>
      </c>
      <c r="M1192" t="str">
        <f>IF(G1192=0,"edit"," ")</f>
        <v>edit</v>
      </c>
    </row>
    <row r="1193">
      <c r="C1193" t="str">
        <v>Urugan tanah kembali</v>
      </c>
      <c r="E1193" t="str">
        <v>m3</v>
      </c>
      <c r="F1193">
        <v>1.125</v>
      </c>
      <c r="G1193">
        <f>SUMIF(C$1:C$65536,C$1:C$65536,L$1:L$65536)</f>
        <v>0</v>
      </c>
      <c r="H1193">
        <f>F1193*G1193</f>
        <v>0</v>
      </c>
      <c r="M1193" t="str">
        <f>IF(G1193=0,"edit"," ")</f>
        <v>edit</v>
      </c>
    </row>
    <row r="1196">
      <c r="B1196" t="str">
        <v>UNIT</v>
      </c>
      <c r="C1196" t="str">
        <v>Septictank Pas. Bata + Rembesan kap. 6,00 m3</v>
      </c>
      <c r="D1196" t="str">
        <v>uk. 2 X 1,5 X 2 m + Rembesan</v>
      </c>
      <c r="H1196">
        <f>SUM(H1197:H1208)</f>
        <v>88867500</v>
      </c>
      <c r="I1196">
        <f>SUM(I1197:I1208)</f>
        <v>0</v>
      </c>
      <c r="J1196">
        <f>$J$3</f>
        <v>0.1</v>
      </c>
      <c r="K1196">
        <f>SUM(H1196:I1196)*(1+J1196)</f>
        <v>97754250.00000001</v>
      </c>
      <c r="L1196">
        <f>ROUND(K1196,-2)</f>
        <v>97754300</v>
      </c>
    </row>
    <row r="1197">
      <c r="C1197" t="str">
        <v>Galian tanah, dalam  s/d 1 m</v>
      </c>
      <c r="D1197">
        <f>2*1.5*2</f>
        <v>6</v>
      </c>
      <c r="E1197" t="str">
        <v>m3</v>
      </c>
      <c r="F1197">
        <v>6</v>
      </c>
      <c r="G1197">
        <f>SUMIF(C$1:C$65536,C$1:C$65536,L$1:L$65536)</f>
        <v>0</v>
      </c>
      <c r="H1197">
        <f>F1197*G1197</f>
        <v>0</v>
      </c>
    </row>
    <row r="1198">
      <c r="C1198" t="str">
        <v>Pas. Urugan pasir</v>
      </c>
      <c r="E1198" t="str">
        <v>m3</v>
      </c>
      <c r="F1198">
        <v>0.3</v>
      </c>
      <c r="G1198">
        <f>SUMIF(C$1:C$65536,C$1:C$65536,L$1:L$65536)</f>
        <v>0</v>
      </c>
      <c r="H1198">
        <f>F1198*G1198</f>
        <v>0</v>
      </c>
    </row>
    <row r="1199">
      <c r="C1199" t="str">
        <v>Pas. Lantai kerja beton tumbuk 1:3:5</v>
      </c>
      <c r="E1199" t="str">
        <v>m2</v>
      </c>
      <c r="F1199">
        <v>3</v>
      </c>
      <c r="G1199">
        <f>SUMIF(C$1:C$65536,C$1:C$65536,L$1:L$65536)</f>
        <v>0</v>
      </c>
      <c r="H1199">
        <f>F1199*G1199</f>
        <v>0</v>
      </c>
    </row>
    <row r="1200">
      <c r="C1200" t="str">
        <v>Pas. Dinding batu bata; ad 1:2</v>
      </c>
      <c r="E1200" t="str">
        <v>m2</v>
      </c>
      <c r="F1200">
        <v>17</v>
      </c>
      <c r="G1200">
        <f>SUMIF(C$1:C$65536,C$1:C$65536,L$1:L$65536)</f>
        <v>5227500</v>
      </c>
      <c r="H1200">
        <f>F1200*G1200</f>
        <v>88867500</v>
      </c>
    </row>
    <row r="1201">
      <c r="C1201" t="str">
        <v>Pas. Plester acian; ad. 1:2</v>
      </c>
      <c r="E1201" t="str">
        <v>m2</v>
      </c>
      <c r="F1201">
        <v>20</v>
      </c>
      <c r="G1201">
        <f>SUMIF(C$1:C$65536,C$1:C$65536,L$1:L$65536)</f>
        <v>0</v>
      </c>
      <c r="H1201">
        <f>F1201*G1201</f>
        <v>0</v>
      </c>
    </row>
    <row r="1202">
      <c r="C1202" t="str">
        <v>Beton K - 200</v>
      </c>
      <c r="D1202" t="str">
        <v>Balok &amp; Tutup manhole</v>
      </c>
      <c r="E1202" t="str">
        <v>m3</v>
      </c>
      <c r="F1202">
        <v>0.36</v>
      </c>
      <c r="G1202">
        <f>SUMIF(C$1:C$65536,C$1:C$65536,L$1:L$65536)</f>
        <v>0</v>
      </c>
      <c r="H1202">
        <f>F1202*G1202</f>
        <v>0</v>
      </c>
    </row>
    <row r="1203">
      <c r="C1203" t="str">
        <v>Pipa PVC dia. 4" AW</v>
      </c>
      <c r="E1203" t="str">
        <v>m'</v>
      </c>
      <c r="F1203">
        <v>5.4</v>
      </c>
      <c r="G1203">
        <f>SUMIF(C$1:C$65536,C$1:C$65536,L$1:L$65536)</f>
        <v>0</v>
      </c>
      <c r="H1203">
        <f>F1203*G1203</f>
        <v>0</v>
      </c>
    </row>
    <row r="1204">
      <c r="C1204" t="str">
        <v>Pipa PVC dia. 1" AW</v>
      </c>
      <c r="E1204" t="str">
        <v>m'</v>
      </c>
      <c r="F1204">
        <v>1.2</v>
      </c>
      <c r="G1204">
        <f>SUMIF(C$1:C$65536,C$1:C$65536,L$1:L$65536)</f>
        <v>0</v>
      </c>
      <c r="H1204">
        <f>F1204*G1204</f>
        <v>0</v>
      </c>
    </row>
    <row r="1205">
      <c r="C1205" t="str">
        <v>Galian tanah, dalam  s/d 1 m</v>
      </c>
      <c r="E1205" t="str">
        <v>m3</v>
      </c>
      <c r="F1205">
        <v>3.375</v>
      </c>
      <c r="G1205">
        <f>SUMIF(C$1:C$65536,C$1:C$65536,L$1:L$65536)</f>
        <v>0</v>
      </c>
      <c r="H1205">
        <f>F1205*G1205</f>
        <v>0</v>
      </c>
    </row>
    <row r="1206">
      <c r="C1206" t="str">
        <f>'Isi Data'!B18</f>
        <v>Batu Kerikil</v>
      </c>
      <c r="D1206" t="str">
        <v>urugan</v>
      </c>
      <c r="E1206" t="str">
        <v>m3</v>
      </c>
      <c r="F1206">
        <v>1.05</v>
      </c>
      <c r="G1206">
        <f>SUMIF('Isi Data'!B$1:B$65536,SNI!C$1:C$65536,'Isi Data'!E$1:E$65536)</f>
        <v>0</v>
      </c>
      <c r="H1206">
        <f>F1206*G1206</f>
        <v>0</v>
      </c>
    </row>
    <row r="1207">
      <c r="C1207" t="str">
        <v>Pipa PVC dia. 4" AW</v>
      </c>
      <c r="D1207" t="str">
        <v>berlobang</v>
      </c>
      <c r="E1207" t="str">
        <v>m'</v>
      </c>
      <c r="F1207">
        <v>9</v>
      </c>
      <c r="G1207">
        <f>SUMIF(C$1:C$65536,C$1:C$65536,L$1:L$65536)</f>
        <v>0</v>
      </c>
      <c r="H1207">
        <f>F1207*G1207</f>
        <v>0</v>
      </c>
    </row>
    <row r="1208">
      <c r="C1208" t="str">
        <v>Urugan tanah kembali</v>
      </c>
      <c r="E1208" t="str">
        <v>m3</v>
      </c>
      <c r="F1208">
        <v>1.125</v>
      </c>
      <c r="G1208">
        <f>SUMIF(C$1:C$65536,C$1:C$65536,L$1:L$65536)</f>
        <v>0</v>
      </c>
      <c r="H1208">
        <f>F1208*G1208</f>
        <v>0</v>
      </c>
    </row>
    <row r="1211">
      <c r="C1211" t="str">
        <v>PEKERJAAN ELEKTRIKAL</v>
      </c>
    </row>
    <row r="1213">
      <c r="A1213" t="str">
        <v>TTK</v>
      </c>
      <c r="B1213" t="str">
        <v>TTK</v>
      </c>
      <c r="C1213" t="str">
        <v>Pas. Box Panel</v>
      </c>
      <c r="H1213">
        <f>SUM(H1214:H1221)</f>
        <v>0</v>
      </c>
      <c r="I1213">
        <f>SUM(I1214:I1221)</f>
        <v>0</v>
      </c>
      <c r="J1213">
        <f>$J$3</f>
        <v>0.1</v>
      </c>
      <c r="K1213">
        <f>SUM(H1213:I1213)*(1+J1213)</f>
        <v>0</v>
      </c>
      <c r="L1213">
        <f>ROUND(K1213,-2)</f>
        <v>0</v>
      </c>
    </row>
    <row r="1214">
      <c r="C1214" t="str">
        <f>'Isi Data'!B137</f>
        <v>Box panel PVC isi 4 MCB</v>
      </c>
      <c r="D1214" t="str">
        <v>Legran</v>
      </c>
      <c r="E1214" t="str">
        <v>bh</v>
      </c>
      <c r="F1214">
        <v>1</v>
      </c>
      <c r="G1214">
        <f>SUMIF('Isi Data'!B$1:B$65536,SNI!C$1:C$65536,'Isi Data'!E$1:E$65536)</f>
        <v>0</v>
      </c>
      <c r="H1214">
        <f>F1214*G1214</f>
        <v>0</v>
      </c>
      <c r="M1214" t="str">
        <f>IF(G1214=0,"edit"," ")</f>
        <v>edit</v>
      </c>
    </row>
    <row r="1215">
      <c r="C1215" t="str">
        <f>'Isi Data'!B138</f>
        <v>MCB 6 A</v>
      </c>
      <c r="E1215" t="str">
        <v>bh</v>
      </c>
      <c r="F1215">
        <v>2</v>
      </c>
      <c r="G1215">
        <f>SUMIF('Isi Data'!B$1:B$65536,SNI!C$1:C$65536,'Isi Data'!E$1:E$65536)</f>
        <v>0</v>
      </c>
      <c r="H1215">
        <f>F1215*G1215</f>
        <v>0</v>
      </c>
      <c r="M1215" t="str">
        <f>IF(G1215=0,"edit"," ")</f>
        <v>edit</v>
      </c>
    </row>
    <row r="1216">
      <c r="C1216" t="str">
        <f>'Isi Data'!B139</f>
        <v>MCB 4 A</v>
      </c>
      <c r="E1216" t="str">
        <v>bh</v>
      </c>
      <c r="F1216">
        <v>2</v>
      </c>
      <c r="G1216">
        <f>SUMIF('Isi Data'!B$1:B$65536,SNI!C$1:C$65536,'Isi Data'!E$1:E$65536)</f>
        <v>0</v>
      </c>
      <c r="H1216">
        <f>F1216*G1216</f>
        <v>0</v>
      </c>
      <c r="M1216" t="str">
        <f>IF(G1216=0,"edit"," ")</f>
        <v>edit</v>
      </c>
    </row>
    <row r="1217">
      <c r="C1217" t="str">
        <f>'Isi Data'!B141</f>
        <v>Kabel NYM 3 x 2,5 mm2</v>
      </c>
      <c r="E1217" t="str">
        <v>m</v>
      </c>
      <c r="F1217">
        <v>6</v>
      </c>
      <c r="G1217">
        <f>SUMIF('Isi Data'!B$1:B$65536,SNI!C$1:C$65536,'Isi Data'!E$1:E$65536)</f>
        <v>0</v>
      </c>
      <c r="H1217">
        <f>F1217*G1217</f>
        <v>0</v>
      </c>
      <c r="M1217" t="str">
        <f>IF(G1217=0,"edit"," ")</f>
        <v>edit</v>
      </c>
    </row>
    <row r="1218">
      <c r="C1218" t="str">
        <f>'Isi Data'!B168</f>
        <v>Pekerja</v>
      </c>
      <c r="E1218" t="str">
        <v>org/hr</v>
      </c>
      <c r="F1218">
        <v>0.5</v>
      </c>
      <c r="G1218">
        <f>SUMIF('Isi Data'!B$1:B$65536,SNI!C$1:C$65536,'Isi Data'!E$1:E$65536)</f>
        <v>0</v>
      </c>
      <c r="I1218">
        <f>F1218*G1218</f>
        <v>0</v>
      </c>
      <c r="M1218" t="str">
        <f>IF(G1218=0,"edit"," ")</f>
        <v>edit</v>
      </c>
    </row>
    <row r="1219">
      <c r="C1219" t="str">
        <f>'Isi Data'!B166</f>
        <v>Tukang Listrik</v>
      </c>
      <c r="E1219" t="str">
        <v>org/hr</v>
      </c>
      <c r="F1219">
        <v>1</v>
      </c>
      <c r="G1219">
        <f>SUMIF('Isi Data'!B$1:B$65536,SNI!C$1:C$65536,'Isi Data'!E$1:E$65536)</f>
        <v>0</v>
      </c>
      <c r="I1219">
        <f>F1219*G1219</f>
        <v>0</v>
      </c>
      <c r="M1219" t="str">
        <f>IF(G1219=0,"edit"," ")</f>
        <v>edit</v>
      </c>
    </row>
    <row r="1220">
      <c r="C1220" t="str">
        <f>'Isi Data'!B167</f>
        <v>Kepala Tukang Listrik</v>
      </c>
      <c r="E1220" t="str">
        <v>org/hr</v>
      </c>
      <c r="F1220">
        <v>1</v>
      </c>
      <c r="G1220">
        <f>SUMIF('Isi Data'!B$1:B$65536,SNI!C$1:C$65536,'Isi Data'!E$1:E$65536)</f>
        <v>0</v>
      </c>
      <c r="I1220">
        <f>F1220*G1220</f>
        <v>0</v>
      </c>
      <c r="M1220" t="str">
        <f>IF(G1220=0,"edit"," ")</f>
        <v>edit</v>
      </c>
    </row>
    <row r="1221">
      <c r="C1221" t="str">
        <f>'Isi Data'!B169</f>
        <v xml:space="preserve">Mandor </v>
      </c>
      <c r="E1221" t="str">
        <v>org/hr</v>
      </c>
      <c r="F1221">
        <v>0</v>
      </c>
      <c r="G1221">
        <f>SUMIF('Isi Data'!B$1:B$65536,SNI!C$1:C$65536,'Isi Data'!E$1:E$65536)</f>
        <v>0</v>
      </c>
      <c r="I1221">
        <f>F1221*G1221</f>
        <v>0</v>
      </c>
      <c r="M1221" t="str">
        <f>IF(G1221=0,"edit"," ")</f>
        <v>edit</v>
      </c>
    </row>
    <row r="1223">
      <c r="A1223" t="str">
        <v>TTK</v>
      </c>
      <c r="B1223" t="str">
        <v>TTK</v>
      </c>
      <c r="C1223" t="str">
        <v>Pas. Instalasi stop kontak</v>
      </c>
      <c r="H1223">
        <f>SUM(H1224:H1230)</f>
        <v>0</v>
      </c>
      <c r="I1223">
        <f>SUM(I1224:I1230)</f>
        <v>0</v>
      </c>
      <c r="J1223">
        <f>$J$3</f>
        <v>0.1</v>
      </c>
      <c r="K1223">
        <f>SUM(H1223:I1223)*(1+J1223)</f>
        <v>0</v>
      </c>
      <c r="L1223">
        <f>ROUND(K1223,-2)</f>
        <v>0</v>
      </c>
    </row>
    <row r="1224">
      <c r="C1224" t="str">
        <f>'Isi Data'!B141</f>
        <v>Kabel NYM 3 x 2,5 mm2</v>
      </c>
      <c r="E1224" t="str">
        <v>m</v>
      </c>
      <c r="F1224">
        <v>6</v>
      </c>
      <c r="G1224">
        <f>SUMIF('Isi Data'!B$1:B$65536,SNI!C$1:C$65536,'Isi Data'!E$1:E$65536)</f>
        <v>0</v>
      </c>
      <c r="H1224">
        <f>F1224*G1224</f>
        <v>0</v>
      </c>
    </row>
    <row r="1225">
      <c r="C1225" t="str">
        <f>'Isi Data'!B143</f>
        <v>Isolasi</v>
      </c>
      <c r="E1225" t="str">
        <v>bh</v>
      </c>
      <c r="F1225">
        <v>0.5</v>
      </c>
      <c r="G1225">
        <f>SUMIF('Isi Data'!B$1:B$65536,SNI!C$1:C$65536,'Isi Data'!E$1:E$65536)</f>
        <v>0</v>
      </c>
      <c r="H1225">
        <f>F1225*G1225</f>
        <v>0</v>
      </c>
    </row>
    <row r="1226">
      <c r="C1226" t="str">
        <v>Klem</v>
      </c>
      <c r="E1226" t="str">
        <v>bh</v>
      </c>
      <c r="F1226">
        <v>3</v>
      </c>
      <c r="G1226">
        <f>IF(G1230=0,0,150)</f>
        <v>0</v>
      </c>
      <c r="H1226">
        <f>F1226*G1226</f>
        <v>0</v>
      </c>
    </row>
    <row r="1227">
      <c r="C1227" t="str">
        <f>'Isi Data'!B168</f>
        <v>Pekerja</v>
      </c>
      <c r="E1227" t="str">
        <v>org/hr</v>
      </c>
      <c r="F1227">
        <v>0.05</v>
      </c>
      <c r="G1227">
        <f>SUMIF('Isi Data'!B$1:B$65536,SNI!C$1:C$65536,'Isi Data'!E$1:E$65536)</f>
        <v>0</v>
      </c>
      <c r="I1227">
        <f>F1227*G1227</f>
        <v>0</v>
      </c>
    </row>
    <row r="1228">
      <c r="C1228" t="str">
        <f>'Isi Data'!B166</f>
        <v>Tukang Listrik</v>
      </c>
      <c r="E1228" t="str">
        <v>org/hr</v>
      </c>
      <c r="F1228">
        <v>0.02</v>
      </c>
      <c r="G1228">
        <f>SUMIF('Isi Data'!B$1:B$65536,SNI!C$1:C$65536,'Isi Data'!E$1:E$65536)</f>
        <v>0</v>
      </c>
      <c r="I1228">
        <f>F1228*G1228</f>
        <v>0</v>
      </c>
    </row>
    <row r="1229">
      <c r="C1229" t="str">
        <f>'Isi Data'!B167</f>
        <v>Kepala Tukang Listrik</v>
      </c>
      <c r="E1229" t="str">
        <v>org/hr</v>
      </c>
      <c r="F1229">
        <v>0.1</v>
      </c>
      <c r="G1229">
        <f>SUMIF('Isi Data'!B$1:B$65536,SNI!C$1:C$65536,'Isi Data'!E$1:E$65536)</f>
        <v>0</v>
      </c>
      <c r="I1229">
        <f>F1229*G1229</f>
        <v>0</v>
      </c>
    </row>
    <row r="1230">
      <c r="C1230" t="str">
        <f>'Isi Data'!B169</f>
        <v xml:space="preserve">Mandor </v>
      </c>
      <c r="E1230" t="str">
        <v>org/hr</v>
      </c>
      <c r="F1230">
        <v>0.1</v>
      </c>
      <c r="G1230">
        <f>SUMIF('Isi Data'!B$1:B$65536,SNI!C$1:C$65536,'Isi Data'!E$1:E$65536)</f>
        <v>0</v>
      </c>
      <c r="I1230">
        <f>F1230*G1230</f>
        <v>0</v>
      </c>
    </row>
    <row r="1232">
      <c r="A1232" t="str">
        <v>TTK</v>
      </c>
      <c r="B1232" t="str">
        <v>TTK</v>
      </c>
      <c r="C1232" t="str">
        <v>Pas. Instalasi lampu</v>
      </c>
      <c r="H1232">
        <f>SUM(H1233:H1239)</f>
        <v>0</v>
      </c>
      <c r="I1232">
        <f>SUM(I1233:I1239)</f>
        <v>0</v>
      </c>
      <c r="J1232">
        <f>$J$3</f>
        <v>0.1</v>
      </c>
      <c r="K1232">
        <f>SUM(H1232:I1232)*(1+J1232)</f>
        <v>0</v>
      </c>
      <c r="L1232">
        <f>ROUND(K1232,-2)</f>
        <v>0</v>
      </c>
    </row>
    <row r="1233">
      <c r="C1233" t="str">
        <f>'Isi Data'!B140</f>
        <v>Kabel NYM 2 x 2,5 mm2</v>
      </c>
      <c r="E1233" t="str">
        <v>m</v>
      </c>
      <c r="F1233">
        <v>6</v>
      </c>
      <c r="G1233">
        <f>SUMIF('Isi Data'!B$1:B$65536,SNI!C$1:C$65536,'Isi Data'!E$1:E$65536)</f>
        <v>0</v>
      </c>
      <c r="H1233">
        <f>F1233*G1233</f>
        <v>0</v>
      </c>
      <c r="M1233" t="str">
        <f>IF(G1233=0,"edit"," ")</f>
        <v>edit</v>
      </c>
    </row>
    <row r="1234">
      <c r="C1234" t="str">
        <f>'Isi Data'!B143</f>
        <v>Isolasi</v>
      </c>
      <c r="E1234" t="str">
        <v>bh</v>
      </c>
      <c r="F1234">
        <v>0.5</v>
      </c>
      <c r="G1234">
        <f>SUMIF('Isi Data'!B$1:B$65536,SNI!C$1:C$65536,'Isi Data'!E$1:E$65536)</f>
        <v>0</v>
      </c>
      <c r="H1234">
        <f>F1234*G1234</f>
        <v>0</v>
      </c>
      <c r="M1234" t="str">
        <f>IF(G1234=0,"edit"," ")</f>
        <v>edit</v>
      </c>
    </row>
    <row r="1235">
      <c r="C1235" t="str">
        <v>Klem</v>
      </c>
      <c r="E1235" t="str">
        <v>bh</v>
      </c>
      <c r="F1235">
        <v>3</v>
      </c>
      <c r="G1235">
        <f>IF(G1239=0,0,150)</f>
        <v>0</v>
      </c>
      <c r="H1235">
        <f>F1235*G1235</f>
        <v>0</v>
      </c>
      <c r="M1235" t="str">
        <f>IF(G1235=0,"edit"," ")</f>
        <v>edit</v>
      </c>
    </row>
    <row r="1236">
      <c r="C1236" t="str">
        <f>'Isi Data'!B168</f>
        <v>Pekerja</v>
      </c>
      <c r="E1236" t="str">
        <v>org/hr</v>
      </c>
      <c r="F1236">
        <v>0.05</v>
      </c>
      <c r="G1236">
        <f>SUMIF('Isi Data'!B$1:B$65536,SNI!C$1:C$65536,'Isi Data'!E$1:E$65536)</f>
        <v>0</v>
      </c>
      <c r="I1236">
        <f>F1236*G1236</f>
        <v>0</v>
      </c>
      <c r="M1236" t="str">
        <f>IF(G1236=0,"edit"," ")</f>
        <v>edit</v>
      </c>
    </row>
    <row r="1237">
      <c r="C1237" t="str">
        <f>'Isi Data'!B166</f>
        <v>Tukang Listrik</v>
      </c>
      <c r="E1237" t="str">
        <v>org/hr</v>
      </c>
      <c r="F1237">
        <v>0.02</v>
      </c>
      <c r="G1237">
        <f>SUMIF('Isi Data'!B$1:B$65536,SNI!C$1:C$65536,'Isi Data'!E$1:E$65536)</f>
        <v>0</v>
      </c>
      <c r="I1237">
        <f>F1237*G1237</f>
        <v>0</v>
      </c>
      <c r="M1237" t="str">
        <f>IF(G1237=0,"edit"," ")</f>
        <v>edit</v>
      </c>
    </row>
    <row r="1238">
      <c r="C1238" t="str">
        <f>'Isi Data'!B167</f>
        <v>Kepala Tukang Listrik</v>
      </c>
      <c r="E1238" t="str">
        <v>org/hr</v>
      </c>
      <c r="F1238">
        <v>0.1</v>
      </c>
      <c r="G1238">
        <f>SUMIF('Isi Data'!B$1:B$65536,SNI!C$1:C$65536,'Isi Data'!E$1:E$65536)</f>
        <v>0</v>
      </c>
      <c r="I1238">
        <f>F1238*G1238</f>
        <v>0</v>
      </c>
      <c r="M1238" t="str">
        <f>IF(G1238=0,"edit"," ")</f>
        <v>edit</v>
      </c>
    </row>
    <row r="1239">
      <c r="C1239" t="str">
        <f>'Isi Data'!B169</f>
        <v xml:space="preserve">Mandor </v>
      </c>
      <c r="E1239" t="str">
        <v>org/hr</v>
      </c>
      <c r="F1239">
        <v>0.1</v>
      </c>
      <c r="G1239">
        <f>SUMIF('Isi Data'!B$1:B$65536,SNI!C$1:C$65536,'Isi Data'!E$1:E$65536)</f>
        <v>0</v>
      </c>
      <c r="I1239">
        <f>F1239*G1239</f>
        <v>0</v>
      </c>
      <c r="M1239" t="str">
        <f>IF(G1239=0,"edit"," ")</f>
        <v>edit</v>
      </c>
    </row>
    <row r="1241">
      <c r="A1241" t="str">
        <v>TTK</v>
      </c>
      <c r="B1241" t="str">
        <v>TTK</v>
      </c>
      <c r="C1241" t="str">
        <v>Pas. Instalasi antena TV</v>
      </c>
      <c r="H1241">
        <f>SUM(H1242:H1248)</f>
        <v>0</v>
      </c>
      <c r="I1241">
        <f>SUM(I1242:I1248)</f>
        <v>0</v>
      </c>
      <c r="J1241">
        <f>$J$3</f>
        <v>0.1</v>
      </c>
      <c r="K1241">
        <f>SUM(H1241:I1241)*(1+J1241)</f>
        <v>0</v>
      </c>
      <c r="L1241">
        <f>ROUND(K1241,-2)</f>
        <v>0</v>
      </c>
    </row>
    <row r="1242">
      <c r="C1242" t="e">
        <f>#REF!</f>
        <v>#REF!</v>
      </c>
      <c r="E1242" t="str">
        <v>m</v>
      </c>
      <c r="F1242">
        <v>10</v>
      </c>
      <c r="G1242">
        <f>SUMIF('Isi Data'!B$1:B$65536,SNI!C$1:C$65536,'Isi Data'!E$1:E$65536)</f>
        <v>0</v>
      </c>
      <c r="H1242">
        <f>F1242*G1242</f>
        <v>0</v>
      </c>
    </row>
    <row r="1243">
      <c r="C1243" t="str">
        <f>'Isi Data'!B143</f>
        <v>Isolasi</v>
      </c>
      <c r="E1243" t="str">
        <v>bh</v>
      </c>
      <c r="F1243">
        <v>0.5</v>
      </c>
      <c r="G1243">
        <f>SUMIF('Isi Data'!B$1:B$65536,SNI!C$1:C$65536,'Isi Data'!E$1:E$65536)</f>
        <v>0</v>
      </c>
      <c r="H1243">
        <f>F1243*G1243</f>
        <v>0</v>
      </c>
    </row>
    <row r="1244">
      <c r="C1244" t="str">
        <v>Klem</v>
      </c>
      <c r="E1244" t="str">
        <v>bh</v>
      </c>
      <c r="F1244">
        <v>3</v>
      </c>
      <c r="G1244">
        <f>IF(G1248=0,0,150)</f>
        <v>0</v>
      </c>
      <c r="H1244">
        <f>F1244*G1244</f>
        <v>0</v>
      </c>
    </row>
    <row r="1245">
      <c r="C1245" t="str">
        <f>'Isi Data'!B168</f>
        <v>Pekerja</v>
      </c>
      <c r="E1245" t="str">
        <v>org/hr</v>
      </c>
      <c r="F1245">
        <v>0.05</v>
      </c>
      <c r="G1245">
        <f>SUMIF('Isi Data'!B$1:B$65536,SNI!C$1:C$65536,'Isi Data'!E$1:E$65536)</f>
        <v>0</v>
      </c>
      <c r="I1245">
        <f>F1245*G1245</f>
        <v>0</v>
      </c>
    </row>
    <row r="1246">
      <c r="C1246" t="str">
        <f>'Isi Data'!B166</f>
        <v>Tukang Listrik</v>
      </c>
      <c r="E1246" t="str">
        <v>org/hr</v>
      </c>
      <c r="F1246">
        <v>0.02</v>
      </c>
      <c r="G1246">
        <f>SUMIF('Isi Data'!B$1:B$65536,SNI!C$1:C$65536,'Isi Data'!E$1:E$65536)</f>
        <v>0</v>
      </c>
      <c r="I1246">
        <f>F1246*G1246</f>
        <v>0</v>
      </c>
    </row>
    <row r="1247">
      <c r="C1247" t="str">
        <f>'Isi Data'!B167</f>
        <v>Kepala Tukang Listrik</v>
      </c>
      <c r="E1247" t="str">
        <v>org/hr</v>
      </c>
      <c r="F1247">
        <v>0.1</v>
      </c>
      <c r="G1247">
        <f>SUMIF('Isi Data'!B$1:B$65536,SNI!C$1:C$65536,'Isi Data'!E$1:E$65536)</f>
        <v>0</v>
      </c>
      <c r="I1247">
        <f>F1247*G1247</f>
        <v>0</v>
      </c>
    </row>
    <row r="1248">
      <c r="C1248" t="str">
        <f>'Isi Data'!B169</f>
        <v xml:space="preserve">Mandor </v>
      </c>
      <c r="E1248" t="str">
        <v>org/hr</v>
      </c>
      <c r="F1248">
        <v>0.1</v>
      </c>
      <c r="G1248">
        <f>SUMIF('Isi Data'!B$1:B$65536,SNI!C$1:C$65536,'Isi Data'!E$1:E$65536)</f>
        <v>0</v>
      </c>
      <c r="I1248">
        <f>F1248*G1248</f>
        <v>0</v>
      </c>
    </row>
    <row r="1250">
      <c r="A1250" t="str">
        <v>TTK</v>
      </c>
      <c r="B1250" t="str">
        <v>TTK</v>
      </c>
      <c r="C1250" t="str">
        <v>Pas. Instalasi telephone</v>
      </c>
      <c r="H1250">
        <f>SUM(H1251:H1257)</f>
        <v>0</v>
      </c>
      <c r="I1250">
        <f>SUM(I1251:I1257)</f>
        <v>0</v>
      </c>
      <c r="J1250">
        <f>$J$3</f>
        <v>0.1</v>
      </c>
      <c r="K1250">
        <f>SUM(H1250:I1250)*(1+J1250)</f>
        <v>0</v>
      </c>
      <c r="L1250">
        <f>ROUND(K1250,-2)</f>
        <v>0</v>
      </c>
    </row>
    <row r="1251">
      <c r="C1251" t="str">
        <f>'Isi Data'!B142</f>
        <v>Kabel telephone 4 x 0.5 mm</v>
      </c>
      <c r="E1251" t="str">
        <v>m</v>
      </c>
      <c r="F1251">
        <v>10</v>
      </c>
      <c r="G1251">
        <f>SUMIF('Isi Data'!B$1:B$65536,SNI!C$1:C$65536,'Isi Data'!E$1:E$65536)</f>
        <v>0</v>
      </c>
      <c r="H1251">
        <f>F1251*G1251</f>
        <v>0</v>
      </c>
      <c r="M1251" t="str">
        <f>IF(G1251=0,"edit"," ")</f>
        <v>edit</v>
      </c>
    </row>
    <row r="1252">
      <c r="C1252" t="str">
        <f>'Isi Data'!B143</f>
        <v>Isolasi</v>
      </c>
      <c r="E1252" t="str">
        <v>bh</v>
      </c>
      <c r="F1252">
        <v>0.5</v>
      </c>
      <c r="G1252">
        <f>SUMIF('Isi Data'!B$1:B$65536,SNI!C$1:C$65536,'Isi Data'!E$1:E$65536)</f>
        <v>0</v>
      </c>
      <c r="H1252">
        <f>F1252*G1252</f>
        <v>0</v>
      </c>
      <c r="M1252" t="str">
        <f>IF(G1252=0,"edit"," ")</f>
        <v>edit</v>
      </c>
    </row>
    <row r="1253">
      <c r="C1253" t="str">
        <v>Klem</v>
      </c>
      <c r="E1253" t="str">
        <v>bh</v>
      </c>
      <c r="F1253">
        <v>3</v>
      </c>
      <c r="G1253">
        <f>IF(G1257=0,0,150)</f>
        <v>0</v>
      </c>
      <c r="H1253">
        <f>F1253*G1253</f>
        <v>0</v>
      </c>
      <c r="M1253" t="str">
        <f>IF(G1253=0,"edit"," ")</f>
        <v>edit</v>
      </c>
    </row>
    <row r="1254">
      <c r="C1254" t="str">
        <f>'Isi Data'!B168</f>
        <v>Pekerja</v>
      </c>
      <c r="E1254" t="str">
        <v>org/hr</v>
      </c>
      <c r="F1254">
        <v>0.05</v>
      </c>
      <c r="G1254">
        <f>SUMIF('Isi Data'!B$1:B$65536,SNI!C$1:C$65536,'Isi Data'!E$1:E$65536)</f>
        <v>0</v>
      </c>
      <c r="I1254">
        <f>F1254*G1254</f>
        <v>0</v>
      </c>
      <c r="M1254" t="str">
        <f>IF(G1254=0,"edit"," ")</f>
        <v>edit</v>
      </c>
    </row>
    <row r="1255">
      <c r="C1255" t="str">
        <f>'Isi Data'!B166</f>
        <v>Tukang Listrik</v>
      </c>
      <c r="E1255" t="str">
        <v>org/hr</v>
      </c>
      <c r="F1255">
        <v>0.02</v>
      </c>
      <c r="G1255">
        <f>SUMIF('Isi Data'!B$1:B$65536,SNI!C$1:C$65536,'Isi Data'!E$1:E$65536)</f>
        <v>0</v>
      </c>
      <c r="I1255">
        <f>F1255*G1255</f>
        <v>0</v>
      </c>
      <c r="M1255" t="str">
        <f>IF(G1255=0,"edit"," ")</f>
        <v>edit</v>
      </c>
    </row>
    <row r="1256">
      <c r="C1256" t="str">
        <f>'Isi Data'!B167</f>
        <v>Kepala Tukang Listrik</v>
      </c>
      <c r="E1256" t="str">
        <v>org/hr</v>
      </c>
      <c r="F1256">
        <v>0.1</v>
      </c>
      <c r="G1256">
        <f>SUMIF('Isi Data'!B$1:B$65536,SNI!C$1:C$65536,'Isi Data'!E$1:E$65536)</f>
        <v>0</v>
      </c>
      <c r="I1256">
        <f>F1256*G1256</f>
        <v>0</v>
      </c>
      <c r="M1256" t="str">
        <f>IF(G1256=0,"edit"," ")</f>
        <v>edit</v>
      </c>
    </row>
    <row r="1257">
      <c r="C1257" t="str">
        <f>'Isi Data'!B169</f>
        <v xml:space="preserve">Mandor </v>
      </c>
      <c r="E1257" t="str">
        <v>org/hr</v>
      </c>
      <c r="F1257">
        <v>0.1</v>
      </c>
      <c r="G1257">
        <f>SUMIF('Isi Data'!B$1:B$65536,SNI!C$1:C$65536,'Isi Data'!E$1:E$65536)</f>
        <v>0</v>
      </c>
      <c r="I1257">
        <f>F1257*G1257</f>
        <v>0</v>
      </c>
      <c r="M1257" t="str">
        <f>IF(G1257=0,"edit"," ")</f>
        <v>edit</v>
      </c>
    </row>
    <row r="1259">
      <c r="A1259" t="str">
        <v>BH</v>
      </c>
      <c r="B1259" t="str">
        <v>BH</v>
      </c>
      <c r="C1259" t="str">
        <v>Pas. Saklar engkel</v>
      </c>
      <c r="H1259">
        <f>SUM(H1260:H1266)</f>
        <v>0</v>
      </c>
      <c r="I1259">
        <f>SUM(I1260:I1266)</f>
        <v>0</v>
      </c>
      <c r="J1259">
        <f>$J$3</f>
        <v>0.1</v>
      </c>
      <c r="K1259">
        <f>SUM(H1259:I1259)*(1+J1259)</f>
        <v>0</v>
      </c>
      <c r="L1259">
        <f>ROUND(K1259,-2)</f>
        <v>0</v>
      </c>
    </row>
    <row r="1260">
      <c r="C1260" t="str">
        <f>'Isi Data'!B144</f>
        <v>Saklar tunggal</v>
      </c>
      <c r="E1260" t="str">
        <v>bh</v>
      </c>
      <c r="F1260">
        <v>1</v>
      </c>
      <c r="G1260">
        <f>SUMIF('Isi Data'!B$1:B$65536,SNI!C$1:C$65536,'Isi Data'!E$1:E$65536)</f>
        <v>0</v>
      </c>
      <c r="H1260">
        <f>F1260*G1260</f>
        <v>0</v>
      </c>
    </row>
    <row r="1261">
      <c r="C1261" t="str">
        <v>Mangkok Listrik</v>
      </c>
      <c r="E1261" t="str">
        <v>bh</v>
      </c>
      <c r="F1261">
        <v>1</v>
      </c>
      <c r="G1261">
        <f>IF(G1266=0,0,1000)</f>
        <v>0</v>
      </c>
      <c r="H1261">
        <f>F1261*G1261</f>
        <v>0</v>
      </c>
      <c r="M1261" t="str">
        <f>IF(G1261=0,"edit"," ")</f>
        <v>edit</v>
      </c>
    </row>
    <row r="1262">
      <c r="C1262" t="str">
        <f>'Isi Data'!B143</f>
        <v>Isolasi</v>
      </c>
      <c r="E1262" t="str">
        <v>bh</v>
      </c>
      <c r="F1262">
        <v>0.25</v>
      </c>
      <c r="G1262">
        <f>SUMIF('Isi Data'!B$1:B$65536,SNI!C$1:C$65536,'Isi Data'!E$1:E$65536)</f>
        <v>0</v>
      </c>
      <c r="H1262">
        <f>F1262*G1262</f>
        <v>0</v>
      </c>
      <c r="M1262" t="str">
        <f>IF(G1262=0,"edit"," ")</f>
        <v>edit</v>
      </c>
    </row>
    <row r="1263">
      <c r="C1263" t="str">
        <f>'Isi Data'!B168</f>
        <v>Pekerja</v>
      </c>
      <c r="E1263" t="str">
        <v>org/hr</v>
      </c>
      <c r="F1263">
        <v>0.1</v>
      </c>
      <c r="G1263">
        <f>SUMIF('Isi Data'!B$1:B$65536,SNI!C$1:C$65536,'Isi Data'!E$1:E$65536)</f>
        <v>0</v>
      </c>
      <c r="I1263">
        <f>F1263*G1263</f>
        <v>0</v>
      </c>
      <c r="M1263" t="str">
        <f>IF(G1263=0,"edit"," ")</f>
        <v>edit</v>
      </c>
    </row>
    <row r="1264">
      <c r="C1264" t="str">
        <f>'Isi Data'!B166</f>
        <v>Tukang Listrik</v>
      </c>
      <c r="E1264" t="str">
        <v>org/hr</v>
      </c>
      <c r="F1264">
        <v>0.1</v>
      </c>
      <c r="G1264">
        <f>SUMIF('Isi Data'!B$1:B$65536,SNI!C$1:C$65536,'Isi Data'!E$1:E$65536)</f>
        <v>0</v>
      </c>
      <c r="I1264">
        <f>F1264*G1264</f>
        <v>0</v>
      </c>
      <c r="M1264" t="str">
        <f>IF(G1264=0,"edit"," ")</f>
        <v>edit</v>
      </c>
    </row>
    <row r="1265">
      <c r="C1265" t="str">
        <f>'Isi Data'!B167</f>
        <v>Kepala Tukang Listrik</v>
      </c>
      <c r="E1265" t="str">
        <v>org/hr</v>
      </c>
      <c r="F1265">
        <v>0.05</v>
      </c>
      <c r="G1265">
        <f>SUMIF('Isi Data'!B$1:B$65536,SNI!C$1:C$65536,'Isi Data'!E$1:E$65536)</f>
        <v>0</v>
      </c>
      <c r="I1265">
        <f>F1265*G1265</f>
        <v>0</v>
      </c>
      <c r="M1265" t="str">
        <f>IF(G1265=0,"edit"," ")</f>
        <v>edit</v>
      </c>
    </row>
    <row r="1266">
      <c r="C1266" t="str">
        <f>'Isi Data'!B169</f>
        <v xml:space="preserve">Mandor </v>
      </c>
      <c r="E1266" t="str">
        <v>org/hr</v>
      </c>
      <c r="F1266">
        <v>0.025</v>
      </c>
      <c r="G1266">
        <f>SUMIF('Isi Data'!B$1:B$65536,SNI!C$1:C$65536,'Isi Data'!E$1:E$65536)</f>
        <v>0</v>
      </c>
      <c r="I1266">
        <f>F1266*G1266</f>
        <v>0</v>
      </c>
      <c r="M1266" t="str">
        <f>IF(G1266=0,"edit"," ")</f>
        <v>edit</v>
      </c>
    </row>
    <row r="1268">
      <c r="A1268" t="str">
        <v>BH</v>
      </c>
      <c r="B1268" t="str">
        <v>BH</v>
      </c>
      <c r="C1268" t="str">
        <v>Pas. Saklar doble</v>
      </c>
      <c r="H1268">
        <f>SUM(H1269:H1275)</f>
        <v>0</v>
      </c>
      <c r="I1268">
        <f>SUM(I1269:I1275)</f>
        <v>0</v>
      </c>
      <c r="J1268">
        <f>$J$3</f>
        <v>0.1</v>
      </c>
      <c r="K1268">
        <f>SUM(H1268:I1268)*(1+J1268)</f>
        <v>0</v>
      </c>
      <c r="L1268">
        <f>ROUND(K1268,-2)</f>
        <v>0</v>
      </c>
    </row>
    <row r="1269">
      <c r="C1269" t="str">
        <f>'Isi Data'!B145</f>
        <v>Saklar ganda</v>
      </c>
      <c r="E1269" t="str">
        <v>bh</v>
      </c>
      <c r="F1269">
        <v>1</v>
      </c>
      <c r="G1269">
        <f>SUMIF('Isi Data'!B$1:B$65536,SNI!C$1:C$65536,'Isi Data'!E$1:E$65536)</f>
        <v>0</v>
      </c>
      <c r="H1269">
        <f>F1269*G1269</f>
        <v>0</v>
      </c>
      <c r="M1269" t="str">
        <f>IF(G1269=0,"edit"," ")</f>
        <v>edit</v>
      </c>
    </row>
    <row r="1270">
      <c r="C1270" t="str">
        <v>Mangkok Listrik</v>
      </c>
      <c r="E1270" t="str">
        <v>bh</v>
      </c>
      <c r="F1270">
        <v>1</v>
      </c>
      <c r="G1270">
        <f>IF(G1275=0,0,1000)</f>
        <v>0</v>
      </c>
      <c r="H1270">
        <f>F1270*G1270</f>
        <v>0</v>
      </c>
      <c r="M1270" t="str">
        <f>IF(G1270=0,"edit"," ")</f>
        <v>edit</v>
      </c>
    </row>
    <row r="1271">
      <c r="C1271" t="str">
        <f>'Isi Data'!B143</f>
        <v>Isolasi</v>
      </c>
      <c r="E1271" t="str">
        <v>bh</v>
      </c>
      <c r="F1271">
        <v>0.25</v>
      </c>
      <c r="G1271">
        <f>SUMIF('Isi Data'!B$1:B$65536,SNI!C$1:C$65536,'Isi Data'!E$1:E$65536)</f>
        <v>0</v>
      </c>
      <c r="H1271">
        <f>F1271*G1271</f>
        <v>0</v>
      </c>
      <c r="M1271" t="str">
        <f>IF(G1271=0,"edit"," ")</f>
        <v>edit</v>
      </c>
    </row>
    <row r="1272">
      <c r="C1272" t="str">
        <f>'Isi Data'!B168</f>
        <v>Pekerja</v>
      </c>
      <c r="E1272" t="str">
        <v>org/hr</v>
      </c>
      <c r="F1272">
        <v>0.1</v>
      </c>
      <c r="G1272">
        <f>SUMIF('Isi Data'!B$1:B$65536,SNI!C$1:C$65536,'Isi Data'!E$1:E$65536)</f>
        <v>0</v>
      </c>
      <c r="I1272">
        <f>F1272*G1272</f>
        <v>0</v>
      </c>
      <c r="M1272" t="str">
        <f>IF(G1272=0,"edit"," ")</f>
        <v>edit</v>
      </c>
    </row>
    <row r="1273">
      <c r="C1273" t="str">
        <f>'Isi Data'!B166</f>
        <v>Tukang Listrik</v>
      </c>
      <c r="E1273" t="str">
        <v>org/hr</v>
      </c>
      <c r="F1273">
        <v>0.1</v>
      </c>
      <c r="G1273">
        <f>SUMIF('Isi Data'!B$1:B$65536,SNI!C$1:C$65536,'Isi Data'!E$1:E$65536)</f>
        <v>0</v>
      </c>
      <c r="I1273">
        <f>F1273*G1273</f>
        <v>0</v>
      </c>
      <c r="M1273" t="str">
        <f>IF(G1273=0,"edit"," ")</f>
        <v>edit</v>
      </c>
    </row>
    <row r="1274">
      <c r="C1274" t="str">
        <f>'Isi Data'!B167</f>
        <v>Kepala Tukang Listrik</v>
      </c>
      <c r="E1274" t="str">
        <v>org/hr</v>
      </c>
      <c r="F1274">
        <v>0.05</v>
      </c>
      <c r="G1274">
        <f>SUMIF('Isi Data'!B$1:B$65536,SNI!C$1:C$65536,'Isi Data'!E$1:E$65536)</f>
        <v>0</v>
      </c>
      <c r="I1274">
        <f>F1274*G1274</f>
        <v>0</v>
      </c>
      <c r="M1274" t="str">
        <f>IF(G1274=0,"edit"," ")</f>
        <v>edit</v>
      </c>
    </row>
    <row r="1275">
      <c r="C1275" t="str">
        <f>'Isi Data'!B169</f>
        <v xml:space="preserve">Mandor </v>
      </c>
      <c r="E1275" t="str">
        <v>org/hr</v>
      </c>
      <c r="F1275">
        <v>0.025</v>
      </c>
      <c r="G1275">
        <f>SUMIF('Isi Data'!B$1:B$65536,SNI!C$1:C$65536,'Isi Data'!E$1:E$65536)</f>
        <v>0</v>
      </c>
      <c r="I1275">
        <f>F1275*G1275</f>
        <v>0</v>
      </c>
      <c r="M1275" t="str">
        <f>IF(G1275=0,"edit"," ")</f>
        <v>edit</v>
      </c>
    </row>
    <row r="1277">
      <c r="A1277" t="str">
        <v>BH</v>
      </c>
      <c r="B1277" t="str">
        <v>BH</v>
      </c>
      <c r="C1277" t="str">
        <v>Pas. Stop kontak</v>
      </c>
      <c r="H1277">
        <f>SUM(H1278:H1284)</f>
        <v>0</v>
      </c>
      <c r="I1277">
        <f>SUM(I1278:I1284)</f>
        <v>0</v>
      </c>
      <c r="J1277">
        <f>$J$3</f>
        <v>0.1</v>
      </c>
      <c r="K1277">
        <f>SUM(H1277:I1277)*(1+J1277)</f>
        <v>0</v>
      </c>
      <c r="L1277">
        <f>ROUND(K1277,-2)</f>
        <v>0</v>
      </c>
    </row>
    <row r="1278">
      <c r="C1278" t="str">
        <f>'Isi Data'!B146</f>
        <v>Stop kontak</v>
      </c>
      <c r="E1278" t="str">
        <v>bh</v>
      </c>
      <c r="F1278">
        <v>1</v>
      </c>
      <c r="G1278">
        <f>SUMIF('Isi Data'!B$1:B$65536,SNI!C$1:C$65536,'Isi Data'!E$1:E$65536)</f>
        <v>0</v>
      </c>
      <c r="H1278">
        <f>F1278*G1278</f>
        <v>0</v>
      </c>
    </row>
    <row r="1279">
      <c r="C1279" t="str">
        <v>Mangkok Listrik</v>
      </c>
      <c r="E1279" t="str">
        <v>bh</v>
      </c>
      <c r="F1279">
        <v>1</v>
      </c>
      <c r="G1279">
        <f>IF(G1284=0,0,1000)</f>
        <v>0</v>
      </c>
      <c r="H1279">
        <f>F1279*G1279</f>
        <v>0</v>
      </c>
    </row>
    <row r="1280">
      <c r="C1280" t="str">
        <f>'Isi Data'!B143</f>
        <v>Isolasi</v>
      </c>
      <c r="E1280" t="str">
        <v>bh</v>
      </c>
      <c r="F1280">
        <v>0.25</v>
      </c>
      <c r="G1280">
        <f>SUMIF('Isi Data'!B$1:B$65536,SNI!C$1:C$65536,'Isi Data'!E$1:E$65536)</f>
        <v>0</v>
      </c>
      <c r="H1280">
        <f>F1280*G1280</f>
        <v>0</v>
      </c>
    </row>
    <row r="1281">
      <c r="C1281" t="str">
        <f>'Isi Data'!B168</f>
        <v>Pekerja</v>
      </c>
      <c r="E1281" t="str">
        <v>org/hr</v>
      </c>
      <c r="F1281">
        <v>0.1</v>
      </c>
      <c r="G1281">
        <f>SUMIF('Isi Data'!B$1:B$65536,SNI!C$1:C$65536,'Isi Data'!E$1:E$65536)</f>
        <v>0</v>
      </c>
      <c r="I1281">
        <f>F1281*G1281</f>
        <v>0</v>
      </c>
    </row>
    <row r="1282">
      <c r="C1282" t="str">
        <f>'Isi Data'!B166</f>
        <v>Tukang Listrik</v>
      </c>
      <c r="E1282" t="str">
        <v>org/hr</v>
      </c>
      <c r="F1282">
        <v>0.1</v>
      </c>
      <c r="G1282">
        <f>SUMIF('Isi Data'!B$1:B$65536,SNI!C$1:C$65536,'Isi Data'!E$1:E$65536)</f>
        <v>0</v>
      </c>
      <c r="I1282">
        <f>F1282*G1282</f>
        <v>0</v>
      </c>
    </row>
    <row r="1283">
      <c r="C1283" t="str">
        <f>'Isi Data'!B167</f>
        <v>Kepala Tukang Listrik</v>
      </c>
      <c r="E1283" t="str">
        <v>org/hr</v>
      </c>
      <c r="F1283">
        <v>0.05</v>
      </c>
      <c r="G1283">
        <f>SUMIF('Isi Data'!B$1:B$65536,SNI!C$1:C$65536,'Isi Data'!E$1:E$65536)</f>
        <v>0</v>
      </c>
      <c r="I1283">
        <f>F1283*G1283</f>
        <v>0</v>
      </c>
    </row>
    <row r="1284">
      <c r="C1284" t="str">
        <f>'Isi Data'!B169</f>
        <v xml:space="preserve">Mandor </v>
      </c>
      <c r="E1284" t="str">
        <v>org/hr</v>
      </c>
      <c r="F1284">
        <v>0.025</v>
      </c>
      <c r="G1284">
        <f>SUMIF('Isi Data'!B$1:B$65536,SNI!C$1:C$65536,'Isi Data'!E$1:E$65536)</f>
        <v>0</v>
      </c>
      <c r="I1284">
        <f>F1284*G1284</f>
        <v>0</v>
      </c>
    </row>
    <row r="1286">
      <c r="A1286" t="str">
        <v>BH</v>
      </c>
      <c r="B1286" t="str">
        <v>BH</v>
      </c>
      <c r="C1286" t="str">
        <v>Pas. Outlet TV</v>
      </c>
      <c r="H1286">
        <f>SUM(H1287:H1293)</f>
        <v>0</v>
      </c>
      <c r="I1286">
        <f>SUM(I1287:I1293)</f>
        <v>0</v>
      </c>
      <c r="J1286">
        <f>$J$3</f>
        <v>0.1</v>
      </c>
      <c r="K1286">
        <f>SUM(H1286:I1286)*(1+J1286)</f>
        <v>0</v>
      </c>
      <c r="L1286">
        <f>ROUND(K1286,-2)</f>
        <v>0</v>
      </c>
    </row>
    <row r="1287">
      <c r="C1287" t="str">
        <f>'Isi Data'!B147</f>
        <v>Outlet TV</v>
      </c>
      <c r="E1287" t="str">
        <v>bh</v>
      </c>
      <c r="F1287">
        <v>1</v>
      </c>
      <c r="G1287">
        <f>SUMIF('Isi Data'!B$1:B$65536,SNI!C$1:C$65536,'Isi Data'!E$1:E$65536)</f>
        <v>0</v>
      </c>
      <c r="H1287">
        <f>F1287*G1287</f>
        <v>0</v>
      </c>
    </row>
    <row r="1288">
      <c r="C1288" t="str">
        <v>Mangkok Listrik</v>
      </c>
      <c r="E1288" t="str">
        <v>bh</v>
      </c>
      <c r="F1288">
        <v>1</v>
      </c>
      <c r="G1288">
        <f>IF(G1293=0,0,1000)</f>
        <v>0</v>
      </c>
      <c r="H1288">
        <f>F1288*G1288</f>
        <v>0</v>
      </c>
    </row>
    <row r="1289">
      <c r="C1289" t="str">
        <f>'Isi Data'!B143</f>
        <v>Isolasi</v>
      </c>
      <c r="E1289" t="str">
        <v>bh</v>
      </c>
      <c r="F1289">
        <v>0.25</v>
      </c>
      <c r="G1289">
        <f>SUMIF('Isi Data'!B$1:B$65536,SNI!C$1:C$65536,'Isi Data'!E$1:E$65536)</f>
        <v>0</v>
      </c>
      <c r="H1289">
        <f>F1289*G1289</f>
        <v>0</v>
      </c>
    </row>
    <row r="1290">
      <c r="C1290" t="str">
        <f>'Isi Data'!B168</f>
        <v>Pekerja</v>
      </c>
      <c r="E1290" t="str">
        <v>org/hr</v>
      </c>
      <c r="F1290">
        <v>0.1</v>
      </c>
      <c r="G1290">
        <f>SUMIF('Isi Data'!B$1:B$65536,SNI!C$1:C$65536,'Isi Data'!E$1:E$65536)</f>
        <v>0</v>
      </c>
      <c r="I1290">
        <f>F1290*G1290</f>
        <v>0</v>
      </c>
    </row>
    <row r="1291">
      <c r="C1291" t="str">
        <f>'Isi Data'!B166</f>
        <v>Tukang Listrik</v>
      </c>
      <c r="E1291" t="str">
        <v>org/hr</v>
      </c>
      <c r="F1291">
        <v>0.1</v>
      </c>
      <c r="G1291">
        <f>SUMIF('Isi Data'!B$1:B$65536,SNI!C$1:C$65536,'Isi Data'!E$1:E$65536)</f>
        <v>0</v>
      </c>
      <c r="I1291">
        <f>F1291*G1291</f>
        <v>0</v>
      </c>
    </row>
    <row r="1292">
      <c r="C1292" t="str">
        <f>'Isi Data'!B167</f>
        <v>Kepala Tukang Listrik</v>
      </c>
      <c r="E1292" t="str">
        <v>org/hr</v>
      </c>
      <c r="F1292">
        <v>0.05</v>
      </c>
      <c r="G1292">
        <f>SUMIF('Isi Data'!B$1:B$65536,SNI!C$1:C$65536,'Isi Data'!E$1:E$65536)</f>
        <v>0</v>
      </c>
      <c r="I1292">
        <f>F1292*G1292</f>
        <v>0</v>
      </c>
    </row>
    <row r="1293">
      <c r="C1293" t="str">
        <f>'Isi Data'!B169</f>
        <v xml:space="preserve">Mandor </v>
      </c>
      <c r="E1293" t="str">
        <v>org/hr</v>
      </c>
      <c r="F1293">
        <v>0.025</v>
      </c>
      <c r="G1293">
        <f>SUMIF('Isi Data'!B$1:B$65536,SNI!C$1:C$65536,'Isi Data'!E$1:E$65536)</f>
        <v>0</v>
      </c>
      <c r="I1293">
        <f>F1293*G1293</f>
        <v>0</v>
      </c>
    </row>
    <row r="1295">
      <c r="A1295" t="str">
        <v>BH</v>
      </c>
      <c r="B1295" t="str">
        <v>BH</v>
      </c>
      <c r="C1295" t="str">
        <v>Pas. Outlet telephone</v>
      </c>
      <c r="H1295">
        <f>SUM(H1296:H1302)</f>
        <v>0</v>
      </c>
      <c r="I1295">
        <f>SUM(I1296:I1302)</f>
        <v>0</v>
      </c>
      <c r="J1295">
        <f>$J$3</f>
        <v>0.1</v>
      </c>
      <c r="K1295">
        <f>SUM(H1295:I1295)*(1+J1295)</f>
        <v>0</v>
      </c>
      <c r="L1295">
        <f>ROUND(K1295,-2)</f>
        <v>0</v>
      </c>
    </row>
    <row r="1296">
      <c r="C1296" t="str">
        <f>'Isi Data'!B148</f>
        <v>Outlet Telephone</v>
      </c>
      <c r="E1296" t="str">
        <v>bh</v>
      </c>
      <c r="F1296">
        <v>1</v>
      </c>
      <c r="G1296">
        <f>SUMIF('Isi Data'!B$1:B$65536,SNI!C$1:C$65536,'Isi Data'!E$1:E$65536)</f>
        <v>0</v>
      </c>
      <c r="H1296">
        <f>F1296*G1296</f>
        <v>0</v>
      </c>
      <c r="M1296" t="str">
        <f>IF(G1296=0,"edit"," ")</f>
        <v>edit</v>
      </c>
    </row>
    <row r="1297">
      <c r="C1297" t="str">
        <v>Mangkok Listrik</v>
      </c>
      <c r="E1297" t="str">
        <v>bh</v>
      </c>
      <c r="F1297">
        <v>1</v>
      </c>
      <c r="G1297">
        <f>IF(G1302=0,0,1000)</f>
        <v>0</v>
      </c>
      <c r="H1297">
        <f>F1297*G1297</f>
        <v>0</v>
      </c>
      <c r="M1297" t="str">
        <f>IF(G1297=0,"edit"," ")</f>
        <v>edit</v>
      </c>
    </row>
    <row r="1298">
      <c r="C1298" t="str">
        <f>'Isi Data'!B143</f>
        <v>Isolasi</v>
      </c>
      <c r="E1298" t="str">
        <v>bh</v>
      </c>
      <c r="F1298">
        <v>0.25</v>
      </c>
      <c r="G1298">
        <f>SUMIF('Isi Data'!B$1:B$65536,SNI!C$1:C$65536,'Isi Data'!E$1:E$65536)</f>
        <v>0</v>
      </c>
      <c r="H1298">
        <f>F1298*G1298</f>
        <v>0</v>
      </c>
      <c r="M1298" t="str">
        <f>IF(G1298=0,"edit"," ")</f>
        <v>edit</v>
      </c>
    </row>
    <row r="1299">
      <c r="C1299" t="str">
        <f>'Isi Data'!B168</f>
        <v>Pekerja</v>
      </c>
      <c r="E1299" t="str">
        <v>org/hr</v>
      </c>
      <c r="F1299">
        <v>0.1</v>
      </c>
      <c r="G1299">
        <f>SUMIF('Isi Data'!B$1:B$65536,SNI!C$1:C$65536,'Isi Data'!E$1:E$65536)</f>
        <v>0</v>
      </c>
      <c r="I1299">
        <f>F1299*G1299</f>
        <v>0</v>
      </c>
      <c r="M1299" t="str">
        <f>IF(G1299=0,"edit"," ")</f>
        <v>edit</v>
      </c>
    </row>
    <row r="1300">
      <c r="C1300" t="str">
        <f>'Isi Data'!B166</f>
        <v>Tukang Listrik</v>
      </c>
      <c r="E1300" t="str">
        <v>org/hr</v>
      </c>
      <c r="F1300">
        <v>0.1</v>
      </c>
      <c r="G1300">
        <f>SUMIF('Isi Data'!B$1:B$65536,SNI!C$1:C$65536,'Isi Data'!E$1:E$65536)</f>
        <v>0</v>
      </c>
      <c r="I1300">
        <f>F1300*G1300</f>
        <v>0</v>
      </c>
      <c r="M1300" t="str">
        <f>IF(G1300=0,"edit"," ")</f>
        <v>edit</v>
      </c>
    </row>
    <row r="1301">
      <c r="C1301" t="str">
        <f>'Isi Data'!B167</f>
        <v>Kepala Tukang Listrik</v>
      </c>
      <c r="E1301" t="str">
        <v>org/hr</v>
      </c>
      <c r="F1301">
        <v>0.05</v>
      </c>
      <c r="G1301">
        <f>SUMIF('Isi Data'!B$1:B$65536,SNI!C$1:C$65536,'Isi Data'!E$1:E$65536)</f>
        <v>0</v>
      </c>
      <c r="I1301">
        <f>F1301*G1301</f>
        <v>0</v>
      </c>
      <c r="M1301" t="str">
        <f>IF(G1301=0,"edit"," ")</f>
        <v>edit</v>
      </c>
    </row>
    <row r="1302">
      <c r="C1302" t="str">
        <f>'Isi Data'!B169</f>
        <v xml:space="preserve">Mandor </v>
      </c>
      <c r="E1302" t="str">
        <v>org/hr</v>
      </c>
      <c r="F1302">
        <v>0.025</v>
      </c>
      <c r="G1302">
        <f>SUMIF('Isi Data'!B$1:B$65536,SNI!C$1:C$65536,'Isi Data'!E$1:E$65536)</f>
        <v>0</v>
      </c>
      <c r="I1302">
        <f>F1302*G1302</f>
        <v>0</v>
      </c>
      <c r="M1302" t="str">
        <f>IF(G1302=0,"edit"," ")</f>
        <v>edit</v>
      </c>
    </row>
    <row r="1304">
      <c r="A1304" t="str">
        <v>BH</v>
      </c>
      <c r="B1304" t="str">
        <v>BH</v>
      </c>
      <c r="C1304" t="str">
        <v>Pas. Outlet exhausefan</v>
      </c>
      <c r="H1304">
        <f>SUM(H1305:H1311)</f>
        <v>0</v>
      </c>
      <c r="I1304">
        <f>SUM(I1305:I1311)</f>
        <v>0</v>
      </c>
      <c r="J1304">
        <f>$J$3</f>
        <v>0.1</v>
      </c>
      <c r="K1304">
        <f>SUM(H1304:I1304)*(1+J1304)</f>
        <v>0</v>
      </c>
      <c r="L1304">
        <f>ROUND(K1304,-2)</f>
        <v>0</v>
      </c>
    </row>
    <row r="1305">
      <c r="C1305" t="str">
        <v>Outlet exhausefan</v>
      </c>
      <c r="E1305" t="str">
        <v>bh</v>
      </c>
      <c r="F1305">
        <v>1</v>
      </c>
      <c r="G1305">
        <f>IF(G1311=0,0,1000)</f>
        <v>0</v>
      </c>
      <c r="H1305">
        <f>F1305*G1305</f>
        <v>0</v>
      </c>
    </row>
    <row r="1306">
      <c r="C1306" t="str">
        <v>Mangkok Listrik</v>
      </c>
      <c r="E1306" t="str">
        <v>bh</v>
      </c>
      <c r="F1306">
        <v>1</v>
      </c>
      <c r="G1306">
        <f>IF(G1311=0,0,1000)</f>
        <v>0</v>
      </c>
      <c r="H1306">
        <f>F1306*G1306</f>
        <v>0</v>
      </c>
    </row>
    <row r="1307">
      <c r="C1307" t="str">
        <f>'Isi Data'!B143</f>
        <v>Isolasi</v>
      </c>
      <c r="E1307" t="str">
        <v>bh</v>
      </c>
      <c r="F1307">
        <v>0.25</v>
      </c>
      <c r="G1307">
        <f>SUMIF('Isi Data'!B$1:B$65536,SNI!C$1:C$65536,'Isi Data'!E$1:E$65536)</f>
        <v>0</v>
      </c>
      <c r="H1307">
        <f>F1307*G1307</f>
        <v>0</v>
      </c>
    </row>
    <row r="1308">
      <c r="C1308" t="str">
        <f>'Isi Data'!B168</f>
        <v>Pekerja</v>
      </c>
      <c r="E1308" t="str">
        <v>org/hr</v>
      </c>
      <c r="F1308">
        <v>0.1</v>
      </c>
      <c r="G1308">
        <f>SUMIF('Isi Data'!B$1:B$65536,SNI!C$1:C$65536,'Isi Data'!E$1:E$65536)</f>
        <v>0</v>
      </c>
      <c r="I1308">
        <f>F1308*G1308</f>
        <v>0</v>
      </c>
    </row>
    <row r="1309">
      <c r="C1309" t="str">
        <f>'Isi Data'!B166</f>
        <v>Tukang Listrik</v>
      </c>
      <c r="E1309" t="str">
        <v>org/hr</v>
      </c>
      <c r="F1309">
        <v>0.1</v>
      </c>
      <c r="G1309">
        <f>SUMIF('Isi Data'!B$1:B$65536,SNI!C$1:C$65536,'Isi Data'!E$1:E$65536)</f>
        <v>0</v>
      </c>
      <c r="I1309">
        <f>F1309*G1309</f>
        <v>0</v>
      </c>
    </row>
    <row r="1310">
      <c r="C1310" t="str">
        <f>'Isi Data'!B167</f>
        <v>Kepala Tukang Listrik</v>
      </c>
      <c r="E1310" t="str">
        <v>org/hr</v>
      </c>
      <c r="F1310">
        <v>0.05</v>
      </c>
      <c r="G1310">
        <f>SUMIF('Isi Data'!B$1:B$65536,SNI!C$1:C$65536,'Isi Data'!E$1:E$65536)</f>
        <v>0</v>
      </c>
      <c r="I1310">
        <f>F1310*G1310</f>
        <v>0</v>
      </c>
    </row>
    <row r="1311">
      <c r="C1311" t="str">
        <f>'Isi Data'!B169</f>
        <v xml:space="preserve">Mandor </v>
      </c>
      <c r="E1311" t="str">
        <v>org/hr</v>
      </c>
      <c r="F1311">
        <v>0.025</v>
      </c>
      <c r="G1311">
        <f>SUMIF('Isi Data'!B$1:B$65536,SNI!C$1:C$65536,'Isi Data'!E$1:E$65536)</f>
        <v>0</v>
      </c>
      <c r="I1311">
        <f>F1311*G1311</f>
        <v>0</v>
      </c>
    </row>
    <row r="1313">
      <c r="A1313" t="str">
        <v>BH</v>
      </c>
      <c r="B1313" t="str">
        <v>BH</v>
      </c>
      <c r="C1313" t="str">
        <v>Pas. Down light &amp; PLC 13 W</v>
      </c>
      <c r="H1313">
        <f>SUM(H1314:H1319)</f>
        <v>0</v>
      </c>
      <c r="I1313">
        <f>SUM(I1314:I1319)</f>
        <v>0</v>
      </c>
      <c r="J1313">
        <f>$J$3</f>
        <v>0.1</v>
      </c>
      <c r="K1313">
        <f>SUM(H1313:I1313)*(1+J1313)</f>
        <v>0</v>
      </c>
      <c r="L1313">
        <f>ROUND(K1313,-2)</f>
        <v>0</v>
      </c>
    </row>
    <row r="1314">
      <c r="C1314" t="str">
        <f>'Isi Data'!B149</f>
        <v>Down light / PLC 13 W</v>
      </c>
      <c r="D1314" t="str">
        <v xml:space="preserve">ex </v>
      </c>
      <c r="E1314" t="str">
        <v>bh</v>
      </c>
      <c r="F1314">
        <v>1</v>
      </c>
      <c r="G1314">
        <f>SUMIF('Isi Data'!B$1:B$65536,SNI!C$1:C$65536,'Isi Data'!E$1:E$65536)</f>
        <v>0</v>
      </c>
      <c r="H1314">
        <f>F1314*G1314</f>
        <v>0</v>
      </c>
    </row>
    <row r="1315">
      <c r="C1315" t="str">
        <f>'Isi Data'!B143</f>
        <v>Isolasi</v>
      </c>
      <c r="E1315" t="str">
        <v>bh</v>
      </c>
      <c r="F1315">
        <v>0.25</v>
      </c>
      <c r="G1315">
        <f>SUMIF('Isi Data'!B$1:B$65536,SNI!C$1:C$65536,'Isi Data'!E$1:E$65536)</f>
        <v>0</v>
      </c>
      <c r="H1315">
        <f>F1315*G1315</f>
        <v>0</v>
      </c>
    </row>
    <row r="1316">
      <c r="C1316" t="str">
        <f>'Isi Data'!B168</f>
        <v>Pekerja</v>
      </c>
      <c r="E1316" t="str">
        <v>org/hr</v>
      </c>
      <c r="F1316">
        <v>0.1</v>
      </c>
      <c r="G1316">
        <f>SUMIF('Isi Data'!B$1:B$65536,SNI!C$1:C$65536,'Isi Data'!E$1:E$65536)</f>
        <v>0</v>
      </c>
      <c r="I1316">
        <f>F1316*G1316</f>
        <v>0</v>
      </c>
    </row>
    <row r="1317">
      <c r="C1317" t="str">
        <f>'Isi Data'!B166</f>
        <v>Tukang Listrik</v>
      </c>
      <c r="E1317" t="str">
        <v>org/hr</v>
      </c>
      <c r="F1317">
        <v>0.1</v>
      </c>
      <c r="G1317">
        <f>SUMIF('Isi Data'!B$1:B$65536,SNI!C$1:C$65536,'Isi Data'!E$1:E$65536)</f>
        <v>0</v>
      </c>
      <c r="I1317">
        <f>F1317*G1317</f>
        <v>0</v>
      </c>
    </row>
    <row r="1318">
      <c r="C1318" t="str">
        <f>'Isi Data'!B167</f>
        <v>Kepala Tukang Listrik</v>
      </c>
      <c r="E1318" t="str">
        <v>org/hr</v>
      </c>
      <c r="F1318">
        <v>0.05</v>
      </c>
      <c r="G1318">
        <f>SUMIF('Isi Data'!B$1:B$65536,SNI!C$1:C$65536,'Isi Data'!E$1:E$65536)</f>
        <v>0</v>
      </c>
      <c r="I1318">
        <f>F1318*G1318</f>
        <v>0</v>
      </c>
    </row>
    <row r="1319">
      <c r="C1319" t="str">
        <f>'Isi Data'!B169</f>
        <v xml:space="preserve">Mandor </v>
      </c>
      <c r="E1319" t="str">
        <v>org/hr</v>
      </c>
      <c r="F1319">
        <v>0.025</v>
      </c>
      <c r="G1319">
        <f>SUMIF('Isi Data'!B$1:B$65536,SNI!C$1:C$65536,'Isi Data'!E$1:E$65536)</f>
        <v>0</v>
      </c>
      <c r="I1319">
        <f>F1319*G1319</f>
        <v>0</v>
      </c>
    </row>
    <row r="1321">
      <c r="A1321" t="str">
        <v>BH</v>
      </c>
      <c r="B1321" t="str">
        <v>BH</v>
      </c>
      <c r="C1321" t="str">
        <v>Pas. Fitting plafond + Lampu SL</v>
      </c>
      <c r="H1321">
        <f>SUM(H1322:H1327)</f>
        <v>0</v>
      </c>
      <c r="I1321">
        <f>SUM(I1322:I1327)</f>
        <v>0</v>
      </c>
      <c r="J1321">
        <f>$J$3</f>
        <v>0.1</v>
      </c>
      <c r="K1321">
        <f>SUM(H1321:I1321)*(1+J1321)</f>
        <v>0</v>
      </c>
      <c r="L1321">
        <f>ROUND(K1321,-2)</f>
        <v>0</v>
      </c>
    </row>
    <row r="1322">
      <c r="C1322" t="str">
        <f>'Isi Data'!B150</f>
        <v>Fitting plafond + lampu SL</v>
      </c>
      <c r="D1322" t="str">
        <v xml:space="preserve">ex </v>
      </c>
      <c r="E1322" t="str">
        <v>bh</v>
      </c>
      <c r="F1322">
        <v>1</v>
      </c>
      <c r="G1322">
        <f>SUMIF('Isi Data'!B$1:B$65536,SNI!C$1:C$65536,'Isi Data'!E$1:E$65536)</f>
        <v>0</v>
      </c>
      <c r="H1322">
        <f>F1322*G1322</f>
        <v>0</v>
      </c>
      <c r="M1322" t="str">
        <f>IF(G1322=0,"edit"," ")</f>
        <v>edit</v>
      </c>
    </row>
    <row r="1323">
      <c r="C1323" t="str">
        <f>'Isi Data'!B143</f>
        <v>Isolasi</v>
      </c>
      <c r="E1323" t="str">
        <v>bh</v>
      </c>
      <c r="F1323">
        <v>0.25</v>
      </c>
      <c r="G1323">
        <f>SUMIF('Isi Data'!B$1:B$65536,SNI!C$1:C$65536,'Isi Data'!E$1:E$65536)</f>
        <v>0</v>
      </c>
      <c r="H1323">
        <f>F1323*G1323</f>
        <v>0</v>
      </c>
      <c r="M1323" t="str">
        <f>IF(G1323=0,"edit"," ")</f>
        <v>edit</v>
      </c>
    </row>
    <row r="1324">
      <c r="C1324" t="str">
        <f>'Isi Data'!B168</f>
        <v>Pekerja</v>
      </c>
      <c r="E1324" t="str">
        <v>org/hr</v>
      </c>
      <c r="F1324">
        <v>0.1</v>
      </c>
      <c r="G1324">
        <f>SUMIF('Isi Data'!B$1:B$65536,SNI!C$1:C$65536,'Isi Data'!E$1:E$65536)</f>
        <v>0</v>
      </c>
      <c r="I1324">
        <f>F1324*G1324</f>
        <v>0</v>
      </c>
      <c r="M1324" t="str">
        <f>IF(G1324=0,"edit"," ")</f>
        <v>edit</v>
      </c>
    </row>
    <row r="1325">
      <c r="C1325" t="str">
        <f>'Isi Data'!B166</f>
        <v>Tukang Listrik</v>
      </c>
      <c r="E1325" t="str">
        <v>org/hr</v>
      </c>
      <c r="F1325">
        <v>0.1</v>
      </c>
      <c r="G1325">
        <f>SUMIF('Isi Data'!B$1:B$65536,SNI!C$1:C$65536,'Isi Data'!E$1:E$65536)</f>
        <v>0</v>
      </c>
      <c r="I1325">
        <f>F1325*G1325</f>
        <v>0</v>
      </c>
      <c r="M1325" t="str">
        <f>IF(G1325=0,"edit"," ")</f>
        <v>edit</v>
      </c>
    </row>
    <row r="1326">
      <c r="C1326" t="str">
        <f>'Isi Data'!B167</f>
        <v>Kepala Tukang Listrik</v>
      </c>
      <c r="E1326" t="str">
        <v>org/hr</v>
      </c>
      <c r="F1326">
        <v>0.05</v>
      </c>
      <c r="G1326">
        <f>SUMIF('Isi Data'!B$1:B$65536,SNI!C$1:C$65536,'Isi Data'!E$1:E$65536)</f>
        <v>0</v>
      </c>
      <c r="I1326">
        <f>F1326*G1326</f>
        <v>0</v>
      </c>
      <c r="M1326" t="str">
        <f>IF(G1326=0,"edit"," ")</f>
        <v>edit</v>
      </c>
    </row>
    <row r="1327">
      <c r="C1327" t="str">
        <f>'Isi Data'!B169</f>
        <v xml:space="preserve">Mandor </v>
      </c>
      <c r="E1327" t="str">
        <v>org/hr</v>
      </c>
      <c r="F1327">
        <v>0.025</v>
      </c>
      <c r="G1327">
        <f>SUMIF('Isi Data'!B$1:B$65536,SNI!C$1:C$65536,'Isi Data'!E$1:E$65536)</f>
        <v>0</v>
      </c>
      <c r="I1327">
        <f>F1327*G1327</f>
        <v>0</v>
      </c>
      <c r="M1327" t="str">
        <f>IF(G1327=0,"edit"," ")</f>
        <v>edit</v>
      </c>
    </row>
    <row r="1329">
      <c r="A1329" t="str">
        <v>BH</v>
      </c>
      <c r="B1329" t="str">
        <v>BH</v>
      </c>
      <c r="C1329" t="str">
        <v>Pas. Lampu TL 2 x 18 watt grille</v>
      </c>
      <c r="H1329">
        <f>SUM(H1330:H1335)</f>
        <v>0</v>
      </c>
      <c r="I1329">
        <f>SUM(I1330:I1335)</f>
        <v>0</v>
      </c>
      <c r="J1329">
        <f>$J$3</f>
        <v>0.1</v>
      </c>
      <c r="K1329">
        <f>SUM(H1329:I1329)*(1+J1329)</f>
        <v>0</v>
      </c>
      <c r="L1329">
        <f>ROUND(K1329,-2)</f>
        <v>0</v>
      </c>
    </row>
    <row r="1330">
      <c r="C1330" t="str">
        <f>'Isi Data'!B151</f>
        <v>Lampu TL 2 x 18 watt grille</v>
      </c>
      <c r="D1330" t="str">
        <v xml:space="preserve">ex </v>
      </c>
      <c r="E1330" t="str">
        <v>bh</v>
      </c>
      <c r="F1330">
        <v>1</v>
      </c>
      <c r="G1330">
        <f>SUMIF('Isi Data'!B$1:B$65536,SNI!C$1:C$65536,'Isi Data'!E$1:E$65536)</f>
        <v>0</v>
      </c>
      <c r="H1330">
        <f>F1330*G1330</f>
        <v>0</v>
      </c>
    </row>
    <row r="1331">
      <c r="C1331" t="str">
        <f>'Isi Data'!B143</f>
        <v>Isolasi</v>
      </c>
      <c r="E1331" t="str">
        <v>bh</v>
      </c>
      <c r="F1331">
        <v>0.25</v>
      </c>
      <c r="G1331">
        <f>SUMIF('Isi Data'!B$1:B$65536,SNI!C$1:C$65536,'Isi Data'!E$1:E$65536)</f>
        <v>0</v>
      </c>
      <c r="H1331">
        <f>F1331*G1331</f>
        <v>0</v>
      </c>
    </row>
    <row r="1332">
      <c r="C1332" t="str">
        <f>'Isi Data'!B168</f>
        <v>Pekerja</v>
      </c>
      <c r="E1332" t="str">
        <v>org/hr</v>
      </c>
      <c r="F1332">
        <v>0.1</v>
      </c>
      <c r="G1332">
        <f>SUMIF('Isi Data'!B$1:B$65536,SNI!C$1:C$65536,'Isi Data'!E$1:E$65536)</f>
        <v>0</v>
      </c>
      <c r="I1332">
        <f>F1332*G1332</f>
        <v>0</v>
      </c>
    </row>
    <row r="1333">
      <c r="C1333" t="str">
        <f>'Isi Data'!B166</f>
        <v>Tukang Listrik</v>
      </c>
      <c r="E1333" t="str">
        <v>org/hr</v>
      </c>
      <c r="F1333">
        <v>0.1</v>
      </c>
      <c r="G1333">
        <f>SUMIF('Isi Data'!B$1:B$65536,SNI!C$1:C$65536,'Isi Data'!E$1:E$65536)</f>
        <v>0</v>
      </c>
      <c r="I1333">
        <f>F1333*G1333</f>
        <v>0</v>
      </c>
    </row>
    <row r="1334">
      <c r="C1334" t="str">
        <f>'Isi Data'!B167</f>
        <v>Kepala Tukang Listrik</v>
      </c>
      <c r="E1334" t="str">
        <v>org/hr</v>
      </c>
      <c r="F1334">
        <v>0.05</v>
      </c>
      <c r="G1334">
        <f>SUMIF('Isi Data'!B$1:B$65536,SNI!C$1:C$65536,'Isi Data'!E$1:E$65536)</f>
        <v>0</v>
      </c>
      <c r="I1334">
        <f>F1334*G1334</f>
        <v>0</v>
      </c>
    </row>
    <row r="1335">
      <c r="C1335" t="str">
        <f>'Isi Data'!B169</f>
        <v xml:space="preserve">Mandor </v>
      </c>
      <c r="E1335" t="str">
        <v>org/hr</v>
      </c>
      <c r="F1335">
        <v>0.025</v>
      </c>
      <c r="G1335">
        <f>SUMIF('Isi Data'!B$1:B$65536,SNI!C$1:C$65536,'Isi Data'!E$1:E$65536)</f>
        <v>0</v>
      </c>
      <c r="I1335">
        <f>F1335*G1335</f>
        <v>0</v>
      </c>
    </row>
    <row r="1337">
      <c r="A1337" t="str">
        <v>BH</v>
      </c>
      <c r="B1337" t="str">
        <v>BH</v>
      </c>
      <c r="C1337" t="str">
        <v>Pas. Lampu TL 2 x 36 watt grille</v>
      </c>
      <c r="H1337">
        <f>SUM(H1338:H1343)</f>
        <v>0</v>
      </c>
      <c r="I1337">
        <f>SUM(I1338:I1343)</f>
        <v>0</v>
      </c>
      <c r="J1337">
        <f>$J$3</f>
        <v>0.1</v>
      </c>
      <c r="K1337">
        <f>SUM(H1337:I1337)*(1+J1337)</f>
        <v>0</v>
      </c>
      <c r="L1337">
        <f>ROUND(K1337,-2)</f>
        <v>0</v>
      </c>
    </row>
    <row r="1338">
      <c r="C1338" t="str">
        <f>'Isi Data'!B152</f>
        <v>Lampu TL 2 x 36 watt grille</v>
      </c>
      <c r="D1338" t="str">
        <v xml:space="preserve">ex </v>
      </c>
      <c r="E1338" t="str">
        <v>bh</v>
      </c>
      <c r="F1338">
        <v>1</v>
      </c>
      <c r="G1338">
        <f>SUMIF('Isi Data'!B$1:B$65536,SNI!C$1:C$65536,'Isi Data'!E$1:E$65536)</f>
        <v>0</v>
      </c>
      <c r="H1338">
        <f>F1338*G1338</f>
        <v>0</v>
      </c>
    </row>
    <row r="1339">
      <c r="C1339" t="str">
        <f>'Isi Data'!B143</f>
        <v>Isolasi</v>
      </c>
      <c r="E1339" t="str">
        <v>bh</v>
      </c>
      <c r="F1339">
        <v>0.25</v>
      </c>
      <c r="G1339">
        <f>SUMIF('Isi Data'!B$1:B$65536,SNI!C$1:C$65536,'Isi Data'!E$1:E$65536)</f>
        <v>0</v>
      </c>
      <c r="H1339">
        <f>F1339*G1339</f>
        <v>0</v>
      </c>
      <c r="M1339" t="str">
        <f>IF(G1339=0,"edit"," ")</f>
        <v>edit</v>
      </c>
    </row>
    <row r="1340">
      <c r="C1340" t="str">
        <f>'Isi Data'!B168</f>
        <v>Pekerja</v>
      </c>
      <c r="E1340" t="str">
        <v>org/hr</v>
      </c>
      <c r="F1340">
        <v>0.1</v>
      </c>
      <c r="G1340">
        <f>SUMIF('Isi Data'!B$1:B$65536,SNI!C$1:C$65536,'Isi Data'!E$1:E$65536)</f>
        <v>0</v>
      </c>
      <c r="I1340">
        <f>F1340*G1340</f>
        <v>0</v>
      </c>
      <c r="M1340" t="str">
        <f>IF(G1340=0,"edit"," ")</f>
        <v>edit</v>
      </c>
    </row>
    <row r="1341">
      <c r="C1341" t="str">
        <f>'Isi Data'!B166</f>
        <v>Tukang Listrik</v>
      </c>
      <c r="E1341" t="str">
        <v>org/hr</v>
      </c>
      <c r="F1341">
        <v>0.1</v>
      </c>
      <c r="G1341">
        <f>SUMIF('Isi Data'!B$1:B$65536,SNI!C$1:C$65536,'Isi Data'!E$1:E$65536)</f>
        <v>0</v>
      </c>
      <c r="I1341">
        <f>F1341*G1341</f>
        <v>0</v>
      </c>
      <c r="M1341" t="str">
        <f>IF(G1341=0,"edit"," ")</f>
        <v>edit</v>
      </c>
    </row>
    <row r="1342">
      <c r="C1342" t="str">
        <f>'Isi Data'!B167</f>
        <v>Kepala Tukang Listrik</v>
      </c>
      <c r="E1342" t="str">
        <v>org/hr</v>
      </c>
      <c r="F1342">
        <v>0.05</v>
      </c>
      <c r="G1342">
        <f>SUMIF('Isi Data'!B$1:B$65536,SNI!C$1:C$65536,'Isi Data'!E$1:E$65536)</f>
        <v>0</v>
      </c>
      <c r="I1342">
        <f>F1342*G1342</f>
        <v>0</v>
      </c>
      <c r="M1342" t="str">
        <f>IF(G1342=0,"edit"," ")</f>
        <v>edit</v>
      </c>
    </row>
    <row r="1343">
      <c r="C1343" t="str">
        <f>'Isi Data'!B169</f>
        <v xml:space="preserve">Mandor </v>
      </c>
      <c r="E1343" t="str">
        <v>org/hr</v>
      </c>
      <c r="F1343">
        <v>0.025</v>
      </c>
      <c r="G1343">
        <f>SUMIF('Isi Data'!B$1:B$65536,SNI!C$1:C$65536,'Isi Data'!E$1:E$65536)</f>
        <v>0</v>
      </c>
      <c r="I1343">
        <f>F1343*G1343</f>
        <v>0</v>
      </c>
      <c r="M1343" t="str">
        <f>IF(G1343=0,"edit"," ")</f>
        <v>edit</v>
      </c>
    </row>
    <row r="1352">
      <c r="C1352" t="str">
        <v>Klem</v>
      </c>
      <c r="G1352">
        <f>SUMIF('Isi Data'!B$1:B$65536,SNI!C$1:C$65536,'Isi Data'!E$1:E$65536)</f>
        <v>0</v>
      </c>
    </row>
    <row r="1353">
      <c r="C1353" t="str">
        <v>Kabel Coax 3 c 75 ohm</v>
      </c>
    </row>
  </sheetData>
  <mergeCells count="14">
    <mergeCell ref="F4:F6"/>
    <mergeCell ref="G4:G6"/>
    <mergeCell ref="H4:I5"/>
    <mergeCell ref="D23:D24"/>
    <mergeCell ref="C4:D6"/>
    <mergeCell ref="E4:E6"/>
    <mergeCell ref="D591:D592"/>
    <mergeCell ref="D553:D554"/>
    <mergeCell ref="D572:D573"/>
    <mergeCell ref="D619:D620"/>
    <mergeCell ref="D609:D610"/>
    <mergeCell ref="D600:D601"/>
    <mergeCell ref="D562:D563"/>
    <mergeCell ref="D581:D582"/>
  </mergeCells>
  <hyperlinks>
    <hyperlink ref="A1" location="MENU!A1" tooltip="menu"/>
  </hyperlinks>
  <pageMargins left="0.5118110236220472" right="0.31496062992125984" top="0.7480314960629921" bottom="0.7480314960629921" header="0.31496062992125984" footer="0.31496062992125984"/>
  <ignoredErrors>
    <ignoredError numberStoredAsText="1" sqref="A1:M1353"/>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Company>2009</Company>
  <DocSecurity>0</DocSecurity>
  <HyperlinksChanged>false</HyperlinksChanged>
  <SharedDoc>false</SharedDoc>
  <LinksUpToDate>false</LinksUpToDate>
  <ScaleCrop>false</ScaleCrop>
  <HeadingPairs>
    <vt:vector size="2" baseType="variant">
      <vt:variant>
        <vt:lpstr>Worksheets</vt:lpstr>
      </vt:variant>
      <vt:variant>
        <vt:i4>28</vt:i4>
      </vt:variant>
    </vt:vector>
  </HeadingPairs>
  <TitlesOfParts>
    <vt:vector size="28" baseType="lpstr">
      <vt:lpstr>MENU</vt:lpstr>
      <vt:lpstr>PANDUAN PENGGUNAAN</vt:lpstr>
      <vt:lpstr>PEDOMAN TEKNIS</vt:lpstr>
      <vt:lpstr>Isi Data</vt:lpstr>
      <vt:lpstr>D</vt:lpstr>
      <vt:lpstr>HSBGN</vt:lpstr>
      <vt:lpstr>SK</vt:lpstr>
      <vt:lpstr>model</vt:lpstr>
      <vt:lpstr>SNI</vt:lpstr>
      <vt:lpstr>SpeK Gedung</vt:lpstr>
      <vt:lpstr>RAB - GTS</vt:lpstr>
      <vt:lpstr>ANL-KUSEN GTS</vt:lpstr>
      <vt:lpstr>QTY-GTS</vt:lpstr>
      <vt:lpstr>RAB - GS</vt:lpstr>
      <vt:lpstr>ANL-KUSEN GS</vt:lpstr>
      <vt:lpstr>QTY-GS</vt:lpstr>
      <vt:lpstr>SpeK Rumah</vt:lpstr>
      <vt:lpstr>RAB - rumahA</vt:lpstr>
      <vt:lpstr>A-QTY</vt:lpstr>
      <vt:lpstr>RAB - RumahB</vt:lpstr>
      <vt:lpstr>B-QTY</vt:lpstr>
      <vt:lpstr>C-QTY</vt:lpstr>
      <vt:lpstr>RAB - RumahC</vt:lpstr>
      <vt:lpstr>SpeK Pagar</vt:lpstr>
      <vt:lpstr>QTY-PG</vt:lpstr>
      <vt:lpstr>RAB - PG</vt:lpstr>
      <vt:lpstr>QTY-PR</vt:lpstr>
      <vt:lpstr>RAB - PR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2010-11-15T02:40:51Z</dcterms:created>
  <dcterms:modified xsi:type="dcterms:W3CDTF">2021-03-22T04:21:50Z</dcterms:modified>
  <cp:lastModifiedBy>bhagas koro</cp:lastModifiedBy>
  <cp:lastPrinted>2016-03-23T01:49:37Z</cp:lastPrinted>
  <dc:creator>anditauri</dc:creator>
  <dc:subject>anditauri</dc:subject>
  <dc:title>hsbgn 2010</dc:title>
</cp:coreProperties>
</file>