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5">'[1]bill 3'!$A$3:$IO$4</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5">'[1]bill 3'!$A$3:$B$163</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91" formatCode="_(* #,##0_);_(* \(#,##0\);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mp;amp;amp;amp;amp;amp;amp;amp;amp;amp;amp;amp;amp;amp;amp;amp;amp;amp;amp;amp;amp;amp;amp;apos;PANDUAN PENGGUNAAN&amp;amp;amp;amp;amp;amp;amp;amp;amp;amp;amp;amp;amp;amp;amp;amp;amp;amp;amp;amp;amp;amp;amp;amp;apos;!Print_Area" tooltip="Paduan Penggunaan"/>
    <hyperlink ref="B17" location="&amp;amp;amp;amp;amp;amp;amp;amp;amp;amp;amp;amp;amp;amp;amp;amp;amp;amp;amp;amp;amp;amp;amp;amp;apos;PEDOMAN TEKNIS&amp;amp;amp;amp;amp;amp;amp;amp;amp;amp;amp;amp;amp;amp;amp;amp;amp;amp;amp;amp;amp;amp;amp;amp;apos;!Print_Area" tooltip="Pedoman Teknis"/>
    <hyperlink ref="C17" location="&amp;amp;amp;amp;amp;amp;amp;amp;amp;amp;amp;amp;amp;amp;amp;amp;amp;amp;amp;amp;amp;amp;amp;amp;apos;Isi Data&amp;amp;amp;amp;amp;amp;amp;amp;amp;amp;amp;amp;amp;amp;amp;amp;amp;amp;amp;amp;amp;amp;amp;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10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C40:E40"/>
    <mergeCell ref="B14:B15"/>
    <mergeCell ref="E14:F14"/>
    <mergeCell ref="A7:A9"/>
    <mergeCell ref="B7:B9"/>
    <mergeCell ref="C7:F7"/>
    <mergeCell ref="D15:F15"/>
    <mergeCell ref="B12:B13"/>
    <mergeCell ref="C24:F24"/>
    <mergeCell ref="C25:F25"/>
    <mergeCell ref="C27:F27"/>
    <mergeCell ref="C26:F26"/>
    <mergeCell ref="C33:F3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B77:B78"/>
    <mergeCell ref="C77:F77"/>
    <mergeCell ref="C78:F78"/>
    <mergeCell ref="C68:F68"/>
    <mergeCell ref="C69:F70"/>
    <mergeCell ref="C71:D71"/>
    <mergeCell ref="E71:F71"/>
    <mergeCell ref="E72:F72"/>
    <mergeCell ref="C74:F74"/>
    <mergeCell ref="B75:B76"/>
    <mergeCell ref="C81:F81"/>
    <mergeCell ref="C89:F89"/>
    <mergeCell ref="C82:F82"/>
    <mergeCell ref="C83:F83"/>
    <mergeCell ref="C86:D86"/>
    <mergeCell ref="E86:F86"/>
    <mergeCell ref="C87:F87"/>
    <mergeCell ref="C88:F88"/>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10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0.18034172037767943</v>
      </c>
      <c r="N5">
        <v>0.1</v>
      </c>
    </row>
    <row r="6">
      <c r="A6" t="str">
        <f>A33</f>
        <v>A.1</v>
      </c>
      <c r="B6" t="str">
        <f>B33</f>
        <v xml:space="preserve">Pekerjaan Pondasi </v>
      </c>
      <c r="H6" t="str">
        <v>Rp.</v>
      </c>
      <c r="I6">
        <f>I50</f>
        <v>304065796.734</v>
      </c>
      <c r="J6">
        <f>I6/$I$20</f>
        <v>0.04281003330057004</v>
      </c>
      <c r="N6">
        <v>0.35</v>
      </c>
    </row>
    <row r="7">
      <c r="A7" t="str">
        <v>A.2</v>
      </c>
      <c r="B7" t="str">
        <f>B52</f>
        <v>PEKERJAAN STRUKTUR</v>
      </c>
      <c r="H7" t="str">
        <v>Rp.</v>
      </c>
      <c r="I7">
        <f>I107</f>
        <v>976843015.1329876</v>
      </c>
      <c r="J7">
        <f>I7/$I$20</f>
        <v>0.1375316870771094</v>
      </c>
      <c r="N7">
        <v>0.1</v>
      </c>
    </row>
    <row r="8">
      <c r="A8" t="str">
        <v>B.</v>
      </c>
      <c r="B8" t="str">
        <f>B108</f>
        <v xml:space="preserve">PEKERJAAN ARSITEKTUR </v>
      </c>
      <c r="J8">
        <f>SUM(J9:J13)</f>
        <v>0.7642463252967151</v>
      </c>
      <c r="N8">
        <v>0.1</v>
      </c>
    </row>
    <row r="9">
      <c r="A9" t="str">
        <f>A110</f>
        <v>B.1</v>
      </c>
      <c r="B9" t="str">
        <f>B110</f>
        <v>Pekerjaan Lantai</v>
      </c>
      <c r="H9" t="str">
        <v>Rp.</v>
      </c>
      <c r="I9">
        <f>I121</f>
        <v>460505973.45</v>
      </c>
      <c r="J9">
        <f>I9/$I$20</f>
        <v>0.06483555950803693</v>
      </c>
      <c r="N9">
        <v>0.08</v>
      </c>
    </row>
    <row r="10">
      <c r="A10" t="str">
        <f>A122</f>
        <v>B.2</v>
      </c>
      <c r="B10" t="str">
        <f>B122</f>
        <v>Pekerjaan Dinding</v>
      </c>
      <c r="H10" t="str">
        <v>Rp.</v>
      </c>
      <c r="I10">
        <f>I139</f>
        <v>4433483192.842</v>
      </c>
      <c r="J10">
        <f>I10/$I$20</f>
        <v>0.624198989698011</v>
      </c>
    </row>
    <row r="11">
      <c r="A11" t="str">
        <f>A140</f>
        <v>B.3</v>
      </c>
      <c r="B11" t="str">
        <f>B140</f>
        <v>Pekerjaan Plafond</v>
      </c>
      <c r="H11" t="str">
        <v>Rp.</v>
      </c>
      <c r="I11">
        <f>I147</f>
        <v>104145699</v>
      </c>
      <c r="J11">
        <f>I11/$I$20</f>
        <v>0.014662881817653005</v>
      </c>
    </row>
    <row r="12">
      <c r="A12" t="str">
        <f>A148</f>
        <v>B.4</v>
      </c>
      <c r="B12" t="str">
        <f>B148</f>
        <v>Pekerjaan Atap</v>
      </c>
      <c r="H12" t="str">
        <v>Rp.</v>
      </c>
      <c r="I12">
        <f>I154</f>
        <v>200417308.10000002</v>
      </c>
      <c r="J12">
        <f>I12/$I$20</f>
        <v>0.028217154727459753</v>
      </c>
    </row>
    <row r="13">
      <c r="A13" t="str">
        <f>A155</f>
        <v>B.5</v>
      </c>
      <c r="B13" t="str">
        <f>B155</f>
        <v>Pekerjaan Kusen</v>
      </c>
      <c r="H13" t="str">
        <v>Rp.</v>
      </c>
      <c r="I13">
        <f>I176</f>
        <v>229641871</v>
      </c>
      <c r="J13">
        <f>I13/$I$20</f>
        <v>0.03233173954555451</v>
      </c>
    </row>
    <row r="14">
      <c r="A14" t="str">
        <f>A177</f>
        <v>C.</v>
      </c>
      <c r="B14" t="str">
        <f>B177</f>
        <v>PEKERJAAN UTILITAS</v>
      </c>
      <c r="J14">
        <f>SUM(J15:J16)</f>
        <v>0.04442292487009668</v>
      </c>
      <c r="N14">
        <v>0.1</v>
      </c>
    </row>
    <row r="15">
      <c r="A15" t="str">
        <f>A178</f>
        <v>C.1</v>
      </c>
      <c r="B15" t="str">
        <f>B178</f>
        <v>Pekerjaan Plumbing</v>
      </c>
      <c r="H15" t="str">
        <v>Rp.</v>
      </c>
      <c r="I15">
        <f>I237</f>
        <v>269576244</v>
      </c>
      <c r="J15">
        <f>I15/$I$20</f>
        <v>0.03795418000525197</v>
      </c>
    </row>
    <row r="16">
      <c r="A16" t="str">
        <f>A238</f>
        <v>C.2</v>
      </c>
      <c r="B16" t="str">
        <f>B238</f>
        <v>Pekerjaan Elektrikal</v>
      </c>
      <c r="H16" t="str">
        <v>Rp.</v>
      </c>
      <c r="I16">
        <f>I257</f>
        <v>45945399</v>
      </c>
      <c r="J16">
        <f>I16/$I$20</f>
        <v>0.006468744864844707</v>
      </c>
    </row>
    <row r="17">
      <c r="A17" t="str">
        <v>D.</v>
      </c>
      <c r="B17" t="str">
        <f>B258</f>
        <v>PEKERJAAN FINISHING</v>
      </c>
      <c r="H17" t="str">
        <v>Rp.</v>
      </c>
      <c r="I17">
        <f>I264</f>
        <v>78051515.944</v>
      </c>
      <c r="J17">
        <f>I17/$I$20</f>
        <v>0.010989029455508588</v>
      </c>
      <c r="N17">
        <v>0.08</v>
      </c>
    </row>
    <row r="18">
      <c r="N18">
        <v>0.15</v>
      </c>
    </row>
    <row r="20">
      <c r="H20" t="str">
        <v>Jumlah Biaya Pekerjaan Standar ( a ) … Rp.</v>
      </c>
      <c r="I20">
        <f>SUM(I6:I17)</f>
        <v>7102676015.202989</v>
      </c>
      <c r="J20">
        <f>J5+J8+J14+J17</f>
        <v>0.9999999999999998</v>
      </c>
    </row>
    <row r="21">
      <c r="H21" t="str">
        <v>PPN 10% ( b ) … Rp.</v>
      </c>
      <c r="I21">
        <f>0.1*I20</f>
        <v>710267601.520299</v>
      </c>
    </row>
    <row r="22">
      <c r="H22" t="str">
        <v xml:space="preserve"> '( c ) = ( a ) + ( b ) … Rp.</v>
      </c>
      <c r="I22">
        <f>I20+I21</f>
        <v>7812943616.723288</v>
      </c>
    </row>
    <row r="23">
      <c r="H23" t="str">
        <v>Luas bangunan ( d ) … m2.</v>
      </c>
      <c r="I23">
        <v>717.37</v>
      </c>
    </row>
    <row r="24">
      <c r="H24" t="str">
        <v>Harga bangunan untuk pekerjaan standar /m2 ( e ) = ( c ) / ( d ) … Rp.</v>
      </c>
      <c r="I24">
        <f>I22/I23</f>
        <v>10891093.32244628</v>
      </c>
    </row>
    <row r="25">
      <c r="H25" t="str">
        <v>Ijin Mendirikan Bangunan /m2 ( f ) … Rp.</v>
      </c>
      <c r="I25">
        <f>'Isi Data'!E171</f>
        <v>15000</v>
      </c>
    </row>
    <row r="26">
      <c r="H26" t="str">
        <v>(e) + (f) Dibulatkan... Rp.</v>
      </c>
      <c r="I26">
        <f>ROUND(I24+I25,-4)</f>
        <v>10910000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78400</v>
      </c>
      <c r="G34">
        <v>1</v>
      </c>
      <c r="H34">
        <f>E34*F34*G34</f>
        <v>64657656</v>
      </c>
      <c r="K34">
        <f>L34-E34</f>
        <v>0</v>
      </c>
      <c r="L34">
        <v>824.715</v>
      </c>
    </row>
    <row r="35">
      <c r="A35">
        <v>2</v>
      </c>
      <c r="B35" t="str">
        <v>Galian tanah, dalam  s/d 1 m</v>
      </c>
      <c r="D35" t="str">
        <v>m3</v>
      </c>
      <c r="E35">
        <f>'QTY-GTS'!N34</f>
        <v>58.72239999999999</v>
      </c>
      <c r="F35">
        <f>SUMIF(SNI!C$1:C$65536,'RAB - GTS'!B$1:B$65536,SNI!L$1:L$65536)</f>
        <v>34400</v>
      </c>
      <c r="G35">
        <v>1</v>
      </c>
      <c r="H35">
        <f>E35*F35*G35</f>
        <v>2020050.5599999998</v>
      </c>
      <c r="K35">
        <f>L35-E35</f>
        <v>0</v>
      </c>
      <c r="L35">
        <v>58.72239999999999</v>
      </c>
    </row>
    <row r="36">
      <c r="A36">
        <v>3</v>
      </c>
      <c r="B36" t="str">
        <v>Pas. Urugan pasir</v>
      </c>
      <c r="C36" t="str">
        <v>t. 10 cm; Pondasi</v>
      </c>
      <c r="D36" t="str">
        <v>m3</v>
      </c>
      <c r="E36">
        <f>'QTY-GTS'!N66</f>
        <v>11.814720000000001</v>
      </c>
      <c r="F36">
        <f>SUMIF(SNI!C$1:C$65536,'RAB - GTS'!B$1:B$65536,SNI!L$1:L$65536)</f>
        <v>180500</v>
      </c>
      <c r="G36">
        <v>1</v>
      </c>
      <c r="H36">
        <f>E36*F36*G36</f>
        <v>2132556.9600000004</v>
      </c>
      <c r="K36">
        <f>L36-E36</f>
        <v>0</v>
      </c>
      <c r="L36">
        <v>11.814720000000001</v>
      </c>
    </row>
    <row r="37">
      <c r="A37">
        <v>4</v>
      </c>
      <c r="B37" t="str">
        <v>Aanstamping batu kali</v>
      </c>
      <c r="C37" t="str">
        <v>t. 15 cm</v>
      </c>
      <c r="D37" t="str">
        <v>m3</v>
      </c>
      <c r="E37">
        <v>96.9</v>
      </c>
      <c r="F37">
        <f>SUMIF(SNI!C$1:C$65536,'RAB - GTS'!B$1:B$65536,SNI!L$1:L$65536)</f>
        <v>413200</v>
      </c>
      <c r="G37">
        <v>1</v>
      </c>
      <c r="H37">
        <f>E37*F37*G37</f>
        <v>40039080</v>
      </c>
      <c r="K37">
        <f>L37-E37</f>
        <v>0</v>
      </c>
      <c r="L37">
        <v>96.9</v>
      </c>
    </row>
    <row r="38">
      <c r="A38">
        <v>5</v>
      </c>
      <c r="B38" t="str">
        <v>Pas. pondasi batu kali 1:4</v>
      </c>
      <c r="D38" t="str">
        <v>m3</v>
      </c>
      <c r="E38">
        <f>'QTY-GTS'!N127</f>
        <v>14.143500000000003</v>
      </c>
      <c r="F38">
        <f>SUMIF(SNI!C$1:C$65536,'RAB - GTS'!B$1:B$65536,SNI!L$1:L$65536)</f>
        <v>698700</v>
      </c>
      <c r="G38">
        <v>1</v>
      </c>
      <c r="H38">
        <f>E38*F38*G38</f>
        <v>9882063.450000003</v>
      </c>
      <c r="I38">
        <f>SUM(H34:H38)</f>
        <v>118731406.97</v>
      </c>
      <c r="K38">
        <f>L38-E38</f>
        <v>0</v>
      </c>
      <c r="L38">
        <v>14.143500000000003</v>
      </c>
    </row>
    <row r="39">
      <c r="A39">
        <v>6</v>
      </c>
      <c r="B39" t="str">
        <v>Pas. Lantai kerja beton tumbuk 1:3:5</v>
      </c>
      <c r="C39" t="str">
        <v>t. 5 cm</v>
      </c>
      <c r="D39" t="str">
        <v>m3</v>
      </c>
      <c r="E39">
        <f>'QTY-GTS'!N72</f>
        <v>5.907360000000001</v>
      </c>
      <c r="F39">
        <f>SUMIF(SNI!C$1:C$65536,'RAB - GTS'!B$1:B$65536,SNI!L$1:L$65536)</f>
        <v>53900</v>
      </c>
      <c r="G39">
        <v>1</v>
      </c>
      <c r="H39">
        <f>E39*F39*G39</f>
        <v>318406.704</v>
      </c>
      <c r="K39">
        <f>L39-E39</f>
        <v>0</v>
      </c>
      <c r="L39">
        <v>5.907360000000001</v>
      </c>
    </row>
    <row r="40">
      <c r="A40">
        <v>7</v>
      </c>
      <c r="B40" t="str">
        <v>Bekisting sloof beton</v>
      </c>
      <c r="D40" t="str">
        <v>m2</v>
      </c>
      <c r="E40">
        <f>'QTY-GTS'!N109</f>
        <v>66</v>
      </c>
      <c r="F40">
        <f>SUMIF(SNI!C$1:C$65536,'RAB - GTS'!B$1:B$65536,SNI!L$1:L$65536)</f>
        <v>269300</v>
      </c>
      <c r="G40">
        <v>1</v>
      </c>
      <c r="H40">
        <f>E40*F40*G40</f>
        <v>17773800</v>
      </c>
      <c r="K40">
        <f>L40-E40</f>
        <v>0</v>
      </c>
      <c r="L40">
        <v>66</v>
      </c>
    </row>
    <row r="41">
      <c r="A41">
        <v>8</v>
      </c>
      <c r="B41" t="str">
        <v>Tulangan besi beton U-39</v>
      </c>
      <c r="C41" t="str">
        <v>Besi beton dia 19</v>
      </c>
      <c r="D41" t="str">
        <v>kg</v>
      </c>
      <c r="E41">
        <f>'QTY-GTS'!N91</f>
        <v>1856.61</v>
      </c>
      <c r="F41">
        <f>SUMIF(SNI!C$1:C$65536,'RAB - GTS'!B$1:B$65536,SNI!L$1:L$65536)</f>
        <v>15500</v>
      </c>
      <c r="G41">
        <v>1</v>
      </c>
      <c r="H41">
        <f>E41*F41*G41</f>
        <v>28777455</v>
      </c>
      <c r="K41">
        <f>L41-E41</f>
        <v>0</v>
      </c>
      <c r="L41">
        <v>1856.61</v>
      </c>
    </row>
    <row r="42">
      <c r="A42">
        <v>9</v>
      </c>
      <c r="B42" t="str">
        <v>Tulangan besi beton U-39</v>
      </c>
      <c r="C42" t="str">
        <v>Besi beton dia 13</v>
      </c>
      <c r="D42" t="str">
        <v>kg</v>
      </c>
      <c r="E42">
        <f>'QTY-GTS'!N101</f>
        <v>755.4675200000001</v>
      </c>
      <c r="F42">
        <f>SUMIF(SNI!C$1:C$65536,'RAB - GTS'!B$1:B$65536,SNI!L$1:L$65536)</f>
        <v>15500</v>
      </c>
      <c r="G42">
        <v>1</v>
      </c>
      <c r="H42">
        <f>E42*F42*G42</f>
        <v>11709746.560000002</v>
      </c>
      <c r="K42">
        <f>L42-E42</f>
        <v>0</v>
      </c>
      <c r="L42">
        <v>755.4675200000001</v>
      </c>
    </row>
    <row r="43">
      <c r="A43">
        <v>0</v>
      </c>
      <c r="B43" t="str">
        <v>Tulangan besi beton U-24</v>
      </c>
      <c r="C43" t="str">
        <v>Besi beton 10</v>
      </c>
      <c r="D43" t="str">
        <v>kg</v>
      </c>
      <c r="E43">
        <f>'QTY-GTS'!N105</f>
        <v>135.52</v>
      </c>
      <c r="F43">
        <f>SUMIF(SNI!C$1:C$65536,'RAB - GTS'!B$1:B$65536,SNI!L$1:L$65536)</f>
        <v>12600</v>
      </c>
      <c r="G43">
        <v>1</v>
      </c>
      <c r="H43">
        <f>E43*F43*G43</f>
        <v>1707552.0000000002</v>
      </c>
      <c r="K43">
        <f>L43-E43</f>
        <v>0</v>
      </c>
      <c r="L43">
        <v>135.52</v>
      </c>
    </row>
    <row r="44">
      <c r="A44">
        <v>10</v>
      </c>
      <c r="B44" t="str">
        <v>Beton K - 250</v>
      </c>
      <c r="D44" t="str">
        <v>m3</v>
      </c>
      <c r="E44">
        <f>'QTY-GTS'!N78</f>
        <v>39.455999999999996</v>
      </c>
      <c r="F44">
        <f>SUMIF(SNI!C$1:C$65536,'RAB - GTS'!B$1:B$65536,SNI!L$1:L$65536)</f>
        <v>902900</v>
      </c>
      <c r="G44">
        <v>1</v>
      </c>
      <c r="H44">
        <f>E44*F44*G44</f>
        <v>35624822.4</v>
      </c>
      <c r="I44">
        <f>SUM(H39:H44)</f>
        <v>95911782.664</v>
      </c>
      <c r="K44">
        <f>L44-E44</f>
        <v>0</v>
      </c>
      <c r="L44">
        <v>39.455999999999996</v>
      </c>
    </row>
    <row r="45">
      <c r="A45">
        <v>12</v>
      </c>
      <c r="B45" t="str">
        <v>Bekisting sloof beton</v>
      </c>
      <c r="D45" t="str">
        <v>m2</v>
      </c>
      <c r="E45">
        <f>'QTY-GTS'!N155</f>
        <v>118.29999999999998</v>
      </c>
      <c r="F45">
        <f>SUMIF(SNI!C$1:C$65536,'RAB - GTS'!B$1:B$65536,SNI!L$1:L$65536)</f>
        <v>269300</v>
      </c>
      <c r="G45">
        <v>1</v>
      </c>
      <c r="H45">
        <f>E45*F45*G45</f>
        <v>31858189.999999996</v>
      </c>
      <c r="K45">
        <f>L45-E45</f>
        <v>0</v>
      </c>
      <c r="L45">
        <v>118.3</v>
      </c>
    </row>
    <row r="46">
      <c r="A46">
        <v>13</v>
      </c>
      <c r="B46" t="str">
        <v>Tulangan besi beton U-39</v>
      </c>
      <c r="C46" t="str">
        <v>Besi beton dia 16</v>
      </c>
      <c r="D46" t="str">
        <v>kg</v>
      </c>
      <c r="E46">
        <f>'QTY-GTS'!N147</f>
        <v>1832.208</v>
      </c>
      <c r="F46">
        <f>SUMIF(SNI!C$1:C$65536,'RAB - GTS'!B$1:B$65536,SNI!L$1:L$65536)</f>
        <v>15500</v>
      </c>
      <c r="G46">
        <v>1</v>
      </c>
      <c r="H46">
        <f>E46*F46*G46</f>
        <v>28399224</v>
      </c>
      <c r="K46">
        <f>L46-E46</f>
        <v>0</v>
      </c>
      <c r="L46">
        <v>1832.208</v>
      </c>
    </row>
    <row r="47">
      <c r="A47">
        <v>14</v>
      </c>
      <c r="B47" t="str">
        <v>Tulangan besi beton U-24</v>
      </c>
      <c r="C47" t="str">
        <v xml:space="preserve">Besi beton dia 10 </v>
      </c>
      <c r="D47" t="str">
        <v>kg</v>
      </c>
      <c r="E47">
        <f>'QTY-GTS'!N151</f>
        <v>826.0559999999999</v>
      </c>
      <c r="F47">
        <f>SUMIF(SNI!C$1:C$65536,'RAB - GTS'!B$1:B$65536,SNI!L$1:L$65536)</f>
        <v>12600</v>
      </c>
      <c r="G47">
        <v>1</v>
      </c>
      <c r="H47">
        <f>E47*F47*G47</f>
        <v>10408305.6</v>
      </c>
      <c r="K47">
        <f>L47-E47</f>
        <v>0</v>
      </c>
      <c r="L47">
        <v>826.0559999999999</v>
      </c>
    </row>
    <row r="48">
      <c r="A48">
        <v>15</v>
      </c>
      <c r="B48" t="str">
        <v>Beton K - 225</v>
      </c>
      <c r="D48" t="str">
        <v>m3</v>
      </c>
      <c r="E48">
        <f>'QTY-GTS'!N143</f>
        <v>21.125</v>
      </c>
      <c r="F48">
        <f>SUMIF(SNI!C$1:C$65536,'RAB - GTS'!B$1:B$65536,SNI!L$1:L$65536)</f>
        <v>887900</v>
      </c>
      <c r="G48">
        <v>1</v>
      </c>
      <c r="H48">
        <f>E48*F48*G48</f>
        <v>18756887.5</v>
      </c>
      <c r="I48">
        <f>SUM(H45:H48)</f>
        <v>89422607.1</v>
      </c>
      <c r="K48">
        <f>L48-E48</f>
        <v>0</v>
      </c>
      <c r="L48">
        <v>21.125</v>
      </c>
    </row>
    <row r="49">
      <c r="K49">
        <f>L49-E49</f>
        <v>0</v>
      </c>
    </row>
    <row r="50">
      <c r="H50" t="str">
        <v>Jumlah A.1 .... Rp</v>
      </c>
      <c r="I50">
        <f>SUM(H34:H48)</f>
        <v>304065796.734</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452300</v>
      </c>
      <c r="G55">
        <v>1</v>
      </c>
      <c r="H55">
        <f>E55*F55*G55</f>
        <v>60246359.99999999</v>
      </c>
      <c r="K55">
        <f>L55-E55</f>
        <v>0</v>
      </c>
      <c r="L55">
        <v>133.2</v>
      </c>
    </row>
    <row r="56">
      <c r="A56">
        <f>A55+1</f>
        <v>2</v>
      </c>
      <c r="B56" t="str">
        <v>Tulangan besi beton U-39</v>
      </c>
      <c r="C56" t="str">
        <v>Besi beton dia 16</v>
      </c>
      <c r="D56" t="str">
        <v>kg</v>
      </c>
      <c r="E56">
        <f>'QTY-GTS'!N165</f>
        <v>1121.76</v>
      </c>
      <c r="F56">
        <f>SUMIF(SNI!C$1:C$65536,'RAB - GTS'!B$1:B$65536,SNI!L$1:L$65536)</f>
        <v>15500</v>
      </c>
      <c r="G56">
        <v>1</v>
      </c>
      <c r="H56">
        <f>E56*F56*G56</f>
        <v>17387280</v>
      </c>
      <c r="K56">
        <f>L56-E56</f>
        <v>0</v>
      </c>
      <c r="L56">
        <v>1121.76</v>
      </c>
    </row>
    <row r="57">
      <c r="A57">
        <f>A56+1</f>
        <v>3</v>
      </c>
      <c r="B57" t="str">
        <v>Tulangan besi beton U-39</v>
      </c>
      <c r="C57" t="str">
        <v>Besi beton dia 13</v>
      </c>
      <c r="D57" t="str">
        <v>kg</v>
      </c>
      <c r="E57">
        <f>'QTY-GTS'!N169</f>
        <v>153.5616</v>
      </c>
      <c r="F57">
        <f>SUMIF(SNI!C$1:C$65536,'RAB - GTS'!B$1:B$65536,SNI!L$1:L$65536)</f>
        <v>15500</v>
      </c>
      <c r="G57">
        <v>1</v>
      </c>
      <c r="H57">
        <f>E57*F57*G57</f>
        <v>2380204.8</v>
      </c>
      <c r="K57">
        <f>L57-E57</f>
        <v>0</v>
      </c>
      <c r="L57">
        <v>153.5616</v>
      </c>
    </row>
    <row r="58">
      <c r="A58">
        <f>A57+1</f>
        <v>4</v>
      </c>
      <c r="B58" t="str">
        <v>Tulangan besi beton U-24</v>
      </c>
      <c r="C58" t="str">
        <v>Besi beton dia 10</v>
      </c>
      <c r="D58" t="str">
        <v>kg</v>
      </c>
      <c r="E58">
        <f>'QTY-GTS'!N174</f>
        <v>591.8527999999999</v>
      </c>
      <c r="F58">
        <f>SUMIF(SNI!C$1:C$65536,'RAB - GTS'!B$1:B$65536,SNI!L$1:L$65536)</f>
        <v>12600</v>
      </c>
      <c r="G58">
        <v>1</v>
      </c>
      <c r="H58">
        <f>E58*F58*G58</f>
        <v>7457345.279999998</v>
      </c>
      <c r="K58">
        <f>L58-E58</f>
        <v>0</v>
      </c>
      <c r="L58">
        <v>591.8527999999999</v>
      </c>
    </row>
    <row r="59">
      <c r="A59">
        <f>A58+1</f>
        <v>5</v>
      </c>
      <c r="B59" t="str">
        <v>Beton K - 250</v>
      </c>
      <c r="D59" t="str">
        <v>m3</v>
      </c>
      <c r="E59">
        <f>'QTY-GTS'!N163</f>
        <v>10.37</v>
      </c>
      <c r="F59">
        <f>SUMIF(SNI!C$1:C$65536,'RAB - GTS'!B$1:B$65536,SNI!L$1:L$65536)</f>
        <v>902900</v>
      </c>
      <c r="G59">
        <v>1</v>
      </c>
      <c r="H59">
        <f>E59*F59*G59</f>
        <v>9363073</v>
      </c>
      <c r="I59">
        <f>SUM(H55:H59)</f>
        <v>96834263.08</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475100</v>
      </c>
      <c r="G62">
        <v>1</v>
      </c>
      <c r="H62">
        <f>E62*F62*G62</f>
        <v>1852890.0000000002</v>
      </c>
      <c r="K62">
        <f>L62-E62</f>
        <v>0</v>
      </c>
      <c r="L62">
        <v>3.9</v>
      </c>
    </row>
    <row r="63">
      <c r="A63">
        <f>A62+1</f>
        <v>2</v>
      </c>
      <c r="B63" t="str">
        <v>Tulangan besi beton U-39</v>
      </c>
      <c r="C63" t="str">
        <v>Besi beton dia 13</v>
      </c>
      <c r="D63" t="str">
        <v>kg</v>
      </c>
      <c r="E63">
        <f>'QTY-GTS'!N224</f>
        <v>11.904</v>
      </c>
      <c r="F63">
        <f>SUMIF(SNI!C$1:C$65536,'RAB - GTS'!B$1:B$65536,SNI!L$1:L$65536)</f>
        <v>15500</v>
      </c>
      <c r="G63">
        <v>1</v>
      </c>
      <c r="H63">
        <f>E63*F63*G63</f>
        <v>184512</v>
      </c>
      <c r="K63">
        <f>L63-E63</f>
        <v>0</v>
      </c>
      <c r="L63">
        <v>11.904</v>
      </c>
    </row>
    <row r="64">
      <c r="A64">
        <f>A63+1</f>
        <v>3</v>
      </c>
      <c r="B64" t="str">
        <v>Tulangan besi beton U-24</v>
      </c>
      <c r="C64" t="str">
        <v>Besi beton dia 10</v>
      </c>
      <c r="D64" t="str">
        <v>kg</v>
      </c>
      <c r="E64">
        <f>'QTY-GTS'!N225</f>
        <v>18.48</v>
      </c>
      <c r="F64">
        <f>SUMIF(SNI!C$1:C$65536,'RAB - GTS'!B$1:B$65536,SNI!L$1:L$65536)</f>
        <v>12600</v>
      </c>
      <c r="G64">
        <v>1</v>
      </c>
      <c r="H64">
        <f>E64*F64*G64</f>
        <v>232848</v>
      </c>
      <c r="K64">
        <f>L64-E64</f>
        <v>0</v>
      </c>
      <c r="L64">
        <v>18.48</v>
      </c>
    </row>
    <row r="65">
      <c r="A65">
        <f>A64+1</f>
        <v>4</v>
      </c>
      <c r="B65" t="str">
        <v>Beton K - 250</v>
      </c>
      <c r="D65" t="str">
        <v>m3</v>
      </c>
      <c r="E65">
        <f>'QTY-GTS'!N223</f>
        <v>0.36000000000000004</v>
      </c>
      <c r="F65">
        <f>SUMIF(SNI!C$1:C$65536,'RAB - GTS'!B$1:B$65536,SNI!L$1:L$65536)</f>
        <v>902900</v>
      </c>
      <c r="G65">
        <v>1</v>
      </c>
      <c r="H65">
        <f>E65*F65*G65</f>
        <v>325044.00000000006</v>
      </c>
      <c r="I65">
        <f>SUM(H62:H65)</f>
        <v>2595294</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531500</v>
      </c>
      <c r="G68">
        <v>1</v>
      </c>
      <c r="H68">
        <f>E68*F68*G68</f>
        <v>12839711.25</v>
      </c>
      <c r="K68">
        <f>L68-E68</f>
        <v>0</v>
      </c>
      <c r="L68">
        <v>24.1575</v>
      </c>
    </row>
    <row r="69">
      <c r="A69">
        <f>A68+1</f>
        <v>2</v>
      </c>
      <c r="B69" t="str">
        <v>Tulangan besi beton U-39</v>
      </c>
      <c r="C69" t="str">
        <v>Besi beton dia 13</v>
      </c>
      <c r="D69" t="str">
        <v>kg</v>
      </c>
      <c r="E69">
        <f>'QTY-GTS'!N237</f>
        <v>202.66559999999998</v>
      </c>
      <c r="F69">
        <f>SUMIF(SNI!C$1:C$65536,'RAB - GTS'!B$1:B$65536,SNI!L$1:L$65536)</f>
        <v>15500</v>
      </c>
      <c r="G69">
        <v>1</v>
      </c>
      <c r="H69">
        <f>E69*F69*G69</f>
        <v>3141316.8</v>
      </c>
      <c r="K69">
        <f>L69-E69</f>
        <v>0</v>
      </c>
      <c r="L69">
        <v>202.66559999999998</v>
      </c>
    </row>
    <row r="70">
      <c r="A70">
        <f>A69+1</f>
        <v>3</v>
      </c>
      <c r="B70" t="str">
        <v>Tulangan besi beton U-24</v>
      </c>
      <c r="C70" t="str">
        <v>Besi beton dia 10</v>
      </c>
      <c r="D70" t="str">
        <v>kg</v>
      </c>
      <c r="E70">
        <f>'QTY-GTS'!N245</f>
        <v>186.13672</v>
      </c>
      <c r="F70">
        <f>SUMIF(SNI!C$1:C$65536,'RAB - GTS'!B$1:B$65536,SNI!L$1:L$65536)</f>
        <v>12600</v>
      </c>
      <c r="G70">
        <v>1</v>
      </c>
      <c r="H70">
        <f>E70*F70*G70</f>
        <v>2345322.672</v>
      </c>
      <c r="K70">
        <f>L70-E70</f>
        <v>0</v>
      </c>
      <c r="L70">
        <v>186.13672</v>
      </c>
    </row>
    <row r="71">
      <c r="A71">
        <f>A70+1</f>
        <v>4</v>
      </c>
      <c r="B71" t="str">
        <v>Beton K - 250</v>
      </c>
      <c r="D71" t="str">
        <v>m3</v>
      </c>
      <c r="E71">
        <f>'QTY-GTS'!N232</f>
        <v>3.857425</v>
      </c>
      <c r="F71">
        <f>SUMIF(SNI!C$1:C$65536,'RAB - GTS'!B$1:B$65536,SNI!L$1:L$65536)</f>
        <v>902900</v>
      </c>
      <c r="G71">
        <v>1</v>
      </c>
      <c r="H71">
        <f>E71*F71*G71</f>
        <v>3482869.0325</v>
      </c>
      <c r="I71">
        <f>SUM(H68:H71)</f>
        <v>21809219.754499998</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475100</v>
      </c>
      <c r="G74">
        <v>1</v>
      </c>
      <c r="H74">
        <f>E74*F74*G74</f>
        <v>94300223.5</v>
      </c>
      <c r="K74">
        <f>L74-E74</f>
        <v>0</v>
      </c>
      <c r="L74">
        <v>198.485</v>
      </c>
    </row>
    <row r="75">
      <c r="A75">
        <f>A74+1</f>
        <v>2</v>
      </c>
      <c r="B75" t="str">
        <v>Tulangan besi beton U-39</v>
      </c>
      <c r="C75" t="str">
        <v>Besi beton dia 19</v>
      </c>
      <c r="D75" t="str">
        <v>kg</v>
      </c>
      <c r="E75">
        <f>'QTY-GTS'!N282</f>
        <v>259.56</v>
      </c>
      <c r="F75">
        <f>SUMIF(SNI!C$1:C$65536,'RAB - GTS'!B$1:B$65536,SNI!L$1:L$65536)</f>
        <v>15500</v>
      </c>
      <c r="G75">
        <v>1</v>
      </c>
      <c r="H75">
        <f>E75*F75*G75</f>
        <v>4023180</v>
      </c>
      <c r="K75">
        <f>L75-E75</f>
        <v>0</v>
      </c>
      <c r="L75">
        <v>259.56</v>
      </c>
    </row>
    <row r="76">
      <c r="A76">
        <f>A75+1</f>
        <v>3</v>
      </c>
      <c r="B76" t="str">
        <v>Tulangan besi beton U-39</v>
      </c>
      <c r="C76" t="str">
        <v>Besi beton dia 16</v>
      </c>
      <c r="D76" t="str">
        <v>kg</v>
      </c>
      <c r="E76">
        <f>'QTY-GTS'!N302</f>
        <v>2604.09792</v>
      </c>
      <c r="F76">
        <f>SUMIF(SNI!C$1:C$65536,'RAB - GTS'!B$1:B$65536,SNI!L$1:L$65536)</f>
        <v>15500</v>
      </c>
      <c r="G76">
        <v>1</v>
      </c>
      <c r="H76">
        <f>E76*F76*G76</f>
        <v>40363517.760000005</v>
      </c>
      <c r="K76">
        <f>L76-E76</f>
        <v>0</v>
      </c>
      <c r="L76">
        <v>2604.09792</v>
      </c>
    </row>
    <row r="77">
      <c r="A77">
        <f>A76+1</f>
        <v>4</v>
      </c>
      <c r="B77" t="str">
        <v>Tulangan besi beton U-39</v>
      </c>
      <c r="C77" t="str">
        <v>Besi beton dia 13</v>
      </c>
      <c r="D77" t="str">
        <v>kg</v>
      </c>
      <c r="E77">
        <f>'QTY-GTS'!N308</f>
        <v>101.65960000000001</v>
      </c>
      <c r="F77">
        <f>SUMIF(SNI!C$1:C$65536,'RAB - GTS'!B$1:B$65536,SNI!L$1:L$65536)</f>
        <v>15500</v>
      </c>
      <c r="G77">
        <v>1</v>
      </c>
      <c r="H77">
        <f>E77*F77*G77</f>
        <v>1575723.8000000003</v>
      </c>
      <c r="K77">
        <f>L77-E77</f>
        <v>0</v>
      </c>
      <c r="L77">
        <v>101.65960000000001</v>
      </c>
    </row>
    <row r="78">
      <c r="A78">
        <f>A77+1</f>
        <v>5</v>
      </c>
      <c r="B78" t="str">
        <v>Tulangan besi beton U-24</v>
      </c>
      <c r="C78" t="str">
        <v>Besi beton dia 10</v>
      </c>
      <c r="D78" t="str">
        <v>kg</v>
      </c>
      <c r="E78">
        <f>'QTY-GTS'!N326</f>
        <v>1050.5264000000002</v>
      </c>
      <c r="F78">
        <f>SUMIF(SNI!C$1:C$65536,'RAB - GTS'!B$1:B$65536,SNI!L$1:L$65536)</f>
        <v>12600</v>
      </c>
      <c r="G78">
        <v>1</v>
      </c>
      <c r="H78">
        <f>E78*F78*G78</f>
        <v>13236632.640000002</v>
      </c>
      <c r="K78">
        <f>L78-E78</f>
        <v>0</v>
      </c>
      <c r="L78">
        <v>1050.5264000000002</v>
      </c>
    </row>
    <row r="79">
      <c r="A79">
        <f>A78+1</f>
        <v>6</v>
      </c>
      <c r="B79" t="str">
        <v>Beton K - 250</v>
      </c>
      <c r="D79" t="str">
        <v>m3</v>
      </c>
      <c r="E79">
        <f>'QTY-GTS'!N270</f>
        <v>26.400000000000002</v>
      </c>
      <c r="F79">
        <f>SUMIF(SNI!C$1:C$65536,'RAB - GTS'!B$1:B$65536,SNI!L$1:L$65536)</f>
        <v>902900</v>
      </c>
      <c r="G79">
        <v>1</v>
      </c>
      <c r="H79">
        <f>E79*F79*G79</f>
        <v>23836560.000000004</v>
      </c>
      <c r="I79">
        <f>SUM(H74:H79)</f>
        <v>177335837.70000002</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531500</v>
      </c>
      <c r="G82">
        <v>1</v>
      </c>
      <c r="H82">
        <f>E82*F82*G82</f>
        <v>7494150</v>
      </c>
      <c r="K82">
        <f>L82-E82</f>
        <v>0</v>
      </c>
      <c r="L82">
        <v>14.1</v>
      </c>
    </row>
    <row r="83">
      <c r="A83">
        <f>A82+1</f>
        <v>2</v>
      </c>
      <c r="B83" t="str">
        <v>Tulangan besi beton U-39</v>
      </c>
      <c r="C83" t="str">
        <v>Besi beton dia 13</v>
      </c>
      <c r="D83" t="str">
        <v>kg</v>
      </c>
      <c r="E83">
        <f>'QTY-GTS'!N216</f>
        <v>9334.124799999998</v>
      </c>
      <c r="F83">
        <f>SUMIF(SNI!C$1:C$65536,'RAB - GTS'!B$1:B$65536,SNI!L$1:L$65536)</f>
        <v>15500</v>
      </c>
      <c r="G83">
        <v>1</v>
      </c>
      <c r="H83">
        <f>E83*F83*G83</f>
        <v>144678934.39999998</v>
      </c>
      <c r="K83">
        <f>L83-E83</f>
        <v>0</v>
      </c>
      <c r="L83">
        <v>9334.124799999998</v>
      </c>
    </row>
    <row r="84">
      <c r="A84">
        <f>A83+1</f>
        <v>3</v>
      </c>
      <c r="B84" t="str">
        <v>Beton K - 250</v>
      </c>
      <c r="D84" t="str">
        <v>m3</v>
      </c>
      <c r="E84">
        <f>'QTY-GTS'!N208</f>
        <v>62.9625</v>
      </c>
      <c r="F84">
        <f>SUMIF(SNI!C$1:C$65536,'RAB - GTS'!B$1:B$65536,SNI!L$1:L$65536)</f>
        <v>902900</v>
      </c>
      <c r="G84">
        <v>1</v>
      </c>
      <c r="H84">
        <f>E84*F84*G84</f>
        <v>56848841.25</v>
      </c>
      <c r="I84">
        <f>SUM(H82:H84)</f>
        <v>209021925.64999998</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452300</v>
      </c>
      <c r="G88">
        <v>1.09</v>
      </c>
      <c r="H88">
        <f>E88*F88*G88</f>
        <v>64879721.2</v>
      </c>
      <c r="K88">
        <f>L88-E88</f>
        <v>0</v>
      </c>
      <c r="L88">
        <v>131.6</v>
      </c>
    </row>
    <row r="89">
      <c r="A89">
        <f>A88+1</f>
        <v>2</v>
      </c>
      <c r="B89" t="str">
        <v>Tulangan besi beton U-39</v>
      </c>
      <c r="C89" t="str">
        <v>Besi beton dia 16</v>
      </c>
      <c r="D89" t="str">
        <v>kg</v>
      </c>
      <c r="E89">
        <f>'QTY-GTS'!N351</f>
        <v>942.2784</v>
      </c>
      <c r="F89">
        <f>SUMIF(SNI!C$1:C$65536,'RAB - GTS'!B$1:B$65536,SNI!L$1:L$65536)</f>
        <v>15500</v>
      </c>
      <c r="G89">
        <v>1.09</v>
      </c>
      <c r="H89">
        <f>E89*F89*G89</f>
        <v>15919793.568000002</v>
      </c>
      <c r="K89">
        <f>L89-E89</f>
        <v>0</v>
      </c>
      <c r="L89">
        <v>942.2784</v>
      </c>
    </row>
    <row r="90">
      <c r="A90">
        <f>A89+1</f>
        <v>3</v>
      </c>
      <c r="B90" t="str">
        <v>Tulangan besi beton U-39</v>
      </c>
      <c r="C90" t="str">
        <v>Besi beton dia 13</v>
      </c>
      <c r="D90" t="str">
        <v>kg</v>
      </c>
      <c r="E90">
        <f>'QTY-GTS'!N352</f>
        <v>144.832</v>
      </c>
      <c r="F90">
        <f>SUMIF(SNI!C$1:C$65536,'RAB - GTS'!B$1:B$65536,SNI!L$1:L$65536)</f>
        <v>15500</v>
      </c>
      <c r="G90">
        <v>1.09</v>
      </c>
      <c r="H90">
        <f>E90*F90*G90</f>
        <v>2446936.64</v>
      </c>
      <c r="K90">
        <f>L90-E90</f>
        <v>0</v>
      </c>
      <c r="L90">
        <v>144.832</v>
      </c>
    </row>
    <row r="91">
      <c r="A91">
        <f>A90+1</f>
        <v>4</v>
      </c>
      <c r="B91" t="str">
        <v>Tulangan besi beton U-24</v>
      </c>
      <c r="C91" t="str">
        <v>Besi beton dia 10</v>
      </c>
      <c r="D91" t="str">
        <v>kg</v>
      </c>
      <c r="E91">
        <f>'QTY-GTS'!N356</f>
        <v>678.9551999999999</v>
      </c>
      <c r="F91">
        <f>SUMIF(SNI!C$1:C$65536,'RAB - GTS'!B$1:B$65536,SNI!L$1:L$65536)</f>
        <v>12600</v>
      </c>
      <c r="G91">
        <v>1.09</v>
      </c>
      <c r="H91">
        <f>E91*F91*G91</f>
        <v>9324770.716799999</v>
      </c>
      <c r="K91">
        <f>L91-E91</f>
        <v>0</v>
      </c>
      <c r="L91">
        <v>678.9551999999999</v>
      </c>
    </row>
    <row r="92">
      <c r="A92">
        <f>A91+1</f>
        <v>5</v>
      </c>
      <c r="B92" t="str">
        <v>Beton K - 250</v>
      </c>
      <c r="D92" t="str">
        <v>m3</v>
      </c>
      <c r="E92">
        <f>'QTY-GTS'!N349</f>
        <v>11.2</v>
      </c>
      <c r="F92">
        <f>SUMIF(SNI!C$1:C$65536,'RAB - GTS'!B$1:B$65536,SNI!L$1:L$65536)</f>
        <v>902900</v>
      </c>
      <c r="G92">
        <v>1.09</v>
      </c>
      <c r="H92">
        <f>E92*F92*G92</f>
        <v>11022603.200000001</v>
      </c>
      <c r="I92">
        <f>SUM(H88:H92)</f>
        <v>103593825.32480001</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902900</v>
      </c>
      <c r="G95">
        <v>1.09</v>
      </c>
      <c r="H95">
        <f>E95*F95*G95</f>
        <v>11618205.135187503</v>
      </c>
      <c r="K95">
        <f>L95-E95</f>
        <v>0</v>
      </c>
      <c r="L95">
        <v>11.8051875</v>
      </c>
    </row>
    <row r="96">
      <c r="A96">
        <f>A95+1</f>
        <v>2</v>
      </c>
      <c r="B96" t="str">
        <v>Tulangan besi beton U-39</v>
      </c>
      <c r="C96" t="str">
        <v>Besi beton dia 16</v>
      </c>
      <c r="D96" t="str">
        <v>kg</v>
      </c>
      <c r="E96">
        <f>'QTY-GTS'!N440</f>
        <v>1101.1944</v>
      </c>
      <c r="F96">
        <f>SUMIF(SNI!C$1:C$65536,'RAB - GTS'!B$1:B$65536,SNI!L$1:L$65536)</f>
        <v>15500</v>
      </c>
      <c r="G96">
        <v>1.09</v>
      </c>
      <c r="H96">
        <f>E96*F96*G96</f>
        <v>18604679.388000004</v>
      </c>
      <c r="K96">
        <f>L96-E96</f>
        <v>0</v>
      </c>
      <c r="L96">
        <v>1101.1944</v>
      </c>
    </row>
    <row r="97">
      <c r="A97">
        <f>A96+1</f>
        <v>3</v>
      </c>
      <c r="B97" t="str">
        <v>Tulangan besi beton U-39</v>
      </c>
      <c r="C97" t="str">
        <v>Besi beton dia 13</v>
      </c>
      <c r="D97" t="str">
        <v>kg</v>
      </c>
      <c r="E97">
        <f>'QTY-GTS'!N459</f>
        <v>257.5232</v>
      </c>
      <c r="F97">
        <f>SUMIF(SNI!C$1:C$65536,'RAB - GTS'!B$1:B$65536,SNI!L$1:L$65536)</f>
        <v>15500</v>
      </c>
      <c r="G97">
        <v>1.09</v>
      </c>
      <c r="H97">
        <f>E97*F97*G97</f>
        <v>4350854.464</v>
      </c>
      <c r="K97">
        <f>L97-E97</f>
        <v>0</v>
      </c>
      <c r="L97">
        <v>257.5232</v>
      </c>
    </row>
    <row r="98">
      <c r="A98">
        <f>A97+1</f>
        <v>4</v>
      </c>
      <c r="B98" t="str">
        <v>Tulangan besi beton U-24</v>
      </c>
      <c r="C98" t="str">
        <v>Besi beton dia 10</v>
      </c>
      <c r="D98" t="str">
        <v>kg</v>
      </c>
      <c r="E98">
        <f>'QTY-GTS'!N480</f>
        <v>665.28</v>
      </c>
      <c r="F98">
        <f>SUMIF(SNI!C$1:C$65536,'RAB - GTS'!B$1:B$65536,SNI!L$1:L$65536)</f>
        <v>12600</v>
      </c>
      <c r="G98">
        <v>1.09</v>
      </c>
      <c r="H98">
        <f>E98*F98*G98</f>
        <v>9136955.520000001</v>
      </c>
      <c r="K98">
        <f>L98-E98</f>
        <v>0</v>
      </c>
      <c r="L98">
        <v>665.28</v>
      </c>
    </row>
    <row r="99">
      <c r="A99">
        <f>A98+1</f>
        <v>5</v>
      </c>
      <c r="B99" t="str">
        <v>Bekisting Praktis beton</v>
      </c>
      <c r="D99" t="str">
        <v>m2</v>
      </c>
      <c r="E99">
        <f>'QTY-GTS'!N501</f>
        <v>148.3625</v>
      </c>
      <c r="F99">
        <f>SUMIF(SNI!C$1:C$65536,'RAB - GTS'!B$1:B$65536,SNI!L$1:L$65536)</f>
        <v>46600</v>
      </c>
      <c r="G99">
        <v>1.09</v>
      </c>
      <c r="H99">
        <f>E99*F99*G99</f>
        <v>7535924.825000001</v>
      </c>
      <c r="I99">
        <f>SUM(H95:H99)</f>
        <v>51246619.33218751</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902900</v>
      </c>
      <c r="G102">
        <v>1.09</v>
      </c>
      <c r="H102">
        <f>E102*F102*G102</f>
        <v>51027763.688999996</v>
      </c>
      <c r="K102">
        <f>L102-E102</f>
        <v>0</v>
      </c>
      <c r="L102">
        <v>51.849</v>
      </c>
    </row>
    <row r="103">
      <c r="A103">
        <f>A102+1</f>
        <v>2</v>
      </c>
      <c r="B103" t="str">
        <v>Tulangan besi beton U-24</v>
      </c>
      <c r="C103" t="str">
        <v>Besi beton dia 10</v>
      </c>
      <c r="D103" t="str">
        <v>kg</v>
      </c>
      <c r="E103">
        <f>'QTY-GTS'!N394</f>
        <v>4666.41</v>
      </c>
      <c r="F103">
        <f>SUMIF(SNI!C$1:C$65536,'RAB - GTS'!B$1:B$65536,SNI!L$1:L$65536)</f>
        <v>12600</v>
      </c>
      <c r="G103">
        <v>1.09</v>
      </c>
      <c r="H103">
        <f>E103*F103*G103</f>
        <v>64088474.940000005</v>
      </c>
      <c r="K103">
        <f>L103-E103</f>
        <v>0</v>
      </c>
      <c r="L103">
        <v>4666.41</v>
      </c>
    </row>
    <row r="104">
      <c r="A104">
        <f>A103+1</f>
        <v>3</v>
      </c>
      <c r="B104" t="str">
        <v>Bekisting beton plat lantai</v>
      </c>
      <c r="D104" t="str">
        <v>m2</v>
      </c>
      <c r="E104">
        <f>'QTY-GTS'!N403</f>
        <v>343.9975</v>
      </c>
      <c r="F104">
        <f>SUMIF(SNI!C$1:C$65536,'RAB - GTS'!B$1:B$65536,SNI!L$1:L$65536)</f>
        <v>531500</v>
      </c>
      <c r="G104">
        <v>1.09</v>
      </c>
      <c r="H104">
        <f>E104*F104*G104</f>
        <v>199289791.66250002</v>
      </c>
      <c r="I104">
        <f>SUM(H102:H104)</f>
        <v>314406030.29150003</v>
      </c>
      <c r="K104">
        <f>L104-E104</f>
        <v>0</v>
      </c>
      <c r="L104">
        <v>343.9975</v>
      </c>
    </row>
    <row r="105">
      <c r="K105">
        <f>L105-E105</f>
        <v>0</v>
      </c>
    </row>
    <row r="106">
      <c r="K106">
        <f>L106-E106</f>
        <v>0</v>
      </c>
    </row>
    <row r="107">
      <c r="H107" t="str">
        <v>Jumlah A.2 .... Rp</v>
      </c>
      <c r="I107">
        <f>SUM(H54:H104)</f>
        <v>976843015.1329876</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180500</v>
      </c>
      <c r="G112">
        <v>1</v>
      </c>
      <c r="H112">
        <f>E112*F112*G112</f>
        <v>7919437.5</v>
      </c>
    </row>
    <row r="113">
      <c r="A113">
        <v>2</v>
      </c>
      <c r="B113" t="str">
        <v>Pas. Lantai kerja beton tumbuk 1:3:5</v>
      </c>
      <c r="C113" t="str">
        <v>t. 5 cm; Lantai bangunan</v>
      </c>
      <c r="D113" t="str">
        <v>m3</v>
      </c>
      <c r="E113">
        <v>21.9375</v>
      </c>
      <c r="F113">
        <f>SUMIF(SNI!C$1:C$65536,'RAB - GTS'!B$1:B$65536,SNI!L$1:L$65536)</f>
        <v>53900</v>
      </c>
      <c r="G113">
        <v>1</v>
      </c>
      <c r="H113">
        <f>E113*F113*G113</f>
        <v>1182431.25</v>
      </c>
    </row>
    <row r="114">
      <c r="A114">
        <v>3</v>
      </c>
      <c r="B114" t="str">
        <v>Pas. Lantai Granit tile 400x400</v>
      </c>
      <c r="C114" t="str">
        <v>ex Granito; lantai Toilet</v>
      </c>
      <c r="D114" t="str">
        <v>m2</v>
      </c>
      <c r="E114">
        <f>'QTY-GTS'!N639</f>
        <v>17</v>
      </c>
      <c r="F114">
        <f>SUMIF(SNI!C$1:C$65536,'RAB - GTS'!B$1:B$65536,SNI!L$1:L$65536)</f>
        <v>467500</v>
      </c>
      <c r="G114">
        <v>1</v>
      </c>
      <c r="H114">
        <f>E114*F114*G114</f>
        <v>7947500</v>
      </c>
    </row>
    <row r="115">
      <c r="A115">
        <v>4</v>
      </c>
      <c r="B115" t="str">
        <v>Pas. Lantai Granit tile 400x400</v>
      </c>
      <c r="C115" t="str">
        <v>ex Granito</v>
      </c>
      <c r="D115" t="str">
        <v>m2</v>
      </c>
      <c r="E115">
        <f>'QTY-GTS'!N646</f>
        <v>470.71</v>
      </c>
      <c r="F115">
        <f>SUMIF(SNI!C$1:C$65536,'RAB - GTS'!B$1:B$65536,SNI!L$1:L$65536)</f>
        <v>467500</v>
      </c>
      <c r="G115">
        <v>1</v>
      </c>
      <c r="H115">
        <f>E115*F115*G115</f>
        <v>220056925</v>
      </c>
    </row>
    <row r="116">
      <c r="A116">
        <v>5</v>
      </c>
      <c r="B116" t="str">
        <v>Pas. Lantai Granit tile 400x400</v>
      </c>
      <c r="C116" t="str">
        <v>ex Granito; lantai tangga</v>
      </c>
      <c r="D116" t="str">
        <v>m2</v>
      </c>
      <c r="E116">
        <f>'QTY-GTS'!N704</f>
        <v>26.61</v>
      </c>
      <c r="F116">
        <f>SUMIF(SNI!C$1:C$65536,'RAB - GTS'!B$1:B$65536,SNI!L$1:L$65536)</f>
        <v>467500</v>
      </c>
      <c r="G116">
        <v>1</v>
      </c>
      <c r="H116">
        <f>E116*F116*G116</f>
        <v>12440175</v>
      </c>
      <c r="I116">
        <f>SUM(H112:H116)</f>
        <v>249546468.75</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467500</v>
      </c>
      <c r="G118">
        <v>1.09</v>
      </c>
      <c r="H118">
        <f>E118*F118*G118</f>
        <v>9401658.750000002</v>
      </c>
    </row>
    <row r="119">
      <c r="A119">
        <f>A118+1</f>
        <v>2</v>
      </c>
      <c r="B119" t="str">
        <v>Pas. Lantai Granit Tile 400x400</v>
      </c>
      <c r="C119" t="str">
        <v>ex Granito</v>
      </c>
      <c r="D119" t="str">
        <v>m2</v>
      </c>
      <c r="E119">
        <f>'QTY-GTS'!N864</f>
        <v>350.55</v>
      </c>
      <c r="F119">
        <f>SUMIF(SNI!C$1:C$65536,'RAB - GTS'!B$1:B$65536,SNI!L$1:L$65536)</f>
        <v>467500</v>
      </c>
      <c r="G119">
        <v>1.09</v>
      </c>
      <c r="H119">
        <f>E119*F119*G119</f>
        <v>178631516.25</v>
      </c>
    </row>
    <row r="120">
      <c r="A120">
        <f>A119+1</f>
        <v>3</v>
      </c>
      <c r="B120" t="str">
        <v>Pas. Plint Granitetile 100x400</v>
      </c>
      <c r="C120" t="str">
        <v>ex Granito</v>
      </c>
      <c r="D120" t="str">
        <v>m2</v>
      </c>
      <c r="E120">
        <f>'QTY-GTS'!N895</f>
        <v>272.1</v>
      </c>
      <c r="F120">
        <f>SUMIF(SNI!C$1:C$65536,'RAB - GTS'!B$1:B$65536,SNI!L$1:L$65536)</f>
        <v>77300</v>
      </c>
      <c r="G120">
        <v>1.09</v>
      </c>
      <c r="H120">
        <f>E120*F120*G120</f>
        <v>22926329.700000003</v>
      </c>
      <c r="I120">
        <f>SUM(H118:H120)</f>
        <v>210959504.7</v>
      </c>
    </row>
    <row r="121">
      <c r="H121" t="str">
        <v>Jumlah B.1 .... Rp</v>
      </c>
      <c r="I121">
        <f>SUM(H112:H120)</f>
        <v>460505973.45</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261300</v>
      </c>
      <c r="G124">
        <v>1</v>
      </c>
      <c r="H124">
        <f>E124*F124*G124</f>
        <v>9132435</v>
      </c>
    </row>
    <row r="125">
      <c r="A125">
        <f>A124+1</f>
        <v>2</v>
      </c>
      <c r="B125" t="str">
        <v>Pas. Dinding bata beton ringan; ad 1:4</v>
      </c>
      <c r="C125" t="str">
        <v>Bata beton ringan ex Celcon</v>
      </c>
      <c r="D125" t="str">
        <v>m2</v>
      </c>
      <c r="E125">
        <f>'QTY-GTS'!N562</f>
        <v>455.43699999999995</v>
      </c>
      <c r="F125">
        <f>SUMIF(SNI!C$1:C$65536,'RAB - GTS'!B$1:B$65536,SNI!L$1:L$65536)</f>
        <v>262400</v>
      </c>
      <c r="G125">
        <v>1</v>
      </c>
      <c r="H125">
        <f>E125*F125*G125</f>
        <v>119506668.79999998</v>
      </c>
    </row>
    <row r="126">
      <c r="A126">
        <f>A125+1</f>
        <v>3</v>
      </c>
      <c r="B126" t="str">
        <v>Pas. Plester acian; ad. 1:4</v>
      </c>
      <c r="C126" t="str">
        <v>t. 15 mm; Penebalan dinding</v>
      </c>
      <c r="D126" t="str">
        <v>m2</v>
      </c>
      <c r="E126">
        <f>'QTY-GTS'!N577</f>
        <v>63.72</v>
      </c>
      <c r="F126">
        <f>SUMIF(SNI!C$1:C$65536,'RAB - GTS'!B$1:B$65536,SNI!L$1:L$65536)</f>
        <v>37500</v>
      </c>
      <c r="G126">
        <v>1</v>
      </c>
      <c r="H126">
        <f>E126*F126*G126</f>
        <v>2389500</v>
      </c>
    </row>
    <row r="127">
      <c r="A127">
        <f>A126+1</f>
        <v>4</v>
      </c>
      <c r="B127" t="str">
        <v>Pas. Plester acian; ad. 1:4</v>
      </c>
      <c r="C127" t="str">
        <v>t. 15 mm; Interior</v>
      </c>
      <c r="D127" t="str">
        <v>m2</v>
      </c>
      <c r="E127">
        <f>'QTY-GTS'!N590</f>
        <v>870.3739999999999</v>
      </c>
      <c r="F127">
        <f>SUMIF(SNI!C$1:C$65536,'RAB - GTS'!B$1:B$65536,SNI!L$1:L$65536)</f>
        <v>37500</v>
      </c>
      <c r="G127">
        <v>1</v>
      </c>
      <c r="H127">
        <f>E127*F127*G127</f>
        <v>32639024.999999996</v>
      </c>
    </row>
    <row r="128">
      <c r="A128">
        <f>A127+1</f>
        <v>5</v>
      </c>
      <c r="B128" t="str">
        <f>SNI!C332</f>
        <v>Pas. Dinding Keramik 300x300</v>
      </c>
      <c r="D128" t="str">
        <v>m</v>
      </c>
      <c r="E128">
        <f>'QTY-GTS'!N599</f>
        <v>16</v>
      </c>
      <c r="F128">
        <f>SUMIF(SNI!C$1:C$65536,'RAB - GTS'!B$1:B$65536,SNI!L$1:L$65536)</f>
        <v>174500</v>
      </c>
      <c r="G128">
        <v>1</v>
      </c>
      <c r="H128">
        <f>E128*F128*G128</f>
        <v>2792000</v>
      </c>
    </row>
    <row r="129">
      <c r="A129">
        <f>A128+1</f>
        <v>6</v>
      </c>
      <c r="B129" t="str">
        <v>Pas. Dinding Granit Tile 400 x 400</v>
      </c>
      <c r="C129" t="str">
        <v>ex Granito</v>
      </c>
      <c r="D129" t="str">
        <v>m2</v>
      </c>
      <c r="E129">
        <f>'QTY-GTS'!N596</f>
        <v>50.10000000000001</v>
      </c>
      <c r="F129">
        <f>SUMIF(SNI!C$1:C$65536,'RAB - GTS'!B$1:B$65536,SNI!L$1:L$65536)</f>
        <v>522000</v>
      </c>
      <c r="G129">
        <v>1</v>
      </c>
      <c r="H129">
        <f>E129*F129*G129</f>
        <v>26152200.000000004</v>
      </c>
    </row>
    <row r="130">
      <c r="A130">
        <f>A129+1</f>
        <v>7</v>
      </c>
      <c r="B130" t="str">
        <v>Pas. Dinding partisi gypsumboard Rangka Kayu</v>
      </c>
      <c r="D130" t="str">
        <v>m2</v>
      </c>
      <c r="E130">
        <f>'QTY-GTS'!N616</f>
        <v>66</v>
      </c>
      <c r="F130">
        <f>SUMIF(SNI!C$1:C$65536,'RAB - GTS'!B$1:B$65536,SNI!L$1:L$65536)</f>
        <v>304400</v>
      </c>
      <c r="G130">
        <v>1</v>
      </c>
      <c r="H130">
        <f>E130*F130*G130</f>
        <v>20090400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5281600</v>
      </c>
      <c r="G132">
        <v>1.09</v>
      </c>
      <c r="H132">
        <f>E132*F132*G132</f>
        <v>286926088.96</v>
      </c>
    </row>
    <row r="133">
      <c r="A133">
        <f>A132+1</f>
        <v>2</v>
      </c>
      <c r="B133" t="str">
        <v>Pas. Dinding batu bata; ad 1:4</v>
      </c>
      <c r="C133" t="str">
        <v>Batu bata merah</v>
      </c>
      <c r="D133" t="str">
        <v>m2</v>
      </c>
      <c r="E133">
        <f>'QTY-GTS'!N780</f>
        <v>666.124</v>
      </c>
      <c r="F133">
        <f>SUMIF(SNI!C$1:C$65536,'RAB - GTS'!B$1:B$65536,SNI!L$1:L$65536)</f>
        <v>5272700</v>
      </c>
      <c r="G133">
        <v>1.09</v>
      </c>
      <c r="H133">
        <f>E133*F133*G133</f>
        <v>3828376496.1320004</v>
      </c>
    </row>
    <row r="134">
      <c r="A134">
        <f>A133+1</f>
        <v>3</v>
      </c>
      <c r="B134" t="str">
        <v>Pas. Plester acian; ad. 1:4</v>
      </c>
      <c r="C134" t="str">
        <v>t. 15 mm; Penebalan dinding</v>
      </c>
      <c r="D134" t="str">
        <v>m2</v>
      </c>
      <c r="E134">
        <f>'QTY-GTS'!N792</f>
        <v>61.370000000000005</v>
      </c>
      <c r="F134">
        <f>SUMIF(SNI!C$1:C$65536,'RAB - GTS'!B$1:B$65536,SNI!L$1:L$65536)</f>
        <v>37500</v>
      </c>
      <c r="G134">
        <v>1.09</v>
      </c>
      <c r="H134">
        <f>E134*F134*G134</f>
        <v>2508498.75</v>
      </c>
    </row>
    <row r="135">
      <c r="A135">
        <f>A134+1</f>
        <v>4</v>
      </c>
      <c r="B135" t="str">
        <v>Pas. Plester acian; ad. 1:4</v>
      </c>
      <c r="C135" t="str">
        <v>t. 15 mm; Interior</v>
      </c>
      <c r="D135" t="str">
        <v>m2</v>
      </c>
      <c r="E135">
        <f>'QTY-GTS'!N803</f>
        <v>1246.548</v>
      </c>
      <c r="F135">
        <f>SUMIF(SNI!C$1:C$65536,'RAB - GTS'!B$1:B$65536,SNI!L$1:L$65536)</f>
        <v>37500</v>
      </c>
      <c r="G135">
        <v>1.09</v>
      </c>
      <c r="H135">
        <f>E135*F135*G135</f>
        <v>50952649.50000001</v>
      </c>
    </row>
    <row r="136">
      <c r="A136">
        <f>A135+1</f>
        <v>5</v>
      </c>
      <c r="B136" t="str">
        <f>SNI!C332</f>
        <v>Pas. Dinding Keramik 300x300</v>
      </c>
      <c r="D136" t="str">
        <v>m</v>
      </c>
      <c r="E136">
        <f>'QTY-GTS'!N815</f>
        <v>29</v>
      </c>
      <c r="F136">
        <f>SUMIF(SNI!C$1:C$65536,'RAB - GTS'!B$1:B$65536,SNI!L$1:L$65536)</f>
        <v>174500</v>
      </c>
      <c r="G136">
        <v>1.09</v>
      </c>
      <c r="H136">
        <f>E136*F136*G136</f>
        <v>5515945</v>
      </c>
    </row>
    <row r="137">
      <c r="A137">
        <f>A136+1</f>
        <v>6</v>
      </c>
      <c r="B137" t="str">
        <v>Pas. Dinding Granit Tile 400 x 400</v>
      </c>
      <c r="C137" t="str">
        <v>ex Granito</v>
      </c>
      <c r="D137" t="str">
        <v>m2</v>
      </c>
      <c r="E137">
        <f>'QTY-GTS'!N810</f>
        <v>56.699999999999996</v>
      </c>
      <c r="F137">
        <f>SUMIF(SNI!C$1:C$65536,'RAB - GTS'!B$1:B$65536,SNI!L$1:L$65536)</f>
        <v>522000</v>
      </c>
      <c r="G137">
        <v>1.09</v>
      </c>
      <c r="H137">
        <f>E137*F137*G137</f>
        <v>32261166</v>
      </c>
    </row>
    <row r="138">
      <c r="A138">
        <f>A137+1</f>
        <v>7</v>
      </c>
      <c r="B138" t="str">
        <v>Pas. Dinding partisi gypsumboard Rangka Metal Furing</v>
      </c>
      <c r="D138" t="str">
        <v>m2</v>
      </c>
      <c r="E138">
        <f>'QTY-GTS'!N784</f>
        <v>62.9</v>
      </c>
      <c r="F138">
        <f>SUMIF(SNI!C$1:C$65536,'RAB - GTS'!B$1:B$65536,SNI!L$1:L$65536)</f>
        <v>207700</v>
      </c>
      <c r="G138">
        <v>1.09</v>
      </c>
      <c r="H138">
        <f>E138*F138*G138</f>
        <v>14240119.700000001</v>
      </c>
    </row>
    <row r="139">
      <c r="H139" t="str">
        <v>Jumlah B.2 .... Rp</v>
      </c>
      <c r="I139">
        <f>SUM(H124:H138)</f>
        <v>4433483192.842</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87200</v>
      </c>
      <c r="G142">
        <v>1</v>
      </c>
      <c r="H142">
        <f>E142*F142*G142</f>
        <v>29900879.999999996</v>
      </c>
    </row>
    <row r="143">
      <c r="A143">
        <v>2</v>
      </c>
      <c r="B143" t="str">
        <v>Pas. Penutup Plafond Gypsumboard t. 9 mm</v>
      </c>
      <c r="C143" t="str">
        <v>ex Jayaboard</v>
      </c>
      <c r="D143" t="str">
        <v>m2</v>
      </c>
      <c r="E143">
        <f>E142</f>
        <v>342.9</v>
      </c>
      <c r="F143">
        <f>SUMIF(SNI!C$1:C$65536,'RAB - GTS'!B$1:B$65536,SNI!L$1:L$65536)</f>
        <v>31700</v>
      </c>
      <c r="G143">
        <v>1</v>
      </c>
      <c r="H143">
        <f>E143*F143*G143</f>
        <v>10869930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87200</v>
      </c>
      <c r="G145">
        <v>1.09</v>
      </c>
      <c r="H145">
        <f>E145*F145*G145</f>
        <v>46478472</v>
      </c>
    </row>
    <row r="146">
      <c r="A146">
        <f>A145+1</f>
        <v>2</v>
      </c>
      <c r="B146" t="str">
        <v>Pas. Penutup Plafond Gypsumboard t. 9 mm</v>
      </c>
      <c r="C146" t="str">
        <v>ex Jayaboard</v>
      </c>
      <c r="D146" t="str">
        <v>m2</v>
      </c>
      <c r="E146">
        <f>E145</f>
        <v>489</v>
      </c>
      <c r="F146">
        <f>SUMIF(SNI!C$1:C$65536,'RAB - GTS'!B$1:B$65536,SNI!L$1:L$65536)</f>
        <v>31700</v>
      </c>
      <c r="G146">
        <v>1.09</v>
      </c>
      <c r="H146">
        <f>E146*F146*G146</f>
        <v>16896417</v>
      </c>
    </row>
    <row r="147">
      <c r="H147" t="str">
        <v>Jumlah B.3 .... Rp</v>
      </c>
      <c r="I147">
        <f>SUM(H142:H146)</f>
        <v>104145699</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151800</v>
      </c>
      <c r="G149">
        <v>1.09</v>
      </c>
      <c r="H149">
        <f>E149*F149*G149</f>
        <v>100431297.45</v>
      </c>
    </row>
    <row r="150">
      <c r="A150">
        <f>A149+1</f>
        <v>2</v>
      </c>
      <c r="B150" t="str">
        <v>Penutup atap Genteng Keramik Glazur</v>
      </c>
      <c r="C150" t="str">
        <v>ex Kanmuri</v>
      </c>
      <c r="D150" t="str">
        <v>m2</v>
      </c>
      <c r="E150">
        <f>'QTY-GTS'!N929</f>
        <v>606.975</v>
      </c>
      <c r="F150">
        <f>SUMIF(SNI!C$1:C$65536,'RAB - GTS'!B$1:B$65536,SNI!L$1:L$65536)</f>
        <v>104600</v>
      </c>
      <c r="G150">
        <v>1.09</v>
      </c>
      <c r="H150">
        <f>E150*F150*G150</f>
        <v>69203647.65</v>
      </c>
    </row>
    <row r="151">
      <c r="A151">
        <f>A150+1</f>
        <v>3</v>
      </c>
      <c r="B151" t="str">
        <v>Bubungan Genteng Keramik Glazur</v>
      </c>
      <c r="C151" t="str">
        <v>ex Kanmuri</v>
      </c>
      <c r="D151" t="str">
        <v>m</v>
      </c>
      <c r="E151">
        <f>'QTY-GTS'!N942</f>
        <v>112</v>
      </c>
      <c r="F151">
        <f>SUMIF(SNI!C$1:C$65536,'RAB - GTS'!B$1:B$65536,SNI!L$1:L$65536)</f>
        <v>95200</v>
      </c>
      <c r="G151">
        <v>1.09</v>
      </c>
      <c r="H151">
        <f>E151*F151*G151</f>
        <v>11622016</v>
      </c>
    </row>
    <row r="152">
      <c r="A152">
        <f>A151+1</f>
        <v>4</v>
      </c>
      <c r="B152" t="str">
        <v>Pas. Talang seng plat</v>
      </c>
      <c r="C152" t="str">
        <v>Seng bjls 35</v>
      </c>
      <c r="D152" t="str">
        <v>m</v>
      </c>
      <c r="E152">
        <f>'QTY-GTS'!N933</f>
        <v>46</v>
      </c>
      <c r="F152">
        <f>SUMIF(SNI!C$1:C$65536,'RAB - GTS'!B$1:B$65536,SNI!L$1:L$65536)</f>
        <v>109900</v>
      </c>
      <c r="G152">
        <v>1.09</v>
      </c>
      <c r="H152">
        <f>E152*F152*G152</f>
        <v>5510386</v>
      </c>
    </row>
    <row r="153">
      <c r="A153">
        <f>A152+1</f>
        <v>5</v>
      </c>
      <c r="B153" t="str">
        <v>Pas. Lisplank Kayu 3/20 mm</v>
      </c>
      <c r="C153" t="str">
        <v>Kayu kamper medan</v>
      </c>
      <c r="D153" t="str">
        <v>m</v>
      </c>
      <c r="E153">
        <f>'QTY-GTS'!N951</f>
        <v>123.5</v>
      </c>
      <c r="F153">
        <f>SUMIF(SNI!C$1:C$65536,'RAB - GTS'!B$1:B$65536,SNI!L$1:L$65536)</f>
        <v>101400</v>
      </c>
      <c r="G153">
        <v>1.09</v>
      </c>
      <c r="H153">
        <f>E153*F153*G153</f>
        <v>13649961.000000002</v>
      </c>
      <c r="I153">
        <f>SUM(H149:H153)</f>
        <v>200417308.10000002</v>
      </c>
    </row>
    <row r="154">
      <c r="H154" t="str">
        <v>Jumlah B.4 .... Rp</v>
      </c>
      <c r="I154">
        <f>SUM(H149:H153)</f>
        <v>200417308.10000002</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2808200</v>
      </c>
      <c r="G157">
        <v>1</v>
      </c>
      <c r="H157">
        <f>E157*F157*G157</f>
        <v>25273800</v>
      </c>
    </row>
    <row r="158">
      <c r="A158">
        <f>A157+1</f>
        <v>2</v>
      </c>
      <c r="B158" t="str">
        <v>Kusen pintu P 1 B</v>
      </c>
      <c r="D158" t="str">
        <v>unit</v>
      </c>
      <c r="E158">
        <f>'QTY-GTS'!N622</f>
        <v>6</v>
      </c>
      <c r="F158">
        <f>'ANL-KUSEN GTS'!L30</f>
        <v>970600</v>
      </c>
      <c r="G158">
        <v>1</v>
      </c>
      <c r="H158">
        <f>E158*F158*G158</f>
        <v>5823600</v>
      </c>
    </row>
    <row r="159">
      <c r="A159">
        <f>A158+1</f>
        <v>3</v>
      </c>
      <c r="B159" t="str">
        <v>Kusen pintu P 2 A</v>
      </c>
      <c r="D159" t="str">
        <v>unit</v>
      </c>
      <c r="E159">
        <f>'QTY-GTS'!N623</f>
        <v>2</v>
      </c>
      <c r="F159">
        <f>'ANL-KUSEN GTS'!L52</f>
        <v>3948100</v>
      </c>
      <c r="G159">
        <v>1</v>
      </c>
      <c r="H159">
        <f>E159*F159*G159</f>
        <v>7896200</v>
      </c>
    </row>
    <row r="160">
      <c r="A160">
        <f>A159+1</f>
        <v>4</v>
      </c>
      <c r="B160" t="str">
        <v>Kusen pintu P J 1</v>
      </c>
      <c r="D160" t="str">
        <v>unit</v>
      </c>
      <c r="E160">
        <f>'QTY-GTS'!N624</f>
        <v>1</v>
      </c>
      <c r="F160">
        <f>'ANL-KUSEN GTS'!L75</f>
        <v>6356400</v>
      </c>
      <c r="G160">
        <v>1</v>
      </c>
      <c r="H160">
        <f>E160*F160*G160</f>
        <v>6356400</v>
      </c>
    </row>
    <row r="161">
      <c r="A161">
        <f>A160+1</f>
        <v>5</v>
      </c>
      <c r="B161" t="str">
        <v>Kusen Pintu jendela J 1 A</v>
      </c>
      <c r="D161" t="str">
        <v>unit</v>
      </c>
      <c r="E161">
        <f>'QTY-GTS'!N625</f>
        <v>8</v>
      </c>
      <c r="F161">
        <f>'ANL-KUSEN GTS'!L88</f>
        <v>972500</v>
      </c>
      <c r="G161">
        <v>1</v>
      </c>
      <c r="H161">
        <f>E161*F161*G161</f>
        <v>7780000</v>
      </c>
    </row>
    <row r="162">
      <c r="A162">
        <f>A161+1</f>
        <v>6</v>
      </c>
      <c r="B162" t="str">
        <v>Kusen Pintu jendela J 2 A</v>
      </c>
      <c r="D162" t="str">
        <v>unit</v>
      </c>
      <c r="E162">
        <f>'QTY-GTS'!N626</f>
        <v>10</v>
      </c>
      <c r="F162">
        <f>'ANL-KUSEN GTS'!L126</f>
        <v>2504300</v>
      </c>
      <c r="G162">
        <v>1</v>
      </c>
      <c r="H162">
        <f>E162*F162*G162</f>
        <v>25043000</v>
      </c>
    </row>
    <row r="163">
      <c r="A163">
        <f>A162+1</f>
        <v>7</v>
      </c>
      <c r="B163" t="str">
        <v>Kusen Pintu jendela J 3 A</v>
      </c>
      <c r="D163" t="str">
        <v>unit</v>
      </c>
      <c r="E163">
        <f>'QTY-GTS'!N627</f>
        <v>4</v>
      </c>
      <c r="F163">
        <f>'ANL-KUSEN GTS'!L151</f>
        <v>3644900</v>
      </c>
      <c r="G163">
        <v>1</v>
      </c>
      <c r="H163">
        <f>E163*F163*G163</f>
        <v>14579600</v>
      </c>
    </row>
    <row r="164">
      <c r="A164">
        <f>A163+1</f>
        <v>8</v>
      </c>
      <c r="B164" t="str">
        <v>Kusen Pintu jendela  J 4 A</v>
      </c>
      <c r="D164" t="str">
        <v>unit</v>
      </c>
      <c r="E164">
        <f>'QTY-GTS'!N628</f>
        <v>2</v>
      </c>
      <c r="F164">
        <f>'ANL-KUSEN GTS'!L171</f>
        <v>2696900</v>
      </c>
      <c r="G164">
        <v>1</v>
      </c>
      <c r="H164">
        <f>E164*F164*G164</f>
        <v>5393800</v>
      </c>
    </row>
    <row r="165">
      <c r="A165">
        <f>A164+1</f>
        <v>9</v>
      </c>
      <c r="B165" t="str">
        <v>Kusen Pintu jendela  J 5 A</v>
      </c>
      <c r="D165" t="str">
        <v>unit</v>
      </c>
      <c r="E165">
        <f>'QTY-GTS'!N629</f>
        <v>1</v>
      </c>
      <c r="F165">
        <f>'ANL-KUSEN GTS'!L184</f>
        <v>7353300</v>
      </c>
      <c r="G165">
        <v>1</v>
      </c>
      <c r="H165">
        <f>E165*F165*G165</f>
        <v>7353300</v>
      </c>
      <c r="I165">
        <f>SUM(H157:H165)</f>
        <v>105499700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2808200</v>
      </c>
      <c r="G167">
        <v>1.09</v>
      </c>
      <c r="H167">
        <f>E167*F167*G167</f>
        <v>27548442.000000004</v>
      </c>
    </row>
    <row r="168">
      <c r="A168">
        <f>A167+1</f>
        <v>2</v>
      </c>
      <c r="B168" t="str">
        <v>Kusen pintu P 1 B</v>
      </c>
      <c r="D168" t="str">
        <v>unit</v>
      </c>
      <c r="E168">
        <f>'QTY-GTS'!L837</f>
        <v>4</v>
      </c>
      <c r="F168">
        <f>'ANL-KUSEN GTS'!L30</f>
        <v>970600</v>
      </c>
      <c r="G168">
        <v>1.09</v>
      </c>
      <c r="H168">
        <f>E168*F168*G168</f>
        <v>4231816</v>
      </c>
    </row>
    <row r="169">
      <c r="A169">
        <f>A168+1</f>
        <v>3</v>
      </c>
      <c r="B169" t="str">
        <v>Kusen pintu  P 2 A</v>
      </c>
      <c r="D169" t="str">
        <v>unit</v>
      </c>
      <c r="E169">
        <f>'QTY-GTS'!L838</f>
        <v>1</v>
      </c>
      <c r="F169">
        <f>'ANL-KUSEN GTS'!L52</f>
        <v>3948100</v>
      </c>
      <c r="G169">
        <v>1.09</v>
      </c>
      <c r="H169">
        <f>E169*F169*G169</f>
        <v>4303429</v>
      </c>
    </row>
    <row r="170">
      <c r="A170">
        <f>A169+1</f>
        <v>4</v>
      </c>
      <c r="B170" t="str">
        <v>Kusen Pintu jendela J 1 A</v>
      </c>
      <c r="D170" t="str">
        <v>unit</v>
      </c>
      <c r="E170">
        <f>'QTY-GTS'!L839</f>
        <v>6</v>
      </c>
      <c r="F170">
        <f>'ANL-KUSEN GTS'!L88</f>
        <v>972500</v>
      </c>
      <c r="G170">
        <v>1.09</v>
      </c>
      <c r="H170">
        <f>E170*F170*G170</f>
        <v>6360150.000000001</v>
      </c>
    </row>
    <row r="171">
      <c r="A171">
        <f>A170+1</f>
        <v>5</v>
      </c>
      <c r="B171" t="str">
        <v>Kusen Pintu jendela J 1 C</v>
      </c>
      <c r="D171" t="str">
        <v>unit</v>
      </c>
      <c r="E171">
        <f>'QTY-GTS'!L840</f>
        <v>2</v>
      </c>
      <c r="F171">
        <f>'ANL-KUSEN GTS'!L126</f>
        <v>2504300</v>
      </c>
      <c r="G171">
        <v>1.09</v>
      </c>
      <c r="H171">
        <f>E171*F171*G171</f>
        <v>5459374</v>
      </c>
    </row>
    <row r="172">
      <c r="A172">
        <f>A171+1</f>
        <v>6</v>
      </c>
      <c r="B172" t="str">
        <v>Kusen Pintu jendela J 2 B</v>
      </c>
      <c r="D172" t="str">
        <v>unit</v>
      </c>
      <c r="E172">
        <f>'QTY-GTS'!L841</f>
        <v>12</v>
      </c>
      <c r="F172">
        <f>'ANL-KUSEN GTS'!L151</f>
        <v>3644900</v>
      </c>
      <c r="G172">
        <v>1.09</v>
      </c>
      <c r="H172">
        <f>E172*F172*G172</f>
        <v>47675292</v>
      </c>
    </row>
    <row r="173">
      <c r="A173">
        <f>A172+1</f>
        <v>7</v>
      </c>
      <c r="B173" t="str">
        <v>Kusen Pintu jendela J 3 A</v>
      </c>
      <c r="D173" t="str">
        <v>unit</v>
      </c>
      <c r="E173">
        <f>'QTY-GTS'!L842</f>
        <v>2</v>
      </c>
      <c r="F173">
        <f>'ANL-KUSEN GTS'!L171</f>
        <v>2696900</v>
      </c>
      <c r="G173">
        <v>1.09</v>
      </c>
      <c r="H173">
        <f>E173*F173*G173</f>
        <v>5879242</v>
      </c>
    </row>
    <row r="174">
      <c r="A174">
        <f>A173+1</f>
        <v>8</v>
      </c>
      <c r="B174" t="str">
        <v>Kusen Pintu jendela J 3 B</v>
      </c>
      <c r="D174" t="str">
        <v>unit</v>
      </c>
      <c r="E174">
        <f>'QTY-GTS'!L843</f>
        <v>2</v>
      </c>
      <c r="F174">
        <f>'ANL-KUSEN GTS'!L164</f>
        <v>3052400</v>
      </c>
      <c r="G174">
        <v>1.09</v>
      </c>
      <c r="H174">
        <f>E174*F174*G174</f>
        <v>6654232.000000001</v>
      </c>
    </row>
    <row r="175">
      <c r="A175">
        <f>A174+1</f>
        <v>9</v>
      </c>
      <c r="B175" t="str">
        <v>Kusen Pintu jendela J 5 A</v>
      </c>
      <c r="D175" t="str">
        <v>unit</v>
      </c>
      <c r="E175">
        <f>'QTY-GTS'!L844</f>
        <v>2</v>
      </c>
      <c r="F175">
        <f>'ANL-KUSEN GTS'!L184</f>
        <v>7353300</v>
      </c>
      <c r="G175">
        <v>1.09</v>
      </c>
      <c r="H175">
        <f>E175*F175*G175</f>
        <v>16030194.000000002</v>
      </c>
      <c r="I175">
        <f>SUM(H167:H175)</f>
        <v>124142171</v>
      </c>
    </row>
    <row r="176">
      <c r="H176" t="str">
        <v>Jumlah B.5 .... Rp</v>
      </c>
      <c r="I176">
        <f>SUM(H157:H175)</f>
        <v>229641871</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1264900</v>
      </c>
      <c r="G180">
        <v>1</v>
      </c>
      <c r="H180">
        <f>E180*F180*G180</f>
        <v>5059600</v>
      </c>
    </row>
    <row r="181">
      <c r="A181">
        <f>A180+1</f>
        <v>2</v>
      </c>
      <c r="B181" t="str">
        <v>Pas. Urinoir Keramik</v>
      </c>
      <c r="C181" t="str">
        <v>TOTO U 57 M</v>
      </c>
      <c r="D181" t="str">
        <v>umit</v>
      </c>
      <c r="E181">
        <f>'QTY-GTS'!N716</f>
        <v>2</v>
      </c>
      <c r="F181">
        <f>SUMIF(SNI!C$1:C$65536,'RAB - GTS'!B$1:B$65536,SNI!L$1:L$65536)</f>
        <v>1558600</v>
      </c>
      <c r="G181">
        <v>1</v>
      </c>
      <c r="H181">
        <f>E181*F181*G181</f>
        <v>3117200</v>
      </c>
    </row>
    <row r="182">
      <c r="A182">
        <f>A181+1</f>
        <v>3</v>
      </c>
      <c r="B182" t="str">
        <v>Pas. Floor Drain</v>
      </c>
      <c r="C182" t="str">
        <v>TOTO TX 1 BN</v>
      </c>
      <c r="D182" t="str">
        <v>bh</v>
      </c>
      <c r="E182">
        <f>'QTY-GTS'!N718</f>
        <v>7</v>
      </c>
      <c r="F182">
        <f>SUMIF(SNI!C$1:C$65536,'RAB - GTS'!B$1:B$65536,SNI!L$1:L$65536)</f>
        <v>107500</v>
      </c>
      <c r="G182">
        <v>1</v>
      </c>
      <c r="H182">
        <f>E182*F182*G182</f>
        <v>752500</v>
      </c>
    </row>
    <row r="183">
      <c r="A183">
        <f>A182+1</f>
        <v>4</v>
      </c>
      <c r="B183" t="str">
        <v>Pas. Kran dinding</v>
      </c>
      <c r="C183" t="str">
        <v>TOTO T 23 B 13</v>
      </c>
      <c r="D183" t="str">
        <v>bh</v>
      </c>
      <c r="E183">
        <f>'QTY-GTS'!N719</f>
        <v>4</v>
      </c>
      <c r="F183">
        <f>SUMIF(SNI!C$1:C$65536,'RAB - GTS'!B$1:B$65536,SNI!L$1:L$65536)</f>
        <v>133300</v>
      </c>
      <c r="G183">
        <v>1</v>
      </c>
      <c r="H183">
        <f>E183*F183*G183</f>
        <v>533200</v>
      </c>
    </row>
    <row r="184">
      <c r="A184">
        <f>A183+1</f>
        <v>5</v>
      </c>
      <c r="B184" t="str">
        <f>SNI!C1045</f>
        <v>Pas. Meja Pantry uk. 600x 1500 mm</v>
      </c>
      <c r="C184" t="str">
        <v>Beton bertulang + keramik 200x200</v>
      </c>
      <c r="D184" t="str">
        <v>unit</v>
      </c>
      <c r="E184">
        <f>'QTY-GTS'!N720</f>
        <v>1</v>
      </c>
      <c r="F184">
        <f>SUMIF(SNI!C$1:C$65536,'RAB - GTS'!B$1:B$65536,SNI!L$1:L$65536)</f>
        <v>979200</v>
      </c>
      <c r="G184">
        <v>1</v>
      </c>
      <c r="H184">
        <f>E184*F184*G184</f>
        <v>979200</v>
      </c>
      <c r="I184">
        <f>SUM(H180:H184)</f>
        <v>10441700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1264900</v>
      </c>
      <c r="G186">
        <v>1.09</v>
      </c>
      <c r="H186">
        <f>E186*F186*G186</f>
        <v>2757482</v>
      </c>
    </row>
    <row r="187">
      <c r="A187">
        <f>A186+1</f>
        <v>2</v>
      </c>
      <c r="B187" t="str">
        <v>Pas. Kloset Jongkok Keramik</v>
      </c>
      <c r="C187" t="str">
        <v>TOTO CE 7</v>
      </c>
      <c r="D187" t="str">
        <v>bh</v>
      </c>
      <c r="E187">
        <f>'QTY-GTS'!N955</f>
        <v>2</v>
      </c>
      <c r="F187">
        <f>SUMIF(SNI!C$1:C$65536,'RAB - GTS'!B$1:B$65536,SNI!L$1:L$65536)</f>
        <v>220200</v>
      </c>
      <c r="G187">
        <v>1.09</v>
      </c>
      <c r="H187">
        <f>E187*F187*G187</f>
        <v>480036.00000000006</v>
      </c>
    </row>
    <row r="188">
      <c r="A188">
        <f>A187+1</f>
        <v>3</v>
      </c>
      <c r="B188" t="str">
        <v>Pas. Floor Drain</v>
      </c>
      <c r="C188" t="str">
        <v>TOTO TX 1 BN</v>
      </c>
      <c r="D188" t="str">
        <v>bh</v>
      </c>
      <c r="E188">
        <f>'QTY-GTS'!N957</f>
        <v>6</v>
      </c>
      <c r="F188">
        <f>SUMIF(SNI!C$1:C$65536,'RAB - GTS'!B$1:B$65536,SNI!L$1:L$65536)</f>
        <v>107500</v>
      </c>
      <c r="G188">
        <v>1.09</v>
      </c>
      <c r="H188">
        <f>E188*F188*G188</f>
        <v>703050</v>
      </c>
    </row>
    <row r="189">
      <c r="A189">
        <f>A188+1</f>
        <v>4</v>
      </c>
      <c r="B189" t="str">
        <v>Pas. Kran dinding</v>
      </c>
      <c r="C189" t="str">
        <v>TOTO T 23 B 13</v>
      </c>
      <c r="D189" t="str">
        <v>bh</v>
      </c>
      <c r="E189">
        <f>'QTY-GTS'!N958</f>
        <v>10</v>
      </c>
      <c r="F189">
        <f>SUMIF(SNI!C$1:C$65536,'RAB - GTS'!B$1:B$65536,SNI!L$1:L$65536)</f>
        <v>133300</v>
      </c>
      <c r="G189">
        <v>1.09</v>
      </c>
      <c r="H189">
        <f>E189*F189*G189</f>
        <v>1452970</v>
      </c>
      <c r="I189">
        <f>SUM(H186:H189)</f>
        <v>5393538</v>
      </c>
    </row>
    <row r="190">
      <c r="A190" t="str">
        <v>C.1.3</v>
      </c>
      <c r="B190" t="str">
        <v>SUMUR DALAM</v>
      </c>
      <c r="K190">
        <f>L190-E190</f>
        <v>0</v>
      </c>
    </row>
    <row r="191">
      <c r="A191">
        <v>1</v>
      </c>
      <c r="B191" t="str">
        <v>Pengeboran sumur</v>
      </c>
      <c r="D191" t="str">
        <v>m'</v>
      </c>
      <c r="E191">
        <v>36</v>
      </c>
      <c r="F191">
        <f>IF(F192=0,0,75000)</f>
        <v>75000</v>
      </c>
      <c r="G191">
        <v>1</v>
      </c>
      <c r="H191">
        <f>E191*F191*G191</f>
        <v>2700000</v>
      </c>
      <c r="K191">
        <f>L191-E191</f>
        <v>0</v>
      </c>
      <c r="L191">
        <v>36</v>
      </c>
    </row>
    <row r="192">
      <c r="A192">
        <f>A191+1</f>
        <v>2</v>
      </c>
      <c r="B192" t="str">
        <v xml:space="preserve">Pipa PVC dia. 3" </v>
      </c>
      <c r="C192" t="str">
        <v>Casing; ex Wavin</v>
      </c>
      <c r="D192" t="str">
        <v>m'</v>
      </c>
      <c r="E192">
        <v>28</v>
      </c>
      <c r="F192">
        <f>SUMIF(SNI!C$1:C$65536,'RAB - GTS'!B$1:B$65536,SNI!L$1:L$65536)</f>
        <v>66800</v>
      </c>
      <c r="G192">
        <v>1</v>
      </c>
      <c r="H192">
        <f>E192*F192*G192</f>
        <v>1870400</v>
      </c>
      <c r="K192">
        <f>L192-E192</f>
        <v>0</v>
      </c>
      <c r="L192">
        <v>28</v>
      </c>
    </row>
    <row r="193">
      <c r="A193">
        <f>A192+1</f>
        <v>3</v>
      </c>
      <c r="B193" t="str">
        <v xml:space="preserve">Pipa PVC dia. 2" </v>
      </c>
      <c r="C193" t="str">
        <v>Casing; ex Wavin</v>
      </c>
      <c r="D193" t="str">
        <v>m'</v>
      </c>
      <c r="E193">
        <v>8</v>
      </c>
      <c r="F193">
        <f>SUMIF(SNI!C$1:C$65536,'RAB - GTS'!B$1:B$65536,SNI!L$1:L$65536)</f>
        <v>35600</v>
      </c>
      <c r="G193">
        <v>1</v>
      </c>
      <c r="H193">
        <f>E193*F193*G193</f>
        <v>284800</v>
      </c>
      <c r="K193">
        <f>L193-E193</f>
        <v>0</v>
      </c>
      <c r="L193">
        <v>8</v>
      </c>
    </row>
    <row r="194">
      <c r="A194">
        <f>A193+1</f>
        <v>4</v>
      </c>
      <c r="B194" t="str">
        <v xml:space="preserve">Pipa PVC dia. 3/4" </v>
      </c>
      <c r="C194" t="str">
        <v>ex Wavin</v>
      </c>
      <c r="D194" t="str">
        <v>m'</v>
      </c>
      <c r="E194">
        <f>(28*2)+8</f>
        <v>64</v>
      </c>
      <c r="F194">
        <f>SUMIF(SNI!C$1:C$65536,'RAB - GTS'!B$1:B$65536,SNI!L$1:L$65536)</f>
        <v>17600</v>
      </c>
      <c r="G194">
        <v>1</v>
      </c>
      <c r="H194">
        <f>E194*F194*G194</f>
        <v>1126400</v>
      </c>
      <c r="K194">
        <f>L194-E194</f>
        <v>0</v>
      </c>
      <c r="L194">
        <v>64</v>
      </c>
    </row>
    <row r="195">
      <c r="A195">
        <f>A194+1</f>
        <v>5</v>
      </c>
      <c r="B195" t="str">
        <v>Klep diameter 3/4"</v>
      </c>
      <c r="D195" t="str">
        <v>bh</v>
      </c>
      <c r="E195">
        <v>1</v>
      </c>
      <c r="F195">
        <f>SUMIF(SNI!C$1:C$65536,'RAB - GTS'!B$1:B$65536,SNI!L$1:L$65536)</f>
        <v>65400</v>
      </c>
      <c r="G195">
        <v>1</v>
      </c>
      <c r="H195">
        <f>E195*F195*G195</f>
        <v>65400</v>
      </c>
      <c r="K195">
        <f>L195-E195</f>
        <v>0</v>
      </c>
      <c r="L195">
        <v>1</v>
      </c>
    </row>
    <row r="196">
      <c r="A196">
        <f>A195+1</f>
        <v>6</v>
      </c>
      <c r="B196" t="str">
        <v>Stop kran dia. 1"</v>
      </c>
      <c r="D196" t="str">
        <v>bh</v>
      </c>
      <c r="E196">
        <v>1</v>
      </c>
      <c r="F196">
        <f>SUMIF(SNI!C$1:C$65536,'RAB - GTS'!B$1:B$65536,SNI!L$1:L$65536)</f>
        <v>72500</v>
      </c>
      <c r="G196">
        <v>1</v>
      </c>
      <c r="H196">
        <f>E196*F196*G196</f>
        <v>72500</v>
      </c>
      <c r="K196">
        <f>L196-E196</f>
        <v>0</v>
      </c>
      <c r="L196">
        <v>1</v>
      </c>
    </row>
    <row r="197">
      <c r="A197">
        <f>A196+1</f>
        <v>7</v>
      </c>
      <c r="B197" t="str">
        <v>Mesin Jet Pump kap.250 watt</v>
      </c>
      <c r="C197" t="str">
        <v>Groundfos</v>
      </c>
      <c r="D197" t="str">
        <v>m'</v>
      </c>
      <c r="E197">
        <v>1</v>
      </c>
      <c r="F197">
        <f>SUMIF(SNI!C$1:C$65536,'RAB - GTS'!B$1:B$65536,SNI!L$1:L$65536)</f>
        <v>1996400</v>
      </c>
      <c r="G197">
        <v>1</v>
      </c>
      <c r="H197">
        <f>E197*F197*G197</f>
        <v>1996400</v>
      </c>
      <c r="I197">
        <f>SUM(H191:H197)</f>
        <v>8115900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23000</v>
      </c>
      <c r="G199">
        <v>1</v>
      </c>
      <c r="H199">
        <f>E199*F199*G199</f>
        <v>276000</v>
      </c>
      <c r="K199">
        <f>L199-E199</f>
        <v>0</v>
      </c>
      <c r="L199">
        <v>12</v>
      </c>
    </row>
    <row r="200">
      <c r="A200">
        <f>A199+1</f>
        <v>2</v>
      </c>
      <c r="B200" t="str">
        <v xml:space="preserve">Pipa PVC dia. 1" </v>
      </c>
      <c r="C200" t="str">
        <v>Inst. d/ pompa ke tanki air; ex Wavin</v>
      </c>
      <c r="D200" t="str">
        <v>m'</v>
      </c>
      <c r="E200">
        <v>8</v>
      </c>
      <c r="F200">
        <f>SUMIF(SNI!C$1:C$65536,'RAB - GTS'!B$1:B$65536,SNI!L$1:L$65536)</f>
        <v>23000</v>
      </c>
      <c r="G200">
        <v>1</v>
      </c>
      <c r="H200">
        <f>E200*F200*G200</f>
        <v>184000</v>
      </c>
      <c r="K200">
        <f>L200-E200</f>
        <v>0</v>
      </c>
      <c r="L200">
        <v>8</v>
      </c>
    </row>
    <row r="201">
      <c r="A201">
        <f>A200+1</f>
        <v>3</v>
      </c>
      <c r="B201" t="str">
        <v xml:space="preserve">Pipa PVC dia. 3/4" </v>
      </c>
      <c r="C201" t="str">
        <v>ex Wavin</v>
      </c>
      <c r="D201" t="str">
        <v>m'</v>
      </c>
      <c r="E201">
        <v>4</v>
      </c>
      <c r="F201">
        <f>SUMIF(SNI!C$1:C$65536,'RAB - GTS'!B$1:B$65536,SNI!L$1:L$65536)</f>
        <v>17600</v>
      </c>
      <c r="G201">
        <v>1</v>
      </c>
      <c r="H201">
        <f>E201*F201*G201</f>
        <v>70400</v>
      </c>
      <c r="K201">
        <f>L201-E201</f>
        <v>0</v>
      </c>
      <c r="L201">
        <v>4</v>
      </c>
    </row>
    <row r="202">
      <c r="A202">
        <f>A201+1</f>
        <v>4</v>
      </c>
      <c r="B202" t="str">
        <v>Tangki air 1000 liter</v>
      </c>
      <c r="C202" t="str">
        <v>Exel</v>
      </c>
      <c r="D202" t="str">
        <v>bh</v>
      </c>
      <c r="E202">
        <v>1</v>
      </c>
      <c r="F202">
        <f>SUMIF(SNI!C$1:C$65536,'RAB - GTS'!B$1:B$65536,SNI!L$1:L$65536)</f>
        <v>1484900</v>
      </c>
      <c r="G202">
        <v>1</v>
      </c>
      <c r="H202">
        <f>E202*F202*G202</f>
        <v>1484900</v>
      </c>
      <c r="K202">
        <f>L202-E202</f>
        <v>0</v>
      </c>
      <c r="L202">
        <v>1</v>
      </c>
    </row>
    <row r="203">
      <c r="A203">
        <f>A202+1</f>
        <v>5</v>
      </c>
      <c r="B203" t="str">
        <v>Dudukan tangki air</v>
      </c>
      <c r="C203" t="str">
        <v>Besi siku</v>
      </c>
      <c r="D203" t="str">
        <v>bh</v>
      </c>
      <c r="E203">
        <v>1</v>
      </c>
      <c r="F203">
        <f>SUMIF(SNI!C$1:C$65536,'RAB - GTS'!B$1:B$65536,SNI!L$1:L$65536)</f>
        <v>1137300</v>
      </c>
      <c r="G203">
        <v>1</v>
      </c>
      <c r="H203">
        <f>E203*F203*G203</f>
        <v>1137300</v>
      </c>
      <c r="K203">
        <f>L203-E203</f>
        <v>0</v>
      </c>
      <c r="L203">
        <v>1</v>
      </c>
    </row>
    <row r="204">
      <c r="A204">
        <f>A203+1</f>
        <v>6</v>
      </c>
      <c r="B204" t="str">
        <v>Stop kran dia. 1"</v>
      </c>
      <c r="C204" t="str">
        <v>ex Onda</v>
      </c>
      <c r="D204" t="str">
        <v>bh</v>
      </c>
      <c r="E204">
        <v>2</v>
      </c>
      <c r="F204">
        <f>SUMIF(SNI!C$1:C$65536,'RAB - GTS'!B$1:B$65536,SNI!L$1:L$65536)</f>
        <v>72500</v>
      </c>
      <c r="G204">
        <v>1</v>
      </c>
      <c r="H204">
        <f>E204*F204*G204</f>
        <v>145000</v>
      </c>
      <c r="K204">
        <f>L204-E204</f>
        <v>0</v>
      </c>
      <c r="L204">
        <v>2</v>
      </c>
    </row>
    <row r="205">
      <c r="A205">
        <f>A204+1</f>
        <v>7</v>
      </c>
      <c r="B205" t="str">
        <v>Stop kran dia. 1"</v>
      </c>
      <c r="C205" t="str">
        <v>ex Onda</v>
      </c>
      <c r="D205" t="str">
        <v>bh</v>
      </c>
      <c r="E205">
        <v>1</v>
      </c>
      <c r="F205">
        <f>SUMIF(SNI!C$1:C$65536,'RAB - GTS'!B$1:B$65536,SNI!L$1:L$65536)</f>
        <v>72500</v>
      </c>
      <c r="G205">
        <v>1</v>
      </c>
      <c r="H205">
        <f>E205*F205*G205</f>
        <v>72500</v>
      </c>
      <c r="K205">
        <f>L205-E205</f>
        <v>0</v>
      </c>
      <c r="L205">
        <v>1</v>
      </c>
    </row>
    <row r="206">
      <c r="A206">
        <f>A205+1</f>
        <v>8</v>
      </c>
      <c r="B206" t="str">
        <v>Stop kran dia. 1"</v>
      </c>
      <c r="C206" t="str">
        <v>ex Onda</v>
      </c>
      <c r="D206" t="str">
        <v>bh</v>
      </c>
      <c r="E206">
        <v>1</v>
      </c>
      <c r="F206">
        <f>SUMIF(SNI!C$1:C$65536,'RAB - GTS'!B$1:B$65536,SNI!L$1:L$65536)</f>
        <v>72500</v>
      </c>
      <c r="G206">
        <v>1</v>
      </c>
      <c r="H206">
        <f>E206*F206*G206</f>
        <v>72500</v>
      </c>
      <c r="I206">
        <f>SUM(H199:H206)</f>
        <v>3442600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34400</v>
      </c>
      <c r="G208">
        <v>1</v>
      </c>
      <c r="H208">
        <f>E208*F208*G208</f>
        <v>193672</v>
      </c>
      <c r="K208">
        <f>L208-E208</f>
        <v>0</v>
      </c>
      <c r="L208">
        <v>5.63</v>
      </c>
    </row>
    <row r="209">
      <c r="A209">
        <f>A208+1</f>
        <v>2</v>
      </c>
      <c r="B209" t="str">
        <v>Pas. Urugan pasir</v>
      </c>
      <c r="C209" t="str">
        <v>t. 10 cm</v>
      </c>
      <c r="D209" t="str">
        <v>m3</v>
      </c>
      <c r="E209">
        <v>0.12</v>
      </c>
      <c r="F209">
        <f>SUMIF(SNI!C$1:C$65536,'RAB - GTS'!B$1:B$65536,SNI!L$1:L$65536)</f>
        <v>180500</v>
      </c>
      <c r="G209">
        <v>1</v>
      </c>
      <c r="H209">
        <f>E209*F209*G209</f>
        <v>21660</v>
      </c>
      <c r="K209">
        <f>L209-E209</f>
        <v>0</v>
      </c>
      <c r="L209">
        <v>0.12</v>
      </c>
    </row>
    <row r="210">
      <c r="A210">
        <f>A209+1</f>
        <v>3</v>
      </c>
      <c r="B210" t="str">
        <v>Pas. Lantai kerja beton tumbuk 1:3:5</v>
      </c>
      <c r="C210" t="str">
        <v>t. 5 cm</v>
      </c>
      <c r="D210" t="str">
        <v>m2</v>
      </c>
      <c r="E210">
        <v>3.75</v>
      </c>
      <c r="F210">
        <f>SUMIF(SNI!C$1:C$65536,'RAB - GTS'!B$1:B$65536,SNI!L$1:L$65536)</f>
        <v>53900</v>
      </c>
      <c r="G210">
        <v>1</v>
      </c>
      <c r="H210">
        <f>E210*F210*G210</f>
        <v>202125</v>
      </c>
      <c r="K210">
        <f>L210-E210</f>
        <v>0</v>
      </c>
      <c r="L210">
        <v>3.75</v>
      </c>
    </row>
    <row r="211">
      <c r="A211">
        <f>A210+1</f>
        <v>4</v>
      </c>
      <c r="B211" t="str">
        <v>Bekisting beton plat lantai</v>
      </c>
      <c r="D211" t="str">
        <v>m2</v>
      </c>
      <c r="E211">
        <f>(E213/0.1)</f>
        <v>21</v>
      </c>
      <c r="F211">
        <f>SUMIF(SNI!C$1:C$65536,'RAB - GTS'!B$1:B$65536,SNI!L$1:L$65536)</f>
        <v>531500</v>
      </c>
      <c r="G211">
        <v>1</v>
      </c>
      <c r="H211">
        <f>E211*F211*G211</f>
        <v>11161500</v>
      </c>
      <c r="K211">
        <f>L211-E211</f>
        <v>0</v>
      </c>
      <c r="L211">
        <v>21</v>
      </c>
    </row>
    <row r="212">
      <c r="A212">
        <f>A211+1</f>
        <v>5</v>
      </c>
      <c r="B212" t="str">
        <v>Tulangan besi beton U-24</v>
      </c>
      <c r="D212" t="str">
        <v>kg</v>
      </c>
      <c r="E212">
        <f>E213*150</f>
        <v>315</v>
      </c>
      <c r="F212">
        <f>SUMIF(SNI!C$1:C$65536,'RAB - GTS'!B$1:B$65536,SNI!L$1:L$65536)</f>
        <v>12600</v>
      </c>
      <c r="G212">
        <v>1</v>
      </c>
      <c r="H212">
        <f>E212*F212*G212</f>
        <v>3969000</v>
      </c>
      <c r="K212">
        <f>L212-E212</f>
        <v>0</v>
      </c>
      <c r="L212">
        <v>315</v>
      </c>
    </row>
    <row r="213">
      <c r="A213">
        <f>A212+1</f>
        <v>6</v>
      </c>
      <c r="B213" t="str">
        <v>Beton K - 200</v>
      </c>
      <c r="D213" t="str">
        <v>m3</v>
      </c>
      <c r="E213">
        <v>2.1</v>
      </c>
      <c r="F213">
        <f>SUMIF(SNI!C$1:C$65536,'RAB - GTS'!B$1:B$65536,SNI!L$1:L$65536)</f>
        <v>865100</v>
      </c>
      <c r="G213">
        <v>1</v>
      </c>
      <c r="H213">
        <f>E213*F213*G213</f>
        <v>1816710</v>
      </c>
      <c r="I213">
        <f>SUM(H208:H213)</f>
        <v>17364667</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35600</v>
      </c>
      <c r="G215">
        <v>1</v>
      </c>
      <c r="H215">
        <f>E215*F215*G215</f>
        <v>1602000</v>
      </c>
      <c r="K215">
        <f>L215-E215</f>
        <v>0</v>
      </c>
      <c r="L215">
        <v>45</v>
      </c>
    </row>
    <row r="216">
      <c r="A216">
        <f>A215+1</f>
        <v>2</v>
      </c>
      <c r="B216" t="str">
        <v xml:space="preserve">Pipa PVC dia. 1" </v>
      </c>
      <c r="C216" t="str">
        <v>ex Wavin</v>
      </c>
      <c r="D216" t="str">
        <v>m</v>
      </c>
      <c r="E216">
        <f>'QTY-GTS'!L974</f>
        <v>37</v>
      </c>
      <c r="F216">
        <f>SUMIF(SNI!C$1:C$65536,'RAB - GTS'!B$1:B$65536,SNI!L$1:L$65536)</f>
        <v>23000</v>
      </c>
      <c r="G216">
        <v>1</v>
      </c>
      <c r="H216">
        <f>E216*F216*G216</f>
        <v>851000</v>
      </c>
      <c r="K216">
        <f>L216-E216</f>
        <v>0</v>
      </c>
      <c r="L216">
        <v>37</v>
      </c>
    </row>
    <row r="217">
      <c r="A217">
        <f>A216+1</f>
        <v>3</v>
      </c>
      <c r="B217" t="str">
        <v xml:space="preserve">Pipa PVC dia. 3/4" </v>
      </c>
      <c r="C217" t="str">
        <v>ex Wavin</v>
      </c>
      <c r="D217" t="str">
        <v>m</v>
      </c>
      <c r="E217">
        <f>'QTY-GTS'!L975</f>
        <v>10</v>
      </c>
      <c r="F217">
        <f>SUMIF(SNI!C$1:C$65536,'RAB - GTS'!B$1:B$65536,SNI!L$1:L$65536)</f>
        <v>17600</v>
      </c>
      <c r="G217">
        <v>1</v>
      </c>
      <c r="H217">
        <f>E217*F217*G217</f>
        <v>176000</v>
      </c>
      <c r="I217">
        <f>SUM(H215:H217)</f>
        <v>2629000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66800</v>
      </c>
      <c r="G220">
        <v>1</v>
      </c>
      <c r="H220">
        <f>E220*F220*G220</f>
        <v>400800</v>
      </c>
      <c r="K220">
        <f>L220-E220</f>
        <v>0</v>
      </c>
      <c r="L220">
        <v>6</v>
      </c>
    </row>
    <row r="221">
      <c r="A221">
        <f>A220+1</f>
        <v>2</v>
      </c>
      <c r="B221" t="str">
        <v xml:space="preserve">Pipa PVC dia. 4" </v>
      </c>
      <c r="C221" t="str">
        <v>Air kotor; ex Wavin</v>
      </c>
      <c r="D221" t="str">
        <v>m</v>
      </c>
      <c r="E221">
        <f>'QTY-GTS'!N981</f>
        <v>12</v>
      </c>
      <c r="F221">
        <f>SUMIF(SNI!C$1:C$65536,'RAB - GTS'!B$1:B$65536,SNI!L$1:L$65536)</f>
        <v>95300</v>
      </c>
      <c r="G221">
        <v>1</v>
      </c>
      <c r="H221">
        <f>E221*F221*G221</f>
        <v>1143600</v>
      </c>
      <c r="K221">
        <f>L221-E221</f>
        <v>0</v>
      </c>
      <c r="L221">
        <v>12</v>
      </c>
    </row>
    <row r="222">
      <c r="A222">
        <f>A221+1</f>
        <v>3</v>
      </c>
      <c r="B222" t="str">
        <v xml:space="preserve">Pipa PVC dia. 3" </v>
      </c>
      <c r="C222" t="str">
        <v>Air hujan; ex Wavin</v>
      </c>
      <c r="D222" t="str">
        <v>m</v>
      </c>
      <c r="E222">
        <f>'QTY-GTS'!N984</f>
        <v>48</v>
      </c>
      <c r="F222">
        <f>SUMIF(SNI!C$1:C$65536,'RAB - GTS'!B$1:B$65536,SNI!L$1:L$65536)</f>
        <v>66800</v>
      </c>
      <c r="G222">
        <v>1</v>
      </c>
      <c r="H222">
        <f>E222*F222*G222</f>
        <v>3206400</v>
      </c>
      <c r="K222">
        <f>L222-E222</f>
        <v>0</v>
      </c>
      <c r="L222">
        <v>48</v>
      </c>
    </row>
    <row r="223">
      <c r="A223">
        <f>A222+1</f>
        <v>4</v>
      </c>
      <c r="B223" t="str">
        <v xml:space="preserve">Pipa PVC dia. 4" </v>
      </c>
      <c r="C223" t="str">
        <v>Air hujan; ex Wavin</v>
      </c>
      <c r="D223" t="str">
        <v>m</v>
      </c>
      <c r="E223">
        <f>'QTY-GTS'!N985</f>
        <v>75</v>
      </c>
      <c r="F223">
        <f>SUMIF(SNI!C$1:C$65536,'RAB - GTS'!B$1:B$65536,SNI!L$1:L$65536)</f>
        <v>95300</v>
      </c>
      <c r="G223">
        <v>1</v>
      </c>
      <c r="H223">
        <f>E223*F223*G223</f>
        <v>7147500</v>
      </c>
      <c r="I223">
        <f>SUM(H220:H223)</f>
        <v>11898300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23000</v>
      </c>
      <c r="G226">
        <v>1.09</v>
      </c>
      <c r="H226">
        <f>E226*F226*G226</f>
        <v>1128150</v>
      </c>
      <c r="K226">
        <f>L226-E226</f>
        <v>0</v>
      </c>
      <c r="L226">
        <v>45</v>
      </c>
    </row>
    <row r="227">
      <c r="A227">
        <f>A226+1</f>
        <v>2</v>
      </c>
      <c r="B227" t="str">
        <v xml:space="preserve">Pipa PVC dia. 3/4" </v>
      </c>
      <c r="C227" t="str">
        <v>ex Wavin</v>
      </c>
      <c r="D227" t="str">
        <v>m</v>
      </c>
      <c r="E227">
        <f>'QTY-GTS'!L1003</f>
        <v>28</v>
      </c>
      <c r="F227">
        <f>SUMIF(SNI!C$1:C$65536,'RAB - GTS'!B$1:B$65536,SNI!L$1:L$65536)</f>
        <v>17600</v>
      </c>
      <c r="G227">
        <v>1.09</v>
      </c>
      <c r="H227">
        <f>E227*F227*G227</f>
        <v>537152</v>
      </c>
      <c r="I227">
        <f>SUM(H226:H227)</f>
        <v>1665302</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66800</v>
      </c>
      <c r="G230">
        <v>1.09</v>
      </c>
      <c r="H230">
        <f>E230*F230*G230</f>
        <v>218436.00000000003</v>
      </c>
      <c r="K230">
        <f>L230-E230</f>
        <v>0</v>
      </c>
      <c r="L230">
        <v>3</v>
      </c>
    </row>
    <row r="231">
      <c r="A231">
        <f>A230+1</f>
        <v>2</v>
      </c>
      <c r="B231" t="str">
        <v xml:space="preserve">Pipa PVC dia. 4" </v>
      </c>
      <c r="C231" t="str">
        <v>Air kotor; ex Wavin</v>
      </c>
      <c r="D231" t="str">
        <v>m</v>
      </c>
      <c r="E231">
        <f>'QTY-GTS'!L1007</f>
        <v>45</v>
      </c>
      <c r="F231">
        <f>SUMIF(SNI!C$1:C$65536,'RAB - GTS'!B$1:B$65536,SNI!L$1:L$65536)</f>
        <v>95300</v>
      </c>
      <c r="G231">
        <v>1.09</v>
      </c>
      <c r="H231">
        <f>E231*F231*G231</f>
        <v>4674465</v>
      </c>
      <c r="K231">
        <f>L231-E231</f>
        <v>0</v>
      </c>
      <c r="L231">
        <v>45</v>
      </c>
    </row>
    <row r="232">
      <c r="A232">
        <f>A231+1</f>
        <v>3</v>
      </c>
      <c r="B232" t="str">
        <v xml:space="preserve">Pipa PVC dia. 3" </v>
      </c>
      <c r="C232" t="str">
        <v>Air hujan; ex Wavin</v>
      </c>
      <c r="D232" t="str">
        <v>m</v>
      </c>
      <c r="E232">
        <f>'QTY-GTS'!L1010</f>
        <v>28</v>
      </c>
      <c r="F232">
        <f>SUMIF(SNI!C$1:C$65536,'RAB - GTS'!B$1:B$65536,SNI!L$1:L$65536)</f>
        <v>66800</v>
      </c>
      <c r="G232">
        <v>1.09</v>
      </c>
      <c r="H232">
        <f>E232*F232*G232</f>
        <v>2038736.0000000002</v>
      </c>
      <c r="I232">
        <f>SUM(H230:H232)</f>
        <v>6931637</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100846800</v>
      </c>
      <c r="G235">
        <v>1</v>
      </c>
      <c r="H235">
        <f>E235*F235*G235</f>
        <v>201693600</v>
      </c>
      <c r="I235">
        <f>H235</f>
        <v>201693600</v>
      </c>
    </row>
    <row r="236">
      <c r="K236">
        <f>L236-E236</f>
        <v>0</v>
      </c>
    </row>
    <row r="237">
      <c r="H237" t="str">
        <v>Jumlah C.1 .... Rp</v>
      </c>
      <c r="I237">
        <f>SUM(H180:H236)</f>
        <v>269576244</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858000</v>
      </c>
      <c r="G240">
        <v>1</v>
      </c>
      <c r="H240">
        <f>E240*F240*G240</f>
        <v>858000</v>
      </c>
      <c r="K240">
        <f>L240-E240</f>
        <v>0</v>
      </c>
      <c r="L240">
        <v>1</v>
      </c>
    </row>
    <row r="241">
      <c r="A241">
        <f>A240+1</f>
        <v>2</v>
      </c>
      <c r="B241" t="str">
        <v>Pas. Instalasi lampu</v>
      </c>
      <c r="C241" t="str">
        <v>ex Broco</v>
      </c>
      <c r="D241" t="str">
        <v>ttk</v>
      </c>
      <c r="E241">
        <f>'QTY-GTS'!N965</f>
        <v>43</v>
      </c>
      <c r="F241">
        <f>SUMIF(SNI!C$1:C$65536,'RAB - GTS'!B$1:B$65536,SNI!L$1:L$65536)</f>
        <v>117800</v>
      </c>
      <c r="G241">
        <v>1</v>
      </c>
      <c r="H241">
        <f>E241*F241*G241</f>
        <v>5065400</v>
      </c>
      <c r="K241">
        <f>L241-E241</f>
        <v>0</v>
      </c>
      <c r="L241">
        <v>43</v>
      </c>
    </row>
    <row r="242">
      <c r="A242">
        <f>A241+1</f>
        <v>3</v>
      </c>
      <c r="B242" t="str">
        <v>Pas. Instalasi stop kontak</v>
      </c>
      <c r="C242" t="str">
        <v>ex Broco</v>
      </c>
      <c r="D242" t="str">
        <v>ttk</v>
      </c>
      <c r="E242">
        <f>'QTY-GTS'!N966</f>
        <v>14</v>
      </c>
      <c r="F242">
        <f>SUMIF(SNI!C$1:C$65536,'RAB - GTS'!B$1:B$65536,SNI!L$1:L$65536)</f>
        <v>150800</v>
      </c>
      <c r="G242">
        <v>1</v>
      </c>
      <c r="H242">
        <f>E242*F242*G242</f>
        <v>2111200</v>
      </c>
      <c r="K242">
        <f>L242-E242</f>
        <v>0</v>
      </c>
      <c r="L242">
        <v>14</v>
      </c>
    </row>
    <row r="243">
      <c r="A243">
        <f>A242+1</f>
        <v>4</v>
      </c>
      <c r="B243" t="str">
        <v>Pas. Saklar engkel</v>
      </c>
      <c r="C243" t="str">
        <v>ex Broco</v>
      </c>
      <c r="D243" t="str">
        <v>ttk</v>
      </c>
      <c r="E243">
        <f>'QTY-GTS'!N965</f>
        <v>43</v>
      </c>
      <c r="F243">
        <f>SUMIF(SNI!C$1:C$65536,'RAB - GTS'!B$1:B$65536,SNI!L$1:L$65536)</f>
        <v>34100</v>
      </c>
      <c r="G243">
        <v>1</v>
      </c>
      <c r="H243">
        <f>E243*F243*G243</f>
        <v>1466300</v>
      </c>
      <c r="K243">
        <f>L243-E243</f>
        <v>0</v>
      </c>
      <c r="L243">
        <v>43</v>
      </c>
    </row>
    <row r="244">
      <c r="A244">
        <f>A243+1</f>
        <v>5</v>
      </c>
      <c r="B244" t="str">
        <v>Pas. Stop kontak</v>
      </c>
      <c r="C244" t="str">
        <v>ex Broco</v>
      </c>
      <c r="D244" t="str">
        <v>ttk</v>
      </c>
      <c r="E244">
        <f>'QTY-GTS'!N967</f>
        <v>14</v>
      </c>
      <c r="F244">
        <f>SUMIF(SNI!C$1:C$65536,'RAB - GTS'!B$1:B$65536,SNI!L$1:L$65536)</f>
        <v>31400</v>
      </c>
      <c r="G244">
        <v>1</v>
      </c>
      <c r="H244">
        <f>E244*F244*G244</f>
        <v>439600</v>
      </c>
      <c r="K244">
        <f>L244-E244</f>
        <v>0</v>
      </c>
      <c r="L244">
        <v>14</v>
      </c>
    </row>
    <row r="245">
      <c r="A245">
        <f>A244+1</f>
        <v>6</v>
      </c>
      <c r="B245" t="str">
        <v>Pas. Lampu TL 2 x 36 watt grille</v>
      </c>
      <c r="C245" t="str">
        <v>ex Panasonic</v>
      </c>
      <c r="D245" t="str">
        <v>bh</v>
      </c>
      <c r="E245">
        <f>'QTY-GTS'!N968</f>
        <v>13</v>
      </c>
      <c r="F245">
        <f>SUMIF(SNI!C$1:C$65536,'RAB - GTS'!B$1:B$65536,SNI!L$1:L$65536)</f>
        <v>429000</v>
      </c>
      <c r="G245">
        <v>1</v>
      </c>
      <c r="H245">
        <f>E245*F245*G245</f>
        <v>5577000</v>
      </c>
      <c r="K245">
        <f>L245-E245</f>
        <v>0</v>
      </c>
      <c r="L245">
        <v>13</v>
      </c>
    </row>
    <row r="246">
      <c r="A246">
        <f>A245+1</f>
        <v>7</v>
      </c>
      <c r="B246" t="str">
        <v>Pas. Down light &amp; PLC 13 W</v>
      </c>
      <c r="C246" t="str">
        <v>ex Panasonic</v>
      </c>
      <c r="D246" t="str">
        <v>bh</v>
      </c>
      <c r="E246">
        <f>'QTY-GTS'!N969</f>
        <v>24</v>
      </c>
      <c r="F246">
        <f>SUMIF(SNI!C$1:C$65536,'RAB - GTS'!B$1:B$65536,SNI!L$1:L$65536)</f>
        <v>207300</v>
      </c>
      <c r="G246">
        <v>1</v>
      </c>
      <c r="H246">
        <f>E246*F246*G246</f>
        <v>4975200</v>
      </c>
      <c r="I246">
        <f>SUM(H240:H246)</f>
        <v>20492700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858000</v>
      </c>
      <c r="G249">
        <v>1.09</v>
      </c>
      <c r="H249">
        <f>E249*F249*G249</f>
        <v>935220.0000000001</v>
      </c>
      <c r="K249">
        <f>L249-E249</f>
        <v>0</v>
      </c>
      <c r="L249">
        <v>1</v>
      </c>
    </row>
    <row r="250">
      <c r="A250">
        <f>A249+1</f>
        <v>2</v>
      </c>
      <c r="B250" t="str">
        <v>Pas. Instalasi lampu</v>
      </c>
      <c r="C250" t="str">
        <v>ex Broco</v>
      </c>
      <c r="D250" t="str">
        <v>ttk</v>
      </c>
      <c r="E250">
        <f>'QTY-GTS'!N992</f>
        <v>30</v>
      </c>
      <c r="F250">
        <f>SUMIF(SNI!C$1:C$65536,'RAB - GTS'!B$1:B$65536,SNI!L$1:L$65536)</f>
        <v>117800</v>
      </c>
      <c r="G250">
        <v>1.09</v>
      </c>
      <c r="H250">
        <f>E250*F250*G250</f>
        <v>3852060.0000000005</v>
      </c>
      <c r="K250">
        <f>L250-E250</f>
        <v>0</v>
      </c>
      <c r="L250">
        <v>30</v>
      </c>
    </row>
    <row r="251">
      <c r="A251">
        <f>A250+1</f>
        <v>3</v>
      </c>
      <c r="B251" t="str">
        <v>Pas. Instalasi stop kontak</v>
      </c>
      <c r="C251" t="str">
        <v>ex Broco</v>
      </c>
      <c r="D251" t="str">
        <v>ttk</v>
      </c>
      <c r="E251">
        <f>'QTY-GTS'!N993</f>
        <v>15</v>
      </c>
      <c r="F251">
        <f>SUMIF(SNI!C$1:C$65536,'RAB - GTS'!B$1:B$65536,SNI!L$1:L$65536)</f>
        <v>150800</v>
      </c>
      <c r="G251">
        <v>1.09</v>
      </c>
      <c r="H251">
        <f>E251*F251*G251</f>
        <v>2465580</v>
      </c>
      <c r="K251">
        <f>L251-E251</f>
        <v>0</v>
      </c>
      <c r="L251">
        <v>15</v>
      </c>
    </row>
    <row r="252">
      <c r="A252">
        <f>A251+1</f>
        <v>4</v>
      </c>
      <c r="B252" t="str">
        <v>Pas. Saklar engkel</v>
      </c>
      <c r="C252" t="str">
        <v>ex Broco</v>
      </c>
      <c r="D252" t="str">
        <v>ttk</v>
      </c>
      <c r="E252">
        <f>'QTY-GTS'!N992</f>
        <v>30</v>
      </c>
      <c r="F252">
        <f>SUMIF(SNI!C$1:C$65536,'RAB - GTS'!B$1:B$65536,SNI!L$1:L$65536)</f>
        <v>34100</v>
      </c>
      <c r="G252">
        <v>1.09</v>
      </c>
      <c r="H252">
        <f>E252*F252*G252</f>
        <v>1115070</v>
      </c>
      <c r="K252">
        <f>L252-E252</f>
        <v>0</v>
      </c>
      <c r="L252">
        <v>30</v>
      </c>
    </row>
    <row r="253">
      <c r="A253">
        <f>A252+1</f>
        <v>5</v>
      </c>
      <c r="B253" t="str">
        <v>Pas. Stop kontak</v>
      </c>
      <c r="C253" t="str">
        <v>ex Broco</v>
      </c>
      <c r="D253" t="str">
        <v>ttk</v>
      </c>
      <c r="E253">
        <f>'QTY-GTS'!N994</f>
        <v>75</v>
      </c>
      <c r="F253">
        <f>SUMIF(SNI!C$1:C$65536,'RAB - GTS'!B$1:B$65536,SNI!L$1:L$65536)</f>
        <v>31400</v>
      </c>
      <c r="G253">
        <v>1.09</v>
      </c>
      <c r="H253">
        <f>E253*F253*G253</f>
        <v>2566950</v>
      </c>
      <c r="K253">
        <f>L253-E253</f>
        <v>0</v>
      </c>
      <c r="L253">
        <v>75</v>
      </c>
    </row>
    <row r="254">
      <c r="A254">
        <f>A253+1</f>
        <v>6</v>
      </c>
      <c r="B254" t="str">
        <v>Pas. Lampu TL 2 x 36 watt grille</v>
      </c>
      <c r="C254" t="str">
        <v>ex Panasonic</v>
      </c>
      <c r="D254" t="str">
        <v>bh</v>
      </c>
      <c r="E254">
        <f>'QTY-GTS'!N995</f>
        <v>18</v>
      </c>
      <c r="F254">
        <f>SUMIF(SNI!C$1:C$65536,'RAB - GTS'!B$1:B$65536,SNI!L$1:L$65536)</f>
        <v>429000</v>
      </c>
      <c r="G254">
        <v>1.09</v>
      </c>
      <c r="H254">
        <f>E254*F254*G254</f>
        <v>8416980</v>
      </c>
      <c r="K254">
        <f>L254-E254</f>
        <v>0</v>
      </c>
      <c r="L254">
        <v>18</v>
      </c>
    </row>
    <row r="255">
      <c r="A255">
        <f>A254+1</f>
        <v>7</v>
      </c>
      <c r="B255" t="str">
        <v>Pas. Down light &amp; PLC 13 W</v>
      </c>
      <c r="C255" t="str">
        <v>ex Panasonic</v>
      </c>
      <c r="D255" t="str">
        <v>bh</v>
      </c>
      <c r="E255">
        <f>'QTY-GTS'!N996</f>
        <v>27</v>
      </c>
      <c r="F255">
        <f>SUMIF(SNI!C$1:C$65536,'RAB - GTS'!B$1:B$65536,SNI!L$1:L$65536)</f>
        <v>207300</v>
      </c>
      <c r="G255">
        <v>1.09</v>
      </c>
      <c r="H255">
        <f>E255*F255*G255</f>
        <v>6100839</v>
      </c>
      <c r="I255">
        <f>SUM(H249:H255)</f>
        <v>25452699</v>
      </c>
      <c r="K255">
        <f>L255-E255</f>
        <v>0</v>
      </c>
      <c r="L255">
        <v>27</v>
      </c>
    </row>
    <row r="256">
      <c r="K256">
        <f>L256-E256</f>
        <v>0</v>
      </c>
    </row>
    <row r="257">
      <c r="H257" t="str">
        <v>Jumlah C.2 .... Rp</v>
      </c>
      <c r="I257">
        <f>SUM(H240:H256)</f>
        <v>45945399</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24200</v>
      </c>
      <c r="G259">
        <v>1</v>
      </c>
      <c r="H259">
        <f>E259*F259*G259</f>
        <v>21063050.799999997</v>
      </c>
    </row>
    <row r="260">
      <c r="A260">
        <v>2</v>
      </c>
      <c r="B260" t="str">
        <v>Cat dinding dalam acrylic emulsion KW.I</v>
      </c>
      <c r="C260" t="str">
        <v>ex Dulux</v>
      </c>
      <c r="D260" t="str">
        <v>m2</v>
      </c>
      <c r="E260">
        <f>'QTY-GTS'!N803</f>
        <v>1246.548</v>
      </c>
      <c r="F260">
        <f>SUMIF(SNI!C$1:C$65536,'RAB - GTS'!B$1:B$65536,SNI!L$1:L$65536)</f>
        <v>24200</v>
      </c>
      <c r="G260">
        <v>1.09</v>
      </c>
      <c r="H260">
        <f>E260*F260*G260</f>
        <v>32881443.144000005</v>
      </c>
    </row>
    <row r="261">
      <c r="A261">
        <v>3</v>
      </c>
      <c r="B261" t="str">
        <v>Cat plafond acrylic emulsion KW.I</v>
      </c>
      <c r="C261" t="str">
        <v>ex Dulux</v>
      </c>
      <c r="D261" t="str">
        <v>m2</v>
      </c>
      <c r="E261">
        <f>E142</f>
        <v>342.9</v>
      </c>
      <c r="F261">
        <f>SUMIF(SNI!C$1:C$65536,'RAB - GTS'!B$1:B$65536,SNI!L$1:L$65536)</f>
        <v>24200</v>
      </c>
      <c r="G261">
        <v>1</v>
      </c>
      <c r="H261">
        <f>E261*F261*G261</f>
        <v>8298179.999999999</v>
      </c>
    </row>
    <row r="262">
      <c r="A262">
        <v>4</v>
      </c>
      <c r="B262" t="str">
        <v>Cat plafond acrylic emulsion KW.I</v>
      </c>
      <c r="C262" t="str">
        <v>ex Dulux</v>
      </c>
      <c r="D262" t="str">
        <v>m2</v>
      </c>
      <c r="E262">
        <f>E145</f>
        <v>489</v>
      </c>
      <c r="F262">
        <f>SUMIF(SNI!C$1:C$65536,'RAB - GTS'!B$1:B$65536,SNI!L$1:L$65536)</f>
        <v>24200</v>
      </c>
      <c r="G262">
        <v>1.09</v>
      </c>
      <c r="H262">
        <f>E262*F262*G262</f>
        <v>12898842.000000002</v>
      </c>
    </row>
    <row r="263">
      <c r="A263">
        <v>5</v>
      </c>
      <c r="B263" t="str">
        <v>Railing Tangga Besi Hollow</v>
      </c>
      <c r="C263" t="str">
        <v>finish cat shynthetic</v>
      </c>
      <c r="D263" t="str">
        <v>m</v>
      </c>
      <c r="E263">
        <f>'QTY-GTS'!N708</f>
        <v>10</v>
      </c>
      <c r="F263">
        <f>SUMIF(SNI!C$1:C$65536,'RAB - GTS'!B$1:B$65536,SNI!L$1:L$65536)</f>
        <v>291000</v>
      </c>
      <c r="G263">
        <v>1</v>
      </c>
      <c r="H263">
        <f>E263*F263*G263</f>
        <v>2910000</v>
      </c>
    </row>
    <row r="264">
      <c r="H264" t="str">
        <v>Jumlah D.2 .... Rp</v>
      </c>
      <c r="I264">
        <f>SUM(H259:H263)</f>
        <v>78051515.944</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97700</v>
      </c>
      <c r="L13">
        <f>I13*K13</f>
        <v>687808</v>
      </c>
    </row>
    <row r="14">
      <c r="B14" t="str">
        <v>Rangka pintu alumunium 4" PC</v>
      </c>
      <c r="D14">
        <v>2.4</v>
      </c>
      <c r="H14">
        <v>2</v>
      </c>
      <c r="I14">
        <f>D14*H14</f>
        <v>4.8</v>
      </c>
    </row>
    <row r="15">
      <c r="D15">
        <v>0.9</v>
      </c>
      <c r="H15">
        <v>4</v>
      </c>
      <c r="I15">
        <f>D15*H15</f>
        <v>3.6</v>
      </c>
    </row>
    <row r="16">
      <c r="I16">
        <f>I14+I15</f>
        <v>8.4</v>
      </c>
      <c r="J16" t="str">
        <v>m1</v>
      </c>
      <c r="K16">
        <f>SNI!L664</f>
        <v>97700</v>
      </c>
      <c r="L16">
        <f>I16*K16</f>
        <v>820680</v>
      </c>
    </row>
    <row r="17">
      <c r="B17" t="str">
        <v>Kaca 8 mm</v>
      </c>
      <c r="D17">
        <v>2.4</v>
      </c>
      <c r="E17">
        <v>0.9</v>
      </c>
      <c r="H17">
        <v>1</v>
      </c>
      <c r="I17">
        <f>D17*E17*H17</f>
        <v>2.16</v>
      </c>
      <c r="J17" t="str">
        <v>m2</v>
      </c>
      <c r="K17">
        <f>SNI!L932</f>
        <v>162600</v>
      </c>
      <c r="L17">
        <f>I17*K17</f>
        <v>351216</v>
      </c>
    </row>
    <row r="18">
      <c r="B18" t="str">
        <v>Engsel 4"</v>
      </c>
      <c r="I18">
        <v>3</v>
      </c>
      <c r="J18" t="str">
        <v>bh</v>
      </c>
      <c r="K18">
        <f>SNI!L897</f>
        <v>24900</v>
      </c>
      <c r="L18">
        <f>I18*K18</f>
        <v>74700</v>
      </c>
    </row>
    <row r="19">
      <c r="B19" t="str">
        <v>Handle pintu type HRE 75.01 ex CISA</v>
      </c>
      <c r="I19">
        <v>1</v>
      </c>
      <c r="J19" t="str">
        <v>bh</v>
      </c>
      <c r="K19">
        <f>SNI!L827</f>
        <v>311900</v>
      </c>
      <c r="L19">
        <f>I19*K19</f>
        <v>311900</v>
      </c>
    </row>
    <row r="20">
      <c r="B20" t="str">
        <v>Selinder CISA type 08510 ex CISA</v>
      </c>
      <c r="I20">
        <v>1</v>
      </c>
      <c r="J20" t="str">
        <v>bh</v>
      </c>
      <c r="K20">
        <f>SNI!L834</f>
        <v>299800</v>
      </c>
      <c r="L20">
        <f>I20*K20</f>
        <v>299800</v>
      </c>
    </row>
    <row r="21">
      <c r="B21" t="str">
        <v>Door Stoper</v>
      </c>
      <c r="I21">
        <v>1</v>
      </c>
      <c r="J21" t="str">
        <v>bh</v>
      </c>
      <c r="K21">
        <f>SNI!L848</f>
        <v>315300</v>
      </c>
      <c r="L21">
        <f>I21*K21</f>
        <v>315300</v>
      </c>
    </row>
    <row r="22">
      <c r="B22" t="str">
        <v>Door closer</v>
      </c>
      <c r="I22">
        <v>1</v>
      </c>
      <c r="J22" t="str">
        <v>bh</v>
      </c>
      <c r="K22">
        <f>SNI!L855</f>
        <v>535300</v>
      </c>
      <c r="L22">
        <f>I22*K22</f>
        <v>535300</v>
      </c>
    </row>
    <row r="23">
      <c r="B23" t="str">
        <v>Slot Tanam pintu doble</v>
      </c>
      <c r="D23">
        <v>1</v>
      </c>
      <c r="I23">
        <f>D23</f>
        <v>1</v>
      </c>
      <c r="J23" t="str">
        <v>set</v>
      </c>
      <c r="K23">
        <f>SNI!L883</f>
        <v>99300</v>
      </c>
      <c r="L23">
        <f>I23*K23</f>
        <v>99300</v>
      </c>
    </row>
    <row r="24">
      <c r="K24" t="str">
        <v>jumlah</v>
      </c>
      <c r="L24">
        <f>SUM(L16:L23)</f>
        <v>2808196</v>
      </c>
    </row>
    <row r="25">
      <c r="K25" t="str">
        <v>di bulatkan</v>
      </c>
      <c r="L25">
        <f>ROUND(L24,-2)</f>
        <v>2808200</v>
      </c>
    </row>
    <row r="27">
      <c r="A27">
        <f>A10+1</f>
        <v>2</v>
      </c>
      <c r="B27" t="str">
        <v>P 1 B</v>
      </c>
    </row>
    <row r="28">
      <c r="B28" t="str">
        <v>Kusen &amp; Pintu PVC toilet</v>
      </c>
      <c r="D28">
        <v>1</v>
      </c>
      <c r="H28">
        <v>1</v>
      </c>
      <c r="I28">
        <v>1</v>
      </c>
      <c r="J28" t="str">
        <v>unit</v>
      </c>
      <c r="K28">
        <f>SNI!L648</f>
        <v>970600</v>
      </c>
      <c r="L28">
        <f>I28*K28</f>
        <v>970600</v>
      </c>
    </row>
    <row r="29">
      <c r="K29" t="str">
        <v>jumlah</v>
      </c>
      <c r="L29">
        <f>SUM(L28:L28)</f>
        <v>970600</v>
      </c>
    </row>
    <row r="30">
      <c r="K30" t="str">
        <v>di bulatkan</v>
      </c>
      <c r="L30">
        <f>ROUND(L29,-2)</f>
        <v>970600</v>
      </c>
    </row>
    <row r="32">
      <c r="A32">
        <f>A27+1</f>
        <v>3</v>
      </c>
      <c r="B32" t="str">
        <v>P 1 C</v>
      </c>
    </row>
    <row r="33">
      <c r="B33" t="str">
        <v>Kusen &amp; Pintu PVC toilet</v>
      </c>
      <c r="D33">
        <v>1</v>
      </c>
      <c r="H33">
        <v>1</v>
      </c>
      <c r="I33">
        <v>1</v>
      </c>
      <c r="J33" t="str">
        <v>unit</v>
      </c>
      <c r="K33">
        <f>K28</f>
        <v>970600</v>
      </c>
      <c r="L33">
        <f>I33*K33</f>
        <v>970600</v>
      </c>
    </row>
    <row r="34">
      <c r="K34" t="str">
        <v>jumlah</v>
      </c>
      <c r="L34">
        <f>SUM(L33:L33)</f>
        <v>970600</v>
      </c>
    </row>
    <row r="35">
      <c r="K35" t="str">
        <v>di bulatkan</v>
      </c>
      <c r="L35">
        <f>ROUND(L34,-2)</f>
        <v>970600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97700</v>
      </c>
      <c r="L40">
        <f>I40*K40</f>
        <v>863668</v>
      </c>
    </row>
    <row r="41">
      <c r="B41" t="str">
        <v>Alumunium standart 3" PC rangka daun jendela</v>
      </c>
      <c r="D41">
        <v>2.08</v>
      </c>
      <c r="H41">
        <v>2</v>
      </c>
      <c r="I41">
        <f>D41*H41</f>
        <v>4.16</v>
      </c>
    </row>
    <row r="42">
      <c r="D42">
        <v>1.8</v>
      </c>
      <c r="H42">
        <v>2</v>
      </c>
      <c r="I42">
        <f>D42*H42</f>
        <v>3.6</v>
      </c>
    </row>
    <row r="43">
      <c r="I43">
        <f>I41+I42</f>
        <v>7.76</v>
      </c>
      <c r="J43" t="str">
        <v>m1</v>
      </c>
      <c r="K43">
        <f>SNI!L681</f>
        <v>96100</v>
      </c>
      <c r="L43">
        <f>I43*K43</f>
        <v>745736</v>
      </c>
    </row>
    <row r="44">
      <c r="B44" t="str">
        <v>Kaca 8 mm</v>
      </c>
      <c r="D44">
        <v>2.4</v>
      </c>
      <c r="E44">
        <v>1.8</v>
      </c>
      <c r="H44">
        <v>1</v>
      </c>
      <c r="I44">
        <f>D44*E44*H44</f>
        <v>4.32</v>
      </c>
      <c r="J44" t="str">
        <v>m2</v>
      </c>
      <c r="K44">
        <f>K17</f>
        <v>162600</v>
      </c>
      <c r="L44">
        <f>I44*K44</f>
        <v>702432</v>
      </c>
    </row>
    <row r="45">
      <c r="B45" t="str">
        <v>Engsel 4"</v>
      </c>
      <c r="I45">
        <v>3</v>
      </c>
      <c r="J45" t="str">
        <v>set</v>
      </c>
      <c r="K45">
        <f>K18</f>
        <v>24900</v>
      </c>
      <c r="L45">
        <f>I45*K45</f>
        <v>74700</v>
      </c>
    </row>
    <row r="46">
      <c r="B46" t="str">
        <v>Handle pintu type HRE 75.01 ex CISA</v>
      </c>
      <c r="I46">
        <v>1</v>
      </c>
      <c r="J46" t="str">
        <v>bh</v>
      </c>
      <c r="K46">
        <f>K19</f>
        <v>311900</v>
      </c>
      <c r="L46">
        <f>I46*K46</f>
        <v>311900</v>
      </c>
    </row>
    <row r="47">
      <c r="B47" t="str">
        <v>Selinder CISA type 08510 ex CISA</v>
      </c>
      <c r="I47">
        <v>1</v>
      </c>
      <c r="J47" t="str">
        <v>bh</v>
      </c>
      <c r="K47">
        <f>K20</f>
        <v>299800</v>
      </c>
      <c r="L47">
        <f>I47*K47</f>
        <v>299800</v>
      </c>
    </row>
    <row r="48">
      <c r="B48" t="str">
        <v>Door Stoper</v>
      </c>
      <c r="I48">
        <v>1</v>
      </c>
      <c r="J48" t="str">
        <v>bh</v>
      </c>
      <c r="K48">
        <f>K21</f>
        <v>315300</v>
      </c>
      <c r="L48">
        <f>I48*K48</f>
        <v>315300</v>
      </c>
    </row>
    <row r="49">
      <c r="B49" t="str">
        <v>Door closer</v>
      </c>
      <c r="I49">
        <v>1</v>
      </c>
      <c r="J49" t="str">
        <v>bh</v>
      </c>
      <c r="K49">
        <f>K22</f>
        <v>535300</v>
      </c>
      <c r="L49">
        <f>I49*K49</f>
        <v>535300</v>
      </c>
    </row>
    <row r="50">
      <c r="B50" t="str">
        <v>Slot tanam</v>
      </c>
      <c r="D50">
        <v>1</v>
      </c>
      <c r="I50">
        <f>D50</f>
        <v>1</v>
      </c>
      <c r="J50" t="str">
        <v>set</v>
      </c>
      <c r="K50">
        <f>K23</f>
        <v>99300</v>
      </c>
      <c r="L50">
        <f>I50*K50</f>
        <v>99300</v>
      </c>
    </row>
    <row r="51">
      <c r="K51" t="str">
        <v>jumlah</v>
      </c>
      <c r="L51">
        <f>SUM(L38:L50)</f>
        <v>3948136</v>
      </c>
    </row>
    <row r="52">
      <c r="K52" t="str">
        <v>di bulatkan</v>
      </c>
      <c r="L52">
        <f>ROUND(L51,-2)</f>
        <v>3948100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97700</v>
      </c>
      <c r="L60">
        <f>I60*K60</f>
        <v>1742968</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96100</v>
      </c>
      <c r="L65">
        <f>I65*K65</f>
        <v>1825900</v>
      </c>
    </row>
    <row r="66">
      <c r="B66" t="str">
        <v>Kaca 8 mm</v>
      </c>
      <c r="D66">
        <v>2.4</v>
      </c>
      <c r="E66">
        <v>1.8</v>
      </c>
      <c r="H66">
        <v>1</v>
      </c>
      <c r="I66">
        <f>D66*E66*H66</f>
        <v>4.32</v>
      </c>
      <c r="J66" t="str">
        <v>m2</v>
      </c>
      <c r="K66">
        <f>K44</f>
        <v>162600</v>
      </c>
      <c r="L66">
        <f>I66*K66</f>
        <v>702432</v>
      </c>
    </row>
    <row r="67">
      <c r="D67">
        <v>0.6</v>
      </c>
      <c r="E67">
        <v>2.3</v>
      </c>
      <c r="H67">
        <v>2</v>
      </c>
      <c r="I67">
        <f>D67*E67*H67</f>
        <v>2.76</v>
      </c>
      <c r="J67" t="str">
        <v>m2</v>
      </c>
      <c r="K67">
        <f>K66</f>
        <v>162600</v>
      </c>
      <c r="L67">
        <f>I67*K67</f>
        <v>448775.99999999994</v>
      </c>
    </row>
    <row r="68">
      <c r="B68" t="str">
        <v>Engsel pintu</v>
      </c>
      <c r="I68">
        <v>3</v>
      </c>
      <c r="J68" t="str">
        <v>set</v>
      </c>
      <c r="K68">
        <f>K45</f>
        <v>24900</v>
      </c>
      <c r="L68">
        <f>I68*K68</f>
        <v>74700</v>
      </c>
    </row>
    <row r="69">
      <c r="B69" t="str">
        <v>Handle pintu type HRE 75.01 ex CISA</v>
      </c>
      <c r="I69">
        <v>1</v>
      </c>
      <c r="J69" t="str">
        <v>bh</v>
      </c>
      <c r="K69">
        <f>K46</f>
        <v>311900</v>
      </c>
      <c r="L69">
        <f>I69*K69</f>
        <v>311900</v>
      </c>
    </row>
    <row r="70">
      <c r="B70" t="str">
        <v>Selinder CISA type 08510 ex CISA</v>
      </c>
      <c r="I70">
        <v>1</v>
      </c>
      <c r="J70" t="str">
        <v>bh</v>
      </c>
      <c r="K70">
        <f>K47</f>
        <v>299800</v>
      </c>
      <c r="L70">
        <f>I70*K70</f>
        <v>299800</v>
      </c>
    </row>
    <row r="71">
      <c r="B71" t="str">
        <v>Door Stoper</v>
      </c>
      <c r="I71">
        <v>1</v>
      </c>
      <c r="J71" t="str">
        <v>bh</v>
      </c>
      <c r="K71">
        <f>K48</f>
        <v>315300</v>
      </c>
      <c r="L71">
        <f>I71*K71</f>
        <v>315300</v>
      </c>
    </row>
    <row r="72">
      <c r="B72" t="str">
        <v>Door closer</v>
      </c>
      <c r="I72">
        <v>1</v>
      </c>
      <c r="J72" t="str">
        <v>bh</v>
      </c>
      <c r="K72">
        <f>K49</f>
        <v>535300</v>
      </c>
      <c r="L72">
        <f>I72*K72</f>
        <v>535300</v>
      </c>
    </row>
    <row r="73">
      <c r="B73" t="str">
        <v>Slot tanam</v>
      </c>
      <c r="D73">
        <v>1</v>
      </c>
      <c r="I73">
        <f>D73</f>
        <v>1</v>
      </c>
      <c r="J73" t="str">
        <v>set</v>
      </c>
      <c r="K73">
        <f>K50</f>
        <v>99300</v>
      </c>
      <c r="L73">
        <f>I73*K73</f>
        <v>99300</v>
      </c>
    </row>
    <row r="74">
      <c r="K74" t="str">
        <v>jumlah</v>
      </c>
      <c r="L74">
        <f>SUM(L55:L73)</f>
        <v>6356376</v>
      </c>
    </row>
    <row r="75">
      <c r="K75" t="str">
        <v>di bulatkan</v>
      </c>
      <c r="L75">
        <f>ROUND(L74,-2)</f>
        <v>6356400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97700</v>
      </c>
      <c r="L80">
        <f>I80*K80</f>
        <v>418156</v>
      </c>
    </row>
    <row r="81">
      <c r="B81" t="str">
        <v>Alumunium standart 3" PC rangka daun jendela</v>
      </c>
      <c r="D81">
        <v>0.6</v>
      </c>
      <c r="H81">
        <v>4</v>
      </c>
      <c r="I81">
        <f>D81*H81</f>
        <v>2.4</v>
      </c>
    </row>
    <row r="82">
      <c r="D82">
        <v>0.45</v>
      </c>
      <c r="H82">
        <v>4</v>
      </c>
      <c r="I82">
        <f>D82*H82</f>
        <v>1.8</v>
      </c>
    </row>
    <row r="83">
      <c r="I83">
        <f>I81+I82</f>
        <v>4.2</v>
      </c>
      <c r="J83" t="str">
        <v>m1</v>
      </c>
      <c r="K83">
        <f>K65</f>
        <v>96100</v>
      </c>
      <c r="L83">
        <f>I83*K83</f>
        <v>403620</v>
      </c>
    </row>
    <row r="84">
      <c r="B84" t="str">
        <v>Kaca 8 mm</v>
      </c>
      <c r="D84">
        <v>0.62</v>
      </c>
      <c r="E84">
        <v>0.45</v>
      </c>
      <c r="H84">
        <v>2</v>
      </c>
      <c r="I84">
        <f>D84*E84*H84</f>
        <v>0.558</v>
      </c>
      <c r="J84" t="str">
        <v>m2</v>
      </c>
      <c r="K84">
        <f>K67</f>
        <v>162600</v>
      </c>
      <c r="L84">
        <f>I84*K84</f>
        <v>90730.8</v>
      </c>
    </row>
    <row r="85">
      <c r="B85" t="str">
        <v>Grendel</v>
      </c>
      <c r="D85">
        <v>2</v>
      </c>
      <c r="I85">
        <f>D85</f>
        <v>2</v>
      </c>
      <c r="J85" t="str">
        <v>set</v>
      </c>
      <c r="K85">
        <f>SNI!L876</f>
        <v>25000</v>
      </c>
      <c r="L85">
        <f>I85*K85</f>
        <v>50000</v>
      </c>
    </row>
    <row r="86">
      <c r="B86" t="str">
        <v>Kait angin</v>
      </c>
      <c r="D86">
        <v>2</v>
      </c>
      <c r="I86">
        <f>D86</f>
        <v>2</v>
      </c>
      <c r="J86" t="str">
        <v>set</v>
      </c>
      <c r="K86">
        <f>'Isi Data'!E54</f>
        <v>5000</v>
      </c>
      <c r="L86">
        <f>I86*K86</f>
        <v>10000</v>
      </c>
    </row>
    <row r="87">
      <c r="K87" t="str">
        <v>jumlah</v>
      </c>
      <c r="L87">
        <f>SUM(L78:L86)</f>
        <v>972506.8</v>
      </c>
    </row>
    <row r="88">
      <c r="K88" t="str">
        <v>di bulatkan</v>
      </c>
      <c r="L88">
        <f>ROUND(L87,-2)</f>
        <v>972500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97700</v>
      </c>
      <c r="L93">
        <f>I93*K93</f>
        <v>498269.99999999994</v>
      </c>
    </row>
    <row r="94">
      <c r="B94" t="str">
        <v>Alumunium standart 3" PC rangka daun jendela</v>
      </c>
      <c r="D94">
        <v>1.6</v>
      </c>
      <c r="H94">
        <v>2</v>
      </c>
      <c r="I94">
        <f>D94*H94</f>
        <v>3.2</v>
      </c>
    </row>
    <row r="95">
      <c r="D95">
        <v>0.6</v>
      </c>
      <c r="H95">
        <v>4</v>
      </c>
      <c r="I95">
        <f>D95*H95</f>
        <v>2.4</v>
      </c>
    </row>
    <row r="96">
      <c r="I96">
        <f>I94+I95</f>
        <v>5.6</v>
      </c>
      <c r="J96" t="str">
        <v>m1</v>
      </c>
      <c r="K96">
        <f>K83</f>
        <v>96100</v>
      </c>
      <c r="L96">
        <f>I96*K96</f>
        <v>538160</v>
      </c>
    </row>
    <row r="97">
      <c r="B97" t="str">
        <v>Kaca 8 mm</v>
      </c>
      <c r="D97">
        <v>1.6</v>
      </c>
      <c r="E97">
        <v>0.6</v>
      </c>
      <c r="H97">
        <v>1</v>
      </c>
      <c r="I97">
        <f>D97*E97*H97</f>
        <v>0.96</v>
      </c>
      <c r="J97" t="str">
        <v>m2</v>
      </c>
      <c r="K97">
        <f>K84</f>
        <v>162600</v>
      </c>
      <c r="L97">
        <f>I97*K97</f>
        <v>156096</v>
      </c>
    </row>
    <row r="98">
      <c r="B98" t="str">
        <v>Grendel</v>
      </c>
      <c r="D98">
        <v>2</v>
      </c>
      <c r="I98">
        <f>D98</f>
        <v>2</v>
      </c>
      <c r="J98" t="str">
        <v>set</v>
      </c>
      <c r="K98">
        <f>K85</f>
        <v>25000</v>
      </c>
      <c r="L98">
        <f>I98*K98</f>
        <v>50000</v>
      </c>
    </row>
    <row r="99">
      <c r="B99" t="str">
        <v>Kait angin</v>
      </c>
      <c r="D99">
        <v>2</v>
      </c>
      <c r="I99">
        <f>D99</f>
        <v>2</v>
      </c>
      <c r="J99" t="str">
        <v>set</v>
      </c>
      <c r="K99">
        <f>K86</f>
        <v>5000</v>
      </c>
      <c r="L99">
        <f>I99*K99</f>
        <v>10000</v>
      </c>
    </row>
    <row r="100">
      <c r="K100" t="str">
        <v>jumlah</v>
      </c>
      <c r="L100">
        <f>SUM(L93:L99)</f>
        <v>1252526</v>
      </c>
    </row>
    <row r="101">
      <c r="K101" t="str">
        <v>di bulatkan</v>
      </c>
      <c r="L101">
        <f>ROUND(L100,-2)</f>
        <v>1252500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97700</v>
      </c>
      <c r="L105">
        <f>I105*K105</f>
        <v>568614</v>
      </c>
    </row>
    <row r="106">
      <c r="B106" t="str">
        <v>Alumunium standart 3" PC rangka daun jendela</v>
      </c>
      <c r="D106">
        <v>1.67</v>
      </c>
      <c r="H106">
        <v>2</v>
      </c>
      <c r="I106">
        <f>D106*H106</f>
        <v>3.34</v>
      </c>
    </row>
    <row r="107">
      <c r="D107">
        <v>0.6</v>
      </c>
      <c r="H107">
        <v>4</v>
      </c>
      <c r="I107">
        <f>D107*H107</f>
        <v>2.4</v>
      </c>
    </row>
    <row r="108">
      <c r="I108">
        <f>I106+I107</f>
        <v>5.74</v>
      </c>
      <c r="J108" t="str">
        <v>m1</v>
      </c>
      <c r="K108">
        <f>K96</f>
        <v>96100</v>
      </c>
      <c r="L108">
        <f>I108*K108</f>
        <v>551614</v>
      </c>
    </row>
    <row r="109">
      <c r="B109" t="str">
        <v>Kaca 8 mm</v>
      </c>
      <c r="D109">
        <v>1.6</v>
      </c>
      <c r="E109">
        <v>0.6</v>
      </c>
      <c r="H109">
        <v>1</v>
      </c>
      <c r="I109">
        <f>D109*E109*H109</f>
        <v>0.96</v>
      </c>
      <c r="J109" t="str">
        <v>m2</v>
      </c>
      <c r="K109">
        <f>K97</f>
        <v>162600</v>
      </c>
      <c r="L109">
        <f>I109*K109</f>
        <v>156096</v>
      </c>
    </row>
    <row r="110">
      <c r="B110" t="str">
        <v>Grendel</v>
      </c>
      <c r="D110">
        <v>2</v>
      </c>
      <c r="I110">
        <f>D110</f>
        <v>2</v>
      </c>
      <c r="J110" t="str">
        <v>set</v>
      </c>
      <c r="K110">
        <f>K98</f>
        <v>25000</v>
      </c>
      <c r="L110">
        <f>I110*K110</f>
        <v>50000</v>
      </c>
    </row>
    <row r="111">
      <c r="B111" t="str">
        <v>Kait angin</v>
      </c>
      <c r="D111">
        <v>2</v>
      </c>
      <c r="I111">
        <f>D111</f>
        <v>2</v>
      </c>
      <c r="J111" t="str">
        <v>set</v>
      </c>
      <c r="K111">
        <f>K99</f>
        <v>5000</v>
      </c>
      <c r="L111">
        <f>I111*K111</f>
        <v>10000</v>
      </c>
    </row>
    <row r="112">
      <c r="K112" t="str">
        <v>jumlah</v>
      </c>
      <c r="L112">
        <f>SUM(L105:L111)</f>
        <v>1336324</v>
      </c>
    </row>
    <row r="113">
      <c r="K113" t="str">
        <v>di bulatkan</v>
      </c>
      <c r="L113">
        <f>SUM(L105:L111)</f>
        <v>1336324</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97700</v>
      </c>
      <c r="L118">
        <f>I118*K118</f>
        <v>885162</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96100</v>
      </c>
      <c r="L121">
        <f>I121*K121</f>
        <v>1160888</v>
      </c>
    </row>
    <row r="122">
      <c r="B122" t="str">
        <v>Kaca 8 mm</v>
      </c>
      <c r="D122">
        <v>1.6</v>
      </c>
      <c r="E122">
        <v>1.3</v>
      </c>
      <c r="H122">
        <v>1</v>
      </c>
      <c r="I122">
        <f>D122*E122*H122</f>
        <v>2.08</v>
      </c>
      <c r="J122" t="str">
        <v>m2</v>
      </c>
      <c r="K122">
        <f>K109</f>
        <v>162600</v>
      </c>
      <c r="L122">
        <f>I122*K122</f>
        <v>338208</v>
      </c>
    </row>
    <row r="123">
      <c r="B123" t="str">
        <v>Grendel</v>
      </c>
      <c r="D123">
        <v>4</v>
      </c>
      <c r="I123">
        <f>D123</f>
        <v>4</v>
      </c>
      <c r="J123" t="str">
        <v>set</v>
      </c>
      <c r="K123">
        <f>K110</f>
        <v>25000</v>
      </c>
      <c r="L123">
        <f>I123*K123</f>
        <v>100000</v>
      </c>
    </row>
    <row r="124">
      <c r="B124" t="str">
        <v>Kait angin</v>
      </c>
      <c r="D124">
        <v>4</v>
      </c>
      <c r="I124">
        <f>D124</f>
        <v>4</v>
      </c>
      <c r="J124" t="str">
        <v>set</v>
      </c>
      <c r="K124">
        <f>K111</f>
        <v>5000</v>
      </c>
      <c r="L124">
        <f>I124*K124</f>
        <v>20000</v>
      </c>
    </row>
    <row r="125">
      <c r="K125" t="str">
        <v>jumlah</v>
      </c>
      <c r="L125">
        <f>SUM(L118:L124)</f>
        <v>2504258</v>
      </c>
    </row>
    <row r="126">
      <c r="K126" t="str">
        <v>di bulatkan</v>
      </c>
      <c r="L126">
        <f>ROUND(L125,-2)</f>
        <v>2504300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97700</v>
      </c>
      <c r="L130">
        <f>I130*K130</f>
        <v>996540.0000000001</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96100</v>
      </c>
      <c r="L133">
        <f>I133*K133</f>
        <v>980220.0000000001</v>
      </c>
    </row>
    <row r="134">
      <c r="B134" t="str">
        <v>Kaca 8 mm</v>
      </c>
      <c r="D134">
        <v>1.6</v>
      </c>
      <c r="E134">
        <v>1.3</v>
      </c>
      <c r="H134">
        <v>1</v>
      </c>
      <c r="I134">
        <f>D134*E134*H134</f>
        <v>2.08</v>
      </c>
      <c r="J134" t="str">
        <v>m2</v>
      </c>
      <c r="K134">
        <f>K122</f>
        <v>162600</v>
      </c>
      <c r="L134">
        <f>I134*K134</f>
        <v>338208</v>
      </c>
    </row>
    <row r="135">
      <c r="B135" t="str">
        <v>Grendel</v>
      </c>
      <c r="D135">
        <v>4</v>
      </c>
      <c r="I135">
        <f>D135</f>
        <v>4</v>
      </c>
      <c r="J135" t="str">
        <v>set</v>
      </c>
      <c r="K135">
        <f>K123</f>
        <v>25000</v>
      </c>
      <c r="L135">
        <f>I135*K135</f>
        <v>100000</v>
      </c>
    </row>
    <row r="136">
      <c r="B136" t="str">
        <v>Kait angin</v>
      </c>
      <c r="D136">
        <v>4</v>
      </c>
      <c r="I136">
        <f>D136</f>
        <v>4</v>
      </c>
      <c r="J136" t="str">
        <v>set</v>
      </c>
      <c r="K136">
        <f>K111</f>
        <v>5000</v>
      </c>
      <c r="L136">
        <f>I136*K136</f>
        <v>20000</v>
      </c>
    </row>
    <row r="137">
      <c r="K137" t="str">
        <v>jumlah</v>
      </c>
      <c r="L137">
        <f>SUM(L130:L136)</f>
        <v>2434968</v>
      </c>
    </row>
    <row r="138">
      <c r="K138" t="str">
        <v>di bulatkan</v>
      </c>
      <c r="L138">
        <f>ROUND(L137,-2)</f>
        <v>2435000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97700</v>
      </c>
      <c r="L143">
        <f>I143*K143</f>
        <v>1238836</v>
      </c>
    </row>
    <row r="144">
      <c r="B144" t="str">
        <v>Alumunium standart 3" PC rangka daun jendela</v>
      </c>
      <c r="D144">
        <v>1.67</v>
      </c>
      <c r="H144">
        <v>6</v>
      </c>
      <c r="I144">
        <f>D144*H144</f>
        <v>10.02</v>
      </c>
    </row>
    <row r="145">
      <c r="D145">
        <v>2</v>
      </c>
      <c r="H145">
        <v>4</v>
      </c>
      <c r="I145">
        <f>D145*H145</f>
        <v>8</v>
      </c>
    </row>
    <row r="146">
      <c r="I146">
        <f>I144+I145</f>
        <v>18.02</v>
      </c>
      <c r="J146" t="str">
        <v>m1</v>
      </c>
      <c r="K146">
        <f>K133</f>
        <v>96100</v>
      </c>
      <c r="L146">
        <f>I146*K146</f>
        <v>1731722</v>
      </c>
    </row>
    <row r="147">
      <c r="B147" t="str">
        <v>Kaca 8 mm</v>
      </c>
      <c r="D147">
        <v>1.6</v>
      </c>
      <c r="E147">
        <v>1.9</v>
      </c>
      <c r="H147">
        <v>1</v>
      </c>
      <c r="I147">
        <f>D147*E147*H147</f>
        <v>3.04</v>
      </c>
      <c r="J147" t="str">
        <v>m2</v>
      </c>
      <c r="K147">
        <f>K134</f>
        <v>162600</v>
      </c>
      <c r="L147">
        <f>I147*K147</f>
        <v>494304</v>
      </c>
    </row>
    <row r="148">
      <c r="B148" t="str">
        <v>Grendel</v>
      </c>
      <c r="D148">
        <v>6</v>
      </c>
      <c r="I148">
        <f>D148</f>
        <v>6</v>
      </c>
      <c r="J148" t="str">
        <v>set</v>
      </c>
      <c r="K148">
        <f>K135</f>
        <v>25000</v>
      </c>
      <c r="L148">
        <f>I148*K148</f>
        <v>150000</v>
      </c>
    </row>
    <row r="149">
      <c r="B149" t="str">
        <v>Kait angin</v>
      </c>
      <c r="D149">
        <v>6</v>
      </c>
      <c r="I149">
        <f>D149</f>
        <v>6</v>
      </c>
      <c r="J149" t="str">
        <v>set</v>
      </c>
      <c r="K149">
        <f>K124</f>
        <v>5000</v>
      </c>
      <c r="L149">
        <f>I149*K149</f>
        <v>30000</v>
      </c>
    </row>
    <row r="150">
      <c r="K150" t="str">
        <v>jumlah</v>
      </c>
      <c r="L150">
        <f>SUM(L142:L149)</f>
        <v>3644862</v>
      </c>
    </row>
    <row r="151">
      <c r="K151" t="str">
        <v>di bulatkan</v>
      </c>
      <c r="L151">
        <f>ROUND(L150,-2)</f>
        <v>3644900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97700</v>
      </c>
      <c r="L156">
        <f>I156*K156</f>
        <v>1719520.0000000002</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96100</v>
      </c>
      <c r="L159">
        <f>I159*K159</f>
        <v>596781</v>
      </c>
    </row>
    <row r="160">
      <c r="B160" t="str">
        <v>Kaca 8 mm</v>
      </c>
      <c r="D160">
        <v>1.8</v>
      </c>
      <c r="E160">
        <v>1.9</v>
      </c>
      <c r="H160">
        <v>1</v>
      </c>
      <c r="I160">
        <f>D160*E160*H160</f>
        <v>3.42</v>
      </c>
      <c r="J160" t="str">
        <v>m2</v>
      </c>
      <c r="K160">
        <f>K134</f>
        <v>162600</v>
      </c>
      <c r="L160">
        <f>I160*K160</f>
        <v>556092</v>
      </c>
    </row>
    <row r="161">
      <c r="B161" t="str">
        <f>B148</f>
        <v>Grendel</v>
      </c>
      <c r="D161">
        <v>6</v>
      </c>
      <c r="I161">
        <f>D161</f>
        <v>6</v>
      </c>
      <c r="J161" t="str">
        <v>set</v>
      </c>
      <c r="K161">
        <f>K148</f>
        <v>25000</v>
      </c>
      <c r="L161">
        <f>I161*K161</f>
        <v>150000</v>
      </c>
    </row>
    <row r="162">
      <c r="B162" t="str">
        <v>Kait angin</v>
      </c>
      <c r="D162">
        <v>6</v>
      </c>
      <c r="I162">
        <f>D162</f>
        <v>6</v>
      </c>
      <c r="J162" t="str">
        <v>set</v>
      </c>
      <c r="K162">
        <f>K149</f>
        <v>5000</v>
      </c>
      <c r="L162">
        <f>I162*K162</f>
        <v>30000</v>
      </c>
    </row>
    <row r="163">
      <c r="K163" t="str">
        <v>jumlah</v>
      </c>
      <c r="L163">
        <f>SUM(L155:L162)</f>
        <v>3052393</v>
      </c>
    </row>
    <row r="164">
      <c r="K164" t="str">
        <v>di bulatkan</v>
      </c>
      <c r="L164">
        <f>ROUND(L163,-2)</f>
        <v>3052400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97700</v>
      </c>
      <c r="L168">
        <f>I168*K168</f>
        <v>1812334.9999999998</v>
      </c>
    </row>
    <row r="169">
      <c r="B169" t="str">
        <v>Kaca 8 mm</v>
      </c>
      <c r="D169">
        <v>1.6</v>
      </c>
      <c r="E169">
        <v>3.4</v>
      </c>
      <c r="H169">
        <v>1</v>
      </c>
      <c r="I169">
        <f>D169*E169*H169</f>
        <v>5.44</v>
      </c>
      <c r="J169" t="str">
        <v>m2</v>
      </c>
      <c r="K169">
        <f>K160</f>
        <v>162600</v>
      </c>
      <c r="L169">
        <f>I169*K169</f>
        <v>884544.0000000001</v>
      </c>
    </row>
    <row r="170">
      <c r="K170" t="str">
        <v>jumlah</v>
      </c>
      <c r="L170">
        <f>SUM(L168:L169)</f>
        <v>2696879</v>
      </c>
    </row>
    <row r="171">
      <c r="K171" t="str">
        <v>di bulatkan</v>
      </c>
      <c r="L171">
        <f>ROUND(L170,-2)</f>
        <v>2696900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97700</v>
      </c>
      <c r="L176">
        <f>I176*K176</f>
        <v>3693059.9999999995</v>
      </c>
    </row>
    <row r="177">
      <c r="B177" t="str">
        <v>Alumunium standart 3" rangka daun jendela</v>
      </c>
      <c r="D177">
        <v>0.425</v>
      </c>
      <c r="H177">
        <v>20</v>
      </c>
      <c r="I177">
        <f>D177*H177</f>
        <v>8.5</v>
      </c>
    </row>
    <row r="178">
      <c r="D178">
        <v>0.6</v>
      </c>
      <c r="H178">
        <v>20</v>
      </c>
      <c r="I178">
        <f>D178*H178</f>
        <v>12</v>
      </c>
    </row>
    <row r="179">
      <c r="I179">
        <f>I177+I178</f>
        <v>20.5</v>
      </c>
      <c r="J179" t="str">
        <v>m1</v>
      </c>
      <c r="K179">
        <f>K159</f>
        <v>96100</v>
      </c>
      <c r="L179">
        <f>I179*K179</f>
        <v>1970050</v>
      </c>
    </row>
    <row r="180">
      <c r="B180" t="str">
        <v>Kaca 8 mm</v>
      </c>
      <c r="D180">
        <v>1.9</v>
      </c>
      <c r="E180">
        <v>4.5</v>
      </c>
      <c r="H180">
        <v>1</v>
      </c>
      <c r="I180">
        <f>D180*E180*H180</f>
        <v>8.549999999999999</v>
      </c>
      <c r="J180" t="str">
        <v>m2</v>
      </c>
      <c r="K180">
        <f>K160</f>
        <v>162600</v>
      </c>
      <c r="L180">
        <f>I180*K180</f>
        <v>1390229.9999999998</v>
      </c>
    </row>
    <row r="181">
      <c r="B181" t="str">
        <f>B161</f>
        <v>Grendel</v>
      </c>
      <c r="D181">
        <v>10</v>
      </c>
      <c r="I181">
        <f>D181</f>
        <v>10</v>
      </c>
      <c r="J181" t="str">
        <v>set</v>
      </c>
      <c r="K181">
        <f>K161</f>
        <v>25000</v>
      </c>
      <c r="L181">
        <f>I181*K181</f>
        <v>250000</v>
      </c>
    </row>
    <row r="182">
      <c r="B182" t="str">
        <v>Kait angin</v>
      </c>
      <c r="D182">
        <v>10</v>
      </c>
      <c r="I182">
        <f>D182</f>
        <v>10</v>
      </c>
      <c r="J182" t="str">
        <v>set</v>
      </c>
      <c r="K182">
        <f>K162</f>
        <v>5000</v>
      </c>
      <c r="L182">
        <f>I182*K182</f>
        <v>50000</v>
      </c>
    </row>
    <row r="183">
      <c r="K183" t="str">
        <v>jumlah</v>
      </c>
      <c r="L183">
        <f>SUM(L176:L182)</f>
        <v>7353340</v>
      </c>
    </row>
    <row r="184">
      <c r="K184" t="str">
        <v>di bulatkan</v>
      </c>
      <c r="L184">
        <f>ROUND(L183,-2)</f>
        <v>7353300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97700</v>
      </c>
      <c r="L195">
        <f>I195*K195</f>
        <v>687808</v>
      </c>
    </row>
    <row r="196">
      <c r="B196" t="str">
        <v>Frame pintu alumunium 4" CA</v>
      </c>
      <c r="D196">
        <v>2.4</v>
      </c>
      <c r="H196">
        <v>2</v>
      </c>
      <c r="I196">
        <f>D196*H196</f>
        <v>4.8</v>
      </c>
    </row>
    <row r="197">
      <c r="D197">
        <v>0.9</v>
      </c>
      <c r="H197">
        <v>4</v>
      </c>
      <c r="I197">
        <f>D197*H197</f>
        <v>3.6</v>
      </c>
    </row>
    <row r="198">
      <c r="I198">
        <f>I196+I197</f>
        <v>8.4</v>
      </c>
      <c r="J198" t="str">
        <v>m1</v>
      </c>
      <c r="K198">
        <f>SNI!L656</f>
        <v>97700</v>
      </c>
      <c r="L198">
        <f>I198*K198</f>
        <v>820680</v>
      </c>
    </row>
    <row r="199">
      <c r="B199" t="str">
        <v>Kaca 8 mm</v>
      </c>
      <c r="D199">
        <v>2.4</v>
      </c>
      <c r="E199">
        <v>0.9</v>
      </c>
      <c r="H199">
        <v>1</v>
      </c>
      <c r="I199">
        <f>D199*E199*H199</f>
        <v>2.16</v>
      </c>
      <c r="J199" t="str">
        <v>m2</v>
      </c>
      <c r="K199">
        <f>SNI!L932</f>
        <v>162600</v>
      </c>
      <c r="L199">
        <f>I199*K199</f>
        <v>351216</v>
      </c>
    </row>
    <row r="200">
      <c r="B200" t="str">
        <v>Engsel 4"</v>
      </c>
      <c r="I200">
        <v>3</v>
      </c>
      <c r="J200" t="str">
        <v>bh</v>
      </c>
      <c r="K200">
        <f>SNI!L897</f>
        <v>24900</v>
      </c>
      <c r="L200">
        <f>I200*K200</f>
        <v>74700</v>
      </c>
    </row>
    <row r="201">
      <c r="B201" t="str">
        <v>Handle pintu type HRE 75.01 ex CISA</v>
      </c>
      <c r="I201">
        <v>1</v>
      </c>
      <c r="J201" t="str">
        <v>bh</v>
      </c>
      <c r="K201">
        <f>SNI!L827</f>
        <v>311900</v>
      </c>
      <c r="L201">
        <f>I201*K201</f>
        <v>311900</v>
      </c>
    </row>
    <row r="202">
      <c r="B202" t="str">
        <v>Selinder CISA type 08510 ex CISA</v>
      </c>
      <c r="I202">
        <v>1</v>
      </c>
      <c r="J202" t="str">
        <v>bh</v>
      </c>
      <c r="K202">
        <f>SNI!L834</f>
        <v>299800</v>
      </c>
      <c r="L202">
        <f>I202*K202</f>
        <v>299800</v>
      </c>
    </row>
    <row r="203">
      <c r="B203" t="str">
        <v>Door Stoper</v>
      </c>
      <c r="I203">
        <v>1</v>
      </c>
      <c r="J203" t="str">
        <v>bh</v>
      </c>
      <c r="K203">
        <f>SNI!L848</f>
        <v>315300</v>
      </c>
      <c r="L203">
        <f>I203*K203</f>
        <v>315300</v>
      </c>
    </row>
    <row r="204">
      <c r="B204" t="str">
        <v>Door closer</v>
      </c>
      <c r="I204">
        <v>1</v>
      </c>
      <c r="J204" t="str">
        <v>bh</v>
      </c>
      <c r="K204">
        <f>SNI!L855</f>
        <v>535300</v>
      </c>
      <c r="L204">
        <f>I204*K204</f>
        <v>535300</v>
      </c>
    </row>
    <row r="205">
      <c r="B205" t="str">
        <v>Slot pengunci</v>
      </c>
      <c r="D205">
        <v>1</v>
      </c>
      <c r="I205">
        <f>D205</f>
        <v>1</v>
      </c>
      <c r="J205" t="str">
        <v>set</v>
      </c>
      <c r="K205">
        <f>K23</f>
        <v>99300</v>
      </c>
      <c r="L205">
        <f>I205*K205</f>
        <v>99300</v>
      </c>
    </row>
    <row r="206">
      <c r="K206" t="str">
        <v>jumlah</v>
      </c>
      <c r="L206">
        <f>SUM(L195:L205)</f>
        <v>3496004</v>
      </c>
    </row>
    <row r="207">
      <c r="K207" t="str">
        <v>di bulatkan</v>
      </c>
      <c r="L207">
        <f>ROUND(L206,-2)</f>
        <v>3496000</v>
      </c>
    </row>
    <row r="209">
      <c r="A209">
        <f>A192+1</f>
        <v>2</v>
      </c>
      <c r="B209" t="str">
        <v>P 1 B</v>
      </c>
    </row>
    <row r="210">
      <c r="B210" t="str">
        <v>Kusen &amp; Pintu PVC toilet</v>
      </c>
      <c r="D210">
        <v>1</v>
      </c>
      <c r="H210">
        <v>1</v>
      </c>
      <c r="I210">
        <v>1</v>
      </c>
      <c r="J210" t="str">
        <v>unit</v>
      </c>
      <c r="K210">
        <f>SNI!L648</f>
        <v>970600</v>
      </c>
      <c r="L210">
        <f>I210*K210</f>
        <v>970600</v>
      </c>
    </row>
    <row r="211">
      <c r="K211" t="str">
        <v>jumlah</v>
      </c>
      <c r="L211">
        <f>SUM(L210:L210)</f>
        <v>970600</v>
      </c>
    </row>
    <row r="212">
      <c r="K212" t="str">
        <v>di bulatkan</v>
      </c>
      <c r="L212">
        <f>ROUND(L211,-2)</f>
        <v>970600</v>
      </c>
    </row>
    <row r="214">
      <c r="A214">
        <f>A209+1</f>
        <v>3</v>
      </c>
      <c r="B214" t="str">
        <v>P 1 C</v>
      </c>
    </row>
    <row r="215">
      <c r="B215" t="str">
        <v>Kusen &amp; Pintu PVC toilet</v>
      </c>
      <c r="D215">
        <v>1</v>
      </c>
      <c r="H215">
        <v>1</v>
      </c>
      <c r="I215">
        <v>1</v>
      </c>
      <c r="J215" t="str">
        <v>unit</v>
      </c>
      <c r="K215">
        <f>SNI!L648</f>
        <v>970600</v>
      </c>
      <c r="L215">
        <f>I215*K215</f>
        <v>970600</v>
      </c>
    </row>
    <row r="216">
      <c r="K216" t="str">
        <v>jumlah</v>
      </c>
      <c r="L216">
        <f>SUM(L215:L215)</f>
        <v>970600</v>
      </c>
    </row>
    <row r="217">
      <c r="K217" t="str">
        <v>di bulatkan</v>
      </c>
      <c r="L217">
        <f>ROUND(L216,-2)</f>
        <v>970600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97700</v>
      </c>
      <c r="L222">
        <f>I222*K222</f>
        <v>863668</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96100</v>
      </c>
      <c r="L225">
        <f>I225*K225</f>
        <v>745736</v>
      </c>
    </row>
    <row r="226">
      <c r="B226" t="str">
        <v>Kaca 8 mm</v>
      </c>
      <c r="D226">
        <v>2.4</v>
      </c>
      <c r="E226">
        <v>1.8</v>
      </c>
      <c r="H226">
        <v>1</v>
      </c>
      <c r="I226">
        <f>D226*E226*H226</f>
        <v>4.32</v>
      </c>
      <c r="J226" t="str">
        <v>m2</v>
      </c>
      <c r="K226">
        <f>K199</f>
        <v>162600</v>
      </c>
      <c r="L226">
        <f>I226*K226</f>
        <v>702432</v>
      </c>
    </row>
    <row r="227">
      <c r="B227" t="str">
        <v>Engsel 4"</v>
      </c>
      <c r="I227">
        <v>3</v>
      </c>
      <c r="J227" t="str">
        <v>bh</v>
      </c>
      <c r="K227">
        <f>K200</f>
        <v>24900</v>
      </c>
      <c r="L227">
        <f>I227*K227</f>
        <v>74700</v>
      </c>
    </row>
    <row r="228">
      <c r="B228" t="str">
        <v>Handle pintu type HRE 75.01 ex CISA</v>
      </c>
      <c r="I228">
        <v>1</v>
      </c>
      <c r="J228" t="str">
        <v>bh</v>
      </c>
      <c r="K228">
        <f>K201</f>
        <v>311900</v>
      </c>
      <c r="L228">
        <f>I228*K228</f>
        <v>311900</v>
      </c>
    </row>
    <row r="229">
      <c r="B229" t="str">
        <v>Selinder CISA type 08510 ex CISA</v>
      </c>
      <c r="I229">
        <v>1</v>
      </c>
      <c r="J229" t="str">
        <v>bh</v>
      </c>
      <c r="K229">
        <f>K202</f>
        <v>299800</v>
      </c>
      <c r="L229">
        <f>I229*K229</f>
        <v>299800</v>
      </c>
    </row>
    <row r="230">
      <c r="B230" t="str">
        <v>Door Stoper</v>
      </c>
      <c r="I230">
        <v>1</v>
      </c>
      <c r="J230" t="str">
        <v>bh</v>
      </c>
      <c r="K230">
        <f>K203</f>
        <v>315300</v>
      </c>
      <c r="L230">
        <f>I230*K230</f>
        <v>315300</v>
      </c>
    </row>
    <row r="231">
      <c r="B231" t="str">
        <v>Door closer</v>
      </c>
      <c r="I231">
        <v>1</v>
      </c>
      <c r="J231" t="str">
        <v>bh</v>
      </c>
      <c r="L231">
        <f>I231*K231</f>
        <v>0</v>
      </c>
    </row>
    <row r="232">
      <c r="B232" t="str">
        <v>Slot pengunci</v>
      </c>
      <c r="D232">
        <v>1</v>
      </c>
      <c r="I232">
        <f>D232</f>
        <v>1</v>
      </c>
      <c r="J232" t="str">
        <v>set</v>
      </c>
      <c r="K232">
        <f>K205</f>
        <v>99300</v>
      </c>
      <c r="L232">
        <f>I232*K232</f>
        <v>99300</v>
      </c>
    </row>
    <row r="233">
      <c r="K233" t="str">
        <v>jumlah</v>
      </c>
      <c r="L233">
        <f>SUM(L219:L232)</f>
        <v>3412836</v>
      </c>
    </row>
    <row r="234">
      <c r="K234" t="str">
        <v>di bulatkan</v>
      </c>
      <c r="L234">
        <f>ROUND(L233,-2)</f>
        <v>3412800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97700</v>
      </c>
      <c r="L242">
        <f>I242*K242</f>
        <v>1742968</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96100</v>
      </c>
      <c r="L247">
        <f>I247*K247</f>
        <v>1825900</v>
      </c>
    </row>
    <row r="248">
      <c r="B248" t="str">
        <v>Kaca 8 mm</v>
      </c>
      <c r="D248">
        <v>2.4</v>
      </c>
      <c r="E248">
        <v>1.8</v>
      </c>
      <c r="H248">
        <v>1</v>
      </c>
      <c r="I248">
        <f>D248*E248*H248</f>
        <v>4.32</v>
      </c>
      <c r="J248" t="str">
        <v>m2</v>
      </c>
      <c r="K248">
        <f>K226</f>
        <v>162600</v>
      </c>
      <c r="L248">
        <f>I248*K248</f>
        <v>702432</v>
      </c>
    </row>
    <row r="249">
      <c r="D249">
        <v>0.6</v>
      </c>
      <c r="E249">
        <v>2.3</v>
      </c>
      <c r="H249">
        <v>2</v>
      </c>
      <c r="I249">
        <f>D249*E249*H249</f>
        <v>2.76</v>
      </c>
      <c r="J249" t="str">
        <v>m2</v>
      </c>
      <c r="K249">
        <f>K248</f>
        <v>162600</v>
      </c>
      <c r="L249">
        <f>I249*K249</f>
        <v>448775.99999999994</v>
      </c>
    </row>
    <row r="250">
      <c r="B250" t="str">
        <v>Engsel 4"</v>
      </c>
      <c r="I250">
        <v>3</v>
      </c>
      <c r="J250" t="str">
        <v>bh</v>
      </c>
      <c r="K250">
        <f>K200</f>
        <v>24900</v>
      </c>
      <c r="L250">
        <f>I250*K250</f>
        <v>74700</v>
      </c>
    </row>
    <row r="251">
      <c r="B251" t="str">
        <v>Handle pintu type HRE 75.01 ex CISA</v>
      </c>
      <c r="I251">
        <v>1</v>
      </c>
      <c r="J251" t="str">
        <v>bh</v>
      </c>
      <c r="K251">
        <f>K201</f>
        <v>311900</v>
      </c>
      <c r="L251">
        <f>I251*K251</f>
        <v>311900</v>
      </c>
    </row>
    <row r="252">
      <c r="B252" t="str">
        <v>Selinder CISA type 08510 ex CISA</v>
      </c>
      <c r="I252">
        <v>1</v>
      </c>
      <c r="J252" t="str">
        <v>bh</v>
      </c>
      <c r="K252">
        <f>K202</f>
        <v>299800</v>
      </c>
      <c r="L252">
        <f>I252*K252</f>
        <v>299800</v>
      </c>
    </row>
    <row r="253">
      <c r="B253" t="str">
        <v>Slot pengunci</v>
      </c>
      <c r="D253">
        <v>1</v>
      </c>
      <c r="I253">
        <f>D253</f>
        <v>1</v>
      </c>
      <c r="J253" t="str">
        <v>set</v>
      </c>
      <c r="K253">
        <f>K205</f>
        <v>99300</v>
      </c>
      <c r="L253">
        <f>I253*K253</f>
        <v>99300</v>
      </c>
    </row>
    <row r="254">
      <c r="K254" t="str">
        <v>jumlah</v>
      </c>
      <c r="L254">
        <f>SUM(L241:L253)</f>
        <v>5505776</v>
      </c>
    </row>
    <row r="255">
      <c r="K255" t="str">
        <v>di bulatkan</v>
      </c>
      <c r="L255">
        <f>ROUND(L254,-2)</f>
        <v>5505800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97700</v>
      </c>
      <c r="L260">
        <f>I260*K260</f>
        <v>418156</v>
      </c>
    </row>
    <row r="261">
      <c r="B261" t="str">
        <v>Alumunium standart 3" CA rangka daun jendela</v>
      </c>
      <c r="D261">
        <v>0.6</v>
      </c>
      <c r="H261">
        <v>4</v>
      </c>
      <c r="I261">
        <f>D261*H261</f>
        <v>2.4</v>
      </c>
    </row>
    <row r="262">
      <c r="D262">
        <v>0.45</v>
      </c>
      <c r="H262">
        <v>4</v>
      </c>
      <c r="I262">
        <f>D262*H262</f>
        <v>1.8</v>
      </c>
    </row>
    <row r="263">
      <c r="I263">
        <f>I261+I262</f>
        <v>4.2</v>
      </c>
      <c r="J263" t="str">
        <v>m1</v>
      </c>
      <c r="K263">
        <f>K247</f>
        <v>96100</v>
      </c>
      <c r="L263">
        <f>I263*K263</f>
        <v>403620</v>
      </c>
    </row>
    <row r="264">
      <c r="B264" t="str">
        <v>Kaca 8 mm</v>
      </c>
      <c r="D264">
        <v>0.62</v>
      </c>
      <c r="E264">
        <v>0.45</v>
      </c>
      <c r="H264">
        <v>2</v>
      </c>
      <c r="I264">
        <f>D264*E264*H264</f>
        <v>0.558</v>
      </c>
      <c r="J264" t="str">
        <v>m2</v>
      </c>
      <c r="K264">
        <f>K249</f>
        <v>162600</v>
      </c>
      <c r="L264">
        <f>I264*K264</f>
        <v>90730.8</v>
      </c>
    </row>
    <row r="265">
      <c r="B265" t="str">
        <v>Grendel</v>
      </c>
      <c r="D265">
        <v>2</v>
      </c>
      <c r="I265">
        <f>D265</f>
        <v>2</v>
      </c>
      <c r="J265" t="str">
        <v>set</v>
      </c>
      <c r="K265">
        <f>K85</f>
        <v>25000</v>
      </c>
      <c r="L265">
        <f>I265*K265</f>
        <v>50000</v>
      </c>
    </row>
    <row r="266">
      <c r="B266" t="str">
        <v>Kait angin</v>
      </c>
      <c r="D266">
        <v>2</v>
      </c>
      <c r="I266">
        <f>D266</f>
        <v>2</v>
      </c>
      <c r="J266" t="str">
        <v>set</v>
      </c>
      <c r="K266">
        <f>K86</f>
        <v>5000</v>
      </c>
      <c r="L266">
        <f>I266*K266</f>
        <v>10000</v>
      </c>
    </row>
    <row r="267">
      <c r="K267" t="str">
        <v>jumlah</v>
      </c>
      <c r="L267">
        <f>SUM(L259:L266)</f>
        <v>972506.8</v>
      </c>
    </row>
    <row r="268">
      <c r="K268" t="str">
        <v>di bulatkan</v>
      </c>
      <c r="L268">
        <f>ROUND(L267,-2)</f>
        <v>972500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97700</v>
      </c>
      <c r="L273">
        <f>I273*K273</f>
        <v>498269.99999999994</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70000</v>
      </c>
      <c r="L276">
        <f>I276*K276</f>
        <v>392000</v>
      </c>
    </row>
    <row r="277">
      <c r="B277" t="str">
        <v>Kaca 8 mm</v>
      </c>
      <c r="D277">
        <v>1.6</v>
      </c>
      <c r="E277">
        <v>0.6</v>
      </c>
      <c r="H277">
        <v>1</v>
      </c>
      <c r="I277">
        <f>D277*E277*H277</f>
        <v>0.96</v>
      </c>
      <c r="J277" t="str">
        <v>m2</v>
      </c>
      <c r="K277">
        <f>K264</f>
        <v>162600</v>
      </c>
      <c r="L277">
        <f>I277*K277</f>
        <v>156096</v>
      </c>
    </row>
    <row r="278">
      <c r="B278" t="str">
        <v>Grendel</v>
      </c>
      <c r="D278">
        <v>2</v>
      </c>
      <c r="I278">
        <f>D278</f>
        <v>2</v>
      </c>
      <c r="J278" t="str">
        <v>set</v>
      </c>
      <c r="K278">
        <f>K265</f>
        <v>25000</v>
      </c>
      <c r="L278">
        <f>I278*K278</f>
        <v>50000</v>
      </c>
    </row>
    <row r="279">
      <c r="B279" t="str">
        <v>Kait angin</v>
      </c>
      <c r="D279">
        <v>2</v>
      </c>
      <c r="I279">
        <f>D279</f>
        <v>2</v>
      </c>
      <c r="J279" t="str">
        <v>set</v>
      </c>
      <c r="K279">
        <f>K266</f>
        <v>5000</v>
      </c>
      <c r="L279">
        <f>I279*K279</f>
        <v>10000</v>
      </c>
    </row>
    <row r="280">
      <c r="K280" t="str">
        <v>jumlah</v>
      </c>
      <c r="L280">
        <f>SUM(L272:L279)</f>
        <v>1106366</v>
      </c>
    </row>
    <row r="281">
      <c r="K281" t="str">
        <v>di bulatkan</v>
      </c>
      <c r="L281">
        <f>ROUND(L280,-2)</f>
        <v>1106400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97700</v>
      </c>
      <c r="L285">
        <f>I285*K285</f>
        <v>568614</v>
      </c>
    </row>
    <row r="286">
      <c r="B286" t="str">
        <v>Alumunium standart 3" CA rangka daun jendela</v>
      </c>
      <c r="D286">
        <v>1.67</v>
      </c>
      <c r="H286">
        <v>2</v>
      </c>
      <c r="I286">
        <f>D286*H286</f>
        <v>3.34</v>
      </c>
    </row>
    <row r="287">
      <c r="D287">
        <v>0.6</v>
      </c>
      <c r="H287">
        <v>4</v>
      </c>
      <c r="I287">
        <f>D287*H287</f>
        <v>2.4</v>
      </c>
    </row>
    <row r="288">
      <c r="I288">
        <f>I286+I287</f>
        <v>5.74</v>
      </c>
      <c r="J288" t="str">
        <v>m1</v>
      </c>
      <c r="K288">
        <f>K276</f>
        <v>70000</v>
      </c>
      <c r="L288">
        <f>I288*K288</f>
        <v>401800</v>
      </c>
    </row>
    <row r="289">
      <c r="B289" t="str">
        <v>Kaca 8 mm</v>
      </c>
      <c r="D289">
        <v>1.6</v>
      </c>
      <c r="E289">
        <v>0.6</v>
      </c>
      <c r="H289">
        <v>1</v>
      </c>
      <c r="I289">
        <f>D289*E289*H289</f>
        <v>0.96</v>
      </c>
      <c r="J289" t="str">
        <v>m2</v>
      </c>
      <c r="K289">
        <f>K277</f>
        <v>162600</v>
      </c>
      <c r="L289">
        <f>I289*K289</f>
        <v>156096</v>
      </c>
    </row>
    <row r="290">
      <c r="B290" t="str">
        <v>Grendel</v>
      </c>
      <c r="D290">
        <v>2</v>
      </c>
      <c r="I290">
        <f>D290</f>
        <v>2</v>
      </c>
      <c r="J290" t="str">
        <v>set</v>
      </c>
      <c r="K290">
        <f>K278</f>
        <v>25000</v>
      </c>
      <c r="L290">
        <f>I290*K290</f>
        <v>50000</v>
      </c>
    </row>
    <row r="291">
      <c r="B291" t="str">
        <v>Kait angin</v>
      </c>
      <c r="D291">
        <v>2</v>
      </c>
      <c r="I291">
        <f>D291</f>
        <v>2</v>
      </c>
      <c r="J291" t="str">
        <v>set</v>
      </c>
      <c r="K291">
        <f>K279</f>
        <v>5000</v>
      </c>
      <c r="L291">
        <f>I291*K291</f>
        <v>10000</v>
      </c>
    </row>
    <row r="292">
      <c r="K292" t="str">
        <v>jumlah</v>
      </c>
      <c r="L292">
        <f>SUM(L284:L291)</f>
        <v>1186510</v>
      </c>
    </row>
    <row r="293">
      <c r="K293" t="str">
        <v>di bulatkan</v>
      </c>
      <c r="L293">
        <f>SUM(L285:L291)</f>
        <v>1186510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97700</v>
      </c>
      <c r="L298">
        <f>I298*K298</f>
        <v>885162</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70000</v>
      </c>
      <c r="L301">
        <f>I301*K301</f>
        <v>845600</v>
      </c>
    </row>
    <row r="302">
      <c r="B302" t="str">
        <v>Kaca 8 mm</v>
      </c>
      <c r="D302">
        <v>1.6</v>
      </c>
      <c r="E302">
        <v>1.3</v>
      </c>
      <c r="H302">
        <v>1</v>
      </c>
      <c r="I302">
        <f>D302*E302*H302</f>
        <v>2.08</v>
      </c>
      <c r="J302" t="str">
        <v>m2</v>
      </c>
      <c r="K302">
        <f>K289</f>
        <v>162600</v>
      </c>
      <c r="L302">
        <f>I302*K302</f>
        <v>338208</v>
      </c>
    </row>
    <row r="303">
      <c r="B303" t="str">
        <v>Grendel</v>
      </c>
      <c r="D303">
        <v>4</v>
      </c>
      <c r="I303">
        <f>D303</f>
        <v>4</v>
      </c>
      <c r="J303" t="str">
        <v>set</v>
      </c>
      <c r="K303">
        <f>K290</f>
        <v>25000</v>
      </c>
      <c r="L303">
        <f>I303*K303</f>
        <v>100000</v>
      </c>
    </row>
    <row r="304">
      <c r="B304" t="str">
        <v>Kait angin</v>
      </c>
      <c r="D304">
        <v>4</v>
      </c>
      <c r="I304">
        <f>D304</f>
        <v>4</v>
      </c>
      <c r="J304" t="str">
        <v>set</v>
      </c>
      <c r="K304">
        <f>K291</f>
        <v>5000</v>
      </c>
      <c r="L304">
        <f>I304*K304</f>
        <v>20000</v>
      </c>
    </row>
    <row r="305">
      <c r="K305" t="str">
        <v>jumlah</v>
      </c>
      <c r="L305">
        <f>SUM(L297:L304)</f>
        <v>2188970</v>
      </c>
    </row>
    <row r="306">
      <c r="K306" t="str">
        <v>di bulatkan</v>
      </c>
      <c r="L306">
        <f>ROUND(L305,-2)</f>
        <v>2189000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97700</v>
      </c>
      <c r="L310">
        <f>I310*K310</f>
        <v>996540.0000000001</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70000</v>
      </c>
      <c r="L313">
        <f>I313*K313</f>
        <v>714000.0000000001</v>
      </c>
    </row>
    <row r="314">
      <c r="B314" t="str">
        <v>Kaca 8 mm</v>
      </c>
      <c r="D314">
        <v>1.6</v>
      </c>
      <c r="E314">
        <v>1.3</v>
      </c>
      <c r="H314">
        <v>1</v>
      </c>
      <c r="I314">
        <f>D314*E314*H314</f>
        <v>2.08</v>
      </c>
      <c r="J314" t="str">
        <v>m2</v>
      </c>
      <c r="K314">
        <f>K302</f>
        <v>162600</v>
      </c>
      <c r="L314">
        <f>I314*K314</f>
        <v>338208</v>
      </c>
    </row>
    <row r="315">
      <c r="B315" t="str">
        <v>Grendel</v>
      </c>
      <c r="D315">
        <v>4</v>
      </c>
      <c r="I315">
        <f>D315</f>
        <v>4</v>
      </c>
      <c r="J315" t="str">
        <v>set</v>
      </c>
      <c r="K315">
        <f>K303</f>
        <v>25000</v>
      </c>
      <c r="L315">
        <f>I315*K315</f>
        <v>100000</v>
      </c>
    </row>
    <row r="316">
      <c r="B316" t="str">
        <v>Kait angin</v>
      </c>
      <c r="D316">
        <v>4</v>
      </c>
      <c r="I316">
        <f>D316</f>
        <v>4</v>
      </c>
      <c r="J316" t="str">
        <v>set</v>
      </c>
      <c r="K316">
        <f>K291</f>
        <v>5000</v>
      </c>
      <c r="L316">
        <f>I316*K316</f>
        <v>20000</v>
      </c>
    </row>
    <row r="317">
      <c r="K317" t="str">
        <v>jumlah</v>
      </c>
      <c r="L317">
        <f>SUM(L309:L316)</f>
        <v>2168748</v>
      </c>
    </row>
    <row r="318">
      <c r="K318" t="str">
        <v>di bulatkan</v>
      </c>
      <c r="L318">
        <f>ROUND(L317,-2)</f>
        <v>2168700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97700</v>
      </c>
      <c r="L323">
        <f>I323*K323</f>
        <v>1238836</v>
      </c>
    </row>
    <row r="324">
      <c r="B324" t="str">
        <v>Alumunium standart 3" CA rangka daun jendela</v>
      </c>
      <c r="D324">
        <v>1.67</v>
      </c>
      <c r="H324">
        <v>6</v>
      </c>
      <c r="I324">
        <f>D324*H324</f>
        <v>10.02</v>
      </c>
    </row>
    <row r="325">
      <c r="D325">
        <v>2</v>
      </c>
      <c r="H325">
        <v>4</v>
      </c>
      <c r="I325">
        <f>D325*H325</f>
        <v>8</v>
      </c>
    </row>
    <row r="326">
      <c r="I326">
        <f>I324+I325</f>
        <v>18.02</v>
      </c>
      <c r="J326" t="str">
        <v>m1</v>
      </c>
      <c r="K326">
        <f>K313</f>
        <v>70000</v>
      </c>
      <c r="L326">
        <f>I326*K326</f>
        <v>1261400</v>
      </c>
    </row>
    <row r="327">
      <c r="B327" t="str">
        <v>Kaca 8 mm</v>
      </c>
      <c r="D327">
        <v>1.6</v>
      </c>
      <c r="E327">
        <v>1.9</v>
      </c>
      <c r="H327">
        <v>1</v>
      </c>
      <c r="I327">
        <f>D327*E327*H327</f>
        <v>3.04</v>
      </c>
      <c r="J327" t="str">
        <v>m2</v>
      </c>
      <c r="K327">
        <f>K314</f>
        <v>162600</v>
      </c>
      <c r="L327">
        <f>I327*K327</f>
        <v>494304</v>
      </c>
    </row>
    <row r="328">
      <c r="B328" t="str">
        <v>Grendel</v>
      </c>
      <c r="D328">
        <v>6</v>
      </c>
      <c r="I328">
        <f>D328</f>
        <v>6</v>
      </c>
      <c r="J328" t="str">
        <v>set</v>
      </c>
      <c r="K328">
        <f>K315</f>
        <v>25000</v>
      </c>
      <c r="L328">
        <f>I328*K328</f>
        <v>150000</v>
      </c>
    </row>
    <row r="329">
      <c r="B329" t="str">
        <v>Kait angin</v>
      </c>
      <c r="D329">
        <v>6</v>
      </c>
      <c r="I329">
        <f>D329</f>
        <v>6</v>
      </c>
      <c r="J329" t="str">
        <v>set</v>
      </c>
      <c r="K329">
        <f>K304</f>
        <v>5000</v>
      </c>
      <c r="L329">
        <f>I329*K329</f>
        <v>30000</v>
      </c>
    </row>
    <row r="330">
      <c r="K330" t="str">
        <v>jumlah</v>
      </c>
      <c r="L330">
        <f>SUM(L321:L329)</f>
        <v>3174540</v>
      </c>
    </row>
    <row r="331">
      <c r="K331" t="str">
        <v>di bulatkan</v>
      </c>
      <c r="L331">
        <f>ROUND(L330,-2)</f>
        <v>3174500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97700</v>
      </c>
      <c r="L336">
        <f>I336*K336</f>
        <v>1719520.0000000002</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70000</v>
      </c>
      <c r="L339">
        <f>I339*K339</f>
        <v>434700</v>
      </c>
    </row>
    <row r="340">
      <c r="B340" t="str">
        <v>Kaca 8 mm</v>
      </c>
      <c r="D340">
        <v>1.8</v>
      </c>
      <c r="E340">
        <v>1.9</v>
      </c>
      <c r="H340">
        <v>1</v>
      </c>
      <c r="I340">
        <f>D340*E340*H340</f>
        <v>3.42</v>
      </c>
      <c r="J340" t="str">
        <v>m2</v>
      </c>
      <c r="K340">
        <f>K314</f>
        <v>162600</v>
      </c>
      <c r="L340">
        <f>I340*K340</f>
        <v>556092</v>
      </c>
    </row>
    <row r="341">
      <c r="B341" t="str">
        <v>Grendel</v>
      </c>
      <c r="D341">
        <v>6</v>
      </c>
      <c r="I341">
        <f>D341</f>
        <v>6</v>
      </c>
      <c r="J341" t="str">
        <v>set</v>
      </c>
      <c r="K341">
        <f>K328</f>
        <v>25000</v>
      </c>
      <c r="L341">
        <f>I341*K341</f>
        <v>150000</v>
      </c>
    </row>
    <row r="342">
      <c r="B342" t="str">
        <v>Kait angin</v>
      </c>
      <c r="D342">
        <v>6</v>
      </c>
      <c r="I342">
        <f>D342</f>
        <v>6</v>
      </c>
      <c r="J342" t="str">
        <v>set</v>
      </c>
      <c r="K342">
        <f>K329</f>
        <v>5000</v>
      </c>
      <c r="L342">
        <f>I342*K342</f>
        <v>30000</v>
      </c>
    </row>
    <row r="343">
      <c r="K343" t="str">
        <v>jumlah</v>
      </c>
      <c r="L343">
        <f>SUM(L335:L342)</f>
        <v>2890312</v>
      </c>
    </row>
    <row r="344">
      <c r="K344" t="str">
        <v>di bulatkan</v>
      </c>
      <c r="L344">
        <f>ROUND(L343,-2)</f>
        <v>2890300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97700</v>
      </c>
      <c r="L348">
        <f>I348*K348</f>
        <v>1812334.9999999998</v>
      </c>
    </row>
    <row r="349">
      <c r="B349" t="str">
        <v>Kaca 8 mm</v>
      </c>
      <c r="D349">
        <v>1.6</v>
      </c>
      <c r="E349">
        <v>3.4</v>
      </c>
      <c r="H349">
        <v>1</v>
      </c>
      <c r="I349">
        <f>D349*E349*H349</f>
        <v>5.44</v>
      </c>
      <c r="J349" t="str">
        <v>m2</v>
      </c>
      <c r="K349">
        <f>K340</f>
        <v>162600</v>
      </c>
      <c r="L349">
        <f>I349*K349</f>
        <v>884544.0000000001</v>
      </c>
    </row>
    <row r="350">
      <c r="K350" t="str">
        <v>jumlah</v>
      </c>
      <c r="L350">
        <f>SUM(L348:L349)</f>
        <v>2696879</v>
      </c>
    </row>
    <row r="351">
      <c r="K351" t="str">
        <v>di bulatkan</v>
      </c>
      <c r="L351">
        <f>ROUND(L350,-2)</f>
        <v>2696900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97700</v>
      </c>
      <c r="L356">
        <f>I356*K356</f>
        <v>3693059.9999999995</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70000</v>
      </c>
      <c r="L359">
        <f>I359*K359</f>
        <v>1435000</v>
      </c>
    </row>
    <row r="360">
      <c r="B360" t="str">
        <v>Kaca 8 mm</v>
      </c>
      <c r="D360">
        <v>1.9</v>
      </c>
      <c r="E360">
        <v>4.5</v>
      </c>
      <c r="H360">
        <v>1</v>
      </c>
      <c r="I360">
        <f>D360*E360*H360</f>
        <v>8.549999999999999</v>
      </c>
      <c r="J360" t="str">
        <v>m2</v>
      </c>
      <c r="K360">
        <f>K340</f>
        <v>162600</v>
      </c>
      <c r="L360">
        <f>I360*K360</f>
        <v>1390229.9999999998</v>
      </c>
    </row>
    <row r="361">
      <c r="B361" t="str">
        <v>Grendel</v>
      </c>
      <c r="D361">
        <v>10</v>
      </c>
      <c r="I361">
        <f>D361</f>
        <v>10</v>
      </c>
      <c r="J361" t="str">
        <v>set</v>
      </c>
      <c r="K361">
        <f>K341</f>
        <v>25000</v>
      </c>
      <c r="L361">
        <f>I361*K361</f>
        <v>250000</v>
      </c>
    </row>
    <row r="362">
      <c r="B362" t="str">
        <v>Kait angin</v>
      </c>
      <c r="D362">
        <v>10</v>
      </c>
      <c r="I362">
        <f>D362</f>
        <v>10</v>
      </c>
      <c r="J362" t="str">
        <v>set</v>
      </c>
      <c r="K362">
        <f>K342</f>
        <v>5000</v>
      </c>
      <c r="L362">
        <f>I362*K362</f>
        <v>50000</v>
      </c>
    </row>
    <row r="363">
      <c r="K363" t="str">
        <v>jumlah</v>
      </c>
      <c r="L363">
        <f>SUM(L355:L362)</f>
        <v>6818290</v>
      </c>
    </row>
    <row r="364">
      <c r="K364" t="str">
        <v>di bulatkan</v>
      </c>
      <c r="L364">
        <f>ROUND(L363,-2)</f>
        <v>6818300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80"/>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80"/>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0.04383676247056543</v>
      </c>
    </row>
    <row r="5">
      <c r="A5" t="str">
        <f>A31</f>
        <v>A.1</v>
      </c>
      <c r="B5" t="str">
        <f>B31</f>
        <v xml:space="preserve">Pekerjaan Pondasi </v>
      </c>
      <c r="H5">
        <f>H38</f>
        <v>63465126.355</v>
      </c>
      <c r="I5">
        <f>H5/$H$18</f>
        <v>0.01721893504325497</v>
      </c>
      <c r="J5">
        <v>0.35</v>
      </c>
    </row>
    <row r="6">
      <c r="A6" t="str">
        <f>A39</f>
        <v>A.2</v>
      </c>
      <c r="B6" t="str">
        <f>B39</f>
        <v>Pekerjaan Struktur</v>
      </c>
      <c r="H6">
        <f>H59</f>
        <v>98107332.232</v>
      </c>
      <c r="I6">
        <f>H6/$H$18</f>
        <v>0.026617827427310458</v>
      </c>
      <c r="J6">
        <v>0.1</v>
      </c>
    </row>
    <row r="7">
      <c r="A7" t="str">
        <f>A61</f>
        <v>B</v>
      </c>
      <c r="B7" t="str">
        <f>B61</f>
        <v>PEKERJAAN ARSITEKTUR</v>
      </c>
      <c r="I7">
        <f>SUM(I8:I12)</f>
        <v>0.9147952081530417</v>
      </c>
      <c r="J7">
        <v>0.1</v>
      </c>
    </row>
    <row r="8">
      <c r="A8" t="str">
        <f>A62</f>
        <v>B.1</v>
      </c>
      <c r="B8" t="str">
        <f>B62</f>
        <v>Pekerjaan Lantai</v>
      </c>
      <c r="H8">
        <f>H68</f>
        <v>397910077.325</v>
      </c>
      <c r="I8">
        <f>H8/$H$18</f>
        <v>0.1079583098313007</v>
      </c>
      <c r="J8">
        <v>0.08</v>
      </c>
    </row>
    <row r="9">
      <c r="A9" t="str">
        <f>A69</f>
        <v>B.2</v>
      </c>
      <c r="B9" t="str">
        <f>B69</f>
        <v>Pekerjaan Dinding</v>
      </c>
      <c r="H9">
        <f>H75</f>
        <v>2719250143.96</v>
      </c>
      <c r="I9">
        <f>H9/$H$18</f>
        <v>0.7377688233582178</v>
      </c>
      <c r="J9">
        <v>0.1</v>
      </c>
    </row>
    <row r="10">
      <c r="A10" t="str">
        <f>A76</f>
        <v>B.3</v>
      </c>
      <c r="B10" t="str">
        <f>B76</f>
        <v>Pekerjaan Plafond</v>
      </c>
      <c r="H10">
        <f>H79</f>
        <v>39886194.00000001</v>
      </c>
      <c r="I10">
        <f>H10/$H$18</f>
        <v>0.010821656286745232</v>
      </c>
      <c r="J10">
        <v>0.08</v>
      </c>
    </row>
    <row r="11">
      <c r="A11" t="str">
        <f>A80</f>
        <v>B.4</v>
      </c>
      <c r="B11" t="str">
        <f>B80</f>
        <v>Pekerjaan Atap</v>
      </c>
      <c r="H11">
        <f>H86</f>
        <v>114057042.25</v>
      </c>
      <c r="I11">
        <f>H11/$H$18</f>
        <v>0.030945196433439574</v>
      </c>
      <c r="J11">
        <v>0.15</v>
      </c>
    </row>
    <row r="12">
      <c r="A12" t="str">
        <f>A87</f>
        <v>B.5</v>
      </c>
      <c r="B12" t="str">
        <f>B87</f>
        <v>Pekerjaan Kusen</v>
      </c>
      <c r="H12">
        <f>H102</f>
        <v>100626172</v>
      </c>
      <c r="I12">
        <f>H12/$H$18</f>
        <v>0.027301222243338308</v>
      </c>
    </row>
    <row r="13">
      <c r="A13" t="str">
        <f>A103</f>
        <v>C</v>
      </c>
      <c r="B13" t="str">
        <f>B103</f>
        <v>PEKERJAAN UTILITAS</v>
      </c>
      <c r="I13">
        <f>SUM(I14:I15)</f>
        <v>0.03383104099441155</v>
      </c>
    </row>
    <row r="14">
      <c r="A14" t="str">
        <f>A104</f>
        <v>C.1</v>
      </c>
      <c r="B14" t="str">
        <f>B104</f>
        <v>Pekerjaan Plumbing</v>
      </c>
      <c r="H14">
        <f>H145</f>
        <v>104736717</v>
      </c>
      <c r="I14">
        <f>H14/$H$18</f>
        <v>0.02841646791308557</v>
      </c>
    </row>
    <row r="15">
      <c r="A15" t="str">
        <f>A146</f>
        <v>C.2</v>
      </c>
      <c r="B15" t="str">
        <f>B146</f>
        <v>Pekerjaan Elektrikal</v>
      </c>
      <c r="H15">
        <f>H159</f>
        <v>19956900</v>
      </c>
      <c r="I15">
        <f>H15/$H$18</f>
        <v>0.005414573081325982</v>
      </c>
    </row>
    <row r="16">
      <c r="A16" t="str">
        <v>D.</v>
      </c>
      <c r="B16" t="str">
        <f>B160</f>
        <v>PEKERJAAN FINISHING</v>
      </c>
      <c r="H16">
        <f>H166</f>
        <v>27779646</v>
      </c>
      <c r="I16">
        <f>H16/$H$18</f>
        <v>0.00753698838198142</v>
      </c>
    </row>
    <row r="18">
      <c r="G18" t="str">
        <v>Jumlah Biaya Pekerjaan Standar ( a ) … Rp.</v>
      </c>
      <c r="H18">
        <f>SUM(H4:H16)</f>
        <v>3685775351.1219997</v>
      </c>
      <c r="I18">
        <f>SUM(I4,I7,I13,I16)</f>
        <v>1.0000000000000002</v>
      </c>
      <c r="J18">
        <v>613234395.694</v>
      </c>
    </row>
    <row r="19">
      <c r="G19" t="str">
        <v>PPN 10% ( b ) … Rp.</v>
      </c>
      <c r="H19">
        <f>0.1*H18</f>
        <v>368577535.1122</v>
      </c>
    </row>
    <row r="20">
      <c r="G20" t="str">
        <v xml:space="preserve"> '( c ) = ( a ) + ( b ) … Rp.</v>
      </c>
      <c r="H20">
        <f>H18+H19</f>
        <v>4054352886.2341995</v>
      </c>
    </row>
    <row r="21">
      <c r="G21" t="str">
        <v>Luas bangunan ( d ) … m2.</v>
      </c>
      <c r="H21">
        <v>238</v>
      </c>
      <c r="J21">
        <v>238</v>
      </c>
    </row>
    <row r="22">
      <c r="G22" t="str">
        <v>Harga bangunan untuk pekerjaan standar /m2 ( e ) = ( c ) / ( d ) … Rp.</v>
      </c>
      <c r="H22">
        <f>H20/H21</f>
        <v>17035096.1606479</v>
      </c>
      <c r="J22">
        <v>2576615.1079579834</v>
      </c>
    </row>
    <row r="23">
      <c r="G23" t="str">
        <v>Ijin Mendirikan Bangunan /m2 ( f ) … Rp.</v>
      </c>
      <c r="H23">
        <f>'Isi Data'!E171</f>
        <v>15000</v>
      </c>
    </row>
    <row r="24">
      <c r="G24" t="str">
        <v>(e) + (f) Dibulatkan... Rp.</v>
      </c>
      <c r="H24">
        <f>ROUND(H22+H23,-4)</f>
        <v>17050000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34400</v>
      </c>
      <c r="G32">
        <f>E32*F32</f>
        <v>3428991.9999999995</v>
      </c>
    </row>
    <row r="33">
      <c r="A33">
        <f>A32+1</f>
        <v>2</v>
      </c>
      <c r="B33" t="str">
        <v>Pas. Urugan pasir</v>
      </c>
      <c r="D33" t="str">
        <v>m3</v>
      </c>
      <c r="E33">
        <f>'QTY-GS'!N82</f>
        <v>6.23</v>
      </c>
      <c r="F33">
        <f>SUMIF(SNI!C$1:C$65536,'RAB - GS'!B$1:B$65536,SNI!L$1:L$65536)</f>
        <v>180500</v>
      </c>
      <c r="G33">
        <f>E33*F33</f>
        <v>1124515</v>
      </c>
    </row>
    <row r="34">
      <c r="A34">
        <f>A33+1</f>
        <v>3</v>
      </c>
      <c r="B34" t="str">
        <v>Aanstamping batu kali</v>
      </c>
      <c r="D34" t="str">
        <v>m3</v>
      </c>
      <c r="E34">
        <f>E35*0.33</f>
        <v>22.58685</v>
      </c>
      <c r="F34">
        <f>SUMIF(SNI!C$1:C$65536,'RAB - GS'!B$1:B$65536,SNI!L$1:L$65536)</f>
        <v>413200</v>
      </c>
      <c r="G34">
        <f>E34*F34</f>
        <v>9332886.42</v>
      </c>
    </row>
    <row r="35">
      <c r="A35">
        <f>A34+1</f>
        <v>4</v>
      </c>
      <c r="B35" t="str">
        <v>Pas. pondasi batu kali 1:4</v>
      </c>
      <c r="D35" t="str">
        <v>m3</v>
      </c>
      <c r="E35">
        <f>'QTY-GS'!N134</f>
        <v>68.445</v>
      </c>
      <c r="F35">
        <f>SUMIF(SNI!C$1:C$65536,'RAB - GS'!B$1:B$65536,SNI!L$1:L$65536)</f>
        <v>698700</v>
      </c>
      <c r="G35">
        <f>E35*F35</f>
        <v>47822521.49999999</v>
      </c>
    </row>
    <row r="36">
      <c r="A36">
        <f>A35+1</f>
        <v>5</v>
      </c>
      <c r="B36" t="str">
        <v>Urugan tanah kembali</v>
      </c>
      <c r="C36" t="str">
        <v>Sisi pondasi</v>
      </c>
      <c r="D36" t="str">
        <v>m3</v>
      </c>
      <c r="E36">
        <f>E32-E37+E34</f>
        <v>25.004999999999995</v>
      </c>
      <c r="F36">
        <f>SUMIF(SNI!C$1:C$65536,'RAB - GS'!B$1:B$65536,SNI!L$1:L$65536)</f>
        <v>11500</v>
      </c>
      <c r="G36">
        <f>E36*F36</f>
        <v>287557.49999999994</v>
      </c>
    </row>
    <row r="37">
      <c r="A37">
        <f>A36+1</f>
        <v>6</v>
      </c>
      <c r="B37" t="str">
        <v>Buang tanah</v>
      </c>
      <c r="C37" t="str">
        <v>Didalam site</v>
      </c>
      <c r="D37" t="str">
        <v>m3</v>
      </c>
      <c r="E37">
        <f>SUM(E33:E35)</f>
        <v>97.26185</v>
      </c>
      <c r="F37">
        <f>SUMIF(SNI!C$1:C$65536,'RAB - GS'!B$1:B$65536,SNI!L$1:L$65536)</f>
        <v>15100</v>
      </c>
      <c r="G37">
        <f>E37*F37</f>
        <v>1468653.9349999998</v>
      </c>
    </row>
    <row r="38">
      <c r="G38" t="str">
        <v>Jumlah A.1 .... Rp</v>
      </c>
      <c r="H38">
        <f>SUM(G32:G37)</f>
        <v>63465126.355</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269300</v>
      </c>
      <c r="G41">
        <f>E41*F41</f>
        <v>19174160.000000004</v>
      </c>
    </row>
    <row r="42">
      <c r="A42">
        <f>A41+1</f>
        <v>2</v>
      </c>
      <c r="B42" t="str">
        <v>Tulangan besi beton U-39</v>
      </c>
      <c r="D42" t="str">
        <v>kg</v>
      </c>
      <c r="E42">
        <f>'QTY-GS'!N189</f>
        <v>730.1119999999999</v>
      </c>
      <c r="F42">
        <f>SUMIF(SNI!C$1:C$65536,'RAB - GS'!B$1:B$65536,SNI!L$1:L$65536)</f>
        <v>15500</v>
      </c>
      <c r="G42">
        <f>E42*F42</f>
        <v>11316735.999999998</v>
      </c>
    </row>
    <row r="43">
      <c r="A43">
        <f>A42+1</f>
        <v>3</v>
      </c>
      <c r="B43" t="str">
        <v>Tulangan besi beton U-24</v>
      </c>
      <c r="D43" t="str">
        <v>kg</v>
      </c>
      <c r="E43">
        <f>'QTY-GS'!N216</f>
        <v>382.47439999999995</v>
      </c>
      <c r="F43">
        <f>SUMIF(SNI!C$1:C$65536,'RAB - GS'!B$1:B$65536,SNI!L$1:L$65536)</f>
        <v>12600</v>
      </c>
      <c r="G43">
        <f>E43*F43</f>
        <v>4819177.4399999995</v>
      </c>
    </row>
    <row r="44">
      <c r="A44">
        <f>A43+1</f>
        <v>4</v>
      </c>
      <c r="B44" t="str">
        <v>Beton K - 175</v>
      </c>
      <c r="D44" t="str">
        <v>m3</v>
      </c>
      <c r="E44">
        <f>'QTY-GS'!N162</f>
        <v>5.340000000000001</v>
      </c>
      <c r="F44">
        <f>SUMIF(SNI!C$1:C$65536,'RAB - GS'!B$1:B$65536,SNI!L$1:L$65536)</f>
        <v>834600</v>
      </c>
      <c r="G44">
        <f>E44*F44</f>
        <v>4456764.000000001</v>
      </c>
      <c r="H44">
        <f>SUM(G41:G44)</f>
        <v>39766837.44</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46600</v>
      </c>
      <c r="G46">
        <f>E46*F46</f>
        <v>3649712.0000000005</v>
      </c>
    </row>
    <row r="47">
      <c r="A47">
        <f>A46+1</f>
        <v>2</v>
      </c>
      <c r="B47" t="str">
        <v>Tulangan besi beton U-39</v>
      </c>
      <c r="D47" t="str">
        <v>kg</v>
      </c>
      <c r="E47">
        <f>'QTY-GS'!N264</f>
        <v>856.2944</v>
      </c>
      <c r="F47">
        <f>SUMIF(SNI!C$1:C$65536,'RAB - GS'!B$1:B$65536,SNI!L$1:L$65536)</f>
        <v>15500</v>
      </c>
      <c r="G47">
        <f>E47*F47</f>
        <v>13272563.2</v>
      </c>
    </row>
    <row r="48">
      <c r="A48">
        <f>A47+1</f>
        <v>3</v>
      </c>
      <c r="B48" t="str">
        <v>Tulangan besi beton U-24</v>
      </c>
      <c r="D48" t="str">
        <v>kg</v>
      </c>
      <c r="E48">
        <f>'QTY-GS'!N270</f>
        <v>494.37696</v>
      </c>
      <c r="F48">
        <f>SUMIF(SNI!C$1:C$65536,'RAB - GS'!B$1:B$65536,SNI!L$1:L$65536)</f>
        <v>12600</v>
      </c>
      <c r="G48">
        <f>E48*F48</f>
        <v>6229149.6959999995</v>
      </c>
    </row>
    <row r="49">
      <c r="A49">
        <f>A48+1</f>
        <v>4</v>
      </c>
      <c r="B49" t="str">
        <v>Beton K - 175</v>
      </c>
      <c r="D49" t="str">
        <v>m3</v>
      </c>
      <c r="E49">
        <f>'QTY-GS'!N258</f>
        <v>5.090800000000001</v>
      </c>
      <c r="F49">
        <f>SUMIF(SNI!C$1:C$65536,'RAB - GS'!B$1:B$65536,SNI!L$1:L$65536)</f>
        <v>834600</v>
      </c>
      <c r="G49">
        <f>E49*F49</f>
        <v>4248781.680000001</v>
      </c>
      <c r="H49">
        <f>SUM(G46:G49)</f>
        <v>27400206.575999998</v>
      </c>
    </row>
    <row r="50">
      <c r="A50" t="str">
        <v>A.2.3</v>
      </c>
      <c r="B50" t="str">
        <v>Pekerjaan Ringbalk</v>
      </c>
    </row>
    <row r="51">
      <c r="A51">
        <v>1</v>
      </c>
      <c r="B51" t="str">
        <v>Bekisting Praktis beton</v>
      </c>
      <c r="C51" t="str">
        <v>Kayu terentang</v>
      </c>
      <c r="D51" t="str">
        <v>m2</v>
      </c>
      <c r="E51">
        <f>'QTY-GS'!N399</f>
        <v>96.74000000000001</v>
      </c>
      <c r="F51">
        <f>SUMIF(SNI!C$1:C$65536,'RAB - GS'!B$1:B$65536,SNI!L$1:L$65536)</f>
        <v>46600</v>
      </c>
      <c r="G51">
        <f>E51*F51</f>
        <v>4508084</v>
      </c>
    </row>
    <row r="52">
      <c r="A52">
        <f>A51+1</f>
        <v>2</v>
      </c>
      <c r="B52" t="str">
        <v>Tulangan besi beton U-39</v>
      </c>
      <c r="D52" t="str">
        <v>kg</v>
      </c>
      <c r="E52">
        <f>'QTY-GS'!N339</f>
        <v>755.5072</v>
      </c>
      <c r="F52">
        <f>SUMIF(SNI!C$1:C$65536,'RAB - GS'!B$1:B$65536,SNI!L$1:L$65536)</f>
        <v>15500</v>
      </c>
      <c r="G52">
        <f>E52*F52</f>
        <v>11710361.6</v>
      </c>
    </row>
    <row r="53">
      <c r="A53">
        <f>A52+1</f>
        <v>3</v>
      </c>
      <c r="B53" t="str">
        <v>Tulangan besi beton U-24</v>
      </c>
      <c r="D53" t="str">
        <v>kg</v>
      </c>
      <c r="E53">
        <f>'QTY-GS'!N369</f>
        <v>478.57039999999984</v>
      </c>
      <c r="F53">
        <f>SUMIF(SNI!C$1:C$65536,'RAB - GS'!B$1:B$65536,SNI!L$1:L$65536)</f>
        <v>12600</v>
      </c>
      <c r="G53">
        <f>E53*F53</f>
        <v>6029987.039999998</v>
      </c>
    </row>
    <row r="54">
      <c r="A54">
        <f>A53+1</f>
        <v>4</v>
      </c>
      <c r="B54" t="str">
        <v>Beton K - 175</v>
      </c>
      <c r="D54" t="str">
        <v>m3</v>
      </c>
      <c r="E54">
        <f>'QTY-GS'!N309</f>
        <v>7.2075</v>
      </c>
      <c r="F54">
        <f>SUMIF(SNI!C$1:C$65536,'RAB - GS'!B$1:B$65536,SNI!L$1:L$65536)</f>
        <v>834600</v>
      </c>
      <c r="G54">
        <f>E54*F54</f>
        <v>6015379.5</v>
      </c>
      <c r="H54">
        <f>SUM(G51:G54)</f>
        <v>28263812.139999997</v>
      </c>
    </row>
    <row r="55">
      <c r="A55" t="str">
        <v>A.2.4</v>
      </c>
      <c r="B55" t="str">
        <v>Pekerjaan Plat lantai</v>
      </c>
    </row>
    <row r="56">
      <c r="A56">
        <v>1</v>
      </c>
      <c r="B56" t="str">
        <v>Bekisting beton plat lantai</v>
      </c>
      <c r="C56" t="str">
        <v>Kayu terentang</v>
      </c>
      <c r="D56" t="str">
        <v>m2</v>
      </c>
      <c r="E56">
        <f>'QTY-GS'!N410</f>
        <v>3</v>
      </c>
      <c r="F56">
        <f>SUMIF(SNI!C$1:C$65536,'RAB - GS'!B$1:B$65536,SNI!L$1:L$65536)</f>
        <v>531500</v>
      </c>
      <c r="G56">
        <f>E56*F56</f>
        <v>1594500</v>
      </c>
    </row>
    <row r="57">
      <c r="A57">
        <f>A56+1</f>
        <v>2</v>
      </c>
      <c r="B57" t="str">
        <v>Tulangan besi beton U-24</v>
      </c>
      <c r="D57" t="str">
        <v>kg</v>
      </c>
      <c r="E57">
        <f>'QTY-GS'!N406</f>
        <v>63.51576</v>
      </c>
      <c r="F57">
        <f>SUMIF(SNI!C$1:C$65536,'RAB - GS'!B$1:B$65536,SNI!L$1:L$65536)</f>
        <v>12600</v>
      </c>
      <c r="G57">
        <f>E57*F57</f>
        <v>800298.576</v>
      </c>
    </row>
    <row r="58">
      <c r="A58">
        <f>A57+1</f>
        <v>3</v>
      </c>
      <c r="B58" t="str">
        <v>Beton K - 175</v>
      </c>
      <c r="D58" t="str">
        <v>m3</v>
      </c>
      <c r="E58">
        <f>'QTY-GS'!N402</f>
        <v>0.3375</v>
      </c>
      <c r="F58">
        <f>SUMIF(SNI!C$1:C$65536,'RAB - GS'!B$1:B$65536,SNI!L$1:L$65536)</f>
        <v>834600</v>
      </c>
      <c r="G58">
        <f>E58*F58</f>
        <v>281677.5</v>
      </c>
      <c r="H58">
        <f>SUM(G56:G58)</f>
        <v>2676476.076</v>
      </c>
    </row>
    <row r="59">
      <c r="G59" t="str">
        <v>Jumlah A.2.... Rp</v>
      </c>
      <c r="H59">
        <f>SUM(G41:G58)</f>
        <v>98107332.232</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180500</v>
      </c>
      <c r="G63">
        <f>E63*F63</f>
        <v>3195747.085</v>
      </c>
    </row>
    <row r="64">
      <c r="A64">
        <f>A63+1</f>
        <v>2</v>
      </c>
      <c r="B64" t="str">
        <v>Pas. Lantai kerja beton tumbuk 1:3:5</v>
      </c>
      <c r="C64" t="str">
        <v>t. 5 cm</v>
      </c>
      <c r="D64" t="str">
        <v>m3</v>
      </c>
      <c r="E64">
        <f>'QTY-GS'!N571</f>
        <v>7.56</v>
      </c>
      <c r="F64">
        <f>SUMIF(SNI!C$1:C$65536,'RAB - GS'!B$1:B$65536,SNI!L$1:L$65536)</f>
        <v>53900</v>
      </c>
      <c r="G64">
        <f>E64*F64</f>
        <v>407484</v>
      </c>
    </row>
    <row r="65">
      <c r="A65">
        <f>A64+1</f>
        <v>3</v>
      </c>
      <c r="B65" t="str">
        <v>Pas. Lantai Keramik 300x300</v>
      </c>
      <c r="C65" t="str">
        <v>ex Masterina</v>
      </c>
      <c r="D65" t="str">
        <v>m2</v>
      </c>
      <c r="E65">
        <f>'QTY-GS'!N551</f>
        <v>243.4</v>
      </c>
      <c r="F65">
        <f>SUMIF(SNI!C$1:C$65536,'RAB - GS'!B$1:B$65536,SNI!L$1:L$65536)</f>
        <v>159100</v>
      </c>
      <c r="G65">
        <f>E65*F65</f>
        <v>38724940</v>
      </c>
    </row>
    <row r="66">
      <c r="A66">
        <f>A65+1</f>
        <v>4</v>
      </c>
      <c r="B66" t="str">
        <v>Pas. Rabat beton; finish acian</v>
      </c>
      <c r="C66" t="str">
        <v xml:space="preserve">Beton spesi 1 : 3 : 5 </v>
      </c>
      <c r="D66" t="str">
        <v>m2</v>
      </c>
      <c r="E66">
        <f>'QTY-GS'!N557</f>
        <v>54.869600000000005</v>
      </c>
      <c r="F66">
        <f>SUMIF(SNI!C$1:C$65536,'RAB - GS'!B$1:B$65536,SNI!L$1:L$65536)</f>
        <v>84400</v>
      </c>
      <c r="G66">
        <f>E66*F66</f>
        <v>4630994.24</v>
      </c>
    </row>
    <row r="67">
      <c r="A67">
        <f>A66+1</f>
        <v>5</v>
      </c>
      <c r="B67" t="str">
        <v>Pas. Dinding batu bata; ad 1:4</v>
      </c>
      <c r="C67" t="str">
        <v>Rolagh bata</v>
      </c>
      <c r="D67" t="str">
        <v>m</v>
      </c>
      <c r="E67">
        <f>'QTY-GS'!N619</f>
        <v>66.56</v>
      </c>
      <c r="F67">
        <f>SUMIF(SNI!C$1:C$65536,'RAB - GS'!B$1:B$65536,SNI!L$1:L$65536)</f>
        <v>5272700</v>
      </c>
      <c r="G67">
        <f>E67*F67</f>
        <v>350950912</v>
      </c>
    </row>
    <row r="68">
      <c r="G68" t="str">
        <v>Jumlah B.1.... Rp</v>
      </c>
      <c r="H68">
        <f>SUM(G63:G67)</f>
        <v>397910077.325</v>
      </c>
    </row>
    <row r="69">
      <c r="A69" t="str">
        <v>B.2</v>
      </c>
      <c r="B69" t="str">
        <v>Pekerjaan Dinding</v>
      </c>
    </row>
    <row r="70">
      <c r="A70">
        <v>1</v>
      </c>
      <c r="B70" t="str">
        <v>Pas. Dinding batu bata; ad 1:2</v>
      </c>
      <c r="C70" t="str">
        <v>Batu bata merah</v>
      </c>
      <c r="D70" t="str">
        <v>m2</v>
      </c>
      <c r="E70">
        <f>'QTY-GS'!N426</f>
        <v>21.5</v>
      </c>
      <c r="F70">
        <f>SUMIF(SNI!C$1:C$65536,'RAB - GS'!B$1:B$65536,SNI!L$1:L$65536)</f>
        <v>5281600</v>
      </c>
      <c r="G70">
        <f>E70*F70</f>
        <v>113554400</v>
      </c>
    </row>
    <row r="71">
      <c r="A71">
        <f>A70+1</f>
        <v>2</v>
      </c>
      <c r="B71" t="str">
        <v>Pas. Dinding batu bata; ad 1:4</v>
      </c>
      <c r="C71" t="str">
        <v>Batu bata merah</v>
      </c>
      <c r="D71" t="str">
        <v>m2</v>
      </c>
      <c r="E71">
        <f>'QTY-GS'!N481</f>
        <v>484.205</v>
      </c>
      <c r="F71">
        <f>SUMIF(SNI!C$1:C$65536,'RAB - GS'!B$1:B$65536,SNI!L$1:L$65536)</f>
        <v>5272700</v>
      </c>
      <c r="G71">
        <f>E71*F71</f>
        <v>2553067703.5</v>
      </c>
    </row>
    <row r="72">
      <c r="A72">
        <f>A71+1</f>
        <v>3</v>
      </c>
      <c r="B72" t="str">
        <v>Pas. Dinding partisi gypsumboard Rangka Kayu</v>
      </c>
      <c r="D72" t="str">
        <v>m2</v>
      </c>
      <c r="E72">
        <f>'QTY-GS'!N487</f>
        <v>28.5</v>
      </c>
      <c r="F72">
        <f>SUMIF(SNI!C$1:C$65536,'RAB - GS'!B$1:B$65536,SNI!L$1:L$65536)</f>
        <v>304400</v>
      </c>
      <c r="G72">
        <f>E72*F72</f>
        <v>8675400</v>
      </c>
    </row>
    <row r="73">
      <c r="A73">
        <f>A72+1</f>
        <v>4</v>
      </c>
      <c r="B73" t="str">
        <v>Pas. Dinding batu bata; ad 1:4</v>
      </c>
      <c r="C73" t="str">
        <v>Penebalan kolom</v>
      </c>
      <c r="D73" t="str">
        <v>m3</v>
      </c>
      <c r="E73">
        <f>'QTY-GS'!N491</f>
        <v>1.5997999999999999</v>
      </c>
      <c r="F73">
        <f>SUMIF(SNI!C$1:C$65536,'RAB - GS'!B$1:B$65536,SNI!L$1:L$65536)</f>
        <v>5272700</v>
      </c>
      <c r="G73">
        <f>E73*F73</f>
        <v>8435265.459999999</v>
      </c>
    </row>
    <row r="74">
      <c r="A74">
        <f>A73+1</f>
        <v>5</v>
      </c>
      <c r="B74" t="str">
        <v>Pas. Plester acian; ad. 1:4</v>
      </c>
      <c r="C74" t="str">
        <v>t. 15 mm; Interior</v>
      </c>
      <c r="D74" t="str">
        <v>m2</v>
      </c>
      <c r="E74">
        <f>'QTY-GS'!N504</f>
        <v>947.13</v>
      </c>
      <c r="F74">
        <f>SUMIF(SNI!C$1:C$65536,'RAB - GS'!B$1:B$65536,SNI!L$1:L$65536)</f>
        <v>37500</v>
      </c>
      <c r="G74">
        <f>E74*F74</f>
        <v>35517375</v>
      </c>
    </row>
    <row r="75">
      <c r="G75" t="str">
        <v>Jumlah B.2.... Rp</v>
      </c>
      <c r="H75">
        <f>SUM(G70:G74)</f>
        <v>2719250143.96</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87200</v>
      </c>
      <c r="G77">
        <f>E77*F77</f>
        <v>29252112.000000004</v>
      </c>
    </row>
    <row r="78">
      <c r="A78">
        <f>A77+1</f>
        <v>2</v>
      </c>
      <c r="B78" t="str">
        <v>Pas. Penutup Plafond Gypsumboard t. 9 mm</v>
      </c>
      <c r="C78" t="str">
        <v>ex Jayaboard</v>
      </c>
      <c r="D78" t="str">
        <v>m2</v>
      </c>
      <c r="E78">
        <f>E77</f>
        <v>335.46000000000004</v>
      </c>
      <c r="F78">
        <f>SUMIF(SNI!C$1:C$65536,'RAB - GS'!B$1:B$65536,SNI!L$1:L$65536)</f>
        <v>31700</v>
      </c>
      <c r="G78">
        <f>E78*F78</f>
        <v>10634082.000000002</v>
      </c>
    </row>
    <row r="79">
      <c r="G79" t="str">
        <v>Jumlah B.3.... Rp</v>
      </c>
      <c r="H79">
        <f>SUM(G77:G78)</f>
        <v>39886194.00000001</v>
      </c>
    </row>
    <row r="80">
      <c r="A80" t="str">
        <v>B.4</v>
      </c>
      <c r="B80" t="str">
        <v>Pekerjaan Atap</v>
      </c>
    </row>
    <row r="81">
      <c r="A81">
        <v>1</v>
      </c>
      <c r="B81" t="str">
        <v>Rangka atap baja ringan</v>
      </c>
      <c r="C81" t="str">
        <v>ex Smartruss</v>
      </c>
      <c r="D81" t="str">
        <v>m2</v>
      </c>
      <c r="E81">
        <f>'QTY-GS'!N650</f>
        <v>397.8675</v>
      </c>
      <c r="F81">
        <f>SUMIF(SNI!C$1:C$65536,'RAB - GS'!B$1:B$65536,SNI!L$1:L$65536)</f>
        <v>151800</v>
      </c>
      <c r="G81">
        <f>E81*F81</f>
        <v>60396286.5</v>
      </c>
    </row>
    <row r="82">
      <c r="A82">
        <f>A81+1</f>
        <v>2</v>
      </c>
      <c r="B82" t="str">
        <v xml:space="preserve">Penutup atap Genteng Keramik </v>
      </c>
      <c r="C82" t="str">
        <v>ex Jatiwangi</v>
      </c>
      <c r="D82" t="str">
        <v>m2</v>
      </c>
      <c r="E82">
        <f>'QTY-GS'!N652</f>
        <v>397.8675</v>
      </c>
      <c r="F82">
        <f>SUMIF(SNI!C$1:C$65536,'RAB - GS'!B$1:B$65536,SNI!L$1:L$65536)</f>
        <v>80900</v>
      </c>
      <c r="G82">
        <f>E82*F82</f>
        <v>32187480.75</v>
      </c>
    </row>
    <row r="83">
      <c r="A83">
        <f>A82+1</f>
        <v>3</v>
      </c>
      <c r="B83" t="str">
        <v>Bubungan Genteng Keramik</v>
      </c>
      <c r="C83" t="str">
        <v>ex Jatiwangi</v>
      </c>
      <c r="D83" t="str">
        <v>m</v>
      </c>
      <c r="E83">
        <f>'QTY-GS'!N663</f>
        <v>75.25</v>
      </c>
      <c r="F83">
        <f>SUMIF(SNI!C$1:C$65536,'RAB - GS'!B$1:B$65536,SNI!L$1:L$65536)</f>
        <v>85900</v>
      </c>
      <c r="G83">
        <f>E83*F83</f>
        <v>6463975</v>
      </c>
    </row>
    <row r="84">
      <c r="A84">
        <f>A83+1</f>
        <v>4</v>
      </c>
      <c r="B84" t="str">
        <v>Pas. Lisplank Kayu 3/20 mm</v>
      </c>
      <c r="C84" t="str">
        <v>Kayu kamper medan</v>
      </c>
      <c r="D84" t="str">
        <v>m</v>
      </c>
      <c r="E84">
        <f>'QTY-GS'!N673</f>
        <v>102.5</v>
      </c>
      <c r="F84">
        <f>SUMIF(SNI!C$1:C$65536,'RAB - GS'!B$1:B$65536,SNI!L$1:L$65536)</f>
        <v>101400</v>
      </c>
      <c r="G84">
        <f>E84*F84</f>
        <v>10393500</v>
      </c>
    </row>
    <row r="85">
      <c r="A85">
        <f>A84+1</f>
        <v>5</v>
      </c>
      <c r="B85" t="str">
        <v>Pas. Talang seng plat</v>
      </c>
      <c r="C85" t="str">
        <v>Seng bjls 35</v>
      </c>
      <c r="D85" t="str">
        <v>m</v>
      </c>
      <c r="E85">
        <f>'QTY-GS'!N656</f>
        <v>42</v>
      </c>
      <c r="F85">
        <f>SUMIF(SNI!C$1:C$65536,'RAB - GS'!B$1:B$65536,SNI!L$1:L$65536)</f>
        <v>109900</v>
      </c>
      <c r="G85">
        <f>E85*F85</f>
        <v>4615800</v>
      </c>
    </row>
    <row r="86">
      <c r="G86" t="str">
        <v>Jumlah B.4.... Rp</v>
      </c>
      <c r="H86">
        <f>SUM(G81:G85)</f>
        <v>114057042.25</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3609000</v>
      </c>
      <c r="G88">
        <f>E88*F88</f>
        <v>25263000</v>
      </c>
    </row>
    <row r="89">
      <c r="A89">
        <f>A88+1</f>
        <v>2</v>
      </c>
      <c r="B89" t="str">
        <f>+'QTY-GS'!B525</f>
        <v>Kusen pintu P2</v>
      </c>
      <c r="D89" t="str">
        <v>unit</v>
      </c>
      <c r="E89">
        <f>+'QTY-GS'!N525</f>
        <v>4</v>
      </c>
      <c r="F89">
        <f>'ANL-KUSEN GS'!L51</f>
        <v>2938700</v>
      </c>
      <c r="G89">
        <f>E89*F89</f>
        <v>11754800</v>
      </c>
    </row>
    <row r="90">
      <c r="A90">
        <f>A89+1</f>
        <v>3</v>
      </c>
      <c r="B90" t="str">
        <f>+'QTY-GS'!B526</f>
        <v>Kusen pintu P3</v>
      </c>
      <c r="D90" t="str">
        <v>unit</v>
      </c>
      <c r="E90">
        <f>+'QTY-GS'!N526</f>
        <v>3</v>
      </c>
      <c r="F90">
        <f>'ANL-KUSEN GS'!L56</f>
        <v>850000</v>
      </c>
      <c r="G90">
        <f>E90*F90</f>
        <v>2550000</v>
      </c>
    </row>
    <row r="91">
      <c r="A91">
        <f>A90+1</f>
        <v>4</v>
      </c>
      <c r="B91" t="str">
        <f>+'QTY-GS'!B527</f>
        <v>Kusen pintu P J 1</v>
      </c>
      <c r="D91" t="str">
        <v>unit</v>
      </c>
      <c r="E91">
        <f>+'QTY-GS'!N527</f>
        <v>1</v>
      </c>
      <c r="F91">
        <f>'ANL-KUSEN GS'!L81</f>
        <v>5835900</v>
      </c>
      <c r="G91">
        <f>E91*F91</f>
        <v>5835900</v>
      </c>
    </row>
    <row r="92">
      <c r="A92">
        <f>A91+1</f>
        <v>5</v>
      </c>
      <c r="B92" t="str">
        <f>+'QTY-GS'!B528</f>
        <v>Kusen pintu P J 2</v>
      </c>
      <c r="D92" t="str">
        <v>unit</v>
      </c>
      <c r="E92">
        <f>+'QTY-GS'!N528</f>
        <v>1</v>
      </c>
      <c r="F92">
        <f>'ANL-KUSEN GS'!L103</f>
        <v>3440200</v>
      </c>
      <c r="G92">
        <f>E92*F92</f>
        <v>3440200</v>
      </c>
    </row>
    <row r="93">
      <c r="A93">
        <f>A92+1</f>
        <v>6</v>
      </c>
      <c r="B93" t="str">
        <f>+'QTY-GS'!B529</f>
        <v>Kusen Pintu jendela J-1</v>
      </c>
      <c r="D93" t="str">
        <v>unit</v>
      </c>
      <c r="E93">
        <f>+'QTY-GS'!N529</f>
        <v>2</v>
      </c>
      <c r="F93">
        <f>'ANL-KUSEN GS'!L119</f>
        <v>3884600</v>
      </c>
      <c r="G93">
        <f>E93*F93</f>
        <v>7769200</v>
      </c>
    </row>
    <row r="94">
      <c r="A94">
        <f>A93+1</f>
        <v>7</v>
      </c>
      <c r="B94" t="str">
        <f>+'QTY-GS'!B530</f>
        <v>Kusen Pintu jendela J-2</v>
      </c>
      <c r="D94" t="str">
        <v>unit</v>
      </c>
      <c r="E94">
        <f>+'QTY-GS'!N530</f>
        <v>5</v>
      </c>
      <c r="F94">
        <f>'ANL-KUSEN GS'!L135</f>
        <v>4512400</v>
      </c>
      <c r="G94">
        <f>E94*F94</f>
        <v>22562000</v>
      </c>
    </row>
    <row r="95">
      <c r="A95">
        <f>A94+1</f>
        <v>8</v>
      </c>
      <c r="B95" t="str">
        <f>+'QTY-GS'!B531</f>
        <v>Kusen Pintu jendela J-3</v>
      </c>
      <c r="D95" t="str">
        <v>unit</v>
      </c>
      <c r="E95">
        <f>+'QTY-GS'!N531</f>
        <v>1</v>
      </c>
      <c r="F95">
        <f>'ANL-KUSEN GS'!L150</f>
        <v>2258072</v>
      </c>
      <c r="G95">
        <f>E95*F95</f>
        <v>2258072</v>
      </c>
    </row>
    <row r="96">
      <c r="A96">
        <f>A95+1</f>
        <v>9</v>
      </c>
      <c r="B96" t="str">
        <f>'QTY-GS'!B532</f>
        <v>Kusen Bovenlight BV1</v>
      </c>
      <c r="D96" t="str">
        <v>unit</v>
      </c>
      <c r="E96">
        <f>+'QTY-GS'!N532</f>
        <v>8</v>
      </c>
      <c r="F96">
        <f>'ANL-KUSEN GS'!L166</f>
        <v>625300</v>
      </c>
      <c r="G96">
        <f>E96*F96</f>
        <v>5002400</v>
      </c>
    </row>
    <row r="97">
      <c r="A97">
        <f>A96+1</f>
        <v>10</v>
      </c>
      <c r="B97" t="str">
        <f>'QTY-GS'!B533</f>
        <v>Kusen Bovenlight BV2</v>
      </c>
      <c r="D97" t="str">
        <v>unit</v>
      </c>
      <c r="E97">
        <f>+'QTY-GS'!N533</f>
        <v>3</v>
      </c>
      <c r="F97">
        <f>'ANL-KUSEN GS'!L181</f>
        <v>1028800</v>
      </c>
      <c r="G97">
        <f>E97*F97</f>
        <v>3086400</v>
      </c>
    </row>
    <row r="98">
      <c r="A98">
        <f>A97+1</f>
        <v>11</v>
      </c>
      <c r="B98" t="str">
        <f>'QTY-GS'!B534</f>
        <v>Kusen Bovenlight BV3</v>
      </c>
      <c r="D98" t="str">
        <v>unit</v>
      </c>
      <c r="E98">
        <f>+'QTY-GS'!N534</f>
        <v>3</v>
      </c>
      <c r="F98">
        <f>'ANL-KUSEN GS'!L197</f>
        <v>1559200</v>
      </c>
      <c r="G98">
        <f>E98*F98</f>
        <v>4677600</v>
      </c>
    </row>
    <row r="99">
      <c r="A99">
        <f>A98+1</f>
        <v>12</v>
      </c>
      <c r="B99" t="str">
        <f>'QTY-GS'!B535</f>
        <v>Bovenlight GR  1</v>
      </c>
      <c r="D99" t="str">
        <v>unit</v>
      </c>
      <c r="E99">
        <f>+'QTY-GS'!N535</f>
        <v>2</v>
      </c>
      <c r="F99">
        <f>F96</f>
        <v>625300</v>
      </c>
      <c r="G99">
        <f>E99*F99</f>
        <v>1250600</v>
      </c>
    </row>
    <row r="100">
      <c r="A100">
        <f>A99+1</f>
        <v>13</v>
      </c>
      <c r="B100" t="str">
        <f>'QTY-GS'!B536</f>
        <v>Bovenlight GR  2</v>
      </c>
      <c r="D100" t="str">
        <v>unit</v>
      </c>
      <c r="E100">
        <f>+'QTY-GS'!N536</f>
        <v>2</v>
      </c>
      <c r="F100">
        <f>F97</f>
        <v>1028800</v>
      </c>
      <c r="G100">
        <f>E100*F100</f>
        <v>2057600</v>
      </c>
    </row>
    <row r="101">
      <c r="A101">
        <f>A100+1</f>
        <v>14</v>
      </c>
      <c r="B101" t="str">
        <f>'QTY-GS'!B537</f>
        <v>Bovenlight GR  3</v>
      </c>
      <c r="D101" t="str">
        <v>unit</v>
      </c>
      <c r="E101">
        <f>+'QTY-GS'!N537</f>
        <v>2</v>
      </c>
      <c r="F101">
        <f>F98</f>
        <v>1559200</v>
      </c>
      <c r="G101">
        <f>E101*F101</f>
        <v>3118400</v>
      </c>
    </row>
    <row r="102">
      <c r="G102" t="str">
        <v>Jumlah B.5.... Rp</v>
      </c>
      <c r="H102">
        <f>SUM(G88:G101)</f>
        <v>100626172</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1264900</v>
      </c>
      <c r="G106">
        <f>E106*F106</f>
        <v>1264900</v>
      </c>
    </row>
    <row r="107">
      <c r="A107">
        <f>A106+1</f>
        <v>2</v>
      </c>
      <c r="B107" t="str">
        <v>Pas. Kloset Jongkok Keramik</v>
      </c>
      <c r="C107" t="str">
        <v>TOTO CE 7</v>
      </c>
      <c r="D107" t="str">
        <v>unit</v>
      </c>
      <c r="E107">
        <f>+'QTY-GS'!N677</f>
        <v>2</v>
      </c>
      <c r="F107">
        <f>SUMIF(SNI!C$1:C$65536,'RAB - GS'!B$1:B$65536,SNI!L$1:L$65536)</f>
        <v>220200</v>
      </c>
      <c r="G107">
        <f>E107*F107</f>
        <v>440400</v>
      </c>
    </row>
    <row r="108">
      <c r="A108">
        <f>A107+1</f>
        <v>3</v>
      </c>
      <c r="B108" t="str">
        <v>Pas. Floor Drain</v>
      </c>
      <c r="C108" t="str">
        <v>TOTO TX 1 BN</v>
      </c>
      <c r="D108" t="str">
        <v>bh</v>
      </c>
      <c r="E108">
        <f>+'QTY-GS'!N680</f>
        <v>3</v>
      </c>
      <c r="F108">
        <f>SUMIF(SNI!C$1:C$65536,'RAB - GS'!B$1:B$65536,SNI!L$1:L$65536)</f>
        <v>107500</v>
      </c>
      <c r="G108">
        <f>E108*F108</f>
        <v>322500</v>
      </c>
    </row>
    <row r="109">
      <c r="A109">
        <f>A108+1</f>
        <v>4</v>
      </c>
      <c r="B109" t="str">
        <v>Pas. Kran dinding</v>
      </c>
      <c r="C109" t="str">
        <v>TOTO T 23 B 13</v>
      </c>
      <c r="D109" t="str">
        <v>bh</v>
      </c>
      <c r="E109">
        <f>+'QTY-GS'!N681</f>
        <v>3</v>
      </c>
      <c r="F109">
        <f>SUMIF(SNI!C$1:C$65536,'RAB - GS'!B$1:B$65536,SNI!L$1:L$65536)</f>
        <v>133300</v>
      </c>
      <c r="G109">
        <f>E109*F109</f>
        <v>399900</v>
      </c>
    </row>
    <row r="110">
      <c r="A110">
        <f>A109+1</f>
        <v>5</v>
      </c>
      <c r="B110" t="str">
        <v>Pas. Bak Air Fiberglass</v>
      </c>
      <c r="C110" t="str">
        <v>Fibre glass</v>
      </c>
      <c r="D110" t="str">
        <v>bh</v>
      </c>
      <c r="E110">
        <f>+'QTY-GS'!N682</f>
        <v>1</v>
      </c>
      <c r="F110">
        <f>SUMIF(SNI!C$1:C$65536,'RAB - GS'!B$1:B$65536,SNI!L$1:L$65536)</f>
        <v>614200</v>
      </c>
      <c r="G110">
        <f>E110*F110</f>
        <v>614200</v>
      </c>
      <c r="H110">
        <f>SUM(G106:G110)</f>
        <v>3041900</v>
      </c>
    </row>
    <row r="111">
      <c r="A111" t="str">
        <v>C.1.2</v>
      </c>
      <c r="B111" t="str">
        <v>Pekerjaan Sumur Dalam</v>
      </c>
    </row>
    <row r="112">
      <c r="A112">
        <v>1</v>
      </c>
      <c r="B112" t="str">
        <v>Pengeboran Sumur</v>
      </c>
      <c r="D112" t="str">
        <v>m'</v>
      </c>
      <c r="E112">
        <v>24</v>
      </c>
      <c r="F112">
        <f>IF(F113=0,0,75000)</f>
        <v>75000</v>
      </c>
      <c r="G112">
        <f>E112*F112</f>
        <v>1800000</v>
      </c>
    </row>
    <row r="113">
      <c r="A113">
        <f>A112+1</f>
        <v>2</v>
      </c>
      <c r="B113" t="str">
        <v xml:space="preserve">Pipa PVC dia. 3" </v>
      </c>
      <c r="C113" t="str">
        <v>Casing; Wavin</v>
      </c>
      <c r="D113" t="str">
        <v>m'</v>
      </c>
      <c r="E113">
        <v>24</v>
      </c>
      <c r="F113">
        <f>SUMIF(SNI!C$1:C$65536,'RAB - GS'!B$1:B$65536,SNI!L$1:L$65536)</f>
        <v>66800</v>
      </c>
      <c r="G113">
        <f>E113*F113</f>
        <v>1603200</v>
      </c>
    </row>
    <row r="114">
      <c r="A114">
        <f>A113+1</f>
        <v>3</v>
      </c>
      <c r="B114" t="str">
        <v xml:space="preserve">Pipa PVC dia. 2" </v>
      </c>
      <c r="C114" t="str">
        <v>Casing; Wavin</v>
      </c>
      <c r="D114" t="str">
        <v>m'</v>
      </c>
      <c r="E114">
        <v>6</v>
      </c>
      <c r="F114">
        <f>SUMIF(SNI!C$1:C$65536,'RAB - GS'!B$1:B$65536,SNI!L$1:L$65536)</f>
        <v>35600</v>
      </c>
      <c r="G114">
        <f>E114*F114</f>
        <v>213600</v>
      </c>
    </row>
    <row r="115">
      <c r="A115">
        <f>A114+1</f>
        <v>4</v>
      </c>
      <c r="B115" t="str">
        <v xml:space="preserve">Pipa PVC dia. 3/4" </v>
      </c>
      <c r="C115" t="str">
        <v>ex Wavin</v>
      </c>
      <c r="D115" t="str">
        <v>m'</v>
      </c>
      <c r="E115">
        <v>24</v>
      </c>
      <c r="F115">
        <f>SUMIF(SNI!C$1:C$65536,'RAB - GS'!B$1:B$65536,SNI!L$1:L$65536)</f>
        <v>17600</v>
      </c>
      <c r="G115">
        <f>E115*F115</f>
        <v>422400</v>
      </c>
    </row>
    <row r="116">
      <c r="A116">
        <f>A115+1</f>
        <v>5</v>
      </c>
      <c r="B116" t="str">
        <v>Klep diameter 3/4"</v>
      </c>
      <c r="D116" t="str">
        <v>bh</v>
      </c>
      <c r="E116">
        <v>1</v>
      </c>
      <c r="F116">
        <f>SUMIF(SNI!C$1:C$65536,'RAB - GS'!B$1:B$65536,SNI!L$1:L$65536)</f>
        <v>65400</v>
      </c>
      <c r="G116">
        <f>E116*F116</f>
        <v>65400</v>
      </c>
    </row>
    <row r="117">
      <c r="A117">
        <f>A116+1</f>
        <v>6</v>
      </c>
      <c r="B117" t="str">
        <v>Stop kran dia. 1"</v>
      </c>
      <c r="D117" t="str">
        <v>bh</v>
      </c>
      <c r="E117">
        <v>1</v>
      </c>
      <c r="F117">
        <f>SUMIF(SNI!C$1:C$65536,'RAB - GS'!B$1:B$65536,SNI!L$1:L$65536)</f>
        <v>72500</v>
      </c>
      <c r="G117">
        <f>E117*F117</f>
        <v>72500</v>
      </c>
    </row>
    <row r="118">
      <c r="A118">
        <f>A117+1</f>
        <v>7</v>
      </c>
      <c r="B118" t="str">
        <v>Mesin Jet Pump kap.250 watt</v>
      </c>
      <c r="C118" t="str">
        <v>Groundfos</v>
      </c>
      <c r="D118" t="str">
        <v>bh</v>
      </c>
      <c r="E118">
        <v>1</v>
      </c>
      <c r="F118">
        <f>SUMIF(SNI!C$1:C$65536,'RAB - GS'!B$1:B$65536,SNI!L$1:L$65536)</f>
        <v>1996400</v>
      </c>
      <c r="G118">
        <f>E118*F118</f>
        <v>1996400</v>
      </c>
      <c r="H118">
        <f>SUM(G112:G118)</f>
        <v>6173500</v>
      </c>
    </row>
    <row r="119">
      <c r="A119" t="str">
        <v>C.1.3</v>
      </c>
      <c r="B119" t="str">
        <v>Tanki Air</v>
      </c>
    </row>
    <row r="120">
      <c r="A120">
        <v>1</v>
      </c>
      <c r="B120" t="str">
        <v xml:space="preserve">Pipa PVC dia. 1" </v>
      </c>
      <c r="C120" t="str">
        <v>Sparing pam; ex Wavin</v>
      </c>
      <c r="D120" t="str">
        <v>m'</v>
      </c>
      <c r="E120">
        <v>12</v>
      </c>
      <c r="F120">
        <f>SUMIF(SNI!C$1:C$65536,'RAB - GS'!B$1:B$65536,SNI!L$1:L$65536)</f>
        <v>23000</v>
      </c>
      <c r="G120">
        <f>E120*F120</f>
        <v>276000</v>
      </c>
    </row>
    <row r="121">
      <c r="A121">
        <f>A120+1</f>
        <v>2</v>
      </c>
      <c r="B121" t="str">
        <v xml:space="preserve">Pipa PVC dia. 1" </v>
      </c>
      <c r="C121" t="str">
        <v>Inst. d/ pompa ke tanki air; ex Wavin</v>
      </c>
      <c r="D121" t="str">
        <v>m'</v>
      </c>
      <c r="E121">
        <v>8</v>
      </c>
      <c r="F121">
        <f>SUMIF(SNI!C$1:C$65536,'RAB - GS'!B$1:B$65536,SNI!L$1:L$65536)</f>
        <v>23000</v>
      </c>
      <c r="G121">
        <f>E121*F121</f>
        <v>184000</v>
      </c>
    </row>
    <row r="122">
      <c r="A122">
        <f>A121+1</f>
        <v>3</v>
      </c>
      <c r="B122" t="str">
        <v xml:space="preserve">Pipa PVC dia. 3/4" </v>
      </c>
      <c r="C122" t="str">
        <v>ex Wavin</v>
      </c>
      <c r="D122" t="str">
        <v>m'</v>
      </c>
      <c r="E122">
        <v>4</v>
      </c>
      <c r="F122">
        <f>SUMIF(SNI!C$1:C$65536,'RAB - GS'!B$1:B$65536,SNI!L$1:L$65536)</f>
        <v>17600</v>
      </c>
      <c r="G122">
        <f>E122*F122</f>
        <v>70400</v>
      </c>
    </row>
    <row r="123">
      <c r="A123">
        <f>A122+1</f>
        <v>4</v>
      </c>
      <c r="B123" t="str">
        <v>Tangki air 500 liter</v>
      </c>
      <c r="C123" t="str">
        <v>Exel</v>
      </c>
      <c r="D123" t="str">
        <v>bh</v>
      </c>
      <c r="E123">
        <v>1</v>
      </c>
      <c r="F123">
        <f>SUMIF(SNI!C$1:C$65536,'RAB - GS'!B$1:B$65536,SNI!L$1:L$65536)</f>
        <v>1044900</v>
      </c>
      <c r="G123">
        <f>E123*F123</f>
        <v>1044900</v>
      </c>
    </row>
    <row r="124">
      <c r="A124">
        <f>A123+1</f>
        <v>5</v>
      </c>
      <c r="B124" t="str">
        <v>Dudukan tangki air</v>
      </c>
      <c r="C124" t="str">
        <v>Besi siku</v>
      </c>
      <c r="D124" t="str">
        <v>bh</v>
      </c>
      <c r="E124">
        <v>1</v>
      </c>
      <c r="F124">
        <f>SUMIF(SNI!C$1:C$65536,'RAB - GS'!B$1:B$65536,SNI!L$1:L$65536)</f>
        <v>1137300</v>
      </c>
      <c r="G124">
        <f>E124*F124</f>
        <v>1137300</v>
      </c>
    </row>
    <row r="125">
      <c r="A125">
        <f>A124+1</f>
        <v>6</v>
      </c>
      <c r="B125" t="str">
        <v>Stop kran dia. 1"</v>
      </c>
      <c r="C125" t="str">
        <v>ex Onda</v>
      </c>
      <c r="D125" t="str">
        <v>bh</v>
      </c>
      <c r="E125">
        <v>2</v>
      </c>
      <c r="F125">
        <f>SUMIF(SNI!C$1:C$65536,'RAB - GS'!B$1:B$65536,SNI!L$1:L$65536)</f>
        <v>72500</v>
      </c>
      <c r="G125">
        <f>E125*F125</f>
        <v>145000</v>
      </c>
    </row>
    <row r="126">
      <c r="A126">
        <f>A125+1</f>
        <v>7</v>
      </c>
      <c r="B126" t="str">
        <v>Stop kran dia. 1"</v>
      </c>
      <c r="C126" t="str">
        <v>ex Onda</v>
      </c>
      <c r="D126" t="str">
        <v>bh</v>
      </c>
      <c r="E126">
        <v>1</v>
      </c>
      <c r="F126">
        <f>SUMIF(SNI!C$1:C$65536,'RAB - GS'!B$1:B$65536,SNI!L$1:L$65536)</f>
        <v>72500</v>
      </c>
      <c r="G126">
        <f>E126*F126</f>
        <v>72500</v>
      </c>
    </row>
    <row r="127">
      <c r="A127">
        <f>A126+1</f>
        <v>8</v>
      </c>
      <c r="B127" t="str">
        <v>Stop kran dia. 1"</v>
      </c>
      <c r="C127" t="str">
        <v>ex Onda</v>
      </c>
      <c r="D127" t="str">
        <v>bh</v>
      </c>
      <c r="E127">
        <v>1</v>
      </c>
      <c r="F127">
        <f>SUMIF(SNI!C$1:C$65536,'RAB - GS'!B$1:B$65536,SNI!L$1:L$65536)</f>
        <v>72500</v>
      </c>
      <c r="G127">
        <f>E127*F127</f>
        <v>72500</v>
      </c>
      <c r="H127">
        <f>SUM(G120:G127)</f>
        <v>3002600</v>
      </c>
    </row>
    <row r="128">
      <c r="A128" t="str">
        <v>C.1.4</v>
      </c>
      <c r="B128" t="str">
        <v>Instalasi Air Bersih</v>
      </c>
    </row>
    <row r="129">
      <c r="A129">
        <v>1</v>
      </c>
      <c r="B129" t="str">
        <v xml:space="preserve">Pipa PVC dia. 2" </v>
      </c>
      <c r="D129" t="str">
        <v>m</v>
      </c>
      <c r="E129">
        <f>'QTY-GS'!N698</f>
        <v>40</v>
      </c>
      <c r="F129">
        <f>SUMIF(SNI!C$1:C$65536,'RAB - GS'!B$1:B$65536,SNI!L$1:L$65536)</f>
        <v>35600</v>
      </c>
      <c r="G129">
        <f>E129*F129</f>
        <v>1424000</v>
      </c>
    </row>
    <row r="130">
      <c r="A130">
        <f>A129+1</f>
        <v>2</v>
      </c>
      <c r="B130" t="str">
        <v xml:space="preserve">Pipa PVC dia. 1" </v>
      </c>
      <c r="D130" t="str">
        <v>m</v>
      </c>
      <c r="E130">
        <f>'QTY-GS'!N699</f>
        <v>35</v>
      </c>
      <c r="F130">
        <f>SUMIF(SNI!C$1:C$65536,'RAB - GS'!B$1:B$65536,SNI!L$1:L$65536)</f>
        <v>23000</v>
      </c>
      <c r="G130">
        <f>E130*F130</f>
        <v>805000</v>
      </c>
    </row>
    <row r="131">
      <c r="A131">
        <f>A130+1</f>
        <v>3</v>
      </c>
      <c r="B131" t="str">
        <v xml:space="preserve">Pipa PVC dia. 3/4" </v>
      </c>
      <c r="D131" t="str">
        <v>m</v>
      </c>
      <c r="E131">
        <f>'QTY-GS'!N700</f>
        <v>8</v>
      </c>
      <c r="F131">
        <f>SUMIF(SNI!C$1:C$65536,'RAB - GS'!B$1:B$65536,SNI!L$1:L$65536)</f>
        <v>17600</v>
      </c>
      <c r="G131">
        <f>E131*F131</f>
        <v>140800</v>
      </c>
      <c r="H131">
        <f>SUM(G129:G131)</f>
        <v>2369800</v>
      </c>
    </row>
    <row r="132">
      <c r="A132" t="str">
        <v>C.1.5</v>
      </c>
      <c r="B132" t="str">
        <v>Instalasi Air Kotor &amp; air bekas</v>
      </c>
    </row>
    <row r="133">
      <c r="A133">
        <v>1</v>
      </c>
      <c r="B133" t="str">
        <v xml:space="preserve">Pipa PVC dia. 4" </v>
      </c>
      <c r="D133" t="str">
        <v>m</v>
      </c>
      <c r="E133">
        <f>'QTY-GS'!N707</f>
        <v>40</v>
      </c>
      <c r="F133">
        <f>SUMIF(SNI!C$1:C$65536,'RAB - GS'!B$1:B$65536,SNI!L$1:L$65536)</f>
        <v>95300</v>
      </c>
      <c r="G133">
        <f>E133*F133</f>
        <v>3812000</v>
      </c>
    </row>
    <row r="134">
      <c r="A134">
        <f>A133+1</f>
        <v>2</v>
      </c>
      <c r="B134" t="str">
        <v xml:space="preserve">Pipa PVC dia. 4" </v>
      </c>
      <c r="D134" t="str">
        <v>m</v>
      </c>
      <c r="E134">
        <f>'QTY-GS'!N711</f>
        <v>63.5</v>
      </c>
      <c r="F134">
        <f>SUMIF(SNI!C$1:C$65536,'RAB - GS'!B$1:B$65536,SNI!L$1:L$65536)</f>
        <v>95300</v>
      </c>
      <c r="G134">
        <f>E134*F134</f>
        <v>6051550</v>
      </c>
    </row>
    <row r="135">
      <c r="A135">
        <f>A134+1</f>
        <v>3</v>
      </c>
      <c r="B135" t="str">
        <v xml:space="preserve">Pipa PVC dia. 2" </v>
      </c>
      <c r="D135" t="str">
        <v>m</v>
      </c>
      <c r="E135">
        <f>'QTY-GS'!N712</f>
        <v>9</v>
      </c>
      <c r="F135">
        <f>SUMIF(SNI!C$1:C$65536,'RAB - GS'!B$1:B$65536,SNI!L$1:L$65536)</f>
        <v>35600</v>
      </c>
      <c r="G135">
        <f>E135*F135</f>
        <v>320400</v>
      </c>
      <c r="H135">
        <f>SUM(G133:G135)</f>
        <v>10183950</v>
      </c>
    </row>
    <row r="136">
      <c r="A136" t="str">
        <v>C.1.6</v>
      </c>
      <c r="B136" t="str">
        <v>Pekerjaan Reservoir</v>
      </c>
    </row>
    <row r="137">
      <c r="A137">
        <v>1</v>
      </c>
      <c r="B137" t="str">
        <v>Galian tanah, dalam  s/d 1 m</v>
      </c>
      <c r="D137" t="str">
        <v>m3</v>
      </c>
      <c r="E137">
        <v>5.63</v>
      </c>
      <c r="F137">
        <f>SUMIF(SNI!C$1:C$65536,'RAB - GS'!B$1:B$65536,SNI!L$1:L$65536)</f>
        <v>34400</v>
      </c>
      <c r="G137">
        <f>E137*F137</f>
        <v>193672</v>
      </c>
    </row>
    <row r="138">
      <c r="A138">
        <f>A137+1</f>
        <v>2</v>
      </c>
      <c r="B138" t="str">
        <v>Pas. Urugan pasir</v>
      </c>
      <c r="D138" t="str">
        <v>m3</v>
      </c>
      <c r="E138">
        <v>0.12</v>
      </c>
      <c r="F138">
        <f>SUMIF(SNI!C$1:C$65536,'RAB - GS'!B$1:B$65536,SNI!L$1:L$65536)</f>
        <v>180500</v>
      </c>
      <c r="G138">
        <f>E138*F138</f>
        <v>21660</v>
      </c>
    </row>
    <row r="139">
      <c r="A139">
        <f>A138+1</f>
        <v>3</v>
      </c>
      <c r="B139" t="str">
        <v>Pas. Lantai kerja beton tumbuk 1:3:5</v>
      </c>
      <c r="D139" t="str">
        <v>m2</v>
      </c>
      <c r="E139">
        <v>3.75</v>
      </c>
      <c r="F139">
        <f>SUMIF(SNI!C$1:C$65536,'RAB - GS'!B$1:B$65536,SNI!L$1:L$65536)</f>
        <v>53900</v>
      </c>
      <c r="G139">
        <f>E139*F139</f>
        <v>202125</v>
      </c>
    </row>
    <row r="140">
      <c r="A140">
        <f>A139+1</f>
        <v>4</v>
      </c>
      <c r="B140" t="str">
        <v>Bekisting beton plat lantai</v>
      </c>
      <c r="D140" t="str">
        <v>m2</v>
      </c>
      <c r="E140">
        <f>(E142/0.1)</f>
        <v>21</v>
      </c>
      <c r="F140">
        <f>SUMIF(SNI!C$1:C$65536,'RAB - GS'!B$1:B$65536,SNI!L$1:L$65536)</f>
        <v>531500</v>
      </c>
      <c r="G140">
        <f>E140*F140</f>
        <v>11161500</v>
      </c>
    </row>
    <row r="141">
      <c r="A141">
        <f>A140+1</f>
        <v>5</v>
      </c>
      <c r="B141" t="str">
        <v>Tulangan besi beton U-24</v>
      </c>
      <c r="D141" t="str">
        <v>kg</v>
      </c>
      <c r="E141">
        <f>E142*150</f>
        <v>315</v>
      </c>
      <c r="F141">
        <f>SUMIF(SNI!C$1:C$65536,'RAB - GS'!B$1:B$65536,SNI!L$1:L$65536)</f>
        <v>12600</v>
      </c>
      <c r="G141">
        <f>E141*F141</f>
        <v>3969000</v>
      </c>
    </row>
    <row r="142">
      <c r="A142">
        <f>A141+1</f>
        <v>6</v>
      </c>
      <c r="B142" t="str">
        <v>Beton K - 200</v>
      </c>
      <c r="D142" t="str">
        <v>m3</v>
      </c>
      <c r="E142">
        <v>2.1</v>
      </c>
      <c r="F142">
        <f>SUMIF(SNI!C$1:C$65536,'RAB - GS'!B$1:B$65536,SNI!L$1:L$65536)</f>
        <v>865100</v>
      </c>
      <c r="G142">
        <f>E142*F142</f>
        <v>1816710</v>
      </c>
      <c r="H142">
        <f>SUM(G137:G142)</f>
        <v>17364667</v>
      </c>
    </row>
    <row r="143">
      <c r="A143" t="str">
        <v>C.1.7</v>
      </c>
      <c r="B143" t="str">
        <v>Pekerjaan Septictank</v>
      </c>
    </row>
    <row r="144">
      <c r="A144">
        <v>1</v>
      </c>
      <c r="B144" t="str">
        <v xml:space="preserve">Septictank Pas. Bata kap. 3,00 m3 + Rembesan </v>
      </c>
      <c r="D144" t="str">
        <v>bh</v>
      </c>
      <c r="E144">
        <v>1</v>
      </c>
      <c r="F144">
        <f>SUMIF(SNI!C$1:C$65536,'RAB - GS'!B$1:B$65536,SNI!L$1:L$65536)</f>
        <v>62600300</v>
      </c>
      <c r="G144">
        <f>E144*F144</f>
        <v>62600300</v>
      </c>
      <c r="H144">
        <f>SUM(G144)</f>
        <v>62600300</v>
      </c>
    </row>
    <row r="145">
      <c r="G145" t="str">
        <v>Jumlah C.1 .... Rp</v>
      </c>
      <c r="H145">
        <f>SUM(G106:G144)</f>
        <v>104736717</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858000</v>
      </c>
      <c r="G148">
        <f>E148*F148</f>
        <v>858000</v>
      </c>
      <c r="H148">
        <f>SUM(G148)</f>
        <v>858000</v>
      </c>
    </row>
    <row r="149">
      <c r="A149" t="str">
        <v>E.2.2</v>
      </c>
      <c r="B149" t="str">
        <v>Instalasi</v>
      </c>
    </row>
    <row r="150">
      <c r="A150">
        <v>1</v>
      </c>
      <c r="B150" t="str">
        <v>Pas. Instalasi lampu</v>
      </c>
      <c r="D150" t="str">
        <v>ttk</v>
      </c>
      <c r="E150">
        <f>'QTY-GS'!N688</f>
        <v>37</v>
      </c>
      <c r="F150">
        <f>SUMIF(SNI!C$1:C$65536,'RAB - GS'!B$1:B$65536,SNI!L$1:L$65536)</f>
        <v>117800</v>
      </c>
      <c r="G150">
        <f>E150*F150</f>
        <v>4358600</v>
      </c>
    </row>
    <row r="151">
      <c r="A151">
        <f>A150+1</f>
        <v>2</v>
      </c>
      <c r="B151" t="str">
        <v>Pas. Instalasi stop kontak</v>
      </c>
      <c r="D151" t="str">
        <v>ttk</v>
      </c>
      <c r="E151">
        <f>'QTY-GS'!N689</f>
        <v>18</v>
      </c>
      <c r="F151">
        <f>SUMIF(SNI!C$1:C$65536,'RAB - GS'!B$1:B$65536,SNI!L$1:L$65536)</f>
        <v>150800</v>
      </c>
      <c r="G151">
        <f>E151*F151</f>
        <v>2714400</v>
      </c>
      <c r="H151">
        <f>SUM(G150:G151)</f>
        <v>7073000</v>
      </c>
    </row>
    <row r="152">
      <c r="A152" t="str">
        <v>C.2.3</v>
      </c>
      <c r="B152" t="str">
        <v>Armature</v>
      </c>
    </row>
    <row r="153">
      <c r="A153">
        <v>1</v>
      </c>
      <c r="B153" t="str">
        <v>Pas. Saklar engkel</v>
      </c>
      <c r="C153" t="str">
        <v>ex Broco</v>
      </c>
      <c r="D153" t="str">
        <v>ttk</v>
      </c>
      <c r="E153">
        <v>18</v>
      </c>
      <c r="F153">
        <f>SUMIF(SNI!C$1:C$65536,'RAB - GS'!B$1:B$65536,SNI!L$1:L$65536)</f>
        <v>34100</v>
      </c>
      <c r="G153">
        <f>E153*F153</f>
        <v>613800</v>
      </c>
    </row>
    <row r="154">
      <c r="A154">
        <f>A153+1</f>
        <v>2</v>
      </c>
      <c r="B154" t="str">
        <v>Pas. Saklar doble</v>
      </c>
      <c r="C154" t="str">
        <v>ex Broco</v>
      </c>
      <c r="D154" t="str">
        <v>ttk</v>
      </c>
      <c r="E154">
        <v>19</v>
      </c>
      <c r="F154">
        <f>SUMIF(SNI!C$1:C$65536,'RAB - GS'!B$1:B$65536,SNI!L$1:L$65536)</f>
        <v>38400</v>
      </c>
      <c r="G154">
        <f>E154*F154</f>
        <v>729600</v>
      </c>
    </row>
    <row r="155">
      <c r="A155">
        <f>A154+1</f>
        <v>3</v>
      </c>
      <c r="B155" t="str">
        <v>Pas. Stop kontak</v>
      </c>
      <c r="C155" t="str">
        <v>ex Broco</v>
      </c>
      <c r="D155" t="str">
        <v>ttk</v>
      </c>
      <c r="E155">
        <f>'QTY-GS'!N690</f>
        <v>18</v>
      </c>
      <c r="F155">
        <f>SUMIF(SNI!C$1:C$65536,'RAB - GS'!B$1:B$65536,SNI!L$1:L$65536)</f>
        <v>31400</v>
      </c>
      <c r="G155">
        <f>E155*F155</f>
        <v>565200</v>
      </c>
    </row>
    <row r="156">
      <c r="A156">
        <f>A155+1</f>
        <v>4</v>
      </c>
      <c r="B156" t="str">
        <v>Pas. Lampu TL 2 x 18 watt grille</v>
      </c>
      <c r="C156" t="str">
        <v>ex Phanasonic</v>
      </c>
      <c r="D156" t="str">
        <v>bh</v>
      </c>
      <c r="E156">
        <f>'QTY-GS'!N691</f>
        <v>8</v>
      </c>
      <c r="F156">
        <f>SUMIF(SNI!C$1:C$65536,'RAB - GS'!B$1:B$65536,SNI!L$1:L$65536)</f>
        <v>291500</v>
      </c>
      <c r="G156">
        <f>E156*F156</f>
        <v>2332000</v>
      </c>
    </row>
    <row r="157">
      <c r="A157">
        <f>A156+1</f>
        <v>5</v>
      </c>
      <c r="B157" t="str">
        <v>Pas. Lampu TL 2 x 36 watt grille</v>
      </c>
      <c r="C157" t="str">
        <v>ex Phanasonic</v>
      </c>
      <c r="D157" t="str">
        <v>bh</v>
      </c>
      <c r="E157">
        <f>'QTY-GS'!N692</f>
        <v>8</v>
      </c>
      <c r="F157">
        <f>SUMIF(SNI!C$1:C$65536,'RAB - GS'!B$1:B$65536,SNI!L$1:L$65536)</f>
        <v>429000</v>
      </c>
      <c r="G157">
        <f>E157*F157</f>
        <v>3432000</v>
      </c>
    </row>
    <row r="158">
      <c r="A158">
        <f>A157+1</f>
        <v>6</v>
      </c>
      <c r="B158" t="str">
        <v>Pas. Down light &amp; PLC 13 W</v>
      </c>
      <c r="C158" t="str">
        <v>ex Phanasonic</v>
      </c>
      <c r="D158" t="str">
        <v>bh</v>
      </c>
      <c r="E158">
        <f>'QTY-GS'!N693</f>
        <v>21</v>
      </c>
      <c r="F158">
        <f>SUMIF(SNI!C$1:C$65536,'RAB - GS'!B$1:B$65536,SNI!L$1:L$65536)</f>
        <v>207300</v>
      </c>
      <c r="G158">
        <f>E158*F158</f>
        <v>4353300</v>
      </c>
      <c r="H158">
        <f>SUM(G153:G158)</f>
        <v>12025900</v>
      </c>
    </row>
    <row r="159">
      <c r="G159" t="str">
        <v>Jumlah C.2 .... Rp</v>
      </c>
      <c r="H159">
        <f>SUM(G148:G158)</f>
        <v>19956900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13900</v>
      </c>
      <c r="G161">
        <f>E161*F161</f>
        <v>13165107</v>
      </c>
    </row>
    <row r="162">
      <c r="A162">
        <v>2</v>
      </c>
      <c r="B162" t="str">
        <v>Pas. Dinding Keramik 300x300</v>
      </c>
      <c r="C162" t="str">
        <v>ex Masterina</v>
      </c>
      <c r="D162" t="str">
        <v>m2</v>
      </c>
      <c r="E162">
        <f>'QTY-GS'!N510</f>
        <v>36.4</v>
      </c>
      <c r="F162">
        <f>SUMIF(SNI!C$1:C$65536,'RAB - GS'!B$1:B$65536,SNI!L$1:L$65536)</f>
        <v>174500</v>
      </c>
      <c r="G162">
        <f>E162*F162</f>
        <v>6351800</v>
      </c>
    </row>
    <row r="163">
      <c r="A163">
        <v>3</v>
      </c>
      <c r="B163" t="str">
        <f>SNI!C332</f>
        <v>Pas. Dinding Keramik 300x300</v>
      </c>
      <c r="D163" t="str">
        <v>m2</v>
      </c>
      <c r="E163">
        <f>'QTY-GS'!N514</f>
        <v>9.2</v>
      </c>
      <c r="F163">
        <f>SUMIF(SNI!C$1:C$65536,'RAB - GS'!B$1:B$65536,SNI!L$1:L$65536)</f>
        <v>174500</v>
      </c>
      <c r="G163">
        <f>E163*F163</f>
        <v>1605399.9999999998</v>
      </c>
    </row>
    <row r="164">
      <c r="A164">
        <v>4</v>
      </c>
      <c r="B164" t="str">
        <v>Cat plafond acrylic emulsion KW.II</v>
      </c>
      <c r="C164" t="str">
        <v>ex Mowilex</v>
      </c>
      <c r="D164" t="str">
        <v>m2</v>
      </c>
      <c r="E164">
        <f>E78</f>
        <v>335.46000000000004</v>
      </c>
      <c r="F164">
        <f>SUMIF(SNI!C$1:C$65536,'RAB - GS'!B$1:B$65536,SNI!L$1:L$65536)</f>
        <v>13900</v>
      </c>
      <c r="G164">
        <f>E164*F164</f>
        <v>4662894.000000001</v>
      </c>
    </row>
    <row r="165">
      <c r="A165">
        <v>5</v>
      </c>
      <c r="B165" t="str">
        <v xml:space="preserve">Cat kayu synthetic </v>
      </c>
      <c r="C165" t="str">
        <v>Seiv</v>
      </c>
      <c r="D165" t="str">
        <v>m2</v>
      </c>
      <c r="E165">
        <f>E84*(0.03+0.2+0.03+0.2)</f>
        <v>47.15</v>
      </c>
      <c r="F165">
        <f>SUMIF(SNI!C$1:C$65536,'RAB - GS'!B$1:B$65536,SNI!L$1:L$65536)</f>
        <v>42300</v>
      </c>
      <c r="G165">
        <f>E165*F165</f>
        <v>1994445</v>
      </c>
    </row>
    <row r="166">
      <c r="G166" t="str">
        <v>Jumlah D .... Rp</v>
      </c>
      <c r="H166">
        <f>SUM(G161:G165)</f>
        <v>27779646</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97700</v>
      </c>
      <c r="L16">
        <f>I16*K16</f>
        <v>703440</v>
      </c>
    </row>
    <row r="17">
      <c r="B17" t="str">
        <v>Alumunium standart 4" CA rangka daun pintu</v>
      </c>
      <c r="D17">
        <v>2.4</v>
      </c>
      <c r="H17">
        <v>2</v>
      </c>
      <c r="I17">
        <f>D17*H17</f>
        <v>4.8</v>
      </c>
    </row>
    <row r="18">
      <c r="D18">
        <v>0.9</v>
      </c>
      <c r="H18">
        <v>4</v>
      </c>
      <c r="I18">
        <f>D18*H18</f>
        <v>3.6</v>
      </c>
    </row>
    <row r="19">
      <c r="I19">
        <f>I17+I18</f>
        <v>8.4</v>
      </c>
      <c r="J19" t="str">
        <v>m1</v>
      </c>
      <c r="K19">
        <f>SNI!L656</f>
        <v>97700</v>
      </c>
      <c r="L19">
        <f>I19*K19</f>
        <v>820680</v>
      </c>
    </row>
    <row r="20">
      <c r="B20" t="str">
        <v>Kaca 6 mm</v>
      </c>
      <c r="D20">
        <v>2.4</v>
      </c>
      <c r="E20">
        <v>0.9</v>
      </c>
      <c r="H20">
        <v>1</v>
      </c>
      <c r="I20">
        <f>D20*E20*H20</f>
        <v>2.16</v>
      </c>
      <c r="J20" t="str">
        <v>m2</v>
      </c>
      <c r="K20">
        <f>SNI!L925</f>
        <v>99100</v>
      </c>
      <c r="L20">
        <f>I20*K20</f>
        <v>214056</v>
      </c>
    </row>
    <row r="21">
      <c r="B21" t="str">
        <v>Karet</v>
      </c>
      <c r="D21">
        <v>5</v>
      </c>
      <c r="H21">
        <v>2</v>
      </c>
      <c r="I21">
        <f>D21*H21</f>
        <v>10</v>
      </c>
    </row>
    <row r="22">
      <c r="D22">
        <v>0.9</v>
      </c>
      <c r="H22">
        <v>4</v>
      </c>
      <c r="I22">
        <f>D22*H22</f>
        <v>3.6</v>
      </c>
    </row>
    <row r="23">
      <c r="D23">
        <v>1.85</v>
      </c>
      <c r="I23">
        <f>SUM(I21:I22)</f>
        <v>13.6</v>
      </c>
      <c r="J23" t="str">
        <v>m1</v>
      </c>
      <c r="K23">
        <f>IF(K24=0,0,20000)</f>
        <v>20000</v>
      </c>
      <c r="L23">
        <f>I23*K23</f>
        <v>272000</v>
      </c>
    </row>
    <row r="24">
      <c r="B24" t="str">
        <v>Handle pintu type HRE 75.01 ex CISA</v>
      </c>
      <c r="I24">
        <v>1</v>
      </c>
      <c r="J24" t="str">
        <v>bh</v>
      </c>
      <c r="K24">
        <f>SNI!L827</f>
        <v>311900</v>
      </c>
      <c r="L24">
        <f>I24*K24</f>
        <v>311900</v>
      </c>
    </row>
    <row r="25">
      <c r="B25" t="str">
        <v>Selinder CISA type 08510 ex CISA</v>
      </c>
      <c r="I25">
        <v>1</v>
      </c>
      <c r="J25" t="str">
        <v>bh</v>
      </c>
      <c r="K25">
        <f>SNI!L834</f>
        <v>299800</v>
      </c>
      <c r="L25">
        <f>I25*K25</f>
        <v>299800</v>
      </c>
    </row>
    <row r="26">
      <c r="B26" t="str">
        <v>Grendel</v>
      </c>
      <c r="D26">
        <v>1</v>
      </c>
      <c r="I26">
        <f>D26</f>
        <v>1</v>
      </c>
      <c r="J26" t="str">
        <v>set</v>
      </c>
      <c r="K26">
        <f>SNI!L876</f>
        <v>25000</v>
      </c>
      <c r="L26">
        <f>I26*K26</f>
        <v>25000</v>
      </c>
    </row>
    <row r="27">
      <c r="B27" t="str">
        <v>Kait angin</v>
      </c>
      <c r="D27">
        <v>1</v>
      </c>
      <c r="I27">
        <f>D27</f>
        <v>1</v>
      </c>
      <c r="J27" t="str">
        <v>set</v>
      </c>
      <c r="K27">
        <f>SNI!L911</f>
        <v>12200</v>
      </c>
      <c r="L27">
        <f>I27*K27</f>
        <v>12200</v>
      </c>
    </row>
    <row r="28">
      <c r="B28" t="str">
        <v>Door Stoper</v>
      </c>
      <c r="I28">
        <v>1</v>
      </c>
      <c r="J28" t="str">
        <v>bh</v>
      </c>
      <c r="K28">
        <f>SNI!L848</f>
        <v>315300</v>
      </c>
      <c r="L28">
        <f>I28*K28</f>
        <v>315300</v>
      </c>
    </row>
    <row r="29">
      <c r="B29" t="str">
        <v>Door closer</v>
      </c>
      <c r="I29">
        <v>1</v>
      </c>
      <c r="J29" t="str">
        <v>bh</v>
      </c>
      <c r="K29">
        <f>SNI!L855</f>
        <v>535300</v>
      </c>
      <c r="L29">
        <f>I29*K29</f>
        <v>535300</v>
      </c>
    </row>
    <row r="30">
      <c r="B30" t="str">
        <v>Slot tanam</v>
      </c>
      <c r="D30">
        <v>1</v>
      </c>
      <c r="I30">
        <f>D30</f>
        <v>1</v>
      </c>
      <c r="J30" t="str">
        <v>set</v>
      </c>
      <c r="K30">
        <f>SNI!L883</f>
        <v>99300</v>
      </c>
      <c r="L30">
        <f>I30*K30</f>
        <v>99300</v>
      </c>
    </row>
    <row r="31">
      <c r="K31" t="str">
        <v>jumlah</v>
      </c>
      <c r="L31">
        <f>SUM(L16:L30)</f>
        <v>3608976</v>
      </c>
    </row>
    <row r="32">
      <c r="K32" t="str">
        <v>di bulatkan</v>
      </c>
      <c r="L32">
        <f>ROUND(L31,-2)</f>
        <v>3609000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97700</v>
      </c>
      <c r="L37">
        <f>I37*K37</f>
        <v>664360.0000000001</v>
      </c>
    </row>
    <row r="38">
      <c r="B38" t="str">
        <v>Alumunium standart 4" CA rangka Pintu</v>
      </c>
      <c r="D38">
        <v>2.4</v>
      </c>
      <c r="H38">
        <v>2</v>
      </c>
      <c r="I38">
        <f>D38*H38</f>
        <v>4.8</v>
      </c>
    </row>
    <row r="39">
      <c r="D39">
        <v>0.8</v>
      </c>
      <c r="H39">
        <v>4</v>
      </c>
      <c r="I39">
        <f>D39*H39</f>
        <v>3.2</v>
      </c>
    </row>
    <row r="40">
      <c r="I40">
        <f>I38+I39</f>
        <v>8</v>
      </c>
      <c r="J40" t="str">
        <v>m1</v>
      </c>
      <c r="K40">
        <f>K19</f>
        <v>97700</v>
      </c>
      <c r="L40">
        <f>I40*K40</f>
        <v>781600</v>
      </c>
    </row>
    <row r="41">
      <c r="B41" t="str">
        <v>Kaca 6 mm</v>
      </c>
      <c r="D41">
        <v>2.4</v>
      </c>
      <c r="E41">
        <v>0.8</v>
      </c>
      <c r="H41">
        <v>1</v>
      </c>
      <c r="I41">
        <f>D41*E41*H41</f>
        <v>1.92</v>
      </c>
      <c r="J41" t="str">
        <v>m2</v>
      </c>
      <c r="K41">
        <f>K20</f>
        <v>99100</v>
      </c>
      <c r="L41">
        <f>I41*K41</f>
        <v>190272</v>
      </c>
    </row>
    <row r="42">
      <c r="B42" t="str">
        <v>Karet</v>
      </c>
      <c r="D42">
        <v>5</v>
      </c>
      <c r="H42">
        <v>2</v>
      </c>
      <c r="I42">
        <f>D42*H42</f>
        <v>10</v>
      </c>
    </row>
    <row r="43">
      <c r="D43">
        <v>0.8</v>
      </c>
      <c r="H43">
        <v>4</v>
      </c>
      <c r="I43">
        <f>D43*H43</f>
        <v>3.2</v>
      </c>
    </row>
    <row r="44">
      <c r="I44">
        <f>SUM(I42:I43)</f>
        <v>13.2</v>
      </c>
      <c r="J44" t="str">
        <v>m1</v>
      </c>
      <c r="K44">
        <f>K23</f>
        <v>20000</v>
      </c>
      <c r="L44">
        <f>I44*K44</f>
        <v>264000</v>
      </c>
    </row>
    <row r="45">
      <c r="B45" t="str">
        <v>Handle pintu type HRE 75.01 ex CISA</v>
      </c>
      <c r="I45">
        <v>1</v>
      </c>
      <c r="J45" t="str">
        <v>bh</v>
      </c>
      <c r="K45">
        <f>K24</f>
        <v>311900</v>
      </c>
      <c r="L45">
        <f>I45*K45</f>
        <v>311900</v>
      </c>
    </row>
    <row r="46">
      <c r="B46" t="str">
        <v>Selinder CISA type 08510 ex CISA</v>
      </c>
      <c r="I46">
        <v>1</v>
      </c>
      <c r="J46" t="str">
        <v>bh</v>
      </c>
      <c r="K46">
        <f>K25</f>
        <v>299800</v>
      </c>
      <c r="L46">
        <f>I46*K46</f>
        <v>299800</v>
      </c>
    </row>
    <row r="47">
      <c r="B47" t="str">
        <v xml:space="preserve">Handle </v>
      </c>
      <c r="D47">
        <v>1</v>
      </c>
      <c r="I47">
        <f>D47</f>
        <v>1</v>
      </c>
      <c r="J47" t="str">
        <v>set</v>
      </c>
      <c r="K47">
        <f>K27</f>
        <v>12200</v>
      </c>
      <c r="L47">
        <f>I47*K47</f>
        <v>12200</v>
      </c>
    </row>
    <row r="48">
      <c r="B48" t="str">
        <v>Kait angin</v>
      </c>
      <c r="D48">
        <v>1</v>
      </c>
      <c r="I48">
        <f>D48</f>
        <v>1</v>
      </c>
      <c r="J48" t="str">
        <v>set</v>
      </c>
      <c r="K48">
        <f>K28</f>
        <v>315300</v>
      </c>
      <c r="L48">
        <f>I48*K48</f>
        <v>315300</v>
      </c>
    </row>
    <row r="49">
      <c r="B49" t="str">
        <v>Slot tanam</v>
      </c>
      <c r="D49">
        <v>1</v>
      </c>
      <c r="I49">
        <f>D49</f>
        <v>1</v>
      </c>
      <c r="J49" t="str">
        <v>set</v>
      </c>
      <c r="K49">
        <f>K30</f>
        <v>99300</v>
      </c>
      <c r="L49">
        <f>I49*K49</f>
        <v>99300</v>
      </c>
    </row>
    <row r="50">
      <c r="K50" t="str">
        <v>jumlah</v>
      </c>
      <c r="L50">
        <f>SUM(L37:L49)</f>
        <v>2938732</v>
      </c>
    </row>
    <row r="51">
      <c r="K51" t="str">
        <v>di bulatkan</v>
      </c>
      <c r="L51">
        <f>ROUND(L50,-2)</f>
        <v>2938700</v>
      </c>
    </row>
    <row r="53">
      <c r="A53">
        <f>A34+1</f>
        <v>3</v>
      </c>
      <c r="B53" t="str">
        <v>P 3  uk. 80 x 210</v>
      </c>
    </row>
    <row r="54">
      <c r="B54" t="str">
        <v>Kusen &amp; Pintu PVC toilet</v>
      </c>
      <c r="D54">
        <v>1</v>
      </c>
      <c r="H54">
        <v>1</v>
      </c>
      <c r="I54">
        <v>1</v>
      </c>
      <c r="J54" t="str">
        <v>unit</v>
      </c>
      <c r="K54">
        <f>'Isi Data'!E47</f>
        <v>850000</v>
      </c>
      <c r="L54">
        <f>I54*K54</f>
        <v>850000</v>
      </c>
    </row>
    <row r="55">
      <c r="K55" t="str">
        <v>jumlah</v>
      </c>
      <c r="L55">
        <f>SUM(L54:L54)</f>
        <v>850000</v>
      </c>
    </row>
    <row r="56">
      <c r="K56" t="str">
        <v>di bulatkan</v>
      </c>
      <c r="L56">
        <f>ROUND(L55,-2)</f>
        <v>850000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97700</v>
      </c>
      <c r="L64">
        <f>I64*K64</f>
        <v>1875840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97700</v>
      </c>
      <c r="L69">
        <f>I69*K69</f>
        <v>2032160</v>
      </c>
    </row>
    <row r="70">
      <c r="B70" t="str">
        <v>Kaca 6 mm</v>
      </c>
      <c r="D70">
        <v>2.4</v>
      </c>
      <c r="E70">
        <v>0.9</v>
      </c>
      <c r="H70">
        <v>2</v>
      </c>
      <c r="I70">
        <f>D70*E70*H70</f>
        <v>4.32</v>
      </c>
      <c r="J70" t="str">
        <v>m2</v>
      </c>
      <c r="K70">
        <f>K41</f>
        <v>99100</v>
      </c>
      <c r="L70">
        <f>I70*K70</f>
        <v>428112</v>
      </c>
    </row>
    <row r="71">
      <c r="D71">
        <v>0.6</v>
      </c>
      <c r="E71">
        <v>1.5</v>
      </c>
      <c r="H71">
        <v>5</v>
      </c>
      <c r="I71">
        <f>D71*E71*H71</f>
        <v>4.5</v>
      </c>
      <c r="J71" t="str">
        <v>m2</v>
      </c>
      <c r="K71">
        <f>K70</f>
        <v>99100</v>
      </c>
      <c r="L71">
        <f>I71*K71</f>
        <v>445950</v>
      </c>
    </row>
    <row r="72">
      <c r="B72" t="str">
        <v>Karet</v>
      </c>
      <c r="D72">
        <v>5</v>
      </c>
      <c r="H72">
        <v>2</v>
      </c>
      <c r="I72">
        <f>D72*H72</f>
        <v>10</v>
      </c>
    </row>
    <row r="73">
      <c r="D73">
        <v>0.8</v>
      </c>
      <c r="H73">
        <v>4</v>
      </c>
      <c r="I73">
        <f>D73*H73</f>
        <v>3.2</v>
      </c>
    </row>
    <row r="74">
      <c r="I74">
        <f>SUM(I72:I73)</f>
        <v>13.2</v>
      </c>
      <c r="J74" t="str">
        <v>m1</v>
      </c>
      <c r="K74">
        <f>K44</f>
        <v>20000</v>
      </c>
      <c r="L74">
        <f>I74*K74</f>
        <v>264000</v>
      </c>
    </row>
    <row r="75">
      <c r="B75" t="str">
        <v>Handle pintu type HRE 75.01 ex CISA</v>
      </c>
      <c r="I75">
        <v>1</v>
      </c>
      <c r="J75" t="str">
        <v>bh</v>
      </c>
      <c r="K75">
        <f>K45</f>
        <v>311900</v>
      </c>
      <c r="L75">
        <f>I75*K75</f>
        <v>311900</v>
      </c>
    </row>
    <row r="76">
      <c r="B76" t="str">
        <v>Selinder CISA type 08510 ex CISA</v>
      </c>
      <c r="I76">
        <v>1</v>
      </c>
      <c r="J76" t="str">
        <v>bh</v>
      </c>
      <c r="K76">
        <f>K46</f>
        <v>299800</v>
      </c>
      <c r="L76">
        <f>I76*K76</f>
        <v>299800</v>
      </c>
    </row>
    <row r="77">
      <c r="B77" t="str">
        <v>Kait angin</v>
      </c>
      <c r="D77">
        <v>4</v>
      </c>
      <c r="I77">
        <f>D77</f>
        <v>4</v>
      </c>
      <c r="J77" t="str">
        <v>set</v>
      </c>
      <c r="K77">
        <f>K47</f>
        <v>12200</v>
      </c>
      <c r="L77">
        <f>I77*K77</f>
        <v>48800</v>
      </c>
    </row>
    <row r="78">
      <c r="B78" t="str">
        <v>Slot tanam</v>
      </c>
      <c r="D78">
        <v>1</v>
      </c>
      <c r="I78">
        <f>D78</f>
        <v>1</v>
      </c>
      <c r="J78" t="str">
        <v>set</v>
      </c>
      <c r="K78">
        <f>K49</f>
        <v>99300</v>
      </c>
      <c r="L78">
        <f>I78*K78</f>
        <v>99300</v>
      </c>
    </row>
    <row r="79">
      <c r="B79" t="str">
        <v>Grendel</v>
      </c>
      <c r="D79">
        <v>1</v>
      </c>
      <c r="I79">
        <v>4</v>
      </c>
      <c r="J79" t="str">
        <v>bh</v>
      </c>
      <c r="K79">
        <f>'Isi Data'!E55</f>
        <v>7500</v>
      </c>
      <c r="L79">
        <f>I79*K79</f>
        <v>30000</v>
      </c>
    </row>
    <row r="80">
      <c r="K80" t="str">
        <v>jumlah</v>
      </c>
      <c r="L80">
        <f>SUM(L63:L79)</f>
        <v>5835862</v>
      </c>
    </row>
    <row r="81">
      <c r="K81" t="str">
        <v>di bulatkan</v>
      </c>
      <c r="L81">
        <f>ROUND(L80,-2)</f>
        <v>5835900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97700</v>
      </c>
      <c r="L88">
        <f>I88*K88</f>
        <v>1213433.9999999998</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97700</v>
      </c>
      <c r="L93">
        <f>I93*K93</f>
        <v>1025850</v>
      </c>
    </row>
    <row r="94">
      <c r="B94" t="str">
        <v>Kaca 6 mm</v>
      </c>
      <c r="D94">
        <v>2.4</v>
      </c>
      <c r="E94">
        <v>0.9</v>
      </c>
      <c r="H94">
        <v>2</v>
      </c>
      <c r="I94">
        <f>D94*E94*H94</f>
        <v>4.32</v>
      </c>
      <c r="J94" t="str">
        <v>m2</v>
      </c>
      <c r="K94">
        <f>K71</f>
        <v>99100</v>
      </c>
      <c r="L94">
        <f>I94*K94</f>
        <v>428112</v>
      </c>
    </row>
    <row r="95">
      <c r="B95" t="str">
        <v>Karet</v>
      </c>
      <c r="D95">
        <v>0.6</v>
      </c>
      <c r="E95">
        <v>1.6</v>
      </c>
      <c r="H95">
        <v>2</v>
      </c>
      <c r="I95">
        <f>D95*H95</f>
        <v>1.2</v>
      </c>
    </row>
    <row r="96">
      <c r="I96">
        <f>SUM(I95:I95)</f>
        <v>1.2</v>
      </c>
      <c r="J96" t="str">
        <v>m1</v>
      </c>
      <c r="K96">
        <f>K74</f>
        <v>20000</v>
      </c>
      <c r="L96">
        <f>I96*K96</f>
        <v>24000</v>
      </c>
    </row>
    <row r="97">
      <c r="B97" t="str">
        <v>Handle pintu type HRE 75.01 ex CISA</v>
      </c>
      <c r="I97">
        <v>1</v>
      </c>
      <c r="J97" t="str">
        <v>bh</v>
      </c>
      <c r="K97">
        <f>K75</f>
        <v>311900</v>
      </c>
      <c r="L97">
        <f>I97*K97</f>
        <v>311900</v>
      </c>
    </row>
    <row r="98">
      <c r="B98" t="str">
        <v>Selinder CISA type 08510 ex CISA</v>
      </c>
      <c r="I98">
        <v>1</v>
      </c>
      <c r="J98" t="str">
        <v>bh</v>
      </c>
      <c r="K98">
        <f>K76</f>
        <v>299800</v>
      </c>
      <c r="L98">
        <f>I98*K98</f>
        <v>299800</v>
      </c>
    </row>
    <row r="99">
      <c r="B99" t="str">
        <v>Kait angin</v>
      </c>
      <c r="D99">
        <v>2</v>
      </c>
      <c r="I99">
        <f>D99</f>
        <v>2</v>
      </c>
      <c r="J99" t="str">
        <v>set</v>
      </c>
      <c r="K99">
        <f>K77</f>
        <v>12200</v>
      </c>
      <c r="L99">
        <f>I99*K99</f>
        <v>24400</v>
      </c>
    </row>
    <row r="100">
      <c r="B100" t="str">
        <v>Slot tanam</v>
      </c>
      <c r="D100">
        <v>1</v>
      </c>
      <c r="I100">
        <f>D100</f>
        <v>1</v>
      </c>
      <c r="J100" t="str">
        <v>set</v>
      </c>
      <c r="K100">
        <f>K69</f>
        <v>97700</v>
      </c>
      <c r="L100">
        <f>I100*K100</f>
        <v>97700</v>
      </c>
    </row>
    <row r="101">
      <c r="B101" t="str">
        <v>Grendel</v>
      </c>
      <c r="D101">
        <v>1</v>
      </c>
      <c r="I101">
        <v>2</v>
      </c>
      <c r="J101" t="str">
        <v>bh</v>
      </c>
      <c r="K101">
        <f>'Isi Data'!E55</f>
        <v>7500</v>
      </c>
      <c r="L101">
        <f>I101*K101</f>
        <v>15000</v>
      </c>
    </row>
    <row r="102">
      <c r="K102" t="str">
        <v>jumlah</v>
      </c>
      <c r="L102">
        <f>SUM(L88:L101)</f>
        <v>3440196</v>
      </c>
    </row>
    <row r="103">
      <c r="K103" t="str">
        <v>di bulatkan</v>
      </c>
      <c r="L103">
        <f>ROUND(L102,-2)</f>
        <v>3440200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97700</v>
      </c>
      <c r="L108">
        <f>I108*K108</f>
        <v>1602279.9999999998</v>
      </c>
    </row>
    <row r="109">
      <c r="B109" t="str">
        <v>Alumunium standart 3" CA rangka daun jendela</v>
      </c>
      <c r="D109">
        <v>2</v>
      </c>
      <c r="H109">
        <v>4</v>
      </c>
      <c r="I109">
        <f>D109*H109</f>
        <v>8</v>
      </c>
    </row>
    <row r="110">
      <c r="D110">
        <v>0.5</v>
      </c>
      <c r="H110">
        <v>12</v>
      </c>
      <c r="I110">
        <f>D110*H110</f>
        <v>6</v>
      </c>
    </row>
    <row r="111">
      <c r="I111">
        <f>I109+I110</f>
        <v>14</v>
      </c>
      <c r="J111" t="str">
        <v>m1</v>
      </c>
      <c r="K111">
        <f>SNI!L673</f>
        <v>96100</v>
      </c>
      <c r="L111">
        <f>I111*K111</f>
        <v>1345400</v>
      </c>
    </row>
    <row r="112">
      <c r="B112" t="str">
        <v>Kaca 6 mm</v>
      </c>
      <c r="D112">
        <v>1.6</v>
      </c>
      <c r="E112">
        <v>2</v>
      </c>
      <c r="H112">
        <v>1</v>
      </c>
      <c r="I112">
        <f>D112*E112*H112</f>
        <v>3.2</v>
      </c>
      <c r="J112" t="str">
        <v>m2</v>
      </c>
      <c r="K112">
        <f>K94</f>
        <v>99100</v>
      </c>
      <c r="L112">
        <f>I112*K112</f>
        <v>317120</v>
      </c>
    </row>
    <row r="113">
      <c r="B113" t="str">
        <v>Karet</v>
      </c>
      <c r="D113">
        <v>3</v>
      </c>
      <c r="H113">
        <v>4</v>
      </c>
      <c r="I113">
        <f>D113*H113</f>
        <v>12</v>
      </c>
    </row>
    <row r="114">
      <c r="D114">
        <v>2.18</v>
      </c>
      <c r="H114">
        <v>6</v>
      </c>
      <c r="I114">
        <f>D114*H114</f>
        <v>13.080000000000002</v>
      </c>
    </row>
    <row r="115">
      <c r="I115">
        <f>SUM(I113:I114)</f>
        <v>25.080000000000002</v>
      </c>
      <c r="J115" t="str">
        <v>m1</v>
      </c>
      <c r="K115">
        <f>K96</f>
        <v>20000</v>
      </c>
      <c r="L115">
        <f>I115*K115</f>
        <v>501600.00000000006</v>
      </c>
    </row>
    <row r="116">
      <c r="B116" t="str">
        <v>Grendel</v>
      </c>
      <c r="D116">
        <v>6</v>
      </c>
      <c r="I116">
        <f>D116</f>
        <v>6</v>
      </c>
      <c r="J116" t="str">
        <v>set</v>
      </c>
      <c r="K116">
        <f>K101</f>
        <v>7500</v>
      </c>
      <c r="L116">
        <f>I116*K116</f>
        <v>45000</v>
      </c>
    </row>
    <row r="117">
      <c r="B117" t="str">
        <v>Kait angin</v>
      </c>
      <c r="D117">
        <v>6</v>
      </c>
      <c r="I117">
        <f>D117</f>
        <v>6</v>
      </c>
      <c r="J117" t="str">
        <v>set</v>
      </c>
      <c r="K117">
        <f>K99</f>
        <v>12200</v>
      </c>
      <c r="L117">
        <f>I117*K117</f>
        <v>73200</v>
      </c>
    </row>
    <row r="118">
      <c r="K118" t="str">
        <v>jumlah</v>
      </c>
      <c r="L118">
        <f>SUM(L108:L117)</f>
        <v>3884600</v>
      </c>
    </row>
    <row r="119">
      <c r="K119" t="str">
        <v>di bulatkan</v>
      </c>
      <c r="L119">
        <f>ROUND(L118,-2)</f>
        <v>3884600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97700</v>
      </c>
      <c r="L124">
        <f>I124*K124</f>
        <v>1211480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96100</v>
      </c>
      <c r="L127">
        <f>I127*K127</f>
        <v>1691360.0000000002</v>
      </c>
    </row>
    <row r="128">
      <c r="B128" t="str">
        <v>Kaca 6 mm</v>
      </c>
      <c r="D128">
        <v>2</v>
      </c>
      <c r="E128">
        <v>1.6</v>
      </c>
      <c r="H128">
        <v>3</v>
      </c>
      <c r="I128">
        <f>D128*E128*H128</f>
        <v>9.600000000000001</v>
      </c>
      <c r="J128" t="str">
        <v>m2</v>
      </c>
      <c r="K128">
        <f>K112</f>
        <v>99100</v>
      </c>
      <c r="L128">
        <f>I128*K128</f>
        <v>951360.0000000001</v>
      </c>
    </row>
    <row r="129">
      <c r="B129" t="str">
        <v>Karet</v>
      </c>
      <c r="D129">
        <v>3</v>
      </c>
      <c r="H129">
        <v>6</v>
      </c>
      <c r="I129">
        <f>D129*H129</f>
        <v>18</v>
      </c>
    </row>
    <row r="130">
      <c r="D130">
        <v>0.5</v>
      </c>
      <c r="H130">
        <v>18</v>
      </c>
      <c r="I130">
        <f>D130*H130</f>
        <v>9</v>
      </c>
    </row>
    <row r="131">
      <c r="I131">
        <f>SUM(I129:I130)</f>
        <v>27</v>
      </c>
      <c r="J131" t="str">
        <v>m1</v>
      </c>
      <c r="K131">
        <f>K115</f>
        <v>20000</v>
      </c>
      <c r="L131">
        <f>I131*K131</f>
        <v>540000</v>
      </c>
    </row>
    <row r="132">
      <c r="B132" t="str">
        <v>Grendel</v>
      </c>
      <c r="D132">
        <v>6</v>
      </c>
      <c r="I132">
        <f>D132</f>
        <v>6</v>
      </c>
      <c r="J132" t="str">
        <v>set</v>
      </c>
      <c r="K132">
        <f>K116</f>
        <v>7500</v>
      </c>
      <c r="L132">
        <f>I132*K132</f>
        <v>45000</v>
      </c>
    </row>
    <row r="133">
      <c r="B133" t="str">
        <v>Kait angin</v>
      </c>
      <c r="D133">
        <v>6</v>
      </c>
      <c r="I133">
        <f>D133</f>
        <v>6</v>
      </c>
      <c r="J133" t="str">
        <v>set</v>
      </c>
      <c r="K133">
        <f>K117</f>
        <v>12200</v>
      </c>
      <c r="L133">
        <f>I133*K133</f>
        <v>73200</v>
      </c>
    </row>
    <row r="134">
      <c r="K134" t="str">
        <v>jumlah</v>
      </c>
      <c r="L134">
        <f>SUM(L124:L133)</f>
        <v>4512400</v>
      </c>
    </row>
    <row r="135">
      <c r="K135" t="str">
        <v>di bulatkan</v>
      </c>
      <c r="L135">
        <f>ROUND(L134,-2)</f>
        <v>4512400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97700</v>
      </c>
      <c r="L139">
        <f>I139*K139</f>
        <v>820680</v>
      </c>
    </row>
    <row r="140">
      <c r="B140" t="str">
        <v>Alumunium standart 3" CA rangka daun jendela</v>
      </c>
      <c r="D140">
        <v>1.6</v>
      </c>
      <c r="H140">
        <v>4</v>
      </c>
      <c r="I140">
        <f>D140*H140</f>
        <v>6.4</v>
      </c>
    </row>
    <row r="141">
      <c r="D141">
        <v>1.2</v>
      </c>
      <c r="H141">
        <v>4</v>
      </c>
      <c r="I141">
        <f>D141*H141</f>
        <v>4.8</v>
      </c>
    </row>
    <row r="142">
      <c r="I142">
        <f>I140+I141</f>
        <v>11.2</v>
      </c>
      <c r="J142" t="str">
        <v>m1</v>
      </c>
      <c r="K142">
        <f>K127</f>
        <v>96100</v>
      </c>
      <c r="L142">
        <f>I142*K142</f>
        <v>1076320</v>
      </c>
    </row>
    <row r="143">
      <c r="B143" t="str">
        <v>Kaca 6 mm</v>
      </c>
      <c r="D143">
        <v>1.6</v>
      </c>
      <c r="E143">
        <v>1.2</v>
      </c>
      <c r="H143">
        <v>1</v>
      </c>
      <c r="I143">
        <f>D143*E143*H143</f>
        <v>1.92</v>
      </c>
      <c r="J143" t="str">
        <v>m2</v>
      </c>
      <c r="K143">
        <f>K128</f>
        <v>99100</v>
      </c>
      <c r="L143">
        <f>I143*K143</f>
        <v>190272</v>
      </c>
    </row>
    <row r="144">
      <c r="B144" t="str">
        <v>Karet</v>
      </c>
      <c r="D144">
        <v>1.7</v>
      </c>
      <c r="H144">
        <v>2</v>
      </c>
      <c r="I144">
        <f>D144*H144</f>
        <v>3.4</v>
      </c>
    </row>
    <row r="145">
      <c r="D145">
        <v>0.6</v>
      </c>
      <c r="H145">
        <v>2</v>
      </c>
      <c r="I145">
        <f>D145*H145</f>
        <v>1.2</v>
      </c>
    </row>
    <row r="146">
      <c r="D146">
        <v>1.85</v>
      </c>
      <c r="I146">
        <f>SUM(I144:I145)</f>
        <v>4.6</v>
      </c>
      <c r="J146" t="str">
        <v>m1</v>
      </c>
      <c r="K146">
        <f>K131</f>
        <v>20000</v>
      </c>
      <c r="L146">
        <f>I146*K146</f>
        <v>92000</v>
      </c>
    </row>
    <row r="147">
      <c r="B147" t="str">
        <v>Grendel</v>
      </c>
      <c r="D147">
        <v>4</v>
      </c>
      <c r="I147">
        <f>D147</f>
        <v>4</v>
      </c>
      <c r="J147" t="str">
        <v>set</v>
      </c>
      <c r="K147">
        <f>K132</f>
        <v>7500</v>
      </c>
      <c r="L147">
        <f>I147*K147</f>
        <v>30000</v>
      </c>
    </row>
    <row r="148">
      <c r="B148" t="str">
        <v>Kait angin</v>
      </c>
      <c r="D148">
        <v>4</v>
      </c>
      <c r="I148">
        <f>D148</f>
        <v>4</v>
      </c>
      <c r="J148" t="str">
        <v>set</v>
      </c>
      <c r="K148">
        <f>K133</f>
        <v>12200</v>
      </c>
      <c r="L148">
        <f>I148*K148</f>
        <v>48800</v>
      </c>
    </row>
    <row r="149">
      <c r="K149" t="str">
        <v>jumlah</v>
      </c>
      <c r="L149">
        <f>SUM(L139:L148)</f>
        <v>2258072</v>
      </c>
    </row>
    <row r="150">
      <c r="K150" t="str">
        <v>di bulatkan</v>
      </c>
      <c r="L150">
        <f>SUM(L139:L148)</f>
        <v>2258072</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97700</v>
      </c>
      <c r="L155">
        <f>I155*K155</f>
        <v>263790</v>
      </c>
    </row>
    <row r="156">
      <c r="B156" t="str">
        <v>Alumunium standart 3" CA rangka daun jendela</v>
      </c>
      <c r="D156">
        <v>0.8</v>
      </c>
      <c r="H156">
        <v>2</v>
      </c>
      <c r="I156">
        <f>D156*H156</f>
        <v>1.6</v>
      </c>
    </row>
    <row r="157">
      <c r="D157">
        <v>0.5</v>
      </c>
      <c r="H157">
        <v>2</v>
      </c>
      <c r="I157">
        <f>D157*H157</f>
        <v>1</v>
      </c>
    </row>
    <row r="158">
      <c r="I158">
        <f>I156+I157</f>
        <v>2.6</v>
      </c>
      <c r="J158" t="str">
        <v>m1</v>
      </c>
      <c r="K158">
        <f>K142</f>
        <v>96100</v>
      </c>
      <c r="L158">
        <f>I158*K158</f>
        <v>249860</v>
      </c>
    </row>
    <row r="159">
      <c r="B159" t="str">
        <v>Kaca 6 mm</v>
      </c>
      <c r="D159">
        <v>0.85</v>
      </c>
      <c r="E159">
        <v>0.45</v>
      </c>
      <c r="H159">
        <v>1</v>
      </c>
      <c r="I159">
        <f>D159*E159*H159</f>
        <v>0.3825</v>
      </c>
      <c r="J159" t="str">
        <v>m2</v>
      </c>
      <c r="K159">
        <f>K143</f>
        <v>99100</v>
      </c>
      <c r="L159">
        <f>I159*K159</f>
        <v>37905.75</v>
      </c>
    </row>
    <row r="160">
      <c r="B160" t="str">
        <v>Karet</v>
      </c>
      <c r="D160">
        <v>0.85</v>
      </c>
      <c r="H160">
        <v>2</v>
      </c>
      <c r="I160">
        <f>D160*H160</f>
        <v>1.7</v>
      </c>
    </row>
    <row r="161">
      <c r="D161">
        <v>0.5</v>
      </c>
      <c r="H161">
        <v>2</v>
      </c>
      <c r="I161">
        <f>D161*H161</f>
        <v>1</v>
      </c>
    </row>
    <row r="162">
      <c r="I162">
        <f>SUM(I160:I161)</f>
        <v>2.7</v>
      </c>
      <c r="J162" t="str">
        <v>m1</v>
      </c>
      <c r="K162">
        <f>K146</f>
        <v>20000</v>
      </c>
      <c r="L162">
        <f>I162*K162</f>
        <v>54000</v>
      </c>
    </row>
    <row r="163">
      <c r="B163" t="str">
        <v>Grendel</v>
      </c>
      <c r="D163">
        <v>1</v>
      </c>
      <c r="I163">
        <f>D163</f>
        <v>1</v>
      </c>
      <c r="J163" t="str">
        <v>set</v>
      </c>
      <c r="K163">
        <f>K147</f>
        <v>7500</v>
      </c>
      <c r="L163">
        <f>I163*K163</f>
        <v>7500</v>
      </c>
    </row>
    <row r="164">
      <c r="B164" t="str">
        <v>Kait angin</v>
      </c>
      <c r="D164">
        <v>1</v>
      </c>
      <c r="I164">
        <f>D164</f>
        <v>1</v>
      </c>
      <c r="J164" t="str">
        <v>set</v>
      </c>
      <c r="K164">
        <f>K148</f>
        <v>12200</v>
      </c>
      <c r="L164">
        <f>I164*K164</f>
        <v>12200</v>
      </c>
    </row>
    <row r="165">
      <c r="K165" t="str">
        <v>jumlah</v>
      </c>
      <c r="L165">
        <f>SUM(L155:L164)</f>
        <v>625255.75</v>
      </c>
    </row>
    <row r="166">
      <c r="K166" t="str">
        <v>di bulatkan</v>
      </c>
      <c r="L166">
        <f>ROUND(L165,-2)</f>
        <v>625300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97700</v>
      </c>
      <c r="L170">
        <f>I170*K170</f>
        <v>381030</v>
      </c>
    </row>
    <row r="171">
      <c r="B171" t="str">
        <v>Alumunium standart 3" CA rangka daun jendela</v>
      </c>
      <c r="D171">
        <v>1.2</v>
      </c>
      <c r="H171">
        <v>2</v>
      </c>
      <c r="I171">
        <f>D171*H171</f>
        <v>2.4</v>
      </c>
    </row>
    <row r="172">
      <c r="D172">
        <v>0.5</v>
      </c>
      <c r="H172">
        <v>4</v>
      </c>
      <c r="I172">
        <f>D172*H172</f>
        <v>2</v>
      </c>
    </row>
    <row r="173">
      <c r="I173">
        <f>I171+I172</f>
        <v>4.4</v>
      </c>
      <c r="J173" t="str">
        <v>m1</v>
      </c>
      <c r="K173">
        <f>K158</f>
        <v>96100</v>
      </c>
      <c r="L173">
        <f>I173*K173</f>
        <v>422840.00000000006</v>
      </c>
    </row>
    <row r="174">
      <c r="B174" t="str">
        <v>Kaca 6 mm</v>
      </c>
      <c r="D174">
        <v>1.2</v>
      </c>
      <c r="E174">
        <v>0.45</v>
      </c>
      <c r="H174">
        <v>1</v>
      </c>
      <c r="I174">
        <f>D174*E174*H174</f>
        <v>0.54</v>
      </c>
      <c r="J174" t="str">
        <v>m2</v>
      </c>
      <c r="K174">
        <f>K159</f>
        <v>99100</v>
      </c>
      <c r="L174">
        <f>I174*K174</f>
        <v>53514</v>
      </c>
    </row>
    <row r="175">
      <c r="B175" t="str">
        <v>Karet</v>
      </c>
      <c r="D175">
        <v>1.2</v>
      </c>
      <c r="H175">
        <v>4</v>
      </c>
      <c r="I175">
        <f>D175*H175</f>
        <v>4.8</v>
      </c>
    </row>
    <row r="176">
      <c r="D176">
        <v>0.45</v>
      </c>
      <c r="H176">
        <v>4</v>
      </c>
      <c r="I176">
        <f>D176*H176</f>
        <v>1.8</v>
      </c>
    </row>
    <row r="177">
      <c r="I177">
        <f>SUM(I175:I176)</f>
        <v>6.6</v>
      </c>
      <c r="J177" t="str">
        <v>m1</v>
      </c>
      <c r="K177">
        <f>K162</f>
        <v>20000</v>
      </c>
      <c r="L177">
        <f>I177*K177</f>
        <v>132000</v>
      </c>
    </row>
    <row r="178">
      <c r="B178" t="str">
        <v>Grendel</v>
      </c>
      <c r="D178">
        <v>2</v>
      </c>
      <c r="I178">
        <f>D178</f>
        <v>2</v>
      </c>
      <c r="J178" t="str">
        <v>set</v>
      </c>
      <c r="K178">
        <f>K163</f>
        <v>7500</v>
      </c>
      <c r="L178">
        <f>I178*K178</f>
        <v>15000</v>
      </c>
    </row>
    <row r="179">
      <c r="B179" t="str">
        <v>Kait angin</v>
      </c>
      <c r="D179">
        <v>2</v>
      </c>
      <c r="I179">
        <f>D179</f>
        <v>2</v>
      </c>
      <c r="J179" t="str">
        <v>set</v>
      </c>
      <c r="K179">
        <f>K164</f>
        <v>12200</v>
      </c>
      <c r="L179">
        <f>I179*K179</f>
        <v>24400</v>
      </c>
    </row>
    <row r="180">
      <c r="K180" t="str">
        <v>jumlah</v>
      </c>
      <c r="L180">
        <f>SUM(L170:L179)</f>
        <v>1028784</v>
      </c>
    </row>
    <row r="181">
      <c r="K181" t="str">
        <v>di bulatkan</v>
      </c>
      <c r="L181">
        <f>ROUND(L180,-2)</f>
        <v>1028800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97700</v>
      </c>
      <c r="L186">
        <f>I186*K186</f>
        <v>586200</v>
      </c>
    </row>
    <row r="187">
      <c r="B187" t="str">
        <v>Alumunium standart 3" CA rangka daun jendela</v>
      </c>
      <c r="D187">
        <v>2</v>
      </c>
      <c r="H187">
        <v>2</v>
      </c>
      <c r="I187">
        <f>D187*H187</f>
        <v>4</v>
      </c>
    </row>
    <row r="188">
      <c r="D188">
        <v>0.5</v>
      </c>
      <c r="H188">
        <v>6</v>
      </c>
      <c r="I188">
        <f>D188*H188</f>
        <v>3</v>
      </c>
    </row>
    <row r="189">
      <c r="I189">
        <f>I187+I188</f>
        <v>7</v>
      </c>
      <c r="J189" t="str">
        <v>m1</v>
      </c>
      <c r="K189">
        <f>K173</f>
        <v>96100</v>
      </c>
      <c r="L189">
        <f>I189*K189</f>
        <v>672700</v>
      </c>
    </row>
    <row r="190">
      <c r="B190" t="str">
        <v>Kaca 6 mm</v>
      </c>
      <c r="D190">
        <v>2</v>
      </c>
      <c r="E190">
        <v>0.45</v>
      </c>
      <c r="H190">
        <v>1</v>
      </c>
      <c r="I190">
        <f>D190*E190*H190</f>
        <v>0.9</v>
      </c>
      <c r="J190" t="str">
        <v>m2</v>
      </c>
      <c r="K190">
        <f>K174</f>
        <v>99100</v>
      </c>
      <c r="L190">
        <f>I190*K190</f>
        <v>89190</v>
      </c>
    </row>
    <row r="191">
      <c r="B191" t="str">
        <v>Karet</v>
      </c>
      <c r="D191">
        <v>2</v>
      </c>
      <c r="H191">
        <v>2</v>
      </c>
      <c r="I191">
        <f>D191*H191</f>
        <v>4</v>
      </c>
    </row>
    <row r="192">
      <c r="D192">
        <v>0.45</v>
      </c>
      <c r="H192">
        <v>8</v>
      </c>
      <c r="I192">
        <f>D192*H192</f>
        <v>3.6</v>
      </c>
    </row>
    <row r="193">
      <c r="I193">
        <f>SUM(I191:I192)</f>
        <v>7.6</v>
      </c>
      <c r="J193" t="str">
        <v>m1</v>
      </c>
      <c r="K193">
        <f>K177</f>
        <v>20000</v>
      </c>
      <c r="L193">
        <f>I193*K193</f>
        <v>152000</v>
      </c>
    </row>
    <row r="194">
      <c r="B194" t="str">
        <v>Grendel</v>
      </c>
      <c r="D194">
        <v>3</v>
      </c>
      <c r="I194">
        <f>D194</f>
        <v>3</v>
      </c>
      <c r="J194" t="str">
        <v>set</v>
      </c>
      <c r="K194">
        <f>K178</f>
        <v>7500</v>
      </c>
      <c r="L194">
        <f>I194*K194</f>
        <v>22500</v>
      </c>
    </row>
    <row r="195">
      <c r="B195" t="str">
        <v>Kait angin</v>
      </c>
      <c r="D195">
        <v>3</v>
      </c>
      <c r="I195">
        <f>D195</f>
        <v>3</v>
      </c>
      <c r="J195" t="str">
        <v>set</v>
      </c>
      <c r="K195">
        <f>K179</f>
        <v>12200</v>
      </c>
      <c r="L195">
        <f>I195*K195</f>
        <v>36600</v>
      </c>
    </row>
    <row r="196">
      <c r="K196" t="str">
        <v>jumlah</v>
      </c>
      <c r="L196">
        <f>SUM(L185:L195)</f>
        <v>1559190</v>
      </c>
    </row>
    <row r="197">
      <c r="K197" t="str">
        <v>di bulatkan</v>
      </c>
      <c r="L197">
        <f>ROUND(L196,-2)</f>
        <v>1559200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A7:A9"/>
    <mergeCell ref="B7:B9"/>
    <mergeCell ref="C71:D71"/>
    <mergeCell ref="B12:B13"/>
    <mergeCell ref="D58:E58"/>
    <mergeCell ref="C60:E60"/>
    <mergeCell ref="C61:E62"/>
    <mergeCell ref="C63:E63"/>
    <mergeCell ref="D53:D54"/>
    <mergeCell ref="D59:E59"/>
    <mergeCell ref="F7:F9"/>
    <mergeCell ref="C8:C9"/>
    <mergeCell ref="D8:D9"/>
    <mergeCell ref="E8:E9"/>
    <mergeCell ref="F12:F20"/>
    <mergeCell ref="C15:E15"/>
    <mergeCell ref="C16:E19"/>
    <mergeCell ref="C20:D20"/>
    <mergeCell ref="C12:E12"/>
    <mergeCell ref="C13:D13"/>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E53:E54"/>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0.05420996167981279</v>
      </c>
    </row>
    <row r="5">
      <c r="A5" t="str">
        <f>A31</f>
        <v>A.1</v>
      </c>
      <c r="B5" t="str">
        <f>B31</f>
        <v>Pekerjaan Pondasi</v>
      </c>
      <c r="H5">
        <f>H47</f>
        <v>152857734.25</v>
      </c>
      <c r="I5">
        <f>H5/$H$18</f>
        <v>0.029814297881821068</v>
      </c>
    </row>
    <row r="6">
      <c r="A6" t="str">
        <f>A48</f>
        <v>A.2</v>
      </c>
      <c r="B6" t="str">
        <f>B48</f>
        <v>Pekerjaan Struktur</v>
      </c>
      <c r="H6">
        <f>H77</f>
        <v>125076428.37900001</v>
      </c>
      <c r="I6">
        <f>H6/$H$18</f>
        <v>0.024395663797991723</v>
      </c>
    </row>
    <row r="7">
      <c r="A7" t="str">
        <f>A78</f>
        <v>B.</v>
      </c>
      <c r="B7" t="str">
        <f>B78</f>
        <v xml:space="preserve">PEKERJAAN ARSITEKTUR </v>
      </c>
      <c r="I7">
        <f>SUM(I8:I12)</f>
        <v>0.9006174594373192</v>
      </c>
    </row>
    <row r="8">
      <c r="A8" t="str">
        <f>A80</f>
        <v>B.1</v>
      </c>
      <c r="B8" t="str">
        <f>B80</f>
        <v>Pekerjaan Lantai</v>
      </c>
      <c r="H8">
        <f>H87</f>
        <v>99287782.75</v>
      </c>
      <c r="I8">
        <f>H8/$H$18</f>
        <v>0.01936569023123562</v>
      </c>
    </row>
    <row r="9">
      <c r="A9" t="str">
        <f>A88</f>
        <v>B.2</v>
      </c>
      <c r="B9" t="str">
        <f>B88</f>
        <v>Pekerjaan Dinding</v>
      </c>
      <c r="H9">
        <f>H92</f>
        <v>4271787260</v>
      </c>
      <c r="I9">
        <f>H9/$H$18</f>
        <v>0.8331952483942318</v>
      </c>
    </row>
    <row r="10">
      <c r="A10" t="str">
        <f>A93</f>
        <v>B.3</v>
      </c>
      <c r="B10" t="str">
        <f>B93</f>
        <v>Pekerjaan Plafond</v>
      </c>
      <c r="H10">
        <f>H97</f>
        <v>42786018</v>
      </c>
      <c r="I10">
        <f>H10/$H$18</f>
        <v>0.00834524397530744</v>
      </c>
    </row>
    <row r="11">
      <c r="A11" t="str">
        <f>A98</f>
        <v>B.4</v>
      </c>
      <c r="B11" t="str">
        <f>B98</f>
        <v>Pekerjaan Atap</v>
      </c>
      <c r="H11">
        <f>H105</f>
        <v>110506800</v>
      </c>
      <c r="I11">
        <f>H11/$H$18</f>
        <v>0.021553915275090662</v>
      </c>
    </row>
    <row r="12">
      <c r="A12" t="str">
        <f>A106</f>
        <v>B.5</v>
      </c>
      <c r="B12" t="str">
        <f>B106</f>
        <v>Pekerjaan Kusen</v>
      </c>
      <c r="H12">
        <f>H126</f>
        <v>93092688.59</v>
      </c>
      <c r="I12">
        <f>H12/$H$18</f>
        <v>0.01815736156145377</v>
      </c>
    </row>
    <row r="13">
      <c r="A13" t="str">
        <f>A128</f>
        <v>C.</v>
      </c>
      <c r="B13" t="str">
        <f>B128</f>
        <v>PEKERJAAN UTILITAS</v>
      </c>
      <c r="I13">
        <f>SUM(I14:I15)</f>
        <v>0.031470225763043924</v>
      </c>
    </row>
    <row r="14">
      <c r="A14" t="str">
        <f>A129</f>
        <v>C.1</v>
      </c>
      <c r="B14" t="str">
        <f>B129</f>
        <v>Pekerjaan Plumbing</v>
      </c>
      <c r="H14">
        <f>H178</f>
        <v>147111967</v>
      </c>
      <c r="I14">
        <f>H14/$H$18</f>
        <v>0.02869360865277009</v>
      </c>
    </row>
    <row r="15">
      <c r="A15" t="str">
        <f>A179</f>
        <v>C.2</v>
      </c>
      <c r="B15" t="str">
        <f>B179</f>
        <v>Pekerjaan Elektrikal</v>
      </c>
      <c r="H15">
        <f>H194</f>
        <v>14235700</v>
      </c>
      <c r="I15">
        <f>H15/$H$18</f>
        <v>0.0027766171102738308</v>
      </c>
    </row>
    <row r="16">
      <c r="A16" t="str">
        <f>A195</f>
        <v>D.</v>
      </c>
      <c r="B16" t="str">
        <f>B195</f>
        <v>PEKERJAAN FINISHING</v>
      </c>
      <c r="H16">
        <f>H206</f>
        <v>70251885.86</v>
      </c>
      <c r="I16">
        <f>H16/$H$18</f>
        <v>0.013702353119824118</v>
      </c>
    </row>
    <row r="18">
      <c r="G18" t="str">
        <v>Jumlah Biaya Pekerjaan Standar ( a ) … Rp.</v>
      </c>
      <c r="H18">
        <f>SUM(H4:H16)</f>
        <v>5126994264.8289995</v>
      </c>
      <c r="I18">
        <f>SUM(I4,I7,I13,I16)</f>
        <v>1</v>
      </c>
    </row>
    <row r="19">
      <c r="G19" t="str">
        <v>PPN 10% ( b ) … Rp.</v>
      </c>
      <c r="H19">
        <f>0.1*H18</f>
        <v>512699426.48289996</v>
      </c>
    </row>
    <row r="20">
      <c r="G20" t="str">
        <v xml:space="preserve"> '( c ) = ( a ) + ( b ) … Rp.</v>
      </c>
      <c r="H20">
        <f>H18+H19</f>
        <v>5639693691.311899</v>
      </c>
    </row>
    <row r="21">
      <c r="G21" t="str">
        <v>Luas bangunan ( d ) … m2.</v>
      </c>
      <c r="H21">
        <v>250</v>
      </c>
    </row>
    <row r="22">
      <c r="G22" t="str">
        <v>Harga bangunan untuk pekerjaan standar /m2 ( e ) = ( c ) / ( d ) … Rp.</v>
      </c>
      <c r="H22">
        <f>H20/H21</f>
        <v>22558774.7652476</v>
      </c>
    </row>
    <row r="23">
      <c r="G23" t="str">
        <v>Ijin Mendirikan Bangunan /m2 ( f ) … Rp.</v>
      </c>
      <c r="H23">
        <f>'Isi Data'!E171</f>
        <v>15000</v>
      </c>
    </row>
    <row r="24">
      <c r="G24" t="str">
        <v>(e) + (f) Dibulatkan... Rp.</v>
      </c>
      <c r="H24">
        <f>ROUND(H22+H23,-4)</f>
        <v>22570000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34400</v>
      </c>
      <c r="G33">
        <f>E33*F33</f>
        <v>4926768</v>
      </c>
    </row>
    <row r="34">
      <c r="A34">
        <f>A33+1</f>
        <v>2</v>
      </c>
      <c r="B34" t="str">
        <v>Pas. Urugan pasir</v>
      </c>
      <c r="D34" t="str">
        <v>m3</v>
      </c>
      <c r="E34">
        <f>'A-QTY'!D67</f>
        <v>6.51</v>
      </c>
      <c r="F34">
        <f>SUMIF(SNI!C$1:C$65536,'RAB - rumahA'!B$1:B$65536,SNI!L$1:L$65536)</f>
        <v>180500</v>
      </c>
      <c r="G34">
        <f>E34*F34</f>
        <v>1175055</v>
      </c>
    </row>
    <row r="35">
      <c r="A35">
        <f>A34+1</f>
        <v>3</v>
      </c>
      <c r="B35" t="str">
        <v>Aanstamping batu kali</v>
      </c>
      <c r="D35" t="str">
        <v>m3</v>
      </c>
      <c r="E35">
        <f>'A-QTY'!D68</f>
        <v>19.529999999999998</v>
      </c>
      <c r="F35">
        <f>SUMIF(SNI!C$1:C$65536,'RAB - rumahA'!B$1:B$65536,SNI!L$1:L$65536)</f>
        <v>413200</v>
      </c>
      <c r="G35">
        <f>E35*F35</f>
        <v>8069795.999999999</v>
      </c>
    </row>
    <row r="36">
      <c r="A36">
        <f>A35+1</f>
        <v>4</v>
      </c>
      <c r="B36" t="str">
        <v>Pas. pondasi batu kali 1:4</v>
      </c>
      <c r="C36" t="str">
        <v>Spesi 1 : 4</v>
      </c>
      <c r="D36" t="str">
        <v>m3</v>
      </c>
      <c r="E36">
        <f>'A-QTY'!D69</f>
        <v>58.58999999999999</v>
      </c>
      <c r="F36">
        <f>SUMIF(SNI!C$1:C$65536,'RAB - rumahA'!B$1:B$65536,SNI!L$1:L$65536)</f>
        <v>698700</v>
      </c>
      <c r="G36">
        <f>E36*F36</f>
        <v>40936832.99999999</v>
      </c>
    </row>
    <row r="37">
      <c r="A37">
        <f>A36+1</f>
        <v>5</v>
      </c>
      <c r="B37" t="str">
        <v>Urugan tanah kembali</v>
      </c>
      <c r="C37" t="str">
        <v>Sisi pondasi</v>
      </c>
      <c r="D37" t="str">
        <v>m3</v>
      </c>
      <c r="E37">
        <f>'A-QTY'!D70</f>
        <v>58.59</v>
      </c>
      <c r="F37">
        <f>SUMIF(SNI!C$1:C$65536,'RAB - rumahA'!B$1:B$65536,SNI!L$1:L$65536)</f>
        <v>11500</v>
      </c>
      <c r="G37">
        <f>E37*F37</f>
        <v>673785</v>
      </c>
    </row>
    <row r="38">
      <c r="A38">
        <f>A37+1</f>
        <v>6</v>
      </c>
      <c r="B38" t="str">
        <v>Buang tanah</v>
      </c>
      <c r="C38" t="str">
        <v>Didalam site</v>
      </c>
      <c r="D38" t="str">
        <v>m3</v>
      </c>
      <c r="E38">
        <f>'A-QTY'!D71</f>
        <v>84.63</v>
      </c>
      <c r="F38">
        <f>SUMIF(SNI!C$1:C$65536,'RAB - rumahA'!B$1:B$65536,SNI!L$1:L$65536)</f>
        <v>15100</v>
      </c>
      <c r="G38">
        <f>E38*F38</f>
        <v>1277913</v>
      </c>
      <c r="H38">
        <f>SUM(G33:G38)</f>
        <v>57060149.99999999</v>
      </c>
    </row>
    <row r="39">
      <c r="A39" t="str">
        <v>A.1.2.</v>
      </c>
      <c r="B39" t="str">
        <v>Pekerjaan Pondasi Rolag Bata</v>
      </c>
    </row>
    <row r="40">
      <c r="A40">
        <v>1</v>
      </c>
      <c r="B40" t="str">
        <v>Galian tanah, dalam  s/d 1 m</v>
      </c>
      <c r="D40" t="str">
        <v>m3</v>
      </c>
      <c r="E40">
        <f>'A-QTY'!D87</f>
        <v>4.26</v>
      </c>
      <c r="F40">
        <f>SUMIF(SNI!C$1:C$65536,'RAB - rumahA'!B$1:B$65536,SNI!L$1:L$65536)</f>
        <v>34400</v>
      </c>
      <c r="G40">
        <f>E40*F40</f>
        <v>146544</v>
      </c>
    </row>
    <row r="41">
      <c r="A41">
        <f>A40+1</f>
        <v>2</v>
      </c>
      <c r="B41" t="str">
        <v>Pas. Urugan pasir</v>
      </c>
      <c r="D41" t="str">
        <v>m3</v>
      </c>
      <c r="E41">
        <f>'A-QTY'!D88</f>
        <v>0.5325000000000001</v>
      </c>
      <c r="F41">
        <f>SUMIF(SNI!C$1:C$65536,'RAB - rumahA'!B$1:B$65536,SNI!L$1:L$65536)</f>
        <v>180500</v>
      </c>
      <c r="G41">
        <f>E41*F41</f>
        <v>96116.25000000001</v>
      </c>
    </row>
    <row r="42">
      <c r="A42">
        <f>A41+1</f>
        <v>3</v>
      </c>
      <c r="B42" t="str">
        <v>Pas. Lantai kerja beton tumbuk 1:3:5</v>
      </c>
      <c r="C42" t="str">
        <v>Spesi 1 : 6</v>
      </c>
      <c r="D42" t="str">
        <v>m2</v>
      </c>
      <c r="E42">
        <f>'A-QTY'!D89</f>
        <v>10.65</v>
      </c>
      <c r="F42">
        <f>SUMIF(SNI!C$1:C$65536,'RAB - rumahA'!B$1:B$65536,SNI!L$1:L$65536)</f>
        <v>53900</v>
      </c>
      <c r="G42">
        <f>E42*F42</f>
        <v>574035</v>
      </c>
    </row>
    <row r="43">
      <c r="A43">
        <f>A42+1</f>
        <v>4</v>
      </c>
      <c r="B43" t="str">
        <v>Pas. Dinding batu bata; ad 1:4</v>
      </c>
      <c r="C43" t="str">
        <v>Spesi 1 : 4</v>
      </c>
      <c r="D43" t="str">
        <v>m2</v>
      </c>
      <c r="E43">
        <f>'A-QTY'!D90</f>
        <v>17.75</v>
      </c>
      <c r="F43">
        <f>SUMIF(SNI!C$1:C$65536,'RAB - rumahA'!B$1:B$65536,SNI!L$1:L$65536)</f>
        <v>5272700</v>
      </c>
      <c r="G43">
        <f>E43*F43</f>
        <v>93590425</v>
      </c>
    </row>
    <row r="44">
      <c r="A44">
        <f>A43+1</f>
        <v>5</v>
      </c>
      <c r="B44" t="str">
        <v>Pas. Plester acian; ad. 1:4</v>
      </c>
      <c r="C44" t="str">
        <v>Spesi 1 : 2</v>
      </c>
      <c r="D44" t="str">
        <v>m2</v>
      </c>
      <c r="E44">
        <f>'A-QTY'!D91</f>
        <v>35.5</v>
      </c>
      <c r="F44">
        <f>SUMIF(SNI!C$1:C$65536,'RAB - rumahA'!B$1:B$65536,SNI!L$1:L$65536)</f>
        <v>37500</v>
      </c>
      <c r="G44">
        <f>E44*F44</f>
        <v>1331250</v>
      </c>
    </row>
    <row r="45">
      <c r="A45">
        <f>A44+1</f>
        <v>6</v>
      </c>
      <c r="B45" t="str">
        <v>Urugan tanah kembali</v>
      </c>
      <c r="C45" t="str">
        <v>Sisi pondasi</v>
      </c>
      <c r="D45" t="str">
        <v>m3</v>
      </c>
      <c r="E45">
        <f>'A-QTY'!D92</f>
        <v>1.4199999999999995</v>
      </c>
      <c r="F45">
        <f>SUMIF(SNI!C$1:C$65536,'RAB - rumahA'!B$1:B$65536,SNI!L$1:L$65536)</f>
        <v>11500</v>
      </c>
      <c r="G45">
        <f>E45*F45</f>
        <v>16329.999999999995</v>
      </c>
    </row>
    <row r="46">
      <c r="A46">
        <f>A45+1</f>
        <v>7</v>
      </c>
      <c r="B46" t="str">
        <v>Buang tanah</v>
      </c>
      <c r="C46" t="str">
        <v>Didalam site</v>
      </c>
      <c r="D46" t="str">
        <v>m3</v>
      </c>
      <c r="E46">
        <f>'A-QTY'!D93</f>
        <v>2.8400000000000003</v>
      </c>
      <c r="F46">
        <f>SUMIF(SNI!C$1:C$65536,'RAB - rumahA'!B$1:B$65536,SNI!L$1:L$65536)</f>
        <v>15100</v>
      </c>
      <c r="G46">
        <f>E46*F46</f>
        <v>42884.00000000001</v>
      </c>
      <c r="H46">
        <f>SUM(G40:G46)</f>
        <v>95797584.25</v>
      </c>
    </row>
    <row r="47">
      <c r="G47" t="str">
        <v>Jumlah A.1 .... Rp</v>
      </c>
      <c r="H47">
        <f>SUM(G33:G46)</f>
        <v>152857734.25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269300</v>
      </c>
      <c r="G50">
        <f>E50*F50</f>
        <v>20035920</v>
      </c>
    </row>
    <row r="51">
      <c r="A51">
        <f>A50+1</f>
        <v>2</v>
      </c>
      <c r="B51" t="str">
        <v>Tulangan besi beton U-24</v>
      </c>
      <c r="C51" t="str">
        <v>Mutu baja U-24</v>
      </c>
      <c r="D51" t="str">
        <v>kg</v>
      </c>
      <c r="E51">
        <f>'A-QTY'!D160</f>
        <v>842.8130550000001</v>
      </c>
      <c r="F51">
        <f>SUMIF(SNI!C$1:C$65536,'RAB - rumahA'!B$1:B$65536,SNI!L$1:L$65536)</f>
        <v>12600</v>
      </c>
      <c r="G51">
        <f>E51*F51</f>
        <v>10619444.493</v>
      </c>
    </row>
    <row r="52">
      <c r="A52">
        <f>A51+1</f>
        <v>3</v>
      </c>
      <c r="B52" t="str">
        <v>Beton K - 175</v>
      </c>
      <c r="C52" t="str">
        <v>Kayu terentang</v>
      </c>
      <c r="D52" t="str">
        <v>m3</v>
      </c>
      <c r="E52">
        <f>'A-QTY'!D161</f>
        <v>5.58</v>
      </c>
      <c r="F52">
        <f>SUMIF(SNI!C$1:C$65536,'RAB - rumahA'!B$1:B$65536,SNI!L$1:L$65536)</f>
        <v>834600</v>
      </c>
      <c r="G52">
        <f>E52*F52</f>
        <v>4657068</v>
      </c>
      <c r="H52">
        <f>SUM(G50:G52)</f>
        <v>35312432.493</v>
      </c>
    </row>
    <row r="53">
      <c r="A53" t="str">
        <v>A.2.2</v>
      </c>
      <c r="B53" t="str">
        <v>Pekerjaan Kolom Praktis</v>
      </c>
    </row>
    <row r="54">
      <c r="A54">
        <v>1</v>
      </c>
      <c r="B54" t="str">
        <v>Bekisting Praktis beton</v>
      </c>
      <c r="C54" t="str">
        <v>Kayu terentang</v>
      </c>
      <c r="D54" t="str">
        <v>m2</v>
      </c>
      <c r="E54">
        <f>'A-QTY'!D195</f>
        <v>76.8</v>
      </c>
      <c r="F54">
        <f>SUMIF(SNI!C$1:C$65536,'RAB - rumahA'!B$1:B$65536,SNI!L$1:L$65536)</f>
        <v>46600</v>
      </c>
      <c r="G54">
        <f>E54*F54</f>
        <v>3578880</v>
      </c>
    </row>
    <row r="55">
      <c r="A55">
        <f>A54+1</f>
        <v>2</v>
      </c>
      <c r="B55" t="str">
        <v>Tulangan besi beton U-24</v>
      </c>
      <c r="C55" t="str">
        <v>Mutu baja U-24</v>
      </c>
      <c r="D55" t="str">
        <v>kg</v>
      </c>
      <c r="E55">
        <f>'A-QTY'!D196</f>
        <v>1179.4540800000002</v>
      </c>
      <c r="F55">
        <f>SUMIF(SNI!C$1:C$65536,'RAB - rumahA'!B$1:B$65536,SNI!L$1:L$65536)</f>
        <v>12600</v>
      </c>
      <c r="G55">
        <f>E55*F55</f>
        <v>14861121.408000002</v>
      </c>
    </row>
    <row r="56">
      <c r="A56">
        <f>A55+1</f>
        <v>3</v>
      </c>
      <c r="B56" t="str">
        <v>Beton K - 175</v>
      </c>
      <c r="C56" t="str">
        <v>Mutu beton K-175</v>
      </c>
      <c r="D56" t="str">
        <v>m3</v>
      </c>
      <c r="E56">
        <f>'A-QTY'!D197</f>
        <v>5.76</v>
      </c>
      <c r="F56">
        <f>SUMIF(SNI!C$1:C$65536,'RAB - rumahA'!B$1:B$65536,SNI!L$1:L$65536)</f>
        <v>834600</v>
      </c>
      <c r="G56">
        <f>E56*F56</f>
        <v>4807296</v>
      </c>
      <c r="H56">
        <f>SUM(G54:G56)</f>
        <v>23247297.408</v>
      </c>
    </row>
    <row r="57">
      <c r="A57" t="str">
        <v>A.2.3</v>
      </c>
      <c r="B57" t="str">
        <v>Pekerjaan Ringbalk</v>
      </c>
    </row>
    <row r="58">
      <c r="A58">
        <v>1</v>
      </c>
      <c r="B58" t="str">
        <v>Bekisting Praktis beton</v>
      </c>
      <c r="C58" t="str">
        <v>Kayu terentang</v>
      </c>
      <c r="D58" t="str">
        <v>m2</v>
      </c>
      <c r="E58">
        <f>'A-QTY'!D248</f>
        <v>74.4</v>
      </c>
      <c r="F58">
        <f>SUMIF(SNI!C$1:C$65536,'RAB - rumahA'!B$1:B$65536,SNI!L$1:L$65536)</f>
        <v>46600</v>
      </c>
      <c r="G58">
        <f>E58*F58</f>
        <v>3467040.0000000005</v>
      </c>
    </row>
    <row r="59">
      <c r="A59">
        <f>A58+1</f>
        <v>2</v>
      </c>
      <c r="B59" t="str">
        <v>Tulangan besi beton U-24</v>
      </c>
      <c r="C59" t="str">
        <v>Mutu baja U-24</v>
      </c>
      <c r="D59" t="str">
        <v>kg</v>
      </c>
      <c r="E59">
        <f>'A-QTY'!D247</f>
        <v>842.8130550000001</v>
      </c>
      <c r="F59">
        <f>SUMIF(SNI!C$1:C$65536,'RAB - rumahA'!B$1:B$65536,SNI!L$1:L$65536)</f>
        <v>12600</v>
      </c>
      <c r="G59">
        <f>E59*F59</f>
        <v>10619444.493</v>
      </c>
    </row>
    <row r="60">
      <c r="A60">
        <f>A59+1</f>
        <v>3</v>
      </c>
      <c r="B60" t="str">
        <v>Beton K - 175</v>
      </c>
      <c r="C60" t="str">
        <v>Mutu beton K-175</v>
      </c>
      <c r="D60" t="str">
        <v>m3</v>
      </c>
      <c r="E60">
        <f>'A-QTY'!D249</f>
        <v>5.58</v>
      </c>
      <c r="F60">
        <f>SUMIF(SNI!C$1:C$65536,'RAB - rumahA'!B$1:B$65536,SNI!L$1:L$65536)</f>
        <v>834600</v>
      </c>
      <c r="G60">
        <f>E60*F60</f>
        <v>4657068</v>
      </c>
      <c r="H60">
        <f>SUM(G58:G60)</f>
        <v>18743552.493</v>
      </c>
    </row>
    <row r="61">
      <c r="A61" t="str">
        <v>A.2.4</v>
      </c>
      <c r="B61" t="str">
        <v>Pekerjaan Ringbalk Ampiq</v>
      </c>
    </row>
    <row r="62">
      <c r="A62">
        <v>1</v>
      </c>
      <c r="B62" t="str">
        <v>Bekisting Praktis beton</v>
      </c>
      <c r="C62" t="str">
        <v>Kayu terentang</v>
      </c>
      <c r="D62" t="str">
        <v>m2</v>
      </c>
      <c r="E62">
        <f>'A-QTY'!E248</f>
        <v>43</v>
      </c>
      <c r="F62">
        <f>SUMIF(SNI!C$1:C$65536,'RAB - rumahA'!B$1:B$65536,SNI!L$1:L$65536)</f>
        <v>46600</v>
      </c>
      <c r="G62">
        <f>E62*F62</f>
        <v>2003800</v>
      </c>
    </row>
    <row r="63">
      <c r="A63">
        <f>A62+1</f>
        <v>2</v>
      </c>
      <c r="B63" t="str">
        <v>Tulangan besi beton U-24</v>
      </c>
      <c r="C63" t="str">
        <v>Mutu baja U-24</v>
      </c>
      <c r="D63" t="str">
        <v>kg</v>
      </c>
      <c r="E63">
        <f>'A-QTY'!E247</f>
        <v>487.039035</v>
      </c>
      <c r="F63">
        <f>SUMIF(SNI!C$1:C$65536,'RAB - rumahA'!B$1:B$65536,SNI!L$1:L$65536)</f>
        <v>12600</v>
      </c>
      <c r="G63">
        <f>E63*F63</f>
        <v>6136691.841</v>
      </c>
    </row>
    <row r="64">
      <c r="A64">
        <f>A63+1</f>
        <v>3</v>
      </c>
      <c r="B64" t="str">
        <v>Beton K - 175</v>
      </c>
      <c r="C64" t="str">
        <v>Mutu beton K-175</v>
      </c>
      <c r="D64" t="str">
        <v>m3</v>
      </c>
      <c r="E64">
        <f>'A-QTY'!E249</f>
        <v>3.225</v>
      </c>
      <c r="F64">
        <f>SUMIF(SNI!C$1:C$65536,'RAB - rumahA'!B$1:B$65536,SNI!L$1:L$65536)</f>
        <v>834600</v>
      </c>
      <c r="G64">
        <f>E64*F64</f>
        <v>2691585</v>
      </c>
      <c r="H64">
        <f>SUM(G62:G64)</f>
        <v>10832076.841</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531500</v>
      </c>
      <c r="G66">
        <f>E66*F66</f>
        <v>19436954.999999996</v>
      </c>
    </row>
    <row r="67">
      <c r="A67">
        <f>A66+1</f>
        <v>2</v>
      </c>
      <c r="B67" t="str">
        <v>Tulangan besi beton U-24</v>
      </c>
      <c r="C67" t="str">
        <v>Mutu baja U-24</v>
      </c>
      <c r="D67" t="str">
        <v>kg</v>
      </c>
      <c r="E67">
        <f>'A-QTY'!D287+'A-QTY'!E287</f>
        <v>307.50677999999994</v>
      </c>
      <c r="F67">
        <f>SUMIF(SNI!C$1:C$65536,'RAB - rumahA'!B$1:B$65536,SNI!L$1:L$65536)</f>
        <v>12600</v>
      </c>
      <c r="G67">
        <f>E67*F67</f>
        <v>3874585.4279999994</v>
      </c>
    </row>
    <row r="68">
      <c r="A68">
        <f>A67+1</f>
        <v>3</v>
      </c>
      <c r="B68" t="str">
        <v>Beton K - 175</v>
      </c>
      <c r="C68" t="str">
        <v>Mutu beton K-175</v>
      </c>
      <c r="D68" t="str">
        <v>m3</v>
      </c>
      <c r="E68">
        <f>'A-QTY'!D288+'A-QTY'!E288</f>
        <v>3.5</v>
      </c>
      <c r="F68">
        <f>SUMIF(SNI!C$1:C$65536,'RAB - rumahA'!B$1:B$65536,SNI!L$1:L$65536)</f>
        <v>834600</v>
      </c>
      <c r="G68">
        <f>E68*F68</f>
        <v>2921100</v>
      </c>
      <c r="H68">
        <f>SUM(G66:G68)</f>
        <v>26232640.427999996</v>
      </c>
    </row>
    <row r="69">
      <c r="A69" t="str">
        <v>A.2.6</v>
      </c>
      <c r="B69" t="str">
        <v>Pekerjaan Kanopi</v>
      </c>
    </row>
    <row r="70">
      <c r="A70">
        <v>1</v>
      </c>
      <c r="B70" t="str">
        <v>Bekisting beton plat lantai</v>
      </c>
      <c r="C70" t="str">
        <v>Kayu terentang</v>
      </c>
      <c r="D70" t="str">
        <v>m2</v>
      </c>
      <c r="E70">
        <f>'A-QTY'!F286</f>
        <v>14.07</v>
      </c>
      <c r="F70">
        <f>SUMIF(SNI!C$1:C$65536,'RAB - rumahA'!B$1:B$65536,SNI!L$1:L$65536)</f>
        <v>531500</v>
      </c>
      <c r="G70">
        <f>E70*F70</f>
        <v>7478205</v>
      </c>
    </row>
    <row r="71">
      <c r="A71">
        <f>A70+1</f>
        <v>2</v>
      </c>
      <c r="B71" t="str">
        <v>Tulangan besi beton U-24</v>
      </c>
      <c r="C71" t="str">
        <v>Mutu baja U-24</v>
      </c>
      <c r="D71" t="str">
        <v>kg</v>
      </c>
      <c r="E71">
        <f>'A-QTY'!F287</f>
        <v>124.70283</v>
      </c>
      <c r="F71">
        <f>SUMIF(SNI!C$1:C$65536,'RAB - rumahA'!B$1:B$65536,SNI!L$1:L$65536)</f>
        <v>12600</v>
      </c>
      <c r="G71">
        <f>E71*F71</f>
        <v>1571255.658</v>
      </c>
    </row>
    <row r="72">
      <c r="A72">
        <f>A71+1</f>
        <v>3</v>
      </c>
      <c r="B72" t="str">
        <v>Beton K - 175</v>
      </c>
      <c r="C72" t="str">
        <v>Mutu beton K-175</v>
      </c>
      <c r="D72" t="str">
        <v>m3</v>
      </c>
      <c r="E72">
        <f>'A-QTY'!F288</f>
        <v>1.2000000000000002</v>
      </c>
      <c r="F72">
        <f>SUMIF(SNI!C$1:C$65536,'RAB - rumahA'!B$1:B$65536,SNI!L$1:L$65536)</f>
        <v>834600</v>
      </c>
      <c r="G72">
        <f>E72*F72</f>
        <v>1001520.0000000001</v>
      </c>
      <c r="H72">
        <f>SUM(G70:G72)</f>
        <v>10050980.658</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46600</v>
      </c>
      <c r="G74">
        <f>E74*F74</f>
        <v>133741.99999999997</v>
      </c>
    </row>
    <row r="75">
      <c r="A75">
        <f>A74+1</f>
        <v>2</v>
      </c>
      <c r="B75" t="str">
        <v>Tulangan besi beton U-24</v>
      </c>
      <c r="C75" t="str">
        <v>Mutu baja U-24</v>
      </c>
      <c r="D75" t="str">
        <v>kg</v>
      </c>
      <c r="E75">
        <f>'A-QTY'!G287</f>
        <v>25.66683</v>
      </c>
      <c r="F75">
        <f>SUMIF(SNI!C$1:C$65536,'RAB - rumahA'!B$1:B$65536,SNI!L$1:L$65536)</f>
        <v>12600</v>
      </c>
      <c r="G75">
        <f>E75*F75</f>
        <v>323402.058</v>
      </c>
    </row>
    <row r="76">
      <c r="A76">
        <f>A75+1</f>
        <v>3</v>
      </c>
      <c r="B76" t="str">
        <v>Beton K - 175</v>
      </c>
      <c r="C76" t="str">
        <v>Mutu beton K-175</v>
      </c>
      <c r="D76" t="str">
        <v>m3</v>
      </c>
      <c r="E76">
        <f>'A-QTY'!G288</f>
        <v>0.24</v>
      </c>
      <c r="F76">
        <f>SUMIF(SNI!C$1:C$65536,'RAB - rumahA'!B$1:B$65536,SNI!L$1:L$65536)</f>
        <v>834600</v>
      </c>
      <c r="G76">
        <f>E76*F76</f>
        <v>200304</v>
      </c>
      <c r="H76">
        <f>SUM(G74:G76)</f>
        <v>657448.058</v>
      </c>
    </row>
    <row r="77">
      <c r="G77" t="str">
        <v>Jumlah A.2 .... Rp</v>
      </c>
      <c r="H77">
        <f>SUM(G50:G76)</f>
        <v>125076428.37900001</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180500</v>
      </c>
      <c r="G81">
        <f>E81*F81</f>
        <v>3093318.75</v>
      </c>
    </row>
    <row r="82">
      <c r="A82">
        <f>A81+1</f>
        <v>2</v>
      </c>
      <c r="B82" t="str">
        <v>Pas. Lantai kerja beton tumbuk 1:3:5</v>
      </c>
      <c r="C82" t="str">
        <v>t. 5 cm</v>
      </c>
      <c r="D82" t="str">
        <v>m2</v>
      </c>
      <c r="E82">
        <f>'A-QTY'!E37</f>
        <v>306.75</v>
      </c>
      <c r="F82">
        <f>SUMIF(SNI!C$1:C$65536,'RAB - rumahA'!B$1:B$65536,SNI!L$1:L$65536)</f>
        <v>53900</v>
      </c>
      <c r="G82">
        <f>E82*F82</f>
        <v>16533825</v>
      </c>
    </row>
    <row r="83">
      <c r="A83">
        <f>A82+1</f>
        <v>3</v>
      </c>
      <c r="B83" t="str">
        <v>Pas. Lantai Keramik 300x300</v>
      </c>
      <c r="C83" t="str">
        <v>ex Masterina</v>
      </c>
      <c r="D83" t="str">
        <v>m2</v>
      </c>
      <c r="E83">
        <f>'A-QTY'!D394+'A-QTY'!D445+'A-QTY'!D402+'A-QTY'!D410+'A-QTY'!D418</f>
        <v>262.25</v>
      </c>
      <c r="F83">
        <f>SUMIF(SNI!C$1:C$65536,'RAB - rumahA'!B$1:B$65536,SNI!L$1:L$65536)</f>
        <v>159100</v>
      </c>
      <c r="G83">
        <f>E83*F83</f>
        <v>41723975</v>
      </c>
    </row>
    <row r="84">
      <c r="A84">
        <f>A83+1</f>
        <v>4</v>
      </c>
      <c r="B84" t="str">
        <v>Pas. Lantai Keramik 300x300</v>
      </c>
      <c r="C84" t="str">
        <v>ex Masterina</v>
      </c>
      <c r="D84" t="str">
        <v>m2</v>
      </c>
      <c r="E84">
        <f>'A-QTY'!D425+4.5+'A-QTY'!E26</f>
        <v>87.54</v>
      </c>
      <c r="F84">
        <f>SUMIF(SNI!C$1:C$65536,'RAB - rumahA'!B$1:B$65536,SNI!L$1:L$65536)</f>
        <v>159100</v>
      </c>
      <c r="G84">
        <f>E84*F84</f>
        <v>13927614.000000002</v>
      </c>
    </row>
    <row r="85">
      <c r="A85">
        <f>A84+1</f>
        <v>5</v>
      </c>
      <c r="B85" t="str">
        <v>Pas. Plint Granitetile 100x400</v>
      </c>
      <c r="C85" t="str">
        <v xml:space="preserve">Granitile polish 10 x 40 cm </v>
      </c>
      <c r="D85" t="str">
        <v>m</v>
      </c>
      <c r="E85">
        <f>'A-QTY'!D395+'A-QTY'!D403+'A-QTY'!D411+'A-QTY'!D419+'A-QTY'!D446</f>
        <v>236.5</v>
      </c>
      <c r="F85">
        <f>SUMIF(SNI!C$1:C$65536,'RAB - rumahA'!B$1:B$65536,SNI!L$1:L$65536)</f>
        <v>77300</v>
      </c>
      <c r="G85">
        <f>E85*F85</f>
        <v>18281450</v>
      </c>
    </row>
    <row r="86">
      <c r="A86">
        <f>A85+1</f>
        <v>6</v>
      </c>
      <c r="B86" t="str">
        <v>Pas. Lantai Keramik 300x300</v>
      </c>
      <c r="C86" t="str">
        <v>Carport</v>
      </c>
      <c r="D86" t="str">
        <v>m2</v>
      </c>
      <c r="E86">
        <f>'A-QTY'!D449</f>
        <v>36</v>
      </c>
      <c r="F86">
        <f>SUMIF(SNI!C$1:C$65536,'RAB - rumahA'!B$1:B$65536,SNI!L$1:L$65536)</f>
        <v>159100</v>
      </c>
      <c r="G86">
        <f>E86*F86</f>
        <v>5727600</v>
      </c>
    </row>
    <row r="87">
      <c r="G87" t="str">
        <v>Jumlah B.1 .... Rp</v>
      </c>
      <c r="H87">
        <f>SUM(G81:G86)</f>
        <v>99287782.75</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5272700</v>
      </c>
      <c r="G89">
        <f>E89*F89</f>
        <v>4179985652</v>
      </c>
    </row>
    <row r="90">
      <c r="A90">
        <f>A89+1</f>
        <v>2</v>
      </c>
      <c r="B90" t="str">
        <v>Pas. Plester acian; ad. 1:4</v>
      </c>
      <c r="C90" t="str">
        <v>t. 15 mm; Interior</v>
      </c>
      <c r="D90" t="str">
        <v>m2</v>
      </c>
      <c r="E90">
        <f>'A-QTY'!D323+'A-QTY'!H323</f>
        <v>1585.52</v>
      </c>
      <c r="F90">
        <f>SUMIF(SNI!C$1:C$65536,'RAB - rumahA'!B$1:B$65536,SNI!L$1:L$65536)</f>
        <v>37500</v>
      </c>
      <c r="G90">
        <f>E90*F90</f>
        <v>59457000</v>
      </c>
    </row>
    <row r="91">
      <c r="A91">
        <f>A90+1</f>
        <v>3</v>
      </c>
      <c r="B91" t="str">
        <v>Pas. Acian PC</v>
      </c>
      <c r="D91" t="str">
        <v>m2</v>
      </c>
      <c r="E91">
        <f>'A-QTY'!D323+'A-QTY'!H323</f>
        <v>1585.52</v>
      </c>
      <c r="F91">
        <f>SUMIF(SNI!C$1:C$65536,'RAB - rumahA'!B$1:B$65536,SNI!L$1:L$65536)</f>
        <v>20400</v>
      </c>
      <c r="G91">
        <f>E91*F91</f>
        <v>32344608</v>
      </c>
    </row>
    <row r="92">
      <c r="G92" t="str">
        <v>Jumlah B.2 .... Rp</v>
      </c>
      <c r="H92">
        <f>SUM(G89:G91)</f>
        <v>4271787260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87200</v>
      </c>
      <c r="G94">
        <f>E94*F94</f>
        <v>28601600</v>
      </c>
    </row>
    <row r="95">
      <c r="A95">
        <f>A94+1</f>
        <v>2</v>
      </c>
      <c r="B95" t="str">
        <v>Pas. Penutup Plafond Gypsumboard t. 9 mm</v>
      </c>
      <c r="C95" t="str">
        <v>ex Jayaboard</v>
      </c>
      <c r="D95" t="str">
        <v>m2</v>
      </c>
      <c r="E95">
        <f>'A-QTY'!D427+4.5+'A-QTY'!D396+'A-QTY'!D454+'A-QTY'!D404+'A-QTY'!D412+'A-QTY'!D420+17.44</f>
        <v>349.94</v>
      </c>
      <c r="F95">
        <f>SUMIF(SNI!C$1:C$65536,'RAB - rumahA'!B$1:B$65536,SNI!L$1:L$65536)</f>
        <v>31700</v>
      </c>
      <c r="G95">
        <f>E95*F95</f>
        <v>11093098</v>
      </c>
    </row>
    <row r="96">
      <c r="A96">
        <f>A95+1</f>
        <v>3</v>
      </c>
      <c r="B96" t="str">
        <v>Pas. List Profil Gypsum t. 5 cm</v>
      </c>
      <c r="C96" t="str">
        <v>ex Jayaboard</v>
      </c>
      <c r="D96" t="str">
        <v>m'</v>
      </c>
      <c r="E96">
        <f>'A-QTY'!D398+'A-QTY'!D406+'A-QTY'!D414+'A-QTY'!D422+'A-QTY'!D429+17.3</f>
        <v>249.3</v>
      </c>
      <c r="F96">
        <f>SUMIF(SNI!C$1:C$65536,'RAB - rumahA'!B$1:B$65536,SNI!L$1:L$65536)</f>
        <v>12400</v>
      </c>
      <c r="G96">
        <f>E96*F96</f>
        <v>3091320</v>
      </c>
    </row>
    <row r="97">
      <c r="G97" t="str">
        <v>Jumlah B.3 .... Rp</v>
      </c>
      <c r="H97">
        <f>SUM(G94:G96)</f>
        <v>42786018</v>
      </c>
    </row>
    <row r="98">
      <c r="A98" t="str">
        <v>B.4</v>
      </c>
      <c r="B98" t="str">
        <v>Pekerjaan Atap</v>
      </c>
    </row>
    <row r="99">
      <c r="A99">
        <v>1</v>
      </c>
      <c r="B99" t="str">
        <v>Rangka atap baja ringan</v>
      </c>
      <c r="C99" t="str">
        <v>ex Smartruss</v>
      </c>
      <c r="D99" t="str">
        <v>m2</v>
      </c>
      <c r="E99">
        <f>(18*22)</f>
        <v>396</v>
      </c>
      <c r="F99">
        <f>SUMIF(SNI!C$1:C$65536,'RAB - rumahA'!B$1:B$65536,SNI!L$1:L$65536)</f>
        <v>151800</v>
      </c>
      <c r="G99">
        <f>E99*F99</f>
        <v>60112800</v>
      </c>
    </row>
    <row r="100">
      <c r="A100">
        <v>2</v>
      </c>
      <c r="B100" t="str">
        <v>Penutup atap Genteng Keramik Glazur</v>
      </c>
      <c r="C100" t="str">
        <v>ex Kanmuri</v>
      </c>
      <c r="D100" t="str">
        <v>m2</v>
      </c>
      <c r="E100">
        <f>E99</f>
        <v>396</v>
      </c>
      <c r="F100">
        <f>SUMIF(SNI!C$1:C$65536,'RAB - rumahA'!B$1:B$65536,SNI!L$1:L$65536)</f>
        <v>104600</v>
      </c>
      <c r="G100">
        <f>E100*F100</f>
        <v>41421600</v>
      </c>
    </row>
    <row r="101">
      <c r="A101">
        <v>3</v>
      </c>
      <c r="B101" t="str">
        <v>Bubungan Genteng Keramik Glazur</v>
      </c>
      <c r="C101" t="str">
        <v>ex Kanmuri</v>
      </c>
      <c r="D101" t="str">
        <v>m'</v>
      </c>
      <c r="E101">
        <v>18</v>
      </c>
      <c r="F101">
        <f>SUMIF(SNI!C$1:C$65536,'RAB - rumahA'!B$1:B$65536,SNI!L$1:L$65536)</f>
        <v>95200</v>
      </c>
      <c r="G101">
        <f>E101*F101</f>
        <v>1713600</v>
      </c>
    </row>
    <row r="102">
      <c r="A102">
        <v>4</v>
      </c>
      <c r="B102" t="str">
        <v>Pas. Lisplank Kayu 3/20 mm</v>
      </c>
      <c r="C102" t="str">
        <v>Kayu kamper medan</v>
      </c>
      <c r="D102" t="str">
        <v>m'</v>
      </c>
      <c r="E102">
        <f>22+18+18</f>
        <v>58</v>
      </c>
      <c r="F102">
        <f>SUMIF(SNI!C$1:C$65536,'RAB - rumahA'!B$1:B$65536,SNI!L$1:L$65536)</f>
        <v>101400</v>
      </c>
      <c r="G102">
        <f>E102*F102</f>
        <v>5881200</v>
      </c>
    </row>
    <row r="103">
      <c r="A103">
        <v>5</v>
      </c>
      <c r="B103" t="str">
        <v>Pas. Fleshing seng plat</v>
      </c>
      <c r="C103" t="str">
        <v>Seng bjls 35</v>
      </c>
      <c r="D103" t="str">
        <v>m'</v>
      </c>
      <c r="E103">
        <v>22</v>
      </c>
      <c r="F103">
        <f>SUMIF(SNI!C$1:C$65536,'RAB - rumahA'!B$1:B$65536,SNI!L$1:L$65536)</f>
        <v>51600</v>
      </c>
      <c r="G103">
        <f>E103*F103</f>
        <v>1135200</v>
      </c>
    </row>
    <row r="104">
      <c r="A104">
        <v>6</v>
      </c>
      <c r="B104" t="str">
        <v>Pas. Roof Drain</v>
      </c>
      <c r="D104" t="str">
        <v>bh</v>
      </c>
      <c r="E104">
        <f>'A-QTY'!D462</f>
        <v>2</v>
      </c>
      <c r="F104">
        <f>SUMIF(SNI!C$1:C$65536,'RAB - rumahA'!B$1:B$65536,SNI!L$1:L$65536)</f>
        <v>121200</v>
      </c>
      <c r="G104">
        <f>E104*F104</f>
        <v>242400</v>
      </c>
    </row>
    <row r="105">
      <c r="G105" t="str">
        <v>Jumlah B.4 .... Rp</v>
      </c>
      <c r="H105">
        <f>SUM(G99:G104)</f>
        <v>110506800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25367700</v>
      </c>
      <c r="G107">
        <f>E107*F107</f>
        <v>32488413.389999997</v>
      </c>
    </row>
    <row r="108">
      <c r="A108">
        <v>2</v>
      </c>
      <c r="B108" t="str">
        <v>Pintu panel kayu KW.I; 82 x 206 cm; R. Tamu</v>
      </c>
      <c r="C108" t="str">
        <v>Kayu Jati</v>
      </c>
      <c r="D108" t="str">
        <v>m2</v>
      </c>
      <c r="E108">
        <f>'A-QTY'!D364</f>
        <v>2.9252</v>
      </c>
      <c r="F108">
        <f>SNI!L741</f>
        <v>1116000</v>
      </c>
      <c r="G108">
        <f>E108*F108</f>
        <v>3264523.1999999997</v>
      </c>
    </row>
    <row r="109">
      <c r="A109">
        <v>3</v>
      </c>
      <c r="B109" t="str">
        <v>Pintu panel kayu KW.I; 82 x 206 cm; K. Tidur</v>
      </c>
      <c r="C109" t="str">
        <v>Kayu Jati</v>
      </c>
      <c r="D109" t="str">
        <v>m2</v>
      </c>
      <c r="E109">
        <f>'A-QTY'!D365</f>
        <v>16.686000000000003</v>
      </c>
      <c r="F109">
        <f>F108</f>
        <v>1116000</v>
      </c>
      <c r="G109">
        <f>E109*F109</f>
        <v>18621576.000000004</v>
      </c>
    </row>
    <row r="110">
      <c r="A110">
        <v>4</v>
      </c>
      <c r="B110" t="str">
        <v>Pintu panel kayu KW.I; 72 x 206 cm; K. Mandi</v>
      </c>
      <c r="C110" t="str">
        <v>Rangka Kayu Jati</v>
      </c>
      <c r="D110" t="str">
        <v>m2</v>
      </c>
      <c r="E110">
        <f>'A-QTY'!D366</f>
        <v>5.8504</v>
      </c>
      <c r="F110">
        <f>F109</f>
        <v>1116000</v>
      </c>
      <c r="G110">
        <f>E110*F110</f>
        <v>6529046.399999999</v>
      </c>
    </row>
    <row r="111">
      <c r="A111">
        <v>5</v>
      </c>
      <c r="B111" t="str">
        <v>Pintu kaca kayu KW.I; 50 x 206 cm</v>
      </c>
      <c r="C111" t="str">
        <v>Rangka Kayu Jati</v>
      </c>
      <c r="D111" t="str">
        <v>m2</v>
      </c>
      <c r="E111">
        <f>'A-QTY'!D367</f>
        <v>4.12</v>
      </c>
      <c r="F111">
        <f>SNI!L717</f>
        <v>719200</v>
      </c>
      <c r="G111">
        <f>E111*F111</f>
        <v>2963104</v>
      </c>
    </row>
    <row r="112">
      <c r="A112">
        <v>6</v>
      </c>
      <c r="B112" t="str">
        <v>Jendela kaca kayu KW.I; 52 x 122 cm</v>
      </c>
      <c r="C112" t="str">
        <v>Rangka Kayu Jati</v>
      </c>
      <c r="D112" t="str">
        <v>m2</v>
      </c>
      <c r="E112">
        <f>'A-QTY'!D368</f>
        <v>12.688</v>
      </c>
      <c r="F112">
        <f>F111</f>
        <v>719200</v>
      </c>
      <c r="G112">
        <f>E112*F112</f>
        <v>9125209.6</v>
      </c>
    </row>
    <row r="113">
      <c r="A113">
        <v>7</v>
      </c>
      <c r="B113" t="str">
        <v>Jendela kaca kayu KW.I; 52 x 182 cm</v>
      </c>
      <c r="C113" t="str">
        <v>Rangka Kayu Jati</v>
      </c>
      <c r="D113" t="str">
        <v>m2</v>
      </c>
      <c r="E113">
        <f>'A-QTY'!D369</f>
        <v>1.8928</v>
      </c>
      <c r="F113">
        <f>F112</f>
        <v>719200</v>
      </c>
      <c r="G113">
        <f>E113*F113</f>
        <v>1361301.76</v>
      </c>
    </row>
    <row r="114">
      <c r="A114">
        <v>8</v>
      </c>
      <c r="B114" t="str">
        <v>Pintu Besi 240 x 400 cm; Garasi</v>
      </c>
      <c r="C114" t="str">
        <v>Rangka Besi siku; Penutup plat besi</v>
      </c>
      <c r="D114" t="str">
        <v>m2</v>
      </c>
      <c r="E114">
        <f>4*2.4</f>
        <v>9.6</v>
      </c>
      <c r="F114">
        <f>SNI!L785</f>
        <v>840700</v>
      </c>
      <c r="G114">
        <f>E114*F114</f>
        <v>8070720</v>
      </c>
    </row>
    <row r="115">
      <c r="A115">
        <v>9</v>
      </c>
      <c r="B115" t="str">
        <v>Pas. Kaca polos 5 mm</v>
      </c>
      <c r="C115" t="str">
        <v>ex Asahi</v>
      </c>
      <c r="D115" t="str">
        <v>m2</v>
      </c>
      <c r="E115">
        <f>'A-QTY'!D372</f>
        <v>11.6064</v>
      </c>
      <c r="F115">
        <f>SUMIF(SNI!C$1:C$65536,'RAB - rumahA'!B$1:B$65536,SNI!L$1:L$65536)</f>
        <v>99100</v>
      </c>
      <c r="G115">
        <f>E115*F115</f>
        <v>1150194.24</v>
      </c>
    </row>
    <row r="116">
      <c r="B116" t="str">
        <v>Pekerjaan Kunci dan Penggantung</v>
      </c>
    </row>
    <row r="117">
      <c r="A117">
        <v>10</v>
      </c>
      <c r="B117" t="str">
        <v>Pas. Engsel pintu</v>
      </c>
      <c r="C117" t="str">
        <v>ex Solid</v>
      </c>
      <c r="D117" t="str">
        <v>bh</v>
      </c>
      <c r="E117">
        <f>'A-QTY'!D373</f>
        <v>60</v>
      </c>
      <c r="F117">
        <f>SUMIF(SNI!C$1:C$65536,'RAB - rumahA'!B$1:B$65536,SNI!L$1:L$65536)</f>
        <v>24900</v>
      </c>
      <c r="G117">
        <f>E117*F117</f>
        <v>1494000</v>
      </c>
    </row>
    <row r="118">
      <c r="A118">
        <v>11</v>
      </c>
      <c r="B118" t="str">
        <v>Pas. Engsel jendela</v>
      </c>
      <c r="C118" t="str">
        <v>ex Solid</v>
      </c>
      <c r="D118" t="str">
        <v>bh</v>
      </c>
      <c r="E118">
        <f>'A-QTY'!D374</f>
        <v>44</v>
      </c>
      <c r="F118">
        <f>SUMIF(SNI!C$1:C$65536,'RAB - rumahA'!B$1:B$65536,SNI!L$1:L$65536)</f>
        <v>23200</v>
      </c>
      <c r="G118">
        <f>E118*F118</f>
        <v>1020800</v>
      </c>
    </row>
    <row r="119">
      <c r="A119">
        <v>12</v>
      </c>
      <c r="B119" t="str">
        <v>Pas. Kunci pintu ruangan</v>
      </c>
      <c r="C119" t="str">
        <v>ex Solid</v>
      </c>
      <c r="D119" t="str">
        <v>bh</v>
      </c>
      <c r="E119">
        <f>'A-QTY'!D375+'A-QTY'!D376</f>
        <v>13</v>
      </c>
      <c r="F119">
        <f>SUMIF(SNI!C$1:C$65536,'RAB - rumahA'!B$1:B$65536,SNI!L$1:L$65536)</f>
        <v>311900</v>
      </c>
      <c r="G119">
        <f>E119*F119</f>
        <v>4054700</v>
      </c>
    </row>
    <row r="120">
      <c r="A120">
        <v>13</v>
      </c>
      <c r="B120" t="str">
        <v>Pas. Kunci knob pintu kamar mandi</v>
      </c>
      <c r="C120" t="str">
        <v>ex Alpha</v>
      </c>
      <c r="D120" t="str">
        <v>bh</v>
      </c>
      <c r="E120">
        <f>'A-QTY'!D377</f>
        <v>4</v>
      </c>
      <c r="F120">
        <f>SUMIF(SNI!C$1:C$65536,'RAB - rumahA'!B$1:B$65536,SNI!L$1:L$65536)</f>
        <v>318600</v>
      </c>
      <c r="G120">
        <f>E120*F120</f>
        <v>1274400</v>
      </c>
    </row>
    <row r="121">
      <c r="A121">
        <v>14</v>
      </c>
      <c r="B121" t="str">
        <v>Pas. Slot tanam pintu doble</v>
      </c>
      <c r="C121" t="str">
        <v>ex Solid</v>
      </c>
      <c r="D121" t="str">
        <v>ps</v>
      </c>
      <c r="E121">
        <f>'A-QTY'!D378</f>
        <v>3</v>
      </c>
      <c r="F121">
        <f>SUMIF(SNI!C$1:C$65536,'RAB - rumahA'!B$1:B$65536,SNI!L$1:L$65536)</f>
        <v>99300</v>
      </c>
      <c r="G121">
        <f>E121*F121</f>
        <v>297900</v>
      </c>
    </row>
    <row r="122">
      <c r="A122">
        <v>15</v>
      </c>
      <c r="B122" t="str">
        <v>Pas. Kait angin jendela</v>
      </c>
      <c r="C122" t="str">
        <v>ex Solid</v>
      </c>
      <c r="D122" t="str">
        <v>bh</v>
      </c>
      <c r="E122">
        <f>'A-QTY'!D379</f>
        <v>22</v>
      </c>
      <c r="F122">
        <f>SUMIF(SNI!C$1:C$65536,'RAB - rumahA'!B$1:B$65536,SNI!L$1:L$65536)</f>
        <v>12200</v>
      </c>
      <c r="G122">
        <f>E122*F122</f>
        <v>268400</v>
      </c>
    </row>
    <row r="123">
      <c r="A123">
        <v>16</v>
      </c>
      <c r="B123" t="str">
        <v>Pas. Grendel Jendela</v>
      </c>
      <c r="C123" t="str">
        <v>ex Solid</v>
      </c>
      <c r="D123" t="str">
        <v>bh</v>
      </c>
      <c r="E123">
        <f>'A-QTY'!D380</f>
        <v>44</v>
      </c>
      <c r="F123">
        <f>SUMIF(SNI!C$1:C$65536,'RAB - rumahA'!B$1:B$65536,SNI!L$1:L$65536)</f>
        <v>25000</v>
      </c>
      <c r="G123">
        <f>E123*F123</f>
        <v>1100000</v>
      </c>
    </row>
    <row r="124">
      <c r="A124">
        <v>17</v>
      </c>
      <c r="B124" t="str">
        <v>Pas. Rel pintu lipat 4 pintu</v>
      </c>
      <c r="C124" t="str">
        <v>Dekson</v>
      </c>
      <c r="D124" t="str">
        <v>unt</v>
      </c>
      <c r="E124">
        <v>1</v>
      </c>
      <c r="F124">
        <f>SUMIF(SNI!C$1:C$65536,'RAB - rumahA'!B$1:B$65536,SNI!L$1:L$65536)</f>
        <v>8400</v>
      </c>
      <c r="G124">
        <f>E124*F124</f>
        <v>8400</v>
      </c>
    </row>
    <row r="126">
      <c r="G126" t="str">
        <v>Jumlah B.5 .... Rp</v>
      </c>
      <c r="H126">
        <f>SUM(G107:G124)</f>
        <v>93092688.59</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1093100</v>
      </c>
      <c r="G131">
        <f>E131*F131</f>
        <v>2186200</v>
      </c>
    </row>
    <row r="132">
      <c r="A132">
        <f>A131+1</f>
        <v>2</v>
      </c>
      <c r="B132" t="str">
        <v>Pas. Kloset Duduk Keramik</v>
      </c>
      <c r="C132" t="str">
        <v>TOTO CW 660 J / SW 660 J</v>
      </c>
      <c r="D132" t="str">
        <v>bh</v>
      </c>
      <c r="E132">
        <f>'A-QTY'!D432</f>
        <v>2</v>
      </c>
      <c r="F132">
        <f>SUMIF(SNI!C$1:C$65536,'RAB - rumahA'!B$1:B$65536,SNI!L$1:L$65536)</f>
        <v>1264900</v>
      </c>
      <c r="G132">
        <f>E132*F132</f>
        <v>2529800</v>
      </c>
    </row>
    <row r="133">
      <c r="A133">
        <f>A132+1</f>
        <v>3</v>
      </c>
      <c r="B133" t="str">
        <v>Pas. Kloset Jongkok Keramik</v>
      </c>
      <c r="C133" t="str">
        <v>TOTO CE 7</v>
      </c>
      <c r="D133" t="str">
        <v>bh</v>
      </c>
      <c r="E133">
        <v>1</v>
      </c>
      <c r="F133">
        <f>SUMIF(SNI!C$1:C$65536,'RAB - rumahA'!B$1:B$65536,SNI!L$1:L$65536)</f>
        <v>220200</v>
      </c>
      <c r="G133">
        <f>E133*F133</f>
        <v>220200</v>
      </c>
    </row>
    <row r="134">
      <c r="A134">
        <f>A133+1</f>
        <v>4</v>
      </c>
      <c r="B134" t="str">
        <v>Pas. Bak Air Fiberglass</v>
      </c>
      <c r="C134" t="str">
        <v>Fibre glass</v>
      </c>
      <c r="D134" t="str">
        <v>bh</v>
      </c>
      <c r="E134">
        <v>1</v>
      </c>
      <c r="F134">
        <f>SUMIF(SNI!C$1:C$65536,'RAB - rumahA'!B$1:B$65536,SNI!L$1:L$65536)</f>
        <v>614200</v>
      </c>
      <c r="G134">
        <f>E134*F134</f>
        <v>614200</v>
      </c>
    </row>
    <row r="135">
      <c r="A135">
        <f>A134+1</f>
        <v>5</v>
      </c>
      <c r="B135" t="str">
        <v>Pas. Shower spray</v>
      </c>
      <c r="C135" t="str">
        <v>TOTO THX 20 NBP1V</v>
      </c>
      <c r="D135" t="str">
        <v>bh</v>
      </c>
      <c r="E135">
        <f>'A-QTY'!D433</f>
        <v>2</v>
      </c>
      <c r="F135">
        <f>SUMIF(SNI!C$1:C$65536,'RAB - rumahA'!B$1:B$65536,SNI!L$1:L$65536)</f>
        <v>205900</v>
      </c>
      <c r="G135">
        <f>E135*F135</f>
        <v>411800</v>
      </c>
    </row>
    <row r="136">
      <c r="A136">
        <f>A135+1</f>
        <v>6</v>
      </c>
      <c r="B136" t="str">
        <v>Pas. Shower set</v>
      </c>
      <c r="C136" t="str">
        <v>TOTO TX423SZ</v>
      </c>
      <c r="D136" t="str">
        <v>bh</v>
      </c>
      <c r="E136">
        <f>'A-QTY'!D434</f>
        <v>2</v>
      </c>
      <c r="F136">
        <f>SUMIF(SNI!C$1:C$65536,'RAB - rumahA'!B$1:B$65536,SNI!L$1:L$65536)</f>
        <v>732500</v>
      </c>
      <c r="G136">
        <f>E136*F136</f>
        <v>1465000</v>
      </c>
    </row>
    <row r="137">
      <c r="A137">
        <f>A136+1</f>
        <v>7</v>
      </c>
      <c r="B137" t="str">
        <v>Pas. Floor Drain</v>
      </c>
      <c r="C137" t="str">
        <v>TOTO TX 1 BN</v>
      </c>
      <c r="D137" t="str">
        <v>bh</v>
      </c>
      <c r="E137">
        <f>'A-QTY'!D436+2</f>
        <v>4</v>
      </c>
      <c r="F137">
        <f>SUMIF(SNI!C$1:C$65536,'RAB - rumahA'!B$1:B$65536,SNI!L$1:L$65536)</f>
        <v>107500</v>
      </c>
      <c r="G137">
        <f>E137*F137</f>
        <v>430000</v>
      </c>
    </row>
    <row r="138">
      <c r="A138">
        <f>A137+1</f>
        <v>8</v>
      </c>
      <c r="B138" t="str">
        <v>Pas. Tempat sabun keramik</v>
      </c>
      <c r="C138" t="str">
        <v>TOTO S 11 N</v>
      </c>
      <c r="D138" t="str">
        <v>bh</v>
      </c>
      <c r="E138">
        <f>'A-QTY'!D437+1</f>
        <v>3</v>
      </c>
      <c r="F138">
        <f>SUMIF(SNI!C$1:C$65536,'RAB - rumahA'!B$1:B$65536,SNI!L$1:L$65536)</f>
        <v>45800</v>
      </c>
      <c r="G138">
        <f>E138*F138</f>
        <v>137400</v>
      </c>
    </row>
    <row r="139">
      <c r="A139">
        <f>A138+1</f>
        <v>9</v>
      </c>
      <c r="B139" t="str">
        <v>Pas. Kitchenzink stainlees stell 1 lubang</v>
      </c>
      <c r="C139" t="str">
        <v>HWACO</v>
      </c>
      <c r="D139" t="str">
        <v>bh</v>
      </c>
      <c r="E139">
        <f>'A-QTY'!D441</f>
        <v>1</v>
      </c>
      <c r="F139">
        <f>SUMIF(SNI!C$1:C$65536,'RAB - rumahA'!B$1:B$65536,SNI!L$1:L$65536)</f>
        <v>324000</v>
      </c>
      <c r="G139">
        <f>E139*F139</f>
        <v>324000</v>
      </c>
    </row>
    <row r="140">
      <c r="A140">
        <f>A139+1</f>
        <v>10</v>
      </c>
      <c r="B140" t="str">
        <v>Pas. Kran zink</v>
      </c>
      <c r="C140" t="str">
        <v>TOTO T 30 AR13V7N</v>
      </c>
      <c r="D140" t="str">
        <v>bh</v>
      </c>
      <c r="E140">
        <f>'A-QTY'!D442</f>
        <v>1</v>
      </c>
      <c r="F140">
        <f>SUMIF(SNI!C$1:C$65536,'RAB - rumahA'!B$1:B$65536,SNI!L$1:L$65536)</f>
        <v>335700</v>
      </c>
      <c r="G140">
        <f>E140*F140</f>
        <v>335700</v>
      </c>
    </row>
    <row r="141">
      <c r="A141">
        <f>A140+1</f>
        <v>11</v>
      </c>
      <c r="B141" t="str">
        <v>Pas. Kran dinding</v>
      </c>
      <c r="C141" t="str">
        <v>TOTO T 23 B 13</v>
      </c>
      <c r="D141" t="str">
        <v>bh</v>
      </c>
      <c r="E141">
        <f>'A-QTY'!D450+2</f>
        <v>3</v>
      </c>
      <c r="F141">
        <f>SUMIF(SNI!C$1:C$65536,'RAB - rumahA'!B$1:B$65536,SNI!L$1:L$65536)</f>
        <v>133300</v>
      </c>
      <c r="G141">
        <f>E141*F141</f>
        <v>399900</v>
      </c>
      <c r="H141">
        <f>SUM(G131:G141)</f>
        <v>9054200</v>
      </c>
    </row>
    <row r="142">
      <c r="A142" t="str">
        <v>C.1.2</v>
      </c>
      <c r="B142" t="str">
        <v>Pekerjaan Sumur Dalam</v>
      </c>
    </row>
    <row r="143">
      <c r="A143">
        <v>1</v>
      </c>
      <c r="B143" t="str">
        <v>Pengeboran Sumur</v>
      </c>
      <c r="D143" t="str">
        <v>m'</v>
      </c>
      <c r="E143">
        <v>36</v>
      </c>
      <c r="F143">
        <f>IF(F144=0,0,75000)</f>
        <v>75000</v>
      </c>
      <c r="G143">
        <f>E143*F143</f>
        <v>2700000</v>
      </c>
    </row>
    <row r="144">
      <c r="A144">
        <f>A143+1</f>
        <v>2</v>
      </c>
      <c r="B144" t="str">
        <v xml:space="preserve">Pipa PVC dia. 3" </v>
      </c>
      <c r="C144" t="str">
        <v>Casing; Wavin</v>
      </c>
      <c r="D144" t="str">
        <v>m'</v>
      </c>
      <c r="E144">
        <v>36</v>
      </c>
      <c r="F144">
        <f>SUMIF(SNI!C$1:C$65536,'RAB - rumahA'!B$1:B$65536,SNI!L$1:L$65536)</f>
        <v>66800</v>
      </c>
      <c r="G144">
        <f>E144*F144</f>
        <v>2404800</v>
      </c>
    </row>
    <row r="145">
      <c r="A145">
        <f>A144+1</f>
        <v>3</v>
      </c>
      <c r="B145" t="str">
        <v xml:space="preserve">Pipa PVC dia. 2" </v>
      </c>
      <c r="C145" t="str">
        <v>Casing; Wavin</v>
      </c>
      <c r="D145" t="str">
        <v>m'</v>
      </c>
      <c r="E145">
        <v>10</v>
      </c>
      <c r="F145">
        <f>SUMIF(SNI!C$1:C$65536,'RAB - rumahA'!B$1:B$65536,SNI!L$1:L$65536)</f>
        <v>35600</v>
      </c>
      <c r="G145">
        <f>E145*F145</f>
        <v>356000</v>
      </c>
    </row>
    <row r="146">
      <c r="A146">
        <f>A145+1</f>
        <v>4</v>
      </c>
      <c r="B146" t="str">
        <v xml:space="preserve">Pipa PVC dia. 3/4" </v>
      </c>
      <c r="C146" t="str">
        <v>ex Wavin</v>
      </c>
      <c r="D146" t="str">
        <v>m'</v>
      </c>
      <c r="E146">
        <v>36</v>
      </c>
      <c r="F146">
        <f>SUMIF(SNI!C$1:C$65536,'RAB - rumahA'!B$1:B$65536,SNI!L$1:L$65536)</f>
        <v>17600</v>
      </c>
      <c r="G146">
        <f>E146*F146</f>
        <v>633600</v>
      </c>
    </row>
    <row r="147">
      <c r="A147">
        <f>A146+1</f>
        <v>5</v>
      </c>
      <c r="B147" t="str">
        <v>Klep diameter 3/4"</v>
      </c>
      <c r="D147" t="str">
        <v>bh</v>
      </c>
      <c r="E147">
        <v>1</v>
      </c>
      <c r="F147">
        <f>SUMIF(SNI!C$1:C$65536,'RAB - rumahA'!B$1:B$65536,SNI!L$1:L$65536)</f>
        <v>65400</v>
      </c>
      <c r="G147">
        <f>E147*F147</f>
        <v>65400</v>
      </c>
    </row>
    <row r="148">
      <c r="A148">
        <f>A147+1</f>
        <v>6</v>
      </c>
      <c r="B148" t="str">
        <v>Stop kran dia. 1"</v>
      </c>
      <c r="D148" t="str">
        <v>bh</v>
      </c>
      <c r="E148">
        <v>1</v>
      </c>
      <c r="F148">
        <f>SUMIF(SNI!C$1:C$65536,'RAB - rumahA'!B$1:B$65536,SNI!L$1:L$65536)</f>
        <v>72500</v>
      </c>
      <c r="G148">
        <f>E148*F148</f>
        <v>72500</v>
      </c>
    </row>
    <row r="149">
      <c r="A149">
        <f>A148+1</f>
        <v>7</v>
      </c>
      <c r="B149" t="str">
        <v>Mesin Jet Pump kap.250 watt</v>
      </c>
      <c r="C149" t="str">
        <v>Groundfos</v>
      </c>
      <c r="D149" t="str">
        <v>bh</v>
      </c>
      <c r="E149">
        <v>1</v>
      </c>
      <c r="F149">
        <f>SUMIF(SNI!C$1:C$65536,'RAB - rumahA'!B$1:B$65536,SNI!L$1:L$65536)</f>
        <v>1996400</v>
      </c>
      <c r="G149">
        <f>E149*F149</f>
        <v>1996400</v>
      </c>
      <c r="H149">
        <f>SUM(G143:G149)</f>
        <v>8228700</v>
      </c>
    </row>
    <row r="150">
      <c r="A150" t="str">
        <v>C.1.3</v>
      </c>
      <c r="B150" t="str">
        <v>Tanki Air</v>
      </c>
    </row>
    <row r="151">
      <c r="A151">
        <v>1</v>
      </c>
      <c r="B151" t="str">
        <v xml:space="preserve">Pipa PVC dia. 1" </v>
      </c>
      <c r="C151" t="str">
        <v>Sparing pam; ex Wavin</v>
      </c>
      <c r="D151" t="str">
        <v>m'</v>
      </c>
      <c r="E151">
        <v>12</v>
      </c>
      <c r="F151">
        <f>SUMIF(SNI!C$1:C$65536,'RAB - rumahA'!B$1:B$65536,SNI!L$1:L$65536)</f>
        <v>23000</v>
      </c>
      <c r="G151">
        <f>E151*F151</f>
        <v>276000</v>
      </c>
    </row>
    <row r="152">
      <c r="A152">
        <f>A151+1</f>
        <v>2</v>
      </c>
      <c r="B152" t="str">
        <v xml:space="preserve">Pipa PVC dia. 1" </v>
      </c>
      <c r="C152" t="str">
        <v>Inst. d/ pompa ke tanki air; ex Wavin</v>
      </c>
      <c r="D152" t="str">
        <v>m'</v>
      </c>
      <c r="E152">
        <v>8</v>
      </c>
      <c r="F152">
        <f>SUMIF(SNI!C$1:C$65536,'RAB - rumahA'!B$1:B$65536,SNI!L$1:L$65536)</f>
        <v>23000</v>
      </c>
      <c r="G152">
        <f>E152*F152</f>
        <v>184000</v>
      </c>
    </row>
    <row r="153">
      <c r="A153">
        <f>A152+1</f>
        <v>3</v>
      </c>
      <c r="B153" t="str">
        <v xml:space="preserve">Pipa PVC dia. 3/4" </v>
      </c>
      <c r="C153" t="str">
        <v>ex Wavin</v>
      </c>
      <c r="D153" t="str">
        <v>m'</v>
      </c>
      <c r="E153">
        <v>4</v>
      </c>
      <c r="F153">
        <f>SUMIF(SNI!C$1:C$65536,'RAB - rumahA'!B$1:B$65536,SNI!L$1:L$65536)</f>
        <v>17600</v>
      </c>
      <c r="G153">
        <f>E153*F153</f>
        <v>70400</v>
      </c>
    </row>
    <row r="154">
      <c r="A154">
        <f>A153+1</f>
        <v>4</v>
      </c>
      <c r="B154" t="str">
        <v>Tangki air 1000 liter</v>
      </c>
      <c r="C154" t="str">
        <v>Exel</v>
      </c>
      <c r="D154" t="str">
        <v>bh</v>
      </c>
      <c r="E154">
        <v>1</v>
      </c>
      <c r="F154">
        <f>SUMIF(SNI!C$1:C$65536,'RAB - rumahA'!B$1:B$65536,SNI!L$1:L$65536)</f>
        <v>1484900</v>
      </c>
      <c r="G154">
        <f>E154*F154</f>
        <v>1484900</v>
      </c>
    </row>
    <row r="155">
      <c r="A155">
        <f>A154+1</f>
        <v>5</v>
      </c>
      <c r="B155" t="str">
        <v>Dudukan tangki air</v>
      </c>
      <c r="C155" t="str">
        <v>Besi siku</v>
      </c>
      <c r="D155" t="str">
        <v>bh</v>
      </c>
      <c r="E155">
        <v>1</v>
      </c>
      <c r="F155">
        <f>SUMIF(SNI!C$1:C$65536,'RAB - rumahA'!B$1:B$65536,SNI!L$1:L$65536)</f>
        <v>1137300</v>
      </c>
      <c r="G155">
        <f>E155*F155</f>
        <v>1137300</v>
      </c>
    </row>
    <row r="156">
      <c r="A156">
        <f>A155+1</f>
        <v>6</v>
      </c>
      <c r="B156" t="str">
        <v>Mesin pompa kap.150 watt</v>
      </c>
      <c r="C156" t="str">
        <v>GROUNFOS</v>
      </c>
      <c r="D156" t="str">
        <v>bh</v>
      </c>
      <c r="E156">
        <v>1</v>
      </c>
      <c r="F156">
        <f>SUMIF(SNI!C$1:C$65536,'RAB - rumahA'!B$1:B$65536,SNI!L$1:L$65536)</f>
        <v>1369400</v>
      </c>
      <c r="G156">
        <f>E156*F156</f>
        <v>1369400</v>
      </c>
    </row>
    <row r="157">
      <c r="A157">
        <f>A156+1</f>
        <v>7</v>
      </c>
      <c r="B157" t="str">
        <v>Stop kran dia. 1"</v>
      </c>
      <c r="C157" t="str">
        <v>ex Onda</v>
      </c>
      <c r="D157" t="str">
        <v>bh</v>
      </c>
      <c r="E157">
        <v>2</v>
      </c>
      <c r="F157">
        <f>SUMIF(SNI!C$1:C$65536,'RAB - rumahA'!B$1:B$65536,SNI!L$1:L$65536)</f>
        <v>72500</v>
      </c>
      <c r="G157">
        <f>E157*F157</f>
        <v>145000</v>
      </c>
    </row>
    <row r="158">
      <c r="A158">
        <f>A157+1</f>
        <v>8</v>
      </c>
      <c r="B158" t="str">
        <v>Stop kran dia. 1"</v>
      </c>
      <c r="C158" t="str">
        <v>ex Onda</v>
      </c>
      <c r="D158" t="str">
        <v>bh</v>
      </c>
      <c r="E158">
        <v>1</v>
      </c>
      <c r="F158">
        <f>SUMIF(SNI!C$1:C$65536,'RAB - rumahA'!B$1:B$65536,SNI!L$1:L$65536)</f>
        <v>72500</v>
      </c>
      <c r="G158">
        <f>E158*F158</f>
        <v>72500</v>
      </c>
    </row>
    <row r="159">
      <c r="A159">
        <f>A158+1</f>
        <v>9</v>
      </c>
      <c r="B159" t="str">
        <v>Stop kran dia. 1"</v>
      </c>
      <c r="C159" t="str">
        <v>ex Onda</v>
      </c>
      <c r="D159" t="str">
        <v>bh</v>
      </c>
      <c r="E159">
        <v>1</v>
      </c>
      <c r="F159">
        <f>SUMIF(SNI!C$1:C$65536,'RAB - rumahA'!B$1:B$65536,SNI!L$1:L$65536)</f>
        <v>72500</v>
      </c>
      <c r="G159">
        <f>E159*F159</f>
        <v>72500</v>
      </c>
      <c r="H159">
        <f>SUM(G151:G159)</f>
        <v>4812000</v>
      </c>
    </row>
    <row r="160">
      <c r="A160" t="str">
        <v>C.1.4</v>
      </c>
      <c r="B160" t="str">
        <v>Pekerjaan Reservoir</v>
      </c>
    </row>
    <row r="161">
      <c r="A161">
        <v>1</v>
      </c>
      <c r="B161" t="str">
        <v>Galian tanah, dalam  s/d 1 m</v>
      </c>
      <c r="D161" t="str">
        <v>m3</v>
      </c>
      <c r="E161">
        <v>5.63</v>
      </c>
      <c r="F161">
        <f>SUMIF(SNI!C$1:C$65536,'RAB - rumahA'!B$1:B$65536,SNI!L$1:L$65536)</f>
        <v>34400</v>
      </c>
      <c r="G161">
        <f>E161*F161</f>
        <v>193672</v>
      </c>
    </row>
    <row r="162">
      <c r="A162">
        <f>A161+1</f>
        <v>2</v>
      </c>
      <c r="B162" t="str">
        <v>Pas. Urugan pasir</v>
      </c>
      <c r="D162" t="str">
        <v>m3</v>
      </c>
      <c r="E162">
        <v>0.12</v>
      </c>
      <c r="F162">
        <f>SUMIF(SNI!C$1:C$65536,'RAB - rumahA'!B$1:B$65536,SNI!L$1:L$65536)</f>
        <v>180500</v>
      </c>
      <c r="G162">
        <f>E162*F162</f>
        <v>21660</v>
      </c>
    </row>
    <row r="163">
      <c r="A163">
        <f>A162+1</f>
        <v>3</v>
      </c>
      <c r="B163" t="str">
        <v>Pas. Lantai kerja beton tumbuk 1:3:5</v>
      </c>
      <c r="D163" t="str">
        <v>m2</v>
      </c>
      <c r="E163">
        <v>3.75</v>
      </c>
      <c r="F163">
        <f>SUMIF(SNI!C$1:C$65536,'RAB - rumahA'!B$1:B$65536,SNI!L$1:L$65536)</f>
        <v>53900</v>
      </c>
      <c r="G163">
        <f>E163*F163</f>
        <v>202125</v>
      </c>
    </row>
    <row r="164">
      <c r="A164">
        <f>A163+1</f>
        <v>4</v>
      </c>
      <c r="B164" t="str">
        <v>Bekisting beton plat lantai</v>
      </c>
      <c r="D164" t="str">
        <v>m2</v>
      </c>
      <c r="E164">
        <f>(E166/0.1)</f>
        <v>21</v>
      </c>
      <c r="F164">
        <f>SUMIF(SNI!C$1:C$65536,'RAB - rumahA'!B$1:B$65536,SNI!L$1:L$65536)</f>
        <v>531500</v>
      </c>
      <c r="G164">
        <f>E164*F164</f>
        <v>11161500</v>
      </c>
    </row>
    <row r="165">
      <c r="A165">
        <f>A164+1</f>
        <v>5</v>
      </c>
      <c r="B165" t="str">
        <v>Tulangan besi beton U-24</v>
      </c>
      <c r="D165" t="str">
        <v>kg</v>
      </c>
      <c r="E165">
        <f>E166*150</f>
        <v>315</v>
      </c>
      <c r="F165">
        <f>SUMIF(SNI!C$1:C$65536,'RAB - rumahA'!B$1:B$65536,SNI!L$1:L$65536)</f>
        <v>12600</v>
      </c>
      <c r="G165">
        <f>E165*F165</f>
        <v>3969000</v>
      </c>
    </row>
    <row r="166">
      <c r="A166">
        <f>A165+1</f>
        <v>6</v>
      </c>
      <c r="B166" t="str">
        <v>Beton K - 200</v>
      </c>
      <c r="D166" t="str">
        <v>m3</v>
      </c>
      <c r="E166">
        <v>2.1</v>
      </c>
      <c r="F166">
        <f>SUMIF(SNI!C$1:C$65536,'RAB - rumahA'!B$1:B$65536,SNI!L$1:L$65536)</f>
        <v>865100</v>
      </c>
      <c r="G166">
        <f>E166*F166</f>
        <v>1816710</v>
      </c>
      <c r="H166">
        <f>SUM(G161:G166)</f>
        <v>17364667</v>
      </c>
    </row>
    <row r="167">
      <c r="A167" t="str">
        <v>C.1.5</v>
      </c>
      <c r="B167" t="str">
        <v>Instalasi Air Bersih</v>
      </c>
    </row>
    <row r="168">
      <c r="A168">
        <v>1</v>
      </c>
      <c r="B168" t="str">
        <v xml:space="preserve">Pipa PVC dia. 1" </v>
      </c>
      <c r="C168" t="str">
        <v>ex Wavin</v>
      </c>
      <c r="D168" t="str">
        <v>m'</v>
      </c>
      <c r="E168">
        <v>36</v>
      </c>
      <c r="F168">
        <f>SUMIF(SNI!C$1:C$65536,'RAB - rumahA'!B$1:B$65536,SNI!L$1:L$65536)</f>
        <v>23000</v>
      </c>
      <c r="G168">
        <f>E168*F168</f>
        <v>828000</v>
      </c>
    </row>
    <row r="169">
      <c r="A169">
        <f>A168+1</f>
        <v>2</v>
      </c>
      <c r="B169" t="str">
        <v xml:space="preserve">Pipa PVC dia. 3/4" </v>
      </c>
      <c r="C169" t="str">
        <v>ex Wavin</v>
      </c>
      <c r="D169" t="str">
        <v>m'</v>
      </c>
      <c r="E169">
        <v>32</v>
      </c>
      <c r="F169">
        <f>SUMIF(SNI!C$1:C$65536,'RAB - rumahA'!B$1:B$65536,SNI!L$1:L$65536)</f>
        <v>17600</v>
      </c>
      <c r="G169">
        <f>E169*F169</f>
        <v>563200</v>
      </c>
    </row>
    <row r="170">
      <c r="A170">
        <f>A169+1</f>
        <v>3</v>
      </c>
      <c r="B170" t="str">
        <v xml:space="preserve">Pipa PVC dia. 1/2" </v>
      </c>
      <c r="C170" t="str">
        <v>ex Wavin</v>
      </c>
      <c r="D170" t="str">
        <v>m'</v>
      </c>
      <c r="E170">
        <v>36</v>
      </c>
      <c r="F170">
        <f>SUMIF(SNI!C$1:C$65536,'RAB - rumahA'!B$1:B$65536,SNI!L$1:L$65536)</f>
        <v>15500</v>
      </c>
      <c r="G170">
        <f>E170*F170</f>
        <v>558000</v>
      </c>
      <c r="H170">
        <f>SUM(G168:G170)</f>
        <v>1949200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95300</v>
      </c>
      <c r="G172">
        <f>E172*F172</f>
        <v>1906000</v>
      </c>
    </row>
    <row r="173">
      <c r="A173">
        <f>A172+1</f>
        <v>2</v>
      </c>
      <c r="B173" t="str">
        <v xml:space="preserve">Pipa PVC dia. 3" </v>
      </c>
      <c r="C173" t="str">
        <v>ex Wavin</v>
      </c>
      <c r="D173" t="str">
        <v>m'</v>
      </c>
      <c r="E173">
        <v>28</v>
      </c>
      <c r="F173">
        <f>SUMIF(SNI!C$1:C$65536,'RAB - rumahA'!B$1:B$65536,SNI!L$1:L$65536)</f>
        <v>66800</v>
      </c>
      <c r="G173">
        <f>E173*F173</f>
        <v>1870400</v>
      </c>
    </row>
    <row r="174">
      <c r="A174">
        <f>A173+1</f>
        <v>3</v>
      </c>
      <c r="B174" t="str">
        <v xml:space="preserve">Pipa PVC dia. 2" </v>
      </c>
      <c r="C174" t="str">
        <v>ex Wavin</v>
      </c>
      <c r="D174" t="str">
        <v>m'</v>
      </c>
      <c r="E174">
        <v>20</v>
      </c>
      <c r="F174">
        <f>SUMIF(SNI!C$1:C$65536,'RAB - rumahA'!B$1:B$65536,SNI!L$1:L$65536)</f>
        <v>35600</v>
      </c>
      <c r="G174">
        <f>E174*F174</f>
        <v>712000</v>
      </c>
    </row>
    <row r="175">
      <c r="A175">
        <f>A174+1</f>
        <v>4</v>
      </c>
      <c r="B175" t="str">
        <v xml:space="preserve">Pipa PVC dia. 1" </v>
      </c>
      <c r="C175" t="str">
        <v>ex Wavin</v>
      </c>
      <c r="D175" t="str">
        <v>m'</v>
      </c>
      <c r="E175">
        <v>16</v>
      </c>
      <c r="F175">
        <f>SUMIF(SNI!C$1:C$65536,'RAB - rumahA'!B$1:B$65536,SNI!L$1:L$65536)</f>
        <v>23000</v>
      </c>
      <c r="G175">
        <f>E175*F175</f>
        <v>368000</v>
      </c>
      <c r="H175">
        <f>SUM(G172:G175)</f>
        <v>4856400</v>
      </c>
    </row>
    <row r="176">
      <c r="A176" t="str">
        <v>C.1.7</v>
      </c>
      <c r="B176" t="str">
        <v>Pekerjaan Septictank</v>
      </c>
    </row>
    <row r="177">
      <c r="A177">
        <v>1</v>
      </c>
      <c r="B177" t="str">
        <v>Septictank Pas. Bata + Rembesan kap. 6,00 m3</v>
      </c>
      <c r="D177" t="str">
        <v>UNIT</v>
      </c>
      <c r="E177">
        <v>1</v>
      </c>
      <c r="F177">
        <f>SUMIF(SNI!C$1:C$65536,'RAB - rumahA'!B$1:B$65536,SNI!L$1:L$65536)</f>
        <v>100846800</v>
      </c>
      <c r="G177">
        <f>E177*F177</f>
        <v>100846800</v>
      </c>
      <c r="H177">
        <f>G177</f>
        <v>100846800</v>
      </c>
    </row>
    <row r="178">
      <c r="G178" t="str">
        <v>Jumlah C.1 .... Rp</v>
      </c>
      <c r="H178">
        <f>SUM(G131:G177)</f>
        <v>147111967</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858000</v>
      </c>
      <c r="G181">
        <f>E181*F181</f>
        <v>1716000</v>
      </c>
      <c r="H181">
        <f>G181</f>
        <v>1716000</v>
      </c>
    </row>
    <row r="182">
      <c r="A182" t="str">
        <v>C.2.2</v>
      </c>
      <c r="B182" t="str">
        <v>Instalasi</v>
      </c>
    </row>
    <row r="183">
      <c r="A183">
        <v>1</v>
      </c>
      <c r="B183" t="str">
        <v>Pas. Instalasi lampu</v>
      </c>
      <c r="C183" t="str">
        <v>Supreme NYM 2 x 1.5 mm</v>
      </c>
      <c r="D183" t="str">
        <v>ttk</v>
      </c>
      <c r="E183">
        <v>26</v>
      </c>
      <c r="F183">
        <f>SUMIF(SNI!C$1:C$65536,'RAB - rumahA'!B$1:B$65536,SNI!L$1:L$65536)</f>
        <v>117800</v>
      </c>
      <c r="G183">
        <f>E183*F183</f>
        <v>3062800</v>
      </c>
    </row>
    <row r="184">
      <c r="A184">
        <f>A183+1</f>
        <v>2</v>
      </c>
      <c r="B184" t="str">
        <v xml:space="preserve">Pas. Instalasi exhausfan </v>
      </c>
      <c r="C184" t="str">
        <v>Supreme NYM 2 x 1.5 mm</v>
      </c>
      <c r="D184" t="str">
        <v>ttk</v>
      </c>
      <c r="E184">
        <v>2</v>
      </c>
      <c r="F184">
        <f>F183</f>
        <v>117800</v>
      </c>
      <c r="G184">
        <f>E184*F184</f>
        <v>235600</v>
      </c>
    </row>
    <row r="185">
      <c r="A185">
        <f>A184+1</f>
        <v>3</v>
      </c>
      <c r="B185" t="str">
        <v>Pas. Instalasi antena TV</v>
      </c>
      <c r="D185" t="str">
        <v>ttk</v>
      </c>
      <c r="E185">
        <v>5</v>
      </c>
      <c r="F185">
        <f>SUMIF(SNI!C$1:C$65536,'RAB - rumahA'!B$1:B$65536,SNI!L$1:L$65536)</f>
        <v>18800</v>
      </c>
      <c r="G185">
        <f>E185*F185</f>
        <v>94000</v>
      </c>
    </row>
    <row r="186">
      <c r="A186">
        <f>A185+1</f>
        <v>4</v>
      </c>
      <c r="B186" t="str">
        <v>Pas. Instalasi stop kontak</v>
      </c>
      <c r="C186" t="str">
        <v>Supreme NYM 3 x 2.5 mm</v>
      </c>
      <c r="D186" t="str">
        <v>ttk</v>
      </c>
      <c r="E186">
        <v>15</v>
      </c>
      <c r="F186">
        <f>SUMIF(SNI!C$1:C$65536,'RAB - rumahA'!B$1:B$65536,SNI!L$1:L$65536)</f>
        <v>150800</v>
      </c>
      <c r="G186">
        <f>E186*F186</f>
        <v>2262000</v>
      </c>
      <c r="H186">
        <f>SUM(G183:G186)</f>
        <v>5654400</v>
      </c>
    </row>
    <row r="187">
      <c r="A187" t="str">
        <v>C.2.3</v>
      </c>
      <c r="B187" t="str">
        <v>Armature</v>
      </c>
    </row>
    <row r="188">
      <c r="A188">
        <v>1</v>
      </c>
      <c r="B188" t="str">
        <v>Pas. Down light &amp; PLC 13 W</v>
      </c>
      <c r="C188" t="str">
        <v>ex Phanasonic</v>
      </c>
      <c r="D188" t="str">
        <v>bh</v>
      </c>
      <c r="E188">
        <v>26</v>
      </c>
      <c r="F188">
        <f>SUMIF(SNI!C$1:C$65536,'RAB - rumahA'!B$1:B$65536,SNI!L$1:L$65536)</f>
        <v>207300</v>
      </c>
      <c r="G188">
        <f>E188*F188</f>
        <v>5389800</v>
      </c>
    </row>
    <row r="189">
      <c r="A189">
        <f>A188+1</f>
        <v>2</v>
      </c>
      <c r="B189" t="str">
        <v>Pas. Saklar engkel</v>
      </c>
      <c r="C189" t="str">
        <v>ex Broco</v>
      </c>
      <c r="D189" t="str">
        <v>bh</v>
      </c>
      <c r="E189">
        <v>12</v>
      </c>
      <c r="F189">
        <f>SUMIF(SNI!C$1:C$65536,'RAB - rumahA'!B$1:B$65536,SNI!L$1:L$65536)</f>
        <v>34100</v>
      </c>
      <c r="G189">
        <f>E189*F189</f>
        <v>409200</v>
      </c>
    </row>
    <row r="190">
      <c r="A190">
        <f>A189+1</f>
        <v>3</v>
      </c>
      <c r="B190" t="str">
        <v>Pas. Saklar doble</v>
      </c>
      <c r="C190" t="str">
        <v>ex Broco</v>
      </c>
      <c r="D190" t="str">
        <v>bh</v>
      </c>
      <c r="E190">
        <v>6</v>
      </c>
      <c r="F190">
        <f>SUMIF(SNI!C$1:C$65536,'RAB - rumahA'!B$1:B$65536,SNI!L$1:L$65536)</f>
        <v>38400</v>
      </c>
      <c r="G190">
        <f>E190*F190</f>
        <v>230400</v>
      </c>
    </row>
    <row r="191">
      <c r="A191">
        <f>A190+1</f>
        <v>4</v>
      </c>
      <c r="B191" t="str">
        <v>Pas. Stop kontak</v>
      </c>
      <c r="C191" t="str">
        <v>ex Broco</v>
      </c>
      <c r="D191" t="str">
        <v>bh</v>
      </c>
      <c r="E191">
        <v>15</v>
      </c>
      <c r="F191">
        <f>SUMIF(SNI!C$1:C$65536,'RAB - rumahA'!B$1:B$65536,SNI!L$1:L$65536)</f>
        <v>31400</v>
      </c>
      <c r="G191">
        <f>E191*F191</f>
        <v>471000</v>
      </c>
    </row>
    <row r="192">
      <c r="A192">
        <f>A191+1</f>
        <v>5</v>
      </c>
      <c r="B192" t="str">
        <v>Pas. Outlet TV</v>
      </c>
      <c r="C192" t="str">
        <v>ex Broco</v>
      </c>
      <c r="D192" t="str">
        <v>bh</v>
      </c>
      <c r="E192">
        <v>5</v>
      </c>
      <c r="F192">
        <f>SUMIF(SNI!C$1:C$65536,'RAB - rumahA'!B$1:B$65536,SNI!L$1:L$65536)</f>
        <v>65500</v>
      </c>
      <c r="G192">
        <f>E192*F192</f>
        <v>327500</v>
      </c>
    </row>
    <row r="193">
      <c r="A193">
        <f>A192+1</f>
        <v>6</v>
      </c>
      <c r="B193" t="str">
        <v>Pas. Outlet exhausefan</v>
      </c>
      <c r="C193" t="str">
        <v>ex Maspion</v>
      </c>
      <c r="D193" t="str">
        <v>bh</v>
      </c>
      <c r="E193">
        <v>2</v>
      </c>
      <c r="F193">
        <f>SUMIF(SNI!C$1:C$65536,'RAB - rumahA'!B$1:B$65536,SNI!L$1:L$65536)</f>
        <v>18700</v>
      </c>
      <c r="G193">
        <f>E193*F193</f>
        <v>37400</v>
      </c>
      <c r="H193">
        <f>SUM(G188:G193)</f>
        <v>6865300</v>
      </c>
    </row>
    <row r="194">
      <c r="G194" t="str">
        <v>Jumlah C.2 .... Rp</v>
      </c>
      <c r="H194">
        <f>SUM(G181:G193)</f>
        <v>14235700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174500</v>
      </c>
      <c r="G196">
        <f>E196*F196</f>
        <v>16238970</v>
      </c>
    </row>
    <row r="197">
      <c r="A197">
        <v>2</v>
      </c>
      <c r="B197" t="str">
        <v>Pas. Dinding Keramik 300x300</v>
      </c>
      <c r="C197" t="str">
        <v>Batu templek</v>
      </c>
      <c r="D197" t="str">
        <v>m2</v>
      </c>
      <c r="E197">
        <f>'A-QTY'!D393</f>
        <v>17.5</v>
      </c>
      <c r="F197">
        <f>SUMIF(SNI!C$1:C$65536,'RAB - rumahA'!B$1:B$65536,SNI!L$1:L$65536)</f>
        <v>174500</v>
      </c>
      <c r="G197">
        <f>E197*F197</f>
        <v>3053750</v>
      </c>
    </row>
    <row r="198">
      <c r="A198">
        <v>3</v>
      </c>
      <c r="B198" t="str">
        <v>Cat dinding luar weathershiled KW.I</v>
      </c>
      <c r="C198" t="str">
        <v>ex Dulux ICI</v>
      </c>
      <c r="D198" t="str">
        <v>m2</v>
      </c>
      <c r="E198">
        <f>'A-QTY'!D453</f>
        <v>906.37</v>
      </c>
      <c r="F198">
        <f>SUMIF(SNI!C$1:C$65536,'RAB - rumahA'!B$1:B$65536,SNI!L$1:L$65536)</f>
        <v>24200</v>
      </c>
      <c r="G198">
        <f>E198*F198</f>
        <v>21934154</v>
      </c>
    </row>
    <row r="199">
      <c r="A199">
        <v>4</v>
      </c>
      <c r="B199" t="str">
        <v>Cat dinding dalam acrylic emulsion KW.I</v>
      </c>
      <c r="C199" t="str">
        <v>ex Dulux ICI</v>
      </c>
      <c r="D199" t="str">
        <v>m2</v>
      </c>
      <c r="E199">
        <f>'A-QTY'!D401+'A-QTY'!D409+'A-QTY'!D417</f>
        <v>521.59</v>
      </c>
      <c r="F199">
        <f>SUMIF(SNI!C$1:C$65536,'RAB - rumahA'!B$1:B$65536,SNI!L$1:L$65536)</f>
        <v>24200</v>
      </c>
      <c r="G199">
        <f>E199*F199</f>
        <v>12622478</v>
      </c>
    </row>
    <row r="200">
      <c r="A200">
        <v>5</v>
      </c>
      <c r="B200" t="str">
        <v>Cat plafond acrylic emulsion KW.I</v>
      </c>
      <c r="C200" t="str">
        <v>ex Dulux ICI</v>
      </c>
      <c r="D200" t="str">
        <v>m2</v>
      </c>
      <c r="E200">
        <f>'A-QTY'!D397+'A-QTY'!D405+'A-QTY'!D413+'A-QTY'!D421+'A-QTY'!D428+'A-QTY'!D455</f>
        <v>328</v>
      </c>
      <c r="F200">
        <f>SUMIF(SNI!C$1:C$65536,'RAB - rumahA'!B$1:B$65536,SNI!L$1:L$65536)</f>
        <v>24200</v>
      </c>
      <c r="G200">
        <f>E200*F200</f>
        <v>7937600</v>
      </c>
    </row>
    <row r="201">
      <c r="A201">
        <v>6</v>
      </c>
      <c r="B201" t="str">
        <v xml:space="preserve">Cat kayu synthetic </v>
      </c>
      <c r="C201" t="str">
        <v>Seiv</v>
      </c>
      <c r="D201" t="str">
        <v>m2</v>
      </c>
      <c r="E201">
        <f>'A-QTY'!D458+'A-QTY'!D383+'A-QTY'!D384+'A-QTY'!D385+'A-QTY'!D386</f>
        <v>142.3582</v>
      </c>
      <c r="F201">
        <f>SUMIF(SNI!C$1:C$65536,'RAB - rumahA'!B$1:B$65536,SNI!L$1:L$65536)</f>
        <v>42300</v>
      </c>
      <c r="G201">
        <f>E201*F201</f>
        <v>6021751.86</v>
      </c>
    </row>
    <row r="202">
      <c r="A202">
        <v>7</v>
      </c>
      <c r="B202" t="str">
        <v xml:space="preserve">Cat besi synthetic </v>
      </c>
      <c r="C202" t="str">
        <v>ex Seiv</v>
      </c>
      <c r="D202" t="str">
        <v>m2</v>
      </c>
      <c r="E202">
        <f>E114*2</f>
        <v>19.2</v>
      </c>
      <c r="F202">
        <f>SUMIF(SNI!C$1:C$65536,'RAB - rumahA'!B$1:B$65536,SNI!L$1:L$65536)</f>
        <v>42300</v>
      </c>
      <c r="G202">
        <f>E202*F202</f>
        <v>812160</v>
      </c>
      <c r="H202">
        <f>SUM(G196:G202)</f>
        <v>68620863.86</v>
      </c>
    </row>
    <row r="203">
      <c r="B203" t="str">
        <v>Pekerjaan Canopi</v>
      </c>
    </row>
    <row r="204">
      <c r="A204">
        <v>8</v>
      </c>
      <c r="B204" t="str">
        <v>Pas. Acian PC</v>
      </c>
      <c r="C204" t="str">
        <v>Spesi 1 : 2</v>
      </c>
      <c r="D204" t="str">
        <v>m2</v>
      </c>
      <c r="E204">
        <f>'A-QTY'!D461</f>
        <v>36.56999999999999</v>
      </c>
      <c r="F204">
        <f>SUMIF(SNI!C$1:C$65536,'RAB - rumahA'!B$1:B$65536,SNI!L$1:L$65536)</f>
        <v>20400</v>
      </c>
      <c r="G204">
        <f>E204*F204</f>
        <v>746027.9999999999</v>
      </c>
    </row>
    <row r="205">
      <c r="A205">
        <v>9</v>
      </c>
      <c r="B205" t="str">
        <v>Cat plafond acrylic emulsion KW.I</v>
      </c>
      <c r="C205" t="str">
        <v>ex Dulux ICI</v>
      </c>
      <c r="D205" t="str">
        <v>m2</v>
      </c>
      <c r="E205">
        <f>E204</f>
        <v>36.56999999999999</v>
      </c>
      <c r="F205">
        <f>SUMIF(SNI!C$1:C$65536,'RAB - rumahA'!B$1:B$65536,SNI!L$1:L$65536)</f>
        <v>24200</v>
      </c>
      <c r="G205">
        <f>E205*F205</f>
        <v>884993.9999999999</v>
      </c>
      <c r="H205">
        <f>SUM(G204:G205)</f>
        <v>1631021.9999999998</v>
      </c>
    </row>
    <row r="206">
      <c r="G206" t="str">
        <v>Jumlah C.2 .... Rp</v>
      </c>
      <c r="H206">
        <f>SUM(G196:G205)</f>
        <v>70251885.86</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P327:R327"/>
    <mergeCell ref="D327:F327"/>
    <mergeCell ref="G327:I327"/>
    <mergeCell ref="J327:L327"/>
    <mergeCell ref="M327:O327"/>
    <mergeCell ref="A292:D292"/>
    <mergeCell ref="I292:L292"/>
    <mergeCell ref="Q292:T292"/>
    <mergeCell ref="M292:P292"/>
    <mergeCell ref="E292:H292"/>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0.027470359788220815</v>
      </c>
      <c r="J4" t="str">
        <v>MIN</v>
      </c>
      <c r="K4" t="str">
        <v>MAX</v>
      </c>
    </row>
    <row r="5">
      <c r="A5" t="str">
        <f>A31</f>
        <v>A.1</v>
      </c>
      <c r="B5" t="str">
        <f>B31</f>
        <v xml:space="preserve">Pekerjaan Pondasi </v>
      </c>
      <c r="H5">
        <f>H47</f>
        <v>35567920.050000004</v>
      </c>
      <c r="I5">
        <f>H5/$H$18</f>
        <v>0.012336265109759574</v>
      </c>
    </row>
    <row r="6">
      <c r="A6" t="str">
        <f>A48</f>
        <v>A.2</v>
      </c>
      <c r="B6" t="str">
        <f>B48</f>
        <v>Pekerjaan Struktur</v>
      </c>
      <c r="H6">
        <f>H73</f>
        <v>43634622.372600004</v>
      </c>
      <c r="I6">
        <f>H6/$H$18</f>
        <v>0.015134094678461241</v>
      </c>
    </row>
    <row r="7">
      <c r="A7" t="str">
        <f>A74</f>
        <v>B.</v>
      </c>
      <c r="B7" t="str">
        <f>B74</f>
        <v>PEKERJAAN ARSITEKTUR</v>
      </c>
      <c r="I7">
        <f>SUM(I8:I12)</f>
        <v>0.9286025369511384</v>
      </c>
    </row>
    <row r="8">
      <c r="A8" t="str">
        <f>A76</f>
        <v>B.1</v>
      </c>
      <c r="B8" t="str">
        <f>B76</f>
        <v>Pekerjaan Lantai</v>
      </c>
      <c r="H8">
        <f>H83</f>
        <v>39362467.28125</v>
      </c>
      <c r="I8">
        <f>H8/$H$18</f>
        <v>0.013652353892865239</v>
      </c>
    </row>
    <row r="9">
      <c r="A9" t="str">
        <f>A84</f>
        <v>B.2</v>
      </c>
      <c r="B9" t="str">
        <f>B84</f>
        <v>Pekerjaan Dinding</v>
      </c>
      <c r="H9">
        <f>H88</f>
        <v>2542536782.5</v>
      </c>
      <c r="I9">
        <f>H9/$H$18</f>
        <v>0.8818454313927505</v>
      </c>
    </row>
    <row r="10">
      <c r="A10" t="str">
        <f>A89</f>
        <v>B.3</v>
      </c>
      <c r="B10" t="str">
        <f>B89</f>
        <v>Pekerjaan Plafond</v>
      </c>
      <c r="H10">
        <f>H93</f>
        <v>19743042.625</v>
      </c>
      <c r="I10">
        <f>H10/$H$18</f>
        <v>0.006847614579455386</v>
      </c>
    </row>
    <row r="11">
      <c r="A11" t="str">
        <f>A94</f>
        <v>B.4</v>
      </c>
      <c r="B11" t="str">
        <f>B94</f>
        <v>Pekerjaan Atap</v>
      </c>
      <c r="H11">
        <f>H101</f>
        <v>44854605</v>
      </c>
      <c r="I11">
        <f>H11/$H$18</f>
        <v>0.015557229601722164</v>
      </c>
    </row>
    <row r="12">
      <c r="A12" t="str">
        <f>A102</f>
        <v>B.5</v>
      </c>
      <c r="B12" t="str">
        <f>B102</f>
        <v>Pekerjaan Kusen</v>
      </c>
      <c r="H12">
        <f>H120</f>
        <v>30849973.68</v>
      </c>
      <c r="I12">
        <f>H12/$H$18</f>
        <v>0.010699907484345156</v>
      </c>
    </row>
    <row r="13">
      <c r="A13" t="str">
        <f>A121</f>
        <v>C.</v>
      </c>
      <c r="B13" t="str">
        <f>B121</f>
        <v>PEKERJAAN UTILITAS</v>
      </c>
      <c r="I13">
        <f>SUM(I14:I15)</f>
        <v>0.03132283531047768</v>
      </c>
    </row>
    <row r="14">
      <c r="A14" t="str">
        <f>A122</f>
        <v>C.1</v>
      </c>
      <c r="B14" t="str">
        <f>B122</f>
        <v>Pekerjaan Plumbing</v>
      </c>
      <c r="H14">
        <f>H163</f>
        <v>81972100</v>
      </c>
      <c r="I14">
        <f>H14/$H$18</f>
        <v>0.02843094439546016</v>
      </c>
    </row>
    <row r="15">
      <c r="A15" t="str">
        <f>A164</f>
        <v>C.2</v>
      </c>
      <c r="B15" t="str">
        <f>B164</f>
        <v>Pekerjaan Elektrikal</v>
      </c>
      <c r="H15">
        <f>H178</f>
        <v>8337900</v>
      </c>
      <c r="I15">
        <f>H15/$H$18</f>
        <v>0.0028918909150175156</v>
      </c>
    </row>
    <row r="16">
      <c r="A16" t="str">
        <f>A179</f>
        <v>D.</v>
      </c>
      <c r="B16" t="str">
        <f>B179</f>
        <v>PEKERJAAN FINISHING</v>
      </c>
      <c r="H16">
        <f>H190</f>
        <v>36340625.85</v>
      </c>
      <c r="I16">
        <f>H16/$H$18</f>
        <v>0.012604267950163192</v>
      </c>
    </row>
    <row r="18">
      <c r="G18" t="str">
        <v>Jumlah Biaya Pekerjaan Standar ( a ) … Rp.</v>
      </c>
      <c r="H18">
        <f>SUM(H4:H16)</f>
        <v>2883200039.3588495</v>
      </c>
      <c r="I18">
        <f>SUM(I4,I7,I13,I16)</f>
        <v>1</v>
      </c>
    </row>
    <row r="19">
      <c r="G19" t="str">
        <v>PPN 10% ( b ) … Rp.</v>
      </c>
      <c r="H19">
        <f>0.1*H18</f>
        <v>288320003.93588495</v>
      </c>
    </row>
    <row r="20">
      <c r="G20" t="str">
        <v xml:space="preserve"> '( c ) = ( a ) + ( b ) … Rp.</v>
      </c>
      <c r="H20">
        <f>H18+H19</f>
        <v>3171520043.2947345</v>
      </c>
    </row>
    <row r="21">
      <c r="G21" t="str">
        <v>Luas bangunan ( d ) … m2.</v>
      </c>
      <c r="H21">
        <v>120</v>
      </c>
    </row>
    <row r="22">
      <c r="G22" t="str">
        <v>Harga bangunan untuk pekerjaan standar /m2 ( e ) = ( c ) / ( d ) … Rp.</v>
      </c>
      <c r="H22">
        <f>H20/H21</f>
        <v>26429333.694122788</v>
      </c>
    </row>
    <row r="23">
      <c r="G23" t="str">
        <v>Ijin Mendirikan Bangunan /m2 ( f ) … Rp.</v>
      </c>
      <c r="H23">
        <f>'Isi Data'!E171</f>
        <v>15000</v>
      </c>
    </row>
    <row r="24">
      <c r="G24" t="str">
        <v>(e) + (f) Dibulatkan... Rp.</v>
      </c>
      <c r="H24">
        <f>ROUND(H22+H23,-4)</f>
        <v>26440000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34400</v>
      </c>
      <c r="G33">
        <f>E33*F33</f>
        <v>1840881.6000000003</v>
      </c>
    </row>
    <row r="34">
      <c r="A34">
        <f>A33+1</f>
        <v>2</v>
      </c>
      <c r="B34" t="str">
        <v>Pas. Urugan pasir</v>
      </c>
      <c r="D34" t="str">
        <v>m3</v>
      </c>
      <c r="E34">
        <f>'B-QTY'!D81</f>
        <v>2.9730000000000003</v>
      </c>
      <c r="F34">
        <f>SUMIF(SNI!C$1:C$65536,'RAB - RumahB'!B$1:B$65536,SNI!L$1:L$65536)</f>
        <v>180500</v>
      </c>
      <c r="G34">
        <f>E34*F34</f>
        <v>536626.5</v>
      </c>
    </row>
    <row r="35">
      <c r="A35">
        <f>A34+1</f>
        <v>3</v>
      </c>
      <c r="B35" t="str">
        <v>Aanstamping batu kali</v>
      </c>
      <c r="D35" t="str">
        <v>m3</v>
      </c>
      <c r="E35">
        <f>'B-QTY'!D82</f>
        <v>8.919</v>
      </c>
      <c r="F35">
        <f>SUMIF(SNI!C$1:C$65536,'RAB - RumahB'!B$1:B$65536,SNI!L$1:L$65536)</f>
        <v>413200</v>
      </c>
      <c r="G35">
        <f>E35*F35</f>
        <v>3685330.8000000003</v>
      </c>
    </row>
    <row r="36">
      <c r="A36">
        <f>A35+1</f>
        <v>4</v>
      </c>
      <c r="B36" t="str">
        <v>Pas. pondasi batu kali 1:4</v>
      </c>
      <c r="C36" t="str">
        <v>Spesi 1 : 4</v>
      </c>
      <c r="D36" t="str">
        <v>m3</v>
      </c>
      <c r="E36">
        <f>'B-QTY'!D83</f>
        <v>23.784000000000002</v>
      </c>
      <c r="F36">
        <f>SUMIF(SNI!C$1:C$65536,'RAB - RumahB'!B$1:B$65536,SNI!L$1:L$65536)</f>
        <v>698700</v>
      </c>
      <c r="G36">
        <f>E36*F36</f>
        <v>16617880.800000003</v>
      </c>
    </row>
    <row r="37">
      <c r="A37">
        <f>A36+1</f>
        <v>5</v>
      </c>
      <c r="B37" t="str">
        <v>Urugan tanah kembali</v>
      </c>
      <c r="C37" t="str">
        <v>Sisi pondasi</v>
      </c>
      <c r="D37" t="str">
        <v>m3</v>
      </c>
      <c r="E37">
        <f>'B-QTY'!D84</f>
        <v>17.838000000000008</v>
      </c>
      <c r="F37">
        <f>SUMIF(SNI!C$1:C$65536,'RAB - RumahB'!B$1:B$65536,SNI!L$1:L$65536)</f>
        <v>11500</v>
      </c>
      <c r="G37">
        <f>E37*F37</f>
        <v>205137.0000000001</v>
      </c>
    </row>
    <row r="38">
      <c r="A38">
        <f>A37+1</f>
        <v>6</v>
      </c>
      <c r="B38" t="str">
        <v>Buang tanah</v>
      </c>
      <c r="C38" t="str">
        <v>Didalam site</v>
      </c>
      <c r="D38" t="str">
        <v>m3</v>
      </c>
      <c r="E38">
        <f>'B-QTY'!D85</f>
        <v>35.676</v>
      </c>
      <c r="F38">
        <f>SUMIF(SNI!C$1:C$65536,'RAB - RumahB'!B$1:B$65536,SNI!L$1:L$65536)</f>
        <v>15100</v>
      </c>
      <c r="G38">
        <f>E38*F38</f>
        <v>538707.6</v>
      </c>
      <c r="H38">
        <f>SUM(G33:G38)</f>
        <v>23424564.300000004</v>
      </c>
    </row>
    <row r="39">
      <c r="A39" t="str">
        <v>A.1.2</v>
      </c>
      <c r="B39" t="str">
        <v>Pekerjaan Rolag Bata</v>
      </c>
    </row>
    <row r="40">
      <c r="A40">
        <v>1</v>
      </c>
      <c r="B40" t="str">
        <v>Galian tanah, dalam  s/d 1 m</v>
      </c>
      <c r="D40" t="str">
        <v>m3</v>
      </c>
      <c r="E40">
        <f>'B-QTY'!D101</f>
        <v>0.54</v>
      </c>
      <c r="F40">
        <f>SUMIF(SNI!C$1:C$65536,'RAB - RumahB'!B$1:B$65536,SNI!L$1:L$65536)</f>
        <v>34400</v>
      </c>
      <c r="G40">
        <f>E40*F40</f>
        <v>18576</v>
      </c>
    </row>
    <row r="41">
      <c r="A41">
        <f>A40+1</f>
        <v>2</v>
      </c>
      <c r="B41" t="str">
        <v>Pas. Urugan pasir</v>
      </c>
      <c r="D41" t="str">
        <v>m3</v>
      </c>
      <c r="E41">
        <f>'B-QTY'!D102</f>
        <v>0.06749999999999999</v>
      </c>
      <c r="F41">
        <f>SUMIF(SNI!C$1:C$65536,'RAB - RumahB'!B$1:B$65536,SNI!L$1:L$65536)</f>
        <v>180500</v>
      </c>
      <c r="G41">
        <f>E41*F41</f>
        <v>12183.749999999998</v>
      </c>
    </row>
    <row r="42">
      <c r="A42">
        <f>A41+1</f>
        <v>3</v>
      </c>
      <c r="B42" t="str">
        <v>Pas. Lantai kerja beton tumbuk 1:3:5</v>
      </c>
      <c r="C42" t="str">
        <v>Spesi 1 : 6</v>
      </c>
      <c r="D42" t="str">
        <v>m2</v>
      </c>
      <c r="E42">
        <f>'B-QTY'!D103</f>
        <v>1.3499999999999999</v>
      </c>
      <c r="F42">
        <f>SUMIF(SNI!C$1:C$65536,'RAB - RumahB'!B$1:B$65536,SNI!L$1:L$65536)</f>
        <v>53900</v>
      </c>
      <c r="G42">
        <f>E42*F42</f>
        <v>72765</v>
      </c>
    </row>
    <row r="43">
      <c r="A43">
        <f>A42+1</f>
        <v>4</v>
      </c>
      <c r="B43" t="str">
        <v>Pas. Dinding batu bata; ad 1:4</v>
      </c>
      <c r="C43" t="str">
        <v>Spesi 1 : 4</v>
      </c>
      <c r="D43" t="str">
        <v>m2</v>
      </c>
      <c r="E43">
        <f>'B-QTY'!D104</f>
        <v>2.25</v>
      </c>
      <c r="F43">
        <f>SUMIF(SNI!C$1:C$65536,'RAB - RumahB'!B$1:B$65536,SNI!L$1:L$65536)</f>
        <v>5272700</v>
      </c>
      <c r="G43">
        <f>E43*F43</f>
        <v>11863575</v>
      </c>
    </row>
    <row r="44">
      <c r="A44">
        <f>A43+1</f>
        <v>5</v>
      </c>
      <c r="B44" t="str">
        <v>Pas. Plester acian; ad. 1:4</v>
      </c>
      <c r="C44" t="str">
        <v>Spesi 1 : 2</v>
      </c>
      <c r="D44" t="str">
        <v>m2</v>
      </c>
      <c r="E44">
        <f>'B-QTY'!D105</f>
        <v>4.5</v>
      </c>
      <c r="F44">
        <f>SUMIF(SNI!C$1:C$65536,'RAB - RumahB'!B$1:B$65536,SNI!L$1:L$65536)</f>
        <v>37500</v>
      </c>
      <c r="G44">
        <f>E44*F44</f>
        <v>168750</v>
      </c>
    </row>
    <row r="45">
      <c r="A45">
        <f>A44+1</f>
        <v>6</v>
      </c>
      <c r="B45" t="str">
        <v>Urugan tanah kembali</v>
      </c>
      <c r="C45" t="str">
        <v>Sisi pondasi</v>
      </c>
      <c r="D45" t="str">
        <v>m3</v>
      </c>
      <c r="E45">
        <f>'B-QTY'!D106</f>
        <v>0.18000000000000005</v>
      </c>
      <c r="F45">
        <f>SUMIF(SNI!C$1:C$65536,'RAB - RumahB'!B$1:B$65536,SNI!L$1:L$65536)</f>
        <v>11500</v>
      </c>
      <c r="G45">
        <f>E45*F45</f>
        <v>2070.0000000000005</v>
      </c>
    </row>
    <row r="46">
      <c r="A46">
        <f>A45+1</f>
        <v>7</v>
      </c>
      <c r="B46" t="str">
        <v>Buang tanah</v>
      </c>
      <c r="C46" t="str">
        <v>Didalam site</v>
      </c>
      <c r="D46" t="str">
        <v>m3</v>
      </c>
      <c r="E46">
        <f>'B-QTY'!D107</f>
        <v>0.36</v>
      </c>
      <c r="F46">
        <f>SUMIF(SNI!C$1:C$65536,'RAB - RumahB'!B$1:B$65536,SNI!L$1:L$65536)</f>
        <v>15100</v>
      </c>
      <c r="G46">
        <f>E46*F46</f>
        <v>5436</v>
      </c>
      <c r="H46">
        <f>SUM(G40:G46)</f>
        <v>12143355.75</v>
      </c>
    </row>
    <row r="47">
      <c r="G47" t="str">
        <v>Jumlah A.1 .... Rp</v>
      </c>
      <c r="H47">
        <f>SUM(G33:G46)</f>
        <v>35567920.050000004</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269300</v>
      </c>
      <c r="G50">
        <f>E50*F50</f>
        <v>10675052.000000002</v>
      </c>
    </row>
    <row r="51">
      <c r="A51">
        <f>A50+1</f>
        <v>2</v>
      </c>
      <c r="B51" t="str">
        <v>Tulangan besi beton U-24</v>
      </c>
      <c r="C51" t="str">
        <v>Mutu baja U-24</v>
      </c>
      <c r="D51" t="str">
        <v>kg</v>
      </c>
      <c r="E51">
        <f>'B-QTY'!D174</f>
        <v>448.989555</v>
      </c>
      <c r="F51">
        <f>SUMIF(SNI!C$1:C$65536,'RAB - RumahB'!B$1:B$65536,SNI!L$1:L$65536)</f>
        <v>12600</v>
      </c>
      <c r="G51">
        <f>E51*F51</f>
        <v>5657268.393</v>
      </c>
    </row>
    <row r="52">
      <c r="A52">
        <f>A51+1</f>
        <v>3</v>
      </c>
      <c r="B52" t="str">
        <v>Beton K - 175</v>
      </c>
      <c r="C52" t="str">
        <v>Mutu beton K-175</v>
      </c>
      <c r="D52" t="str">
        <v>m3</v>
      </c>
      <c r="E52">
        <f>'B-QTY'!D175</f>
        <v>2.9730000000000003</v>
      </c>
      <c r="F52">
        <f>SUMIF(SNI!C$1:C$65536,'RAB - RumahB'!B$1:B$65536,SNI!L$1:L$65536)</f>
        <v>834600</v>
      </c>
      <c r="G52">
        <f>E52*F52</f>
        <v>2481265.8000000003</v>
      </c>
      <c r="H52">
        <f>SUM(G50:G52)</f>
        <v>18813586.193000004</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46600</v>
      </c>
      <c r="G54">
        <f>E54*F54</f>
        <v>1199484</v>
      </c>
    </row>
    <row r="55">
      <c r="A55">
        <f>A54+1</f>
        <v>2</v>
      </c>
      <c r="B55" t="str">
        <v>Tulangan besi beton U-24</v>
      </c>
      <c r="C55" t="str">
        <v>Kayu terentang</v>
      </c>
      <c r="D55" t="str">
        <v>kg</v>
      </c>
      <c r="E55">
        <f>'B-QTY'!D211</f>
        <v>369.503316</v>
      </c>
      <c r="F55">
        <f>SUMIF(SNI!C$1:C$65536,'RAB - RumahB'!B$1:B$65536,SNI!L$1:L$65536)</f>
        <v>12600</v>
      </c>
      <c r="G55">
        <f>E55*F55</f>
        <v>4655741.781599999</v>
      </c>
    </row>
    <row r="56">
      <c r="A56">
        <f>A55+1</f>
        <v>3</v>
      </c>
      <c r="B56" t="str">
        <v>Beton K - 175</v>
      </c>
      <c r="C56" t="str">
        <v>Mutu beton K-175</v>
      </c>
      <c r="D56" t="str">
        <v>m3</v>
      </c>
      <c r="E56">
        <f>'B-QTY'!D212</f>
        <v>1.4157</v>
      </c>
      <c r="F56">
        <f>SUMIF(SNI!C$1:C$65536,'RAB - RumahB'!B$1:B$65536,SNI!L$1:L$65536)</f>
        <v>834600</v>
      </c>
      <c r="G56">
        <f>E56*F56</f>
        <v>1181543.22</v>
      </c>
      <c r="H56">
        <f>SUM(G54:G56)</f>
        <v>7036769.001599999</v>
      </c>
    </row>
    <row r="57">
      <c r="A57" t="str">
        <v>A.2.3</v>
      </c>
      <c r="B57" t="str">
        <v>Pekerjaan Ringbalk</v>
      </c>
    </row>
    <row r="58">
      <c r="A58">
        <v>1</v>
      </c>
      <c r="B58" t="str">
        <v>Bekisting Praktis beton</v>
      </c>
      <c r="C58" t="str">
        <v>Mutu baja U-24</v>
      </c>
      <c r="D58" t="str">
        <v>m2</v>
      </c>
      <c r="E58">
        <f>'B-QTY'!D264</f>
        <v>29.73</v>
      </c>
      <c r="F58">
        <f>SUMIF(SNI!C$1:C$65536,'RAB - RumahB'!B$1:B$65536,SNI!L$1:L$65536)</f>
        <v>46600</v>
      </c>
      <c r="G58">
        <f>E58*F58</f>
        <v>1385418</v>
      </c>
    </row>
    <row r="59">
      <c r="A59">
        <f>A58+1</f>
        <v>2</v>
      </c>
      <c r="B59" t="str">
        <v>Tulangan besi beton U-24</v>
      </c>
      <c r="C59" t="str">
        <v>Kayu terentang</v>
      </c>
      <c r="D59" t="str">
        <v>kg</v>
      </c>
      <c r="E59">
        <f>'B-QTY'!D263</f>
        <v>380.86104</v>
      </c>
      <c r="F59">
        <f>SUMIF(SNI!C$1:C$65536,'RAB - RumahB'!B$1:B$65536,SNI!L$1:L$65536)</f>
        <v>12600</v>
      </c>
      <c r="G59">
        <f>E59*F59</f>
        <v>4798849.104</v>
      </c>
    </row>
    <row r="60">
      <c r="A60">
        <f>A59+1</f>
        <v>3</v>
      </c>
      <c r="B60" t="str">
        <v>Beton K - 175</v>
      </c>
      <c r="C60" t="str">
        <v>Mutu beton K-175</v>
      </c>
      <c r="D60" t="str">
        <v>m3</v>
      </c>
      <c r="E60">
        <f>'B-QTY'!D265</f>
        <v>2.22975</v>
      </c>
      <c r="F60">
        <f>SUMIF(SNI!C$1:C$65536,'RAB - RumahB'!B$1:B$65536,SNI!L$1:L$65536)</f>
        <v>834600</v>
      </c>
      <c r="G60">
        <f>E60*F60</f>
        <v>1860949.35</v>
      </c>
      <c r="H60">
        <f>SUM(G58:G60)</f>
        <v>8045216.454</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46600</v>
      </c>
      <c r="G62">
        <f>E62*F62</f>
        <v>1056888.0000000002</v>
      </c>
    </row>
    <row r="63">
      <c r="A63">
        <f>A62+1</f>
        <v>2</v>
      </c>
      <c r="B63" t="str">
        <v>Tulangan besi beton U-24</v>
      </c>
      <c r="C63" t="str">
        <v>Kayu terentang</v>
      </c>
      <c r="D63" t="str">
        <v>kg</v>
      </c>
      <c r="E63">
        <f>'B-QTY'!E263</f>
        <v>290.69901000000004</v>
      </c>
      <c r="F63">
        <f>SUMIF(SNI!C$1:C$65536,'RAB - RumahB'!B$1:B$65536,SNI!L$1:L$65536)</f>
        <v>12600</v>
      </c>
      <c r="G63">
        <f>E63*F63</f>
        <v>3662807.5260000005</v>
      </c>
    </row>
    <row r="64">
      <c r="A64">
        <f>A63+1</f>
        <v>3</v>
      </c>
      <c r="B64" t="str">
        <v>Beton K - 175</v>
      </c>
      <c r="C64" t="str">
        <v>Mutu beton K-175</v>
      </c>
      <c r="D64" t="str">
        <v>m3</v>
      </c>
      <c r="E64">
        <f>'B-QTY'!E265</f>
        <v>1.701</v>
      </c>
      <c r="F64">
        <f>SUMIF(SNI!C$1:C$65536,'RAB - RumahB'!B$1:B$65536,SNI!L$1:L$65536)</f>
        <v>834600</v>
      </c>
      <c r="G64">
        <f>E64*F64</f>
        <v>1419654.6</v>
      </c>
      <c r="H64">
        <f>SUM(G62:G64)</f>
        <v>6139350.126</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531500</v>
      </c>
      <c r="G66">
        <f>E66*F66</f>
        <v>2455529.9999999995</v>
      </c>
    </row>
    <row r="67">
      <c r="A67">
        <f>A66+1</f>
        <v>2</v>
      </c>
      <c r="B67" t="str">
        <v>Tulangan besi beton U-24</v>
      </c>
      <c r="C67" t="str">
        <v>Mutu baja U-24</v>
      </c>
      <c r="D67" t="str">
        <v>kg</v>
      </c>
      <c r="E67">
        <f>'B-QTY'!F304</f>
        <v>40.85235</v>
      </c>
      <c r="F67">
        <f>SUMIF(SNI!C$1:C$65536,'RAB - RumahB'!B$1:B$65536,SNI!L$1:L$65536)</f>
        <v>12600</v>
      </c>
      <c r="G67">
        <f>E67*F67</f>
        <v>514739.61000000004</v>
      </c>
    </row>
    <row r="68">
      <c r="A68">
        <f>A67+1</f>
        <v>3</v>
      </c>
      <c r="B68" t="str">
        <v>Beton K - 175</v>
      </c>
      <c r="C68" t="str">
        <v>Mutu beton K-175</v>
      </c>
      <c r="D68" t="str">
        <v>m3</v>
      </c>
      <c r="E68">
        <f>'B-QTY'!F305</f>
        <v>0.39</v>
      </c>
      <c r="F68">
        <f>SUMIF(SNI!C$1:C$65536,'RAB - RumahB'!B$1:B$65536,SNI!L$1:L$65536)</f>
        <v>834600</v>
      </c>
      <c r="G68">
        <f>E68*F68</f>
        <v>325494</v>
      </c>
      <c r="H68">
        <f>SUM(G66:G68)</f>
        <v>3295763.6099999994</v>
      </c>
    </row>
    <row r="69">
      <c r="A69" t="str">
        <v>A.2.3</v>
      </c>
      <c r="B69" t="str">
        <v>Pekerjaan Meja beton</v>
      </c>
    </row>
    <row r="70">
      <c r="A70">
        <v>1</v>
      </c>
      <c r="B70" t="str">
        <v>Bekisting Praktis beton</v>
      </c>
      <c r="C70" t="str">
        <v>Kayu terentang</v>
      </c>
      <c r="D70" t="str">
        <v>m2</v>
      </c>
      <c r="E70">
        <f>'B-QTY'!G303</f>
        <v>1.33</v>
      </c>
      <c r="F70">
        <f>SUMIF(SNI!C$1:C$65536,'RAB - RumahB'!B$1:B$65536,SNI!L$1:L$65536)</f>
        <v>46600</v>
      </c>
      <c r="G70">
        <f>E70*F70</f>
        <v>61978</v>
      </c>
    </row>
    <row r="71">
      <c r="A71">
        <f>A70+1</f>
        <v>2</v>
      </c>
      <c r="B71" t="str">
        <v>Tulangan besi beton U-24</v>
      </c>
      <c r="C71" t="str">
        <v>Mutu baja U-24</v>
      </c>
      <c r="D71" t="str">
        <v>kg</v>
      </c>
      <c r="E71">
        <f>'B-QTY'!G304</f>
        <v>12.049380000000001</v>
      </c>
      <c r="F71">
        <f>SUMIF(SNI!C$1:C$65536,'RAB - RumahB'!B$1:B$65536,SNI!L$1:L$65536)</f>
        <v>12600</v>
      </c>
      <c r="G71">
        <f>E71*F71</f>
        <v>151822.18800000002</v>
      </c>
    </row>
    <row r="72">
      <c r="A72">
        <f>A71+1</f>
        <v>3</v>
      </c>
      <c r="B72" t="str">
        <v>Beton K - 175</v>
      </c>
      <c r="C72" t="str">
        <v>Mutu beton K-175</v>
      </c>
      <c r="D72" t="str">
        <v>m3</v>
      </c>
      <c r="E72">
        <f>'B-QTY'!G305</f>
        <v>0.10800000000000001</v>
      </c>
      <c r="F72">
        <f>SUMIF(SNI!C$1:C$65536,'RAB - RumahB'!B$1:B$65536,SNI!L$1:L$65536)</f>
        <v>834600</v>
      </c>
      <c r="G72">
        <f>E72*F72</f>
        <v>90136.80000000002</v>
      </c>
      <c r="H72">
        <f>SUM(G70:G72)</f>
        <v>303936.988</v>
      </c>
    </row>
    <row r="73">
      <c r="G73" t="str">
        <v>Jumlah A.2 .... Rp</v>
      </c>
      <c r="H73">
        <f>SUM(G50:G72)</f>
        <v>43634622.372600004</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180500</v>
      </c>
      <c r="G77">
        <f>E77*F77</f>
        <v>1528936.53125</v>
      </c>
    </row>
    <row r="78">
      <c r="A78">
        <f>A77+1</f>
        <v>2</v>
      </c>
      <c r="B78" t="str">
        <v>Pas. Lantai kerja beton tumbuk 1:3:5</v>
      </c>
      <c r="C78" t="str">
        <v>t. 5 cm</v>
      </c>
      <c r="D78" t="str">
        <v>m2</v>
      </c>
      <c r="E78">
        <f>'B-QTY'!E26</f>
        <v>131.91125</v>
      </c>
      <c r="F78">
        <f>SUMIF(SNI!C$1:C$65536,'RAB - RumahB'!B$1:B$65536,SNI!L$1:L$65536)</f>
        <v>53900</v>
      </c>
      <c r="G78">
        <f>E78*F78</f>
        <v>7110016.375</v>
      </c>
    </row>
    <row r="79">
      <c r="A79">
        <f>A78+1</f>
        <v>3</v>
      </c>
      <c r="B79" t="str">
        <v>Pas. Lantai Keramik 300x300</v>
      </c>
      <c r="C79" t="str">
        <v>ex Masterina</v>
      </c>
      <c r="D79" t="str">
        <v>m2</v>
      </c>
      <c r="E79">
        <f>'B-QTY'!D408+2.5+17.44</f>
        <v>41.21000000000001</v>
      </c>
      <c r="F79">
        <f>SUMIF(SNI!C$1:C$65536,'RAB - RumahB'!B$1:B$65536,SNI!L$1:L$65536)</f>
        <v>159100</v>
      </c>
      <c r="G79">
        <f>E79*F79</f>
        <v>6556511.000000001</v>
      </c>
    </row>
    <row r="80">
      <c r="A80">
        <f>A79+1</f>
        <v>4</v>
      </c>
      <c r="B80" t="str">
        <v>Pas. Lantai Keramik 300x300</v>
      </c>
      <c r="C80" t="str">
        <v>ex Masterina</v>
      </c>
      <c r="D80" t="str">
        <v>m2</v>
      </c>
      <c r="E80">
        <f>'B-QTY'!D377+'B-QTY'!D428+'B-QTY'!D385+'B-QTY'!D393+'B-QTY'!D401</f>
        <v>104.57124999999999</v>
      </c>
      <c r="F80">
        <f>SUMIF(SNI!C$1:C$65536,'RAB - RumahB'!B$1:B$65536,SNI!L$1:L$65536)</f>
        <v>159100</v>
      </c>
      <c r="G80">
        <f>E80*F80</f>
        <v>16637285.874999998</v>
      </c>
    </row>
    <row r="81">
      <c r="A81">
        <f>A80+1</f>
        <v>5</v>
      </c>
      <c r="B81" t="str">
        <v>Pas. Plint Keramik 100x300</v>
      </c>
      <c r="C81" t="str">
        <v>ex Masterina</v>
      </c>
      <c r="D81" t="str">
        <v>m</v>
      </c>
      <c r="E81">
        <f>'B-QTY'!D378+'B-QTY'!D386+'B-QTY'!D394+'B-QTY'!D402+'B-QTY'!D429+13.2</f>
        <v>103.67500000000001</v>
      </c>
      <c r="F81">
        <f>SUMIF(SNI!C$1:C$65536,'RAB - RumahB'!B$1:B$65536,SNI!L$1:L$65536)</f>
        <v>42100</v>
      </c>
      <c r="G81">
        <f>E81*F81</f>
        <v>4364717.500000001</v>
      </c>
    </row>
    <row r="82">
      <c r="A82">
        <f>A81+1</f>
        <v>6</v>
      </c>
      <c r="B82" t="str">
        <v>Pas. Rabat beton; finish acian</v>
      </c>
      <c r="C82" t="str">
        <v xml:space="preserve">Beton spesi 1 : 3 : 5 </v>
      </c>
      <c r="D82" t="str">
        <v>m2</v>
      </c>
      <c r="E82">
        <f>'B-QTY'!D432</f>
        <v>37.5</v>
      </c>
      <c r="F82">
        <f>SUMIF(SNI!C$1:C$65536,'RAB - RumahB'!B$1:B$65536,SNI!L$1:L$65536)</f>
        <v>84400</v>
      </c>
      <c r="G82">
        <f>E82*F82</f>
        <v>3165000</v>
      </c>
    </row>
    <row r="83">
      <c r="G83" t="str">
        <v>Jumlah B.1 .... Rp</v>
      </c>
      <c r="H83">
        <f>SUM(G77:G82)</f>
        <v>39362467.28125</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5272700</v>
      </c>
      <c r="G85">
        <f>E85*F85</f>
        <v>2487897131.5</v>
      </c>
    </row>
    <row r="86">
      <c r="A86">
        <f>A85+1</f>
        <v>2</v>
      </c>
      <c r="B86" t="str">
        <v>Pas. Plester acian; ad. 1:4</v>
      </c>
      <c r="C86" t="str">
        <v>t. 15 mm; Interior</v>
      </c>
      <c r="D86" t="str">
        <v>m2</v>
      </c>
      <c r="E86">
        <f>'B-QTY'!D63+'B-QTY'!H63</f>
        <v>943.69</v>
      </c>
      <c r="F86">
        <f>SUMIF(SNI!C$1:C$65536,'RAB - RumahB'!B$1:B$65536,SNI!L$1:L$65536)</f>
        <v>37500</v>
      </c>
      <c r="G86">
        <f>E86*F86</f>
        <v>35388375</v>
      </c>
    </row>
    <row r="87">
      <c r="A87">
        <f>A86+1</f>
        <v>3</v>
      </c>
      <c r="B87" t="str">
        <v>Pas. Acian PC</v>
      </c>
      <c r="D87" t="str">
        <v>m2</v>
      </c>
      <c r="E87">
        <f>'B-QTY'!D63+'B-QTY'!H63</f>
        <v>943.69</v>
      </c>
      <c r="F87">
        <f>SUMIF(SNI!C$1:C$65536,'RAB - RumahB'!B$1:B$65536,SNI!L$1:L$65536)</f>
        <v>20400</v>
      </c>
      <c r="G87">
        <f>E87*F87</f>
        <v>19251276</v>
      </c>
    </row>
    <row r="88">
      <c r="G88" t="str">
        <v>Jumlah B.2 .... Rp</v>
      </c>
      <c r="H88">
        <f>SUM(G85:G87)</f>
        <v>2542536782.5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87200</v>
      </c>
      <c r="G90">
        <f>E90*F90</f>
        <v>13316421</v>
      </c>
    </row>
    <row r="91">
      <c r="A91">
        <f>A90+1</f>
        <v>2</v>
      </c>
      <c r="B91" t="str">
        <v>Pas. Penutup Plafond Gypsumboard t. 9 mm</v>
      </c>
      <c r="C91" t="str">
        <v>ex Jayaboard</v>
      </c>
      <c r="D91" t="str">
        <v>m2</v>
      </c>
      <c r="E91">
        <f>'B-QTY'!D387+'B-QTY'!D395+'B-QTY'!D403+17.44+'B-QTY'!D379+'B-QTY'!D437+'B-QTY'!D410+2.25</f>
        <v>154.96125</v>
      </c>
      <c r="F91">
        <f>SUMIF(SNI!C$1:C$65536,'RAB - RumahB'!B$1:B$65536,SNI!L$1:L$65536)</f>
        <v>31700</v>
      </c>
      <c r="G91">
        <f>E91*F91</f>
        <v>4912271.625</v>
      </c>
    </row>
    <row r="92">
      <c r="A92">
        <f>A91+1</f>
        <v>3</v>
      </c>
      <c r="B92" t="str">
        <v>Pas. List Profil Gypsum t. 5 cm</v>
      </c>
      <c r="C92" t="str">
        <v>ex Jayaboard</v>
      </c>
      <c r="D92" t="str">
        <v>m'</v>
      </c>
      <c r="E92">
        <f>'B-QTY'!D381+'B-QTY'!D389+'B-QTY'!D397+'B-QTY'!D405+'B-QTY'!D412+17.3</f>
        <v>122.12499999999999</v>
      </c>
      <c r="F92">
        <f>SUMIF(SNI!C$1:C$65536,'RAB - RumahB'!B$1:B$65536,SNI!L$1:L$65536)</f>
        <v>12400</v>
      </c>
      <c r="G92">
        <f>E92*F92</f>
        <v>1514349.9999999998</v>
      </c>
    </row>
    <row r="93">
      <c r="G93" t="str">
        <v>Jumlah B.3 .... Rp</v>
      </c>
      <c r="H93">
        <f>SUM(G90:G92)</f>
        <v>19743042.625</v>
      </c>
    </row>
    <row r="94">
      <c r="A94" t="str">
        <v>B.4</v>
      </c>
      <c r="B94" t="str">
        <v>Pekerjaan Atap</v>
      </c>
    </row>
    <row r="95">
      <c r="A95">
        <v>1</v>
      </c>
      <c r="B95" t="str">
        <v>Rangka atap baja ringan</v>
      </c>
      <c r="C95" t="str">
        <v>ex Smartruss</v>
      </c>
      <c r="D95" t="str">
        <v>m2</v>
      </c>
      <c r="E95">
        <f>(10*3.2)+(10*9.6)+(5*2.95)+(4*4)</f>
        <v>158.75</v>
      </c>
      <c r="F95">
        <f>SUMIF(SNI!C$1:C$65536,'RAB - RumahB'!B$1:B$65536,SNI!L$1:L$65536)</f>
        <v>151800</v>
      </c>
      <c r="G95">
        <f>E95*F95</f>
        <v>24098250</v>
      </c>
    </row>
    <row r="96">
      <c r="A96">
        <v>2</v>
      </c>
      <c r="B96" t="str">
        <v xml:space="preserve">Penutup atap Genteng Keramik </v>
      </c>
      <c r="C96" t="str">
        <v>ex Jatiwangi</v>
      </c>
      <c r="D96" t="str">
        <v>m2</v>
      </c>
      <c r="E96">
        <f>E95</f>
        <v>158.75</v>
      </c>
      <c r="F96">
        <f>SUMIF(SNI!C$1:C$65536,'RAB - RumahB'!B$1:B$65536,SNI!L$1:L$65536)</f>
        <v>80900</v>
      </c>
      <c r="G96">
        <f>E96*F96</f>
        <v>12842875</v>
      </c>
    </row>
    <row r="97">
      <c r="A97">
        <v>3</v>
      </c>
      <c r="B97" t="str">
        <v>Bubungan Genteng Keramik</v>
      </c>
      <c r="C97" t="str">
        <v>ex Jatiwangi</v>
      </c>
      <c r="D97" t="str">
        <v>m'</v>
      </c>
      <c r="E97">
        <v>12.8</v>
      </c>
      <c r="F97">
        <f>SUMIF(SNI!C$1:C$65536,'RAB - RumahB'!B$1:B$65536,SNI!L$1:L$65536)</f>
        <v>85900</v>
      </c>
      <c r="G97">
        <f>E97*F97</f>
        <v>1099520</v>
      </c>
    </row>
    <row r="98">
      <c r="A98">
        <v>4</v>
      </c>
      <c r="B98" t="str">
        <v>Pas. Lisplank Kayu 3/20 mm</v>
      </c>
      <c r="C98" t="str">
        <v>Kayu kamper medan</v>
      </c>
      <c r="D98" t="str">
        <v>m'</v>
      </c>
      <c r="E98">
        <f>24.4+10+4+3</f>
        <v>41.4</v>
      </c>
      <c r="F98">
        <f>SUMIF(SNI!C$1:C$65536,'RAB - RumahB'!B$1:B$65536,SNI!L$1:L$65536)</f>
        <v>101400</v>
      </c>
      <c r="G98">
        <f>E98*F98</f>
        <v>4197960</v>
      </c>
    </row>
    <row r="99">
      <c r="A99">
        <v>5</v>
      </c>
      <c r="B99" t="str">
        <v>Pas. Fleshing seng plat</v>
      </c>
      <c r="C99" t="str">
        <v>Seng bjls 35</v>
      </c>
      <c r="D99" t="str">
        <v>m'</v>
      </c>
      <c r="E99">
        <v>46</v>
      </c>
      <c r="F99">
        <f>SUMIF(SNI!C$1:C$65536,'RAB - RumahB'!B$1:B$65536,SNI!L$1:L$65536)</f>
        <v>51600</v>
      </c>
      <c r="G99">
        <f>E99*F99</f>
        <v>2373600</v>
      </c>
    </row>
    <row r="100">
      <c r="A100">
        <v>6</v>
      </c>
      <c r="B100" t="str">
        <v>Pas. Roof Drain</v>
      </c>
      <c r="D100" t="str">
        <v>bh</v>
      </c>
      <c r="E100">
        <f>'B-QTY'!D445</f>
        <v>2</v>
      </c>
      <c r="F100">
        <f>SUMIF(SNI!C$1:C$65536,'RAB - RumahB'!B$1:B$65536,SNI!L$1:L$65536)</f>
        <v>121200</v>
      </c>
      <c r="G100">
        <f>E100*F100</f>
        <v>242400</v>
      </c>
    </row>
    <row r="101">
      <c r="G101" t="str">
        <v>Jumlah B4 .... Rp</v>
      </c>
      <c r="H101">
        <f>SUM(G95:G100)</f>
        <v>44854605</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10632600</v>
      </c>
      <c r="G103">
        <f>E103*F103</f>
        <v>7425807.839999999</v>
      </c>
    </row>
    <row r="104">
      <c r="A104">
        <v>2</v>
      </c>
      <c r="B104" t="str">
        <v>Pintu panel kayu KW.II; 82 x 206 cm; R. Tamu</v>
      </c>
      <c r="C104" t="str">
        <v>Kayu Kamper Samarinda</v>
      </c>
      <c r="D104" t="str">
        <v>m2</v>
      </c>
      <c r="E104">
        <f>'B-QTY'!D347</f>
        <v>2.9252</v>
      </c>
      <c r="F104">
        <f>SNI!L749</f>
        <v>561600</v>
      </c>
      <c r="G104">
        <f>E104*F104</f>
        <v>1642792.3199999998</v>
      </c>
    </row>
    <row r="105">
      <c r="A105">
        <v>3</v>
      </c>
      <c r="B105" t="str">
        <v>Pintu doble teakwood 82 x 206 cm; K. Tidur</v>
      </c>
      <c r="C105" t="str">
        <v>Rangka Kayu Kamper Samarinda</v>
      </c>
      <c r="D105" t="str">
        <v>m2</v>
      </c>
      <c r="E105">
        <f>'B-QTY'!D348</f>
        <v>10.011600000000001</v>
      </c>
      <c r="F105">
        <f>SNI!L765</f>
        <v>429500</v>
      </c>
      <c r="G105">
        <f>E105*F105</f>
        <v>4299982.2</v>
      </c>
    </row>
    <row r="106">
      <c r="A106">
        <v>4</v>
      </c>
      <c r="B106" t="str">
        <v>Pintu doble teakwood 72 x 206 cm; K. Mandi</v>
      </c>
      <c r="C106" t="str">
        <v>Rangka Kayu Kamper Samarinda</v>
      </c>
      <c r="D106" t="str">
        <v>m2</v>
      </c>
      <c r="E106">
        <f>'B-QTY'!D349</f>
        <v>2.9252</v>
      </c>
      <c r="F106">
        <f>F105</f>
        <v>429500</v>
      </c>
      <c r="G106">
        <f>E106*F106</f>
        <v>1256373.4</v>
      </c>
    </row>
    <row r="107">
      <c r="A107">
        <v>5</v>
      </c>
      <c r="B107" t="str">
        <v>Pintu kaca kayu KW.II; 50 x 206 cm</v>
      </c>
      <c r="C107" t="str">
        <v>Rangka Kayu Kamper Samarinda</v>
      </c>
      <c r="D107" t="str">
        <v>m2</v>
      </c>
      <c r="E107">
        <f>'B-QTY'!D350</f>
        <v>4.12</v>
      </c>
      <c r="F107">
        <f>SNI!L725</f>
        <v>386500</v>
      </c>
      <c r="G107">
        <f>E107*F107</f>
        <v>1592380</v>
      </c>
    </row>
    <row r="108">
      <c r="A108">
        <v>6</v>
      </c>
      <c r="B108" t="str">
        <v>Jendela kaca kayu KW.II; 52 x 122 cm</v>
      </c>
      <c r="C108" t="str">
        <v>Rangka Kayu Kamper Samarinda</v>
      </c>
      <c r="D108" t="str">
        <v>m2</v>
      </c>
      <c r="E108">
        <f>'B-QTY'!D351</f>
        <v>3.8064</v>
      </c>
      <c r="F108">
        <f>F107</f>
        <v>386500</v>
      </c>
      <c r="G108">
        <f>E108*F108</f>
        <v>1471173.6</v>
      </c>
    </row>
    <row r="109">
      <c r="A109">
        <v>7</v>
      </c>
      <c r="B109" t="str">
        <v>Jendela kaca kayu KW.II; 52 x 182 cm</v>
      </c>
      <c r="C109" t="str">
        <v>Rangka Kayu Kamper Samarinda</v>
      </c>
      <c r="D109" t="str">
        <v>m2</v>
      </c>
      <c r="E109">
        <f>'B-QTY'!D352</f>
        <v>1.8928</v>
      </c>
      <c r="F109">
        <f>F108</f>
        <v>386500</v>
      </c>
      <c r="G109">
        <f>E109*F109</f>
        <v>731567.2000000001</v>
      </c>
    </row>
    <row r="110">
      <c r="A110">
        <v>8</v>
      </c>
      <c r="B110" t="str">
        <v>Pintu Besi 240 x 400 cm; Garasi</v>
      </c>
      <c r="C110" t="str">
        <v>Rangka Besi siku; Penutup plat besi</v>
      </c>
      <c r="D110" t="str">
        <v>m2</v>
      </c>
      <c r="E110">
        <f>3.05*2.4</f>
        <v>7.319999999999999</v>
      </c>
      <c r="F110">
        <f>SNI!L785</f>
        <v>840700</v>
      </c>
      <c r="G110">
        <f>E110*F110</f>
        <v>6153923.999999999</v>
      </c>
    </row>
    <row r="111">
      <c r="A111">
        <v>9</v>
      </c>
      <c r="B111" t="str">
        <v>Pas. Kaca polos 5 mm</v>
      </c>
      <c r="C111" t="str">
        <v>ex Asahi</v>
      </c>
      <c r="D111" t="str">
        <v>m2</v>
      </c>
      <c r="E111">
        <f>'B-QTY'!D355</f>
        <v>6.1632</v>
      </c>
      <c r="F111">
        <f>SUMIF(SNI!C$1:C$65536,'RAB - RumahB'!B$1:B$65536,SNI!L$1:L$65536)</f>
        <v>99100</v>
      </c>
      <c r="G111">
        <f>E111*F111</f>
        <v>610773.12</v>
      </c>
    </row>
    <row r="112">
      <c r="A112">
        <v>10</v>
      </c>
      <c r="B112" t="str">
        <v>Pas. Engsel pintu</v>
      </c>
      <c r="C112" t="str">
        <v>ex Solid</v>
      </c>
      <c r="D112" t="str">
        <v>bh</v>
      </c>
      <c r="E112">
        <f>'B-QTY'!D356</f>
        <v>42</v>
      </c>
      <c r="F112">
        <f>SUMIF(SNI!C$1:C$65536,'RAB - RumahB'!B$1:B$65536,SNI!L$1:L$65536)</f>
        <v>24900</v>
      </c>
      <c r="G112">
        <f>E112*F112</f>
        <v>1045800</v>
      </c>
    </row>
    <row r="113">
      <c r="A113">
        <v>11</v>
      </c>
      <c r="B113" t="str">
        <v>Pas. Engsel jendela</v>
      </c>
      <c r="C113" t="str">
        <v>ex Solid</v>
      </c>
      <c r="D113" t="str">
        <v>bh</v>
      </c>
      <c r="E113">
        <f>'B-QTY'!D357</f>
        <v>16</v>
      </c>
      <c r="F113">
        <f>SUMIF(SNI!C$1:C$65536,'RAB - RumahB'!B$1:B$65536,SNI!L$1:L$65536)</f>
        <v>23200</v>
      </c>
      <c r="G113">
        <f>E113*F113</f>
        <v>371200</v>
      </c>
    </row>
    <row r="114">
      <c r="A114">
        <v>12</v>
      </c>
      <c r="B114" t="str">
        <v>Pas. Kunci pintu ruangan</v>
      </c>
      <c r="C114" t="str">
        <v>ex Solid</v>
      </c>
      <c r="D114" t="str">
        <v>bh</v>
      </c>
      <c r="E114">
        <f>'B-QTY'!D358+'B-QTY'!D359</f>
        <v>9</v>
      </c>
      <c r="F114">
        <f>SUMIF(SNI!C$1:C$65536,'RAB - RumahB'!B$1:B$65536,SNI!L$1:L$65536)</f>
        <v>311900</v>
      </c>
      <c r="G114">
        <f>E114*F114</f>
        <v>2807100</v>
      </c>
    </row>
    <row r="115">
      <c r="A115">
        <v>13</v>
      </c>
      <c r="B115" t="str">
        <v>Pas. Kunci knob pintu kamar mandi</v>
      </c>
      <c r="C115" t="str">
        <v>ex Alpha</v>
      </c>
      <c r="D115" t="str">
        <v>bh</v>
      </c>
      <c r="E115">
        <f>'B-QTY'!D360</f>
        <v>2</v>
      </c>
      <c r="F115">
        <f>SUMIF(SNI!C$1:C$65536,'RAB - RumahB'!B$1:B$65536,SNI!L$1:L$65536)</f>
        <v>318600</v>
      </c>
      <c r="G115">
        <f>E115*F115</f>
        <v>637200</v>
      </c>
    </row>
    <row r="116">
      <c r="A116">
        <v>14</v>
      </c>
      <c r="B116" t="str">
        <v>Pas. Slot tanam pintu doble</v>
      </c>
      <c r="C116" t="str">
        <v>ex Solid</v>
      </c>
      <c r="D116" t="str">
        <v>ps</v>
      </c>
      <c r="E116">
        <f>'B-QTY'!D361</f>
        <v>3</v>
      </c>
      <c r="F116">
        <f>SUMIF(SNI!C$1:C$65536,'RAB - RumahB'!B$1:B$65536,SNI!L$1:L$65536)</f>
        <v>99300</v>
      </c>
      <c r="G116">
        <f>E116*F116</f>
        <v>297900</v>
      </c>
    </row>
    <row r="117">
      <c r="A117">
        <v>15</v>
      </c>
      <c r="B117" t="str">
        <v>Pas. Kait angin jendela</v>
      </c>
      <c r="C117" t="str">
        <v>ex Solid</v>
      </c>
      <c r="D117" t="str">
        <v>bh</v>
      </c>
      <c r="E117">
        <f>'B-QTY'!D362</f>
        <v>8</v>
      </c>
      <c r="F117">
        <f>SUMIF(SNI!C$1:C$65536,'RAB - RumahB'!B$1:B$65536,SNI!L$1:L$65536)</f>
        <v>12200</v>
      </c>
      <c r="G117">
        <f>E117*F117</f>
        <v>97600</v>
      </c>
    </row>
    <row r="118">
      <c r="A118">
        <v>16</v>
      </c>
      <c r="B118" t="str">
        <v>Pas. Grendel Jendela</v>
      </c>
      <c r="C118" t="str">
        <v>ex Solid</v>
      </c>
      <c r="D118" t="str">
        <v>bh</v>
      </c>
      <c r="E118">
        <f>'B-QTY'!D363</f>
        <v>16</v>
      </c>
      <c r="F118">
        <f>SUMIF(SNI!C$1:C$65536,'RAB - RumahB'!B$1:B$65536,SNI!L$1:L$65536)</f>
        <v>25000</v>
      </c>
      <c r="G118">
        <f>E118*F118</f>
        <v>400000</v>
      </c>
    </row>
    <row r="119">
      <c r="A119">
        <v>17</v>
      </c>
      <c r="B119" t="str">
        <v>Pas. Rel pintu lipat 4 pintu</v>
      </c>
      <c r="C119" t="str">
        <v>Dekson</v>
      </c>
      <c r="D119" t="str">
        <v>unt</v>
      </c>
      <c r="E119">
        <v>1</v>
      </c>
      <c r="F119">
        <f>SUMIF(SNI!C$1:C$65536,'RAB - RumahB'!B$1:B$65536,SNI!L$1:L$65536)</f>
        <v>8400</v>
      </c>
      <c r="G119">
        <f>E119*F119</f>
        <v>8400</v>
      </c>
    </row>
    <row r="120">
      <c r="G120" t="str">
        <v>Jumlah B5 .... Rp</v>
      </c>
      <c r="H120">
        <f>SUM(G103:G119)</f>
        <v>30849973.68</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1093100</v>
      </c>
      <c r="G124">
        <f>E124*F124</f>
        <v>1093100</v>
      </c>
    </row>
    <row r="125">
      <c r="A125">
        <v>2</v>
      </c>
      <c r="B125" t="str">
        <v>Pas. Kloset Duduk Keramik</v>
      </c>
      <c r="C125" t="str">
        <v>TOTO CW 660 J / SW 660 J</v>
      </c>
      <c r="D125" t="str">
        <v>bh</v>
      </c>
      <c r="E125">
        <f>'B-QTY'!D415</f>
        <v>1</v>
      </c>
      <c r="F125">
        <f>SUMIF(SNI!C$1:C$65536,'RAB - RumahB'!B$1:B$65536,SNI!L$1:L$65536)</f>
        <v>1264900</v>
      </c>
      <c r="G125">
        <f>E125*F125</f>
        <v>1264900</v>
      </c>
    </row>
    <row r="126">
      <c r="A126">
        <v>3</v>
      </c>
      <c r="B126" t="str">
        <v>Pas. Kloset Jongkok Keramik</v>
      </c>
      <c r="C126" t="str">
        <v>TOTO CE 7</v>
      </c>
      <c r="D126" t="str">
        <v>bh</v>
      </c>
      <c r="E126">
        <f>'B-QTY'!D416</f>
        <v>1</v>
      </c>
      <c r="F126">
        <f>SUMIF(SNI!C$1:C$65536,'RAB - RumahB'!B$1:B$65536,SNI!L$1:L$65536)</f>
        <v>220200</v>
      </c>
      <c r="G126">
        <f>E126*F126</f>
        <v>220200</v>
      </c>
    </row>
    <row r="127">
      <c r="A127">
        <v>4</v>
      </c>
      <c r="B127" t="str">
        <v>Pas. Bak Air Fiberglass</v>
      </c>
      <c r="C127" t="str">
        <v>Fibre glass</v>
      </c>
      <c r="D127" t="str">
        <v>bh</v>
      </c>
      <c r="E127">
        <f>'B-QTY'!D417</f>
        <v>1</v>
      </c>
      <c r="F127">
        <f>SUMIF(SNI!C$1:C$65536,'RAB - RumahB'!B$1:B$65536,SNI!L$1:L$65536)</f>
        <v>614200</v>
      </c>
      <c r="G127">
        <f>E127*F127</f>
        <v>614200</v>
      </c>
    </row>
    <row r="128">
      <c r="A128">
        <v>5</v>
      </c>
      <c r="B128" t="str">
        <v>Pas. Shower spray</v>
      </c>
      <c r="C128" t="str">
        <v>TOTO THX 20 NBP1V</v>
      </c>
      <c r="D128" t="str">
        <v>bh</v>
      </c>
      <c r="E128">
        <f>'B-QTY'!D416</f>
        <v>1</v>
      </c>
      <c r="F128">
        <f>SUMIF(SNI!C$1:C$65536,'RAB - RumahB'!B$1:B$65536,SNI!L$1:L$65536)</f>
        <v>205900</v>
      </c>
      <c r="G128">
        <f>E128*F128</f>
        <v>205900</v>
      </c>
    </row>
    <row r="129">
      <c r="A129">
        <v>6</v>
      </c>
      <c r="B129" t="str">
        <v>Pas. Shower set</v>
      </c>
      <c r="C129" t="str">
        <v>TOTO TX423SZ</v>
      </c>
      <c r="D129" t="str">
        <v>bh</v>
      </c>
      <c r="E129">
        <f>'B-QTY'!D417</f>
        <v>1</v>
      </c>
      <c r="F129">
        <f>SUMIF(SNI!C$1:C$65536,'RAB - RumahB'!B$1:B$65536,SNI!L$1:L$65536)</f>
        <v>732500</v>
      </c>
      <c r="G129">
        <f>E129*F129</f>
        <v>732500</v>
      </c>
    </row>
    <row r="130">
      <c r="A130">
        <v>7</v>
      </c>
      <c r="B130" t="str">
        <v>Pas. Floor Drain</v>
      </c>
      <c r="C130" t="str">
        <v>TOTO TX 1 BN</v>
      </c>
      <c r="D130" t="str">
        <v>bh</v>
      </c>
      <c r="E130">
        <f>'B-QTY'!D419+2</f>
        <v>3</v>
      </c>
      <c r="F130">
        <f>SUMIF(SNI!C$1:C$65536,'RAB - RumahB'!B$1:B$65536,SNI!L$1:L$65536)</f>
        <v>107500</v>
      </c>
      <c r="G130">
        <f>E130*F130</f>
        <v>322500</v>
      </c>
    </row>
    <row r="131">
      <c r="A131">
        <v>8</v>
      </c>
      <c r="B131" t="str">
        <v>Pas. Tempat sabun keramik</v>
      </c>
      <c r="C131" t="str">
        <v>TOTO S 11 N</v>
      </c>
      <c r="D131" t="str">
        <v>bh</v>
      </c>
      <c r="E131">
        <f>'B-QTY'!D420+1</f>
        <v>2</v>
      </c>
      <c r="F131">
        <f>SUMIF(SNI!C$1:C$65536,'RAB - RumahB'!B$1:B$65536,SNI!L$1:L$65536)</f>
        <v>45800</v>
      </c>
      <c r="G131">
        <f>E131*F131</f>
        <v>91600</v>
      </c>
    </row>
    <row r="132">
      <c r="A132">
        <v>9</v>
      </c>
      <c r="B132" t="str">
        <v>Pas. Kitchenzink stainlees stell 1 lubang</v>
      </c>
      <c r="C132" t="str">
        <v>HWACO</v>
      </c>
      <c r="D132" t="str">
        <v>bh</v>
      </c>
      <c r="E132">
        <f>'B-QTY'!D424</f>
        <v>1</v>
      </c>
      <c r="F132">
        <f>SUMIF(SNI!C$1:C$65536,'RAB - RumahB'!B$1:B$65536,SNI!L$1:L$65536)</f>
        <v>324000</v>
      </c>
      <c r="G132">
        <f>E132*F132</f>
        <v>324000</v>
      </c>
    </row>
    <row r="133">
      <c r="A133">
        <v>10</v>
      </c>
      <c r="B133" t="str">
        <v>Pas. Kran zink</v>
      </c>
      <c r="C133" t="str">
        <v>TOTO T 30 AR13V7N</v>
      </c>
      <c r="D133" t="str">
        <v>bh</v>
      </c>
      <c r="E133">
        <f>'B-QTY'!D425</f>
        <v>1</v>
      </c>
      <c r="F133">
        <f>SUMIF(SNI!C$1:C$65536,'RAB - RumahB'!B$1:B$65536,SNI!L$1:L$65536)</f>
        <v>335700</v>
      </c>
      <c r="G133">
        <f>E133*F133</f>
        <v>335700</v>
      </c>
    </row>
    <row r="134">
      <c r="A134">
        <v>11</v>
      </c>
      <c r="B134" t="str">
        <v>Pas. Kran dinding</v>
      </c>
      <c r="C134" t="str">
        <v>TOTO T 23 B 13</v>
      </c>
      <c r="D134" t="str">
        <v>bh</v>
      </c>
      <c r="E134">
        <f>'B-QTY'!D433+2</f>
        <v>3</v>
      </c>
      <c r="F134">
        <f>SUMIF(SNI!C$1:C$65536,'RAB - RumahB'!B$1:B$65536,SNI!L$1:L$65536)</f>
        <v>133300</v>
      </c>
      <c r="G134">
        <f>E134*F134</f>
        <v>399900</v>
      </c>
      <c r="H134">
        <f>SUM(G124:G134)</f>
        <v>5604500</v>
      </c>
    </row>
    <row r="135">
      <c r="A135" t="str">
        <v>C.1.2</v>
      </c>
      <c r="B135" t="str">
        <v>Pekerjaan Sumur Dalam</v>
      </c>
    </row>
    <row r="136">
      <c r="A136">
        <v>1</v>
      </c>
      <c r="B136" t="str">
        <v>Pengeboran Sumur</v>
      </c>
      <c r="D136" t="str">
        <v>m'</v>
      </c>
      <c r="E136">
        <v>24</v>
      </c>
      <c r="F136">
        <f>IF(F137=0,0,75000)</f>
        <v>75000</v>
      </c>
      <c r="G136">
        <f>E136*F136</f>
        <v>1800000</v>
      </c>
    </row>
    <row r="137">
      <c r="A137">
        <v>2</v>
      </c>
      <c r="B137" t="str">
        <v xml:space="preserve">Pipa PVC dia. 3" </v>
      </c>
      <c r="C137" t="str">
        <v>Casing; Wavin</v>
      </c>
      <c r="D137" t="str">
        <v>m'</v>
      </c>
      <c r="E137">
        <v>24</v>
      </c>
      <c r="F137">
        <f>SUMIF(SNI!C$1:C$65536,'RAB - RumahB'!B$1:B$65536,SNI!L$1:L$65536)</f>
        <v>66800</v>
      </c>
      <c r="G137">
        <f>E137*F137</f>
        <v>1603200</v>
      </c>
    </row>
    <row r="138">
      <c r="A138">
        <v>3</v>
      </c>
      <c r="B138" t="str">
        <v xml:space="preserve">Pipa PVC dia. 2" </v>
      </c>
      <c r="C138" t="str">
        <v>Casing; Wavin</v>
      </c>
      <c r="D138" t="str">
        <v>m'</v>
      </c>
      <c r="E138">
        <v>6</v>
      </c>
      <c r="F138">
        <f>SUMIF(SNI!C$1:C$65536,'RAB - RumahB'!B$1:B$65536,SNI!L$1:L$65536)</f>
        <v>35600</v>
      </c>
      <c r="G138">
        <f>E138*F138</f>
        <v>213600</v>
      </c>
    </row>
    <row r="139">
      <c r="A139">
        <v>4</v>
      </c>
      <c r="B139" t="str">
        <v xml:space="preserve">Pipa PVC dia. 3/4" </v>
      </c>
      <c r="C139" t="str">
        <v>ex Wavin</v>
      </c>
      <c r="D139" t="str">
        <v>m'</v>
      </c>
      <c r="E139">
        <v>24</v>
      </c>
      <c r="F139">
        <f>SUMIF(SNI!C$1:C$65536,'RAB - RumahB'!B$1:B$65536,SNI!L$1:L$65536)</f>
        <v>17600</v>
      </c>
      <c r="G139">
        <f>E139*F139</f>
        <v>422400</v>
      </c>
    </row>
    <row r="140">
      <c r="A140">
        <v>5</v>
      </c>
      <c r="B140" t="str">
        <v>Klep diameter 3/4"</v>
      </c>
      <c r="D140" t="str">
        <v>bh</v>
      </c>
      <c r="E140">
        <v>1</v>
      </c>
      <c r="F140">
        <f>SUMIF(SNI!C$1:C$65536,'RAB - RumahB'!B$1:B$65536,SNI!L$1:L$65536)</f>
        <v>65400</v>
      </c>
      <c r="G140">
        <f>E140*F140</f>
        <v>65400</v>
      </c>
    </row>
    <row r="141">
      <c r="A141">
        <v>6</v>
      </c>
      <c r="B141" t="str">
        <v>Stop kran dia. 1"</v>
      </c>
      <c r="D141" t="str">
        <v>bh</v>
      </c>
      <c r="E141">
        <v>1</v>
      </c>
      <c r="F141">
        <f>SUMIF(SNI!C$1:C$65536,'RAB - RumahB'!B$1:B$65536,SNI!L$1:L$65536)</f>
        <v>72500</v>
      </c>
      <c r="G141">
        <f>E141*F141</f>
        <v>72500</v>
      </c>
    </row>
    <row r="142">
      <c r="A142">
        <v>7</v>
      </c>
      <c r="B142" t="str">
        <v>Mesin Jet Pump kap.250 watt</v>
      </c>
      <c r="C142" t="str">
        <v>Groundfos</v>
      </c>
      <c r="D142" t="str">
        <v>bh</v>
      </c>
      <c r="E142">
        <v>1</v>
      </c>
      <c r="F142">
        <f>SUMIF(SNI!C$1:C$65536,'RAB - RumahB'!B$1:B$65536,SNI!L$1:L$65536)</f>
        <v>1996400</v>
      </c>
      <c r="G142">
        <f>E142*F142</f>
        <v>1996400</v>
      </c>
      <c r="H142">
        <f>SUM(G136:G142)</f>
        <v>6173500</v>
      </c>
    </row>
    <row r="143">
      <c r="A143" t="str">
        <v>C.1.3</v>
      </c>
      <c r="B143" t="str">
        <v>Tanki Air</v>
      </c>
    </row>
    <row r="144">
      <c r="A144">
        <v>1</v>
      </c>
      <c r="B144" t="str">
        <v xml:space="preserve">Pipa PVC dia. 1" </v>
      </c>
      <c r="C144" t="str">
        <v>Sparing pam; ex Wavin</v>
      </c>
      <c r="D144" t="str">
        <v>m'</v>
      </c>
      <c r="E144">
        <v>12</v>
      </c>
      <c r="F144">
        <f>SUMIF(SNI!C$1:C$65536,'RAB - RumahB'!B$1:B$65536,SNI!L$1:L$65536)</f>
        <v>23000</v>
      </c>
      <c r="G144">
        <f>E144*F144</f>
        <v>276000</v>
      </c>
    </row>
    <row r="145">
      <c r="A145">
        <v>2</v>
      </c>
      <c r="B145" t="str">
        <v xml:space="preserve">Pipa PVC dia. 1" </v>
      </c>
      <c r="C145" t="str">
        <v>Inst. d/ pompa ke tanki air; ex Wavin</v>
      </c>
      <c r="D145" t="str">
        <v>m'</v>
      </c>
      <c r="E145">
        <v>8</v>
      </c>
      <c r="F145">
        <f>SUMIF(SNI!C$1:C$65536,'RAB - RumahB'!B$1:B$65536,SNI!L$1:L$65536)</f>
        <v>23000</v>
      </c>
      <c r="G145">
        <f>E145*F145</f>
        <v>184000</v>
      </c>
    </row>
    <row r="146">
      <c r="A146">
        <v>3</v>
      </c>
      <c r="B146" t="str">
        <v xml:space="preserve">Pipa PVC dia. 3/4" </v>
      </c>
      <c r="C146" t="str">
        <v>ex Wavin</v>
      </c>
      <c r="D146" t="str">
        <v>m'</v>
      </c>
      <c r="E146">
        <v>4</v>
      </c>
      <c r="F146">
        <f>SUMIF(SNI!C$1:C$65536,'RAB - RumahB'!B$1:B$65536,SNI!L$1:L$65536)</f>
        <v>17600</v>
      </c>
      <c r="G146">
        <f>E146*F146</f>
        <v>70400</v>
      </c>
    </row>
    <row r="147">
      <c r="A147">
        <v>4</v>
      </c>
      <c r="B147" t="str">
        <v>Tangki air 500 liter</v>
      </c>
      <c r="C147" t="str">
        <v>Exel</v>
      </c>
      <c r="D147" t="str">
        <v>bh</v>
      </c>
      <c r="E147">
        <v>1</v>
      </c>
      <c r="F147">
        <f>SUMIF(SNI!C$1:C$65536,'RAB - RumahB'!B$1:B$65536,SNI!L$1:L$65536)</f>
        <v>1044900</v>
      </c>
      <c r="G147">
        <f>E147*F147</f>
        <v>1044900</v>
      </c>
    </row>
    <row r="148">
      <c r="A148">
        <v>5</v>
      </c>
      <c r="B148" t="str">
        <v>Dudukan tangki air</v>
      </c>
      <c r="C148" t="str">
        <v>Besi siku</v>
      </c>
      <c r="D148" t="str">
        <v>bh</v>
      </c>
      <c r="E148">
        <v>1</v>
      </c>
      <c r="F148">
        <f>SUMIF(SNI!C$1:C$65536,'RAB - RumahB'!B$1:B$65536,SNI!L$1:L$65536)</f>
        <v>1137300</v>
      </c>
      <c r="G148">
        <f>E148*F148</f>
        <v>1137300</v>
      </c>
    </row>
    <row r="149">
      <c r="A149">
        <v>6</v>
      </c>
      <c r="B149" t="str">
        <v>Stop kran dia. 1"</v>
      </c>
      <c r="C149" t="str">
        <v>ex Onda</v>
      </c>
      <c r="D149" t="str">
        <v>bh</v>
      </c>
      <c r="E149">
        <v>2</v>
      </c>
      <c r="F149">
        <f>SUMIF(SNI!C$1:C$65536,'RAB - RumahB'!B$1:B$65536,SNI!L$1:L$65536)</f>
        <v>72500</v>
      </c>
      <c r="G149">
        <f>E149*F149</f>
        <v>145000</v>
      </c>
    </row>
    <row r="150">
      <c r="A150">
        <v>7</v>
      </c>
      <c r="B150" t="str">
        <v>Stop kran dia. 1"</v>
      </c>
      <c r="C150" t="str">
        <v>ex Onda</v>
      </c>
      <c r="D150" t="str">
        <v>bh</v>
      </c>
      <c r="E150">
        <v>1</v>
      </c>
      <c r="F150">
        <f>SUMIF(SNI!C$1:C$65536,'RAB - RumahB'!B$1:B$65536,SNI!L$1:L$65536)</f>
        <v>72500</v>
      </c>
      <c r="G150">
        <f>E150*F150</f>
        <v>72500</v>
      </c>
    </row>
    <row r="151">
      <c r="A151">
        <v>8</v>
      </c>
      <c r="B151" t="str">
        <v>Stop kran dia. 1"</v>
      </c>
      <c r="C151" t="str">
        <v>ex Onda</v>
      </c>
      <c r="D151" t="str">
        <v>bh</v>
      </c>
      <c r="E151">
        <v>1</v>
      </c>
      <c r="F151">
        <f>SUMIF(SNI!C$1:C$65536,'RAB - RumahB'!B$1:B$65536,SNI!L$1:L$65536)</f>
        <v>72500</v>
      </c>
      <c r="G151">
        <f>E151*F151</f>
        <v>72500</v>
      </c>
      <c r="H151">
        <f>SUM(G144:G151)</f>
        <v>3002600</v>
      </c>
    </row>
    <row r="152">
      <c r="A152" t="str">
        <v>C.1.4</v>
      </c>
      <c r="B152" t="str">
        <v>Instalasi Air Bersih</v>
      </c>
    </row>
    <row r="153">
      <c r="A153">
        <v>1</v>
      </c>
      <c r="B153" t="str">
        <v xml:space="preserve">Pipa PVC dia. 1" </v>
      </c>
      <c r="C153" t="str">
        <v>ex Wavin</v>
      </c>
      <c r="D153" t="str">
        <v>m'</v>
      </c>
      <c r="E153">
        <v>28</v>
      </c>
      <c r="F153">
        <f>SUMIF(SNI!C$1:C$65536,'RAB - RumahB'!B$1:B$65536,SNI!L$1:L$65536)</f>
        <v>23000</v>
      </c>
      <c r="G153">
        <f>E153*F153</f>
        <v>644000</v>
      </c>
    </row>
    <row r="154">
      <c r="A154">
        <v>2</v>
      </c>
      <c r="B154" t="str">
        <v xml:space="preserve">Pipa PVC dia. 3/4" </v>
      </c>
      <c r="C154" t="str">
        <v>ex Wavin</v>
      </c>
      <c r="D154" t="str">
        <v>m'</v>
      </c>
      <c r="E154">
        <v>24</v>
      </c>
      <c r="F154">
        <f>SUMIF(SNI!C$1:C$65536,'RAB - RumahB'!B$1:B$65536,SNI!L$1:L$65536)</f>
        <v>17600</v>
      </c>
      <c r="G154">
        <f>E154*F154</f>
        <v>422400</v>
      </c>
    </row>
    <row r="155">
      <c r="A155">
        <v>3</v>
      </c>
      <c r="B155" t="str">
        <v xml:space="preserve">Pipa PVC dia. 1/2" </v>
      </c>
      <c r="C155" t="str">
        <v>ex Wavin</v>
      </c>
      <c r="D155" t="str">
        <v>m'</v>
      </c>
      <c r="E155">
        <v>28</v>
      </c>
      <c r="F155">
        <f>SUMIF(SNI!C$1:C$65536,'RAB - RumahB'!B$1:B$65536,SNI!L$1:L$65536)</f>
        <v>15500</v>
      </c>
      <c r="G155">
        <f>E155*F155</f>
        <v>434000</v>
      </c>
      <c r="H155">
        <f>SUM(G153:G155)</f>
        <v>1500400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95300</v>
      </c>
      <c r="G157">
        <f>E157*F157</f>
        <v>1143600</v>
      </c>
    </row>
    <row r="158">
      <c r="A158">
        <v>2</v>
      </c>
      <c r="B158" t="str">
        <v xml:space="preserve">Pipa PVC dia. 3" </v>
      </c>
      <c r="C158" t="str">
        <v>ex Wavin</v>
      </c>
      <c r="D158" t="str">
        <v>m'</v>
      </c>
      <c r="E158">
        <v>20</v>
      </c>
      <c r="F158">
        <f>SUMIF(SNI!C$1:C$65536,'RAB - RumahB'!B$1:B$65536,SNI!L$1:L$65536)</f>
        <v>66800</v>
      </c>
      <c r="G158">
        <f>E158*F158</f>
        <v>1336000</v>
      </c>
    </row>
    <row r="159">
      <c r="A159">
        <v>3</v>
      </c>
      <c r="B159" t="str">
        <v xml:space="preserve">Pipa PVC dia. 2" </v>
      </c>
      <c r="C159" t="str">
        <v>ex Wavin</v>
      </c>
      <c r="D159" t="str">
        <v>m'</v>
      </c>
      <c r="E159">
        <v>12</v>
      </c>
      <c r="F159">
        <f>SUMIF(SNI!C$1:C$65536,'RAB - RumahB'!B$1:B$65536,SNI!L$1:L$65536)</f>
        <v>35600</v>
      </c>
      <c r="G159">
        <f>E159*F159</f>
        <v>427200</v>
      </c>
    </row>
    <row r="160">
      <c r="A160">
        <v>4</v>
      </c>
      <c r="B160" t="str">
        <v xml:space="preserve">Pipa PVC dia. 1" </v>
      </c>
      <c r="C160" t="str">
        <v>ex Wavin</v>
      </c>
      <c r="D160" t="str">
        <v>m'</v>
      </c>
      <c r="E160">
        <v>8</v>
      </c>
      <c r="F160">
        <f>SUMIF(SNI!C$1:C$65536,'RAB - RumahB'!B$1:B$65536,SNI!L$1:L$65536)</f>
        <v>23000</v>
      </c>
      <c r="G160">
        <f>E160*F160</f>
        <v>184000</v>
      </c>
      <c r="H160">
        <f>SUM(G157:G160)</f>
        <v>3090800</v>
      </c>
    </row>
    <row r="161">
      <c r="A161" t="str">
        <v>C.1.6</v>
      </c>
      <c r="B161" t="str">
        <v>Pekerjaan Septictank</v>
      </c>
    </row>
    <row r="162">
      <c r="A162">
        <v>1</v>
      </c>
      <c r="B162" t="str">
        <v xml:space="preserve">Septictank Pas. Bata kap. 3,00 m3 + Rembesan </v>
      </c>
      <c r="D162" t="str">
        <v>unit</v>
      </c>
      <c r="E162">
        <v>1</v>
      </c>
      <c r="F162">
        <f>SUMIF(SNI!C$1:C$65536,'RAB - RumahB'!B$1:B$65536,SNI!L$1:L$65536)</f>
        <v>62600300</v>
      </c>
      <c r="G162">
        <f>E162*F162</f>
        <v>62600300</v>
      </c>
      <c r="H162">
        <f>G162</f>
        <v>62600300</v>
      </c>
    </row>
    <row r="163">
      <c r="G163" t="str">
        <v>Jumlah C.1 .... Rp</v>
      </c>
      <c r="H163">
        <f>SUM(G124:G162)</f>
        <v>81972100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858000</v>
      </c>
      <c r="G166">
        <f>E166*F166</f>
        <v>858000</v>
      </c>
      <c r="H166">
        <f>G166</f>
        <v>858000</v>
      </c>
    </row>
    <row r="167">
      <c r="A167" t="str">
        <v>C.2.2</v>
      </c>
      <c r="B167" t="str">
        <v>Instalasi</v>
      </c>
    </row>
    <row r="168">
      <c r="A168">
        <v>1</v>
      </c>
      <c r="B168" t="str">
        <v>Pas. Instalasi lampu</v>
      </c>
      <c r="C168" t="str">
        <v>Supreme NYM 2 x 1.5 mm</v>
      </c>
      <c r="D168" t="str">
        <v>ttk</v>
      </c>
      <c r="E168">
        <v>16</v>
      </c>
      <c r="F168">
        <f>SUMIF(SNI!C$1:C$65536,'RAB - RumahB'!B$1:B$65536,SNI!L$1:L$65536)</f>
        <v>117800</v>
      </c>
      <c r="G168">
        <f>E168*F168</f>
        <v>1884800</v>
      </c>
    </row>
    <row r="169">
      <c r="A169">
        <f>A168+1</f>
        <v>2</v>
      </c>
      <c r="B169" t="str">
        <v xml:space="preserve">Pas. Instalasi exhausfan </v>
      </c>
      <c r="C169" t="str">
        <v>Supreme NYM 2 x 1.5 mm</v>
      </c>
      <c r="D169" t="str">
        <v>ttk</v>
      </c>
      <c r="E169">
        <v>1</v>
      </c>
      <c r="F169">
        <f>F168</f>
        <v>117800</v>
      </c>
      <c r="G169">
        <f>E169*F169</f>
        <v>117800</v>
      </c>
    </row>
    <row r="170">
      <c r="A170">
        <f>A169+1</f>
        <v>3</v>
      </c>
      <c r="B170" t="str">
        <v>Pas. Instalasi stop kontak</v>
      </c>
      <c r="C170" t="str">
        <v>Supreme NYM 3 x 2.5 mm</v>
      </c>
      <c r="D170" t="str">
        <v>ttk</v>
      </c>
      <c r="E170">
        <v>10</v>
      </c>
      <c r="F170">
        <f>SUMIF(SNI!C$1:C$65536,'RAB - RumahB'!B$1:B$65536,SNI!L$1:L$65536)</f>
        <v>150800</v>
      </c>
      <c r="G170">
        <f>E170*F170</f>
        <v>1508000</v>
      </c>
      <c r="H170">
        <f>SUM(G168:G170)</f>
        <v>3510600</v>
      </c>
    </row>
    <row r="171">
      <c r="A171" t="str">
        <v>C.2.3</v>
      </c>
      <c r="B171" t="str">
        <v>Armature</v>
      </c>
    </row>
    <row r="172">
      <c r="A172">
        <v>1</v>
      </c>
      <c r="B172" t="str">
        <v>Pas. Down light &amp; PLC 13 W</v>
      </c>
      <c r="C172" t="str">
        <v>ex Phanasonic</v>
      </c>
      <c r="D172" t="str">
        <v>bh</v>
      </c>
      <c r="E172">
        <v>16</v>
      </c>
      <c r="F172">
        <f>SUMIF(SNI!C$1:C$65536,'RAB - RumahB'!B$1:B$65536,SNI!L$1:L$65536)</f>
        <v>207300</v>
      </c>
      <c r="G172">
        <f>E172*F172</f>
        <v>3316800</v>
      </c>
    </row>
    <row r="173">
      <c r="A173">
        <f>A172+1</f>
        <v>2</v>
      </c>
      <c r="B173" t="str">
        <v>Pas. Saklar engkel</v>
      </c>
      <c r="C173" t="str">
        <v>ex Broco</v>
      </c>
      <c r="D173" t="str">
        <v>bh</v>
      </c>
      <c r="E173">
        <v>6</v>
      </c>
      <c r="F173">
        <f>SUMIF(SNI!C$1:C$65536,'RAB - RumahB'!B$1:B$65536,SNI!L$1:L$65536)</f>
        <v>34100</v>
      </c>
      <c r="G173">
        <f>E173*F173</f>
        <v>204600</v>
      </c>
    </row>
    <row r="174">
      <c r="A174">
        <f>A173+1</f>
        <v>3</v>
      </c>
      <c r="B174" t="str">
        <v>Pas. Saklar doble</v>
      </c>
      <c r="C174" t="str">
        <v>ex Broco</v>
      </c>
      <c r="D174" t="str">
        <v>bh</v>
      </c>
      <c r="E174">
        <v>3</v>
      </c>
      <c r="F174">
        <f>SUMIF(SNI!C$1:C$65536,'RAB - RumahB'!B$1:B$65536,SNI!L$1:L$65536)</f>
        <v>38400</v>
      </c>
      <c r="G174">
        <f>E174*F174</f>
        <v>115200</v>
      </c>
    </row>
    <row r="175">
      <c r="A175">
        <f>A174+1</f>
        <v>4</v>
      </c>
      <c r="B175" t="str">
        <v>Pas. Stop kontak</v>
      </c>
      <c r="C175" t="str">
        <v>ex Broco</v>
      </c>
      <c r="D175" t="str">
        <v>bh</v>
      </c>
      <c r="E175">
        <v>10</v>
      </c>
      <c r="F175">
        <f>SUMIF(SNI!C$1:C$65536,'RAB - RumahB'!B$1:B$65536,SNI!L$1:L$65536)</f>
        <v>31400</v>
      </c>
      <c r="G175">
        <f>E175*F175</f>
        <v>314000</v>
      </c>
    </row>
    <row r="176">
      <c r="A176">
        <f>A175+1</f>
        <v>5</v>
      </c>
      <c r="B176" t="str">
        <v>Pas. Outlet exhausefan</v>
      </c>
      <c r="C176" t="str">
        <v>ex Maspion</v>
      </c>
      <c r="D176" t="str">
        <v>bh</v>
      </c>
      <c r="E176">
        <v>1</v>
      </c>
      <c r="F176">
        <f>SUMIF(SNI!C$1:C$65536,'RAB - RumahB'!B$1:B$65536,SNI!L$1:L$65536)</f>
        <v>18700</v>
      </c>
      <c r="G176">
        <f>E176*F176</f>
        <v>18700</v>
      </c>
      <c r="H176">
        <f>SUM(G172:G176)</f>
        <v>3969300</v>
      </c>
    </row>
    <row r="178">
      <c r="G178" t="str">
        <v>Jumlah C.2 .... Rp</v>
      </c>
      <c r="H178">
        <f>SUM(G166:G177)</f>
        <v>8337900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174500</v>
      </c>
      <c r="G180">
        <f>E180*F180</f>
        <v>7590750</v>
      </c>
    </row>
    <row r="181">
      <c r="A181">
        <v>2</v>
      </c>
      <c r="B181" t="str">
        <v>Pas. Dinding Keramik 300x300</v>
      </c>
      <c r="C181" t="str">
        <v>Batu templek</v>
      </c>
      <c r="D181" t="str">
        <v>m2</v>
      </c>
      <c r="E181">
        <f>'B-QTY'!D376</f>
        <v>20</v>
      </c>
      <c r="F181">
        <f>SUMIF(SNI!C$1:C$65536,'RAB - RumahB'!B$1:B$65536,SNI!L$1:L$65536)</f>
        <v>174500</v>
      </c>
      <c r="G181">
        <f>E181*F181</f>
        <v>3490000</v>
      </c>
    </row>
    <row r="182">
      <c r="A182">
        <v>3</v>
      </c>
      <c r="B182" t="str">
        <v>Cat dinding luar weathershiled KW.I</v>
      </c>
      <c r="C182" t="str">
        <v>ex Mowilex</v>
      </c>
      <c r="D182" t="str">
        <v>m2</v>
      </c>
      <c r="E182">
        <f>'B-QTY'!D436</f>
        <v>554.3925</v>
      </c>
      <c r="F182">
        <f>SUMIF(SNI!C$1:C$65536,'RAB - RumahB'!B$1:B$65536,SNI!L$1:L$65536)</f>
        <v>24200</v>
      </c>
      <c r="G182">
        <f>E182*F182</f>
        <v>13416298.500000002</v>
      </c>
    </row>
    <row r="183">
      <c r="A183">
        <v>4</v>
      </c>
      <c r="B183" t="str">
        <v>Cat dinding dalam acrylic emulsion KW.I</v>
      </c>
      <c r="C183" t="str">
        <v>ex Mowilex</v>
      </c>
      <c r="D183" t="str">
        <v>m2</v>
      </c>
      <c r="E183">
        <f>'B-QTY'!D384+'B-QTY'!D392+'B-QTY'!D400</f>
        <v>264.7075</v>
      </c>
      <c r="F183">
        <f>SUMIF(SNI!C$1:C$65536,'RAB - RumahB'!B$1:B$65536,SNI!L$1:L$65536)</f>
        <v>24200</v>
      </c>
      <c r="G183">
        <f>E183*F183</f>
        <v>6405921.5</v>
      </c>
    </row>
    <row r="184">
      <c r="A184">
        <v>5</v>
      </c>
      <c r="B184" t="str">
        <v>Cat plafond acrylic emulsion KW.I</v>
      </c>
      <c r="C184" t="str">
        <v>ex Mowilex</v>
      </c>
      <c r="D184" t="str">
        <v>m2</v>
      </c>
      <c r="E184">
        <f>'B-QTY'!D380+'B-QTY'!D388+'B-QTY'!D396+'B-QTY'!D404+'B-QTY'!D411+'B-QTY'!D438</f>
        <v>135.27125</v>
      </c>
      <c r="F184">
        <f>SUMIF(SNI!C$1:C$65536,'RAB - RumahB'!B$1:B$65536,SNI!L$1:L$65536)</f>
        <v>24200</v>
      </c>
      <c r="G184">
        <f>E184*F184</f>
        <v>3273564.25</v>
      </c>
    </row>
    <row r="185">
      <c r="A185">
        <v>6</v>
      </c>
      <c r="B185" t="str">
        <v xml:space="preserve">Cat kayu synthetic </v>
      </c>
      <c r="C185" t="str">
        <v>Seiv</v>
      </c>
      <c r="D185" t="str">
        <v>m2</v>
      </c>
      <c r="E185">
        <f>'B-QTY'!D441</f>
        <v>19.872</v>
      </c>
      <c r="F185">
        <f>SUMIF(SNI!C$1:C$65536,'RAB - RumahB'!B$1:B$65536,SNI!L$1:L$65536)</f>
        <v>42300</v>
      </c>
      <c r="G185">
        <f>E185*F185</f>
        <v>840585.6</v>
      </c>
    </row>
    <row r="186">
      <c r="A186">
        <v>7</v>
      </c>
      <c r="B186" t="str">
        <v xml:space="preserve">Cat besi synthetic </v>
      </c>
      <c r="C186" t="str">
        <v>ex Seiv</v>
      </c>
      <c r="D186" t="str">
        <v>m2</v>
      </c>
      <c r="E186">
        <f>E110*2</f>
        <v>14.639999999999999</v>
      </c>
      <c r="F186">
        <f>SUMIF(SNI!C$1:C$65536,'RAB - RumahB'!B$1:B$65536,SNI!L$1:L$65536)</f>
        <v>42300</v>
      </c>
      <c r="G186">
        <f>E186*F186</f>
        <v>619272</v>
      </c>
    </row>
    <row r="187">
      <c r="B187" t="str">
        <v>Pekerjaan Canopi</v>
      </c>
    </row>
    <row r="188">
      <c r="A188">
        <v>8</v>
      </c>
      <c r="B188" t="str">
        <v>Pas. Acian PC</v>
      </c>
      <c r="C188" t="str">
        <v>Spesi 1 : 2</v>
      </c>
      <c r="D188" t="str">
        <v>m2</v>
      </c>
      <c r="E188">
        <f>'B-QTY'!D444</f>
        <v>15.79</v>
      </c>
      <c r="F188">
        <f>SUMIF(SNI!C$1:C$65536,'RAB - RumahB'!B$1:B$65536,SNI!L$1:L$65536)</f>
        <v>20400</v>
      </c>
      <c r="G188">
        <f>E188*F188</f>
        <v>322116</v>
      </c>
    </row>
    <row r="189">
      <c r="A189">
        <v>9</v>
      </c>
      <c r="B189" t="str">
        <v>Cat plafond acrylic emulsion KW.I</v>
      </c>
      <c r="C189" t="str">
        <v>ex Mowilex</v>
      </c>
      <c r="D189" t="str">
        <v>m2</v>
      </c>
      <c r="E189">
        <f>E188</f>
        <v>15.79</v>
      </c>
      <c r="F189">
        <f>SUMIF(SNI!C$1:C$65536,'RAB - RumahB'!B$1:B$65536,SNI!L$1:L$65536)</f>
        <v>24200</v>
      </c>
      <c r="G189">
        <f>E189*F189</f>
        <v>382118</v>
      </c>
      <c r="H189">
        <f>SUM(G188:G189)</f>
        <v>704234</v>
      </c>
    </row>
    <row r="190">
      <c r="G190" t="str">
        <v>JumlahD .... Rp</v>
      </c>
      <c r="H190">
        <f>SUM(G180:G189)</f>
        <v>36340625.85</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0.04328322298009084</v>
      </c>
    </row>
    <row r="5">
      <c r="A5" t="str">
        <f>A31</f>
        <v>A.1</v>
      </c>
      <c r="B5" t="str">
        <f>B31</f>
        <v xml:space="preserve">Pekerjaan Pondasi </v>
      </c>
      <c r="H5">
        <f>H36</f>
        <v>15781549.875</v>
      </c>
      <c r="I5">
        <f>H5/$H$18</f>
        <v>0.013921700911733557</v>
      </c>
    </row>
    <row r="6">
      <c r="A6" t="str">
        <f>A37</f>
        <v>A.2</v>
      </c>
      <c r="B6" t="str">
        <f>B37</f>
        <v>Pekerjaan Struktur</v>
      </c>
      <c r="H6">
        <f>H55</f>
        <v>33284031.015000004</v>
      </c>
      <c r="I6">
        <f>H6/$H$18</f>
        <v>0.02936152206835728</v>
      </c>
    </row>
    <row r="7">
      <c r="A7" t="str">
        <v>B.</v>
      </c>
      <c r="B7" t="str">
        <v>PEKERJAAN ARSITEKTUR</v>
      </c>
      <c r="I7">
        <f>SUM(I8:I12)</f>
        <v>0.8860094536534178</v>
      </c>
    </row>
    <row r="8">
      <c r="A8" t="str">
        <v>B.1</v>
      </c>
      <c r="B8" t="str">
        <v>Pekerjaan Lantai</v>
      </c>
      <c r="H8">
        <f>H63</f>
        <v>18344345.75</v>
      </c>
      <c r="I8">
        <f>H8/$H$18</f>
        <v>0.0161824723791858</v>
      </c>
    </row>
    <row r="9">
      <c r="A9" t="str">
        <v>B.2</v>
      </c>
      <c r="B9" t="str">
        <v>Pekerjaan Dinding</v>
      </c>
      <c r="H9">
        <f>H68</f>
        <v>908953002.8750001</v>
      </c>
      <c r="I9">
        <f>H9/$H$18</f>
        <v>0.8018332767742714</v>
      </c>
    </row>
    <row r="10">
      <c r="A10" t="str">
        <v>B.3</v>
      </c>
      <c r="B10" t="str">
        <v>Pekerjaan Plafond</v>
      </c>
      <c r="H10">
        <f>H72</f>
        <v>9470420</v>
      </c>
      <c r="I10">
        <f>H10/$H$18</f>
        <v>0.008354335017332999</v>
      </c>
    </row>
    <row r="11">
      <c r="A11" t="str">
        <v>B.4</v>
      </c>
      <c r="B11" t="str">
        <v>Pekerjaan Atap</v>
      </c>
      <c r="H11">
        <f>H80</f>
        <v>52153660</v>
      </c>
      <c r="I11">
        <f>H11/$H$18</f>
        <v>0.04600737327595601</v>
      </c>
    </row>
    <row r="12">
      <c r="A12" t="str">
        <v>B.5</v>
      </c>
      <c r="B12" t="str">
        <v>Pekerjaan Kusen</v>
      </c>
      <c r="H12">
        <f>H97</f>
        <v>15453142.499999998</v>
      </c>
      <c r="I12">
        <f>H12/$H$18</f>
        <v>0.013631996206671593</v>
      </c>
    </row>
    <row r="13">
      <c r="A13" t="str">
        <v>C.</v>
      </c>
      <c r="B13" t="str">
        <v>PEKERJAAN UTILITAS</v>
      </c>
      <c r="I13">
        <f>SUM(I14:I15)</f>
        <v>0.06493937995295523</v>
      </c>
    </row>
    <row r="14">
      <c r="A14" t="str">
        <v>C.1</v>
      </c>
      <c r="B14" t="str">
        <v>Pekerjaan Plumbing</v>
      </c>
      <c r="H14">
        <f>H124</f>
        <v>70080460</v>
      </c>
      <c r="I14">
        <f>H14/$H$18</f>
        <v>0.06182150749478952</v>
      </c>
    </row>
    <row r="15">
      <c r="A15" t="str">
        <v>C.2</v>
      </c>
      <c r="B15" t="str">
        <v>Pekerjaan Elektrikal</v>
      </c>
      <c r="H15">
        <f>H136</f>
        <v>3534400</v>
      </c>
      <c r="I15">
        <f>H15/$H$18</f>
        <v>0.0031178724581657153</v>
      </c>
    </row>
    <row r="16">
      <c r="A16" t="str">
        <v>D.</v>
      </c>
      <c r="B16" t="str">
        <v>PEKERJAAN FINISHING</v>
      </c>
      <c r="H16">
        <f>H144</f>
        <v>6538503.25</v>
      </c>
      <c r="I16">
        <f>H16/$H$18</f>
        <v>0.0057679434135361075</v>
      </c>
    </row>
    <row r="18">
      <c r="G18" t="str">
        <v>Jumlah Biaya Pekerjaan Standar ( a ) … Rp.</v>
      </c>
      <c r="H18">
        <f>SUM(H4:H16)</f>
        <v>1133593515.265</v>
      </c>
      <c r="I18">
        <f>SUM(I4,I7,I13,I16)</f>
        <v>0.9999999999999999</v>
      </c>
    </row>
    <row r="19">
      <c r="G19" t="str">
        <v>PPN 10% ( b ) … Rp.</v>
      </c>
      <c r="H19">
        <f>0.1*H18</f>
        <v>113359351.52650002</v>
      </c>
    </row>
    <row r="20">
      <c r="G20" t="str">
        <v xml:space="preserve"> '( c ) = ( a ) + ( b ) … Rp.</v>
      </c>
      <c r="H20">
        <f>H18+H19</f>
        <v>1246952866.7915</v>
      </c>
    </row>
    <row r="21">
      <c r="G21" t="str">
        <v>Luas bangunan ( d ) … m2.</v>
      </c>
      <c r="H21">
        <v>70</v>
      </c>
    </row>
    <row r="22">
      <c r="G22" t="str">
        <v>Harga bangunan untuk pekerjaan standar /m2 ( e ) = ( c ) / ( d ) … Rp.</v>
      </c>
      <c r="H22">
        <f>H20/H21</f>
        <v>17813612.382735714</v>
      </c>
    </row>
    <row r="23">
      <c r="G23" t="str">
        <v>Ijin Mendirikan Bangunan /m2 ( f ) … Rp.</v>
      </c>
      <c r="H23">
        <f>'Isi Data'!E171</f>
        <v>15000</v>
      </c>
    </row>
    <row r="24">
      <c r="G24" t="str">
        <v>(e) + (f) Dibulatkan... Rp.</v>
      </c>
      <c r="H24">
        <f>ROUND(H22+H23,-4)</f>
        <v>17830000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34400</v>
      </c>
      <c r="G32">
        <f>E32*F32</f>
        <v>1135974</v>
      </c>
    </row>
    <row r="33">
      <c r="A33">
        <f>A32+1</f>
        <v>2</v>
      </c>
      <c r="B33" t="str">
        <v>Pas. Urugan pasir</v>
      </c>
      <c r="C33" t="str">
        <v>t. 10 cm</v>
      </c>
      <c r="D33" t="str">
        <v>m3</v>
      </c>
      <c r="E33">
        <f>'C-QTY'!G167</f>
        <v>3.885</v>
      </c>
      <c r="F33">
        <f>SUMIF(SNI!C$1:C$65536,'RAB - RumahC'!B$1:B$65536,SNI!L$1:L$65536)</f>
        <v>180500</v>
      </c>
      <c r="G33">
        <f>E33*F33</f>
        <v>701242.5</v>
      </c>
    </row>
    <row r="34">
      <c r="A34">
        <f>A33+1</f>
        <v>3</v>
      </c>
      <c r="B34" t="str">
        <v>Aanstamping batu kali</v>
      </c>
      <c r="C34" t="str">
        <v>t. 15 cm</v>
      </c>
      <c r="D34" t="str">
        <v>m3</v>
      </c>
      <c r="E34">
        <f>'C-QTY'!G168</f>
        <v>5.8275</v>
      </c>
      <c r="F34">
        <f>SUMIF(SNI!C$1:C$65536,'RAB - RumahC'!B$1:B$65536,SNI!L$1:L$65536)</f>
        <v>413200</v>
      </c>
      <c r="G34">
        <f>E34*F34</f>
        <v>2407923</v>
      </c>
    </row>
    <row r="35">
      <c r="A35">
        <f>A34+1</f>
        <v>4</v>
      </c>
      <c r="B35" t="str">
        <v>Pas. pondasi batu kali 1:4</v>
      </c>
      <c r="D35" t="str">
        <v>m3</v>
      </c>
      <c r="E35">
        <f>'C-QTY'!G169</f>
        <v>16.51125</v>
      </c>
      <c r="F35">
        <f>SUMIF(SNI!C$1:C$65536,'RAB - RumahC'!B$1:B$65536,SNI!L$1:L$65536)</f>
        <v>698700</v>
      </c>
      <c r="G35">
        <f>E35*F35</f>
        <v>11536410.375</v>
      </c>
      <c r="H35">
        <f>SUM(G32:G35)</f>
        <v>15781549.875</v>
      </c>
    </row>
    <row r="36">
      <c r="G36" t="str">
        <v>Jumlah A.1 .... Rp</v>
      </c>
      <c r="H36">
        <f>SUM(G32:G35)</f>
        <v>15781549.875</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269300</v>
      </c>
      <c r="G39">
        <f>E39*F39</f>
        <v>6974870.000000001</v>
      </c>
    </row>
    <row r="40">
      <c r="A40">
        <v>2</v>
      </c>
      <c r="B40" t="str">
        <v>Tulangan besi beton U-24</v>
      </c>
      <c r="D40" t="str">
        <v>kg</v>
      </c>
      <c r="E40">
        <f>'C-QTY'!D212+'C-QTY'!D213</f>
        <v>321.0722</v>
      </c>
      <c r="F40">
        <f>SUMIF(SNI!C$1:C$65536,'RAB - RumahC'!B$1:B$65536,SNI!L$1:L$65536)</f>
        <v>12600</v>
      </c>
      <c r="G40">
        <f>E40*F40</f>
        <v>4045509.72</v>
      </c>
    </row>
    <row r="41">
      <c r="A41">
        <v>3</v>
      </c>
      <c r="B41" t="str">
        <v>Beton K - 175</v>
      </c>
      <c r="C41" t="str">
        <v>uk. 15/20; Sitemix</v>
      </c>
      <c r="D41" t="str">
        <v>m3</v>
      </c>
      <c r="E41">
        <f>'C-QTY'!D208</f>
        <v>1.9425000000000001</v>
      </c>
      <c r="F41">
        <f>SUMIF(SNI!C$1:C$65536,'RAB - RumahC'!B$1:B$65536,SNI!L$1:L$65536)</f>
        <v>834600</v>
      </c>
      <c r="G41">
        <f>E41*F41</f>
        <v>1621210.5</v>
      </c>
      <c r="H41">
        <f>SUM(G39:G41)</f>
        <v>12641590.22</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46600</v>
      </c>
      <c r="G43">
        <f>E43*F43</f>
        <v>1859340</v>
      </c>
    </row>
    <row r="44">
      <c r="A44">
        <v>2</v>
      </c>
      <c r="B44" t="str">
        <v>Tulangan besi beton U-24</v>
      </c>
      <c r="D44" t="str">
        <v>kg</v>
      </c>
      <c r="E44">
        <f>'C-QTY'!F258+'C-QTY'!F260</f>
        <v>242.5968</v>
      </c>
      <c r="F44">
        <f>SUMIF(SNI!C$1:C$65536,'RAB - RumahC'!B$1:B$65536,SNI!L$1:L$65536)</f>
        <v>12600</v>
      </c>
      <c r="G44">
        <f>E44*F44</f>
        <v>3056719.68</v>
      </c>
    </row>
    <row r="45">
      <c r="A45">
        <v>3</v>
      </c>
      <c r="B45" t="str">
        <v>Beton K - 175</v>
      </c>
      <c r="C45" t="str">
        <v>uk. 15/15; Sitemix</v>
      </c>
      <c r="D45" t="str">
        <v>m3</v>
      </c>
      <c r="E45">
        <f>'C-QTY'!F254</f>
        <v>1.49625</v>
      </c>
      <c r="F45">
        <f>SUMIF(SNI!C$1:C$65536,'RAB - RumahC'!B$1:B$65536,SNI!L$1:L$65536)</f>
        <v>834600</v>
      </c>
      <c r="G45">
        <f>E45*F45</f>
        <v>1248770.25</v>
      </c>
      <c r="H45">
        <f>SUM(G43:G45)</f>
        <v>6164829.93</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46600</v>
      </c>
      <c r="G47">
        <f>E47*F47</f>
        <v>2710372.4999999995</v>
      </c>
    </row>
    <row r="48">
      <c r="A48">
        <v>2</v>
      </c>
      <c r="B48" t="str">
        <v>Tulangan besi beton U-24</v>
      </c>
      <c r="D48" t="str">
        <v>kg</v>
      </c>
      <c r="E48">
        <f>'C-QTY'!G303+'C-QTY'!G305</f>
        <v>462.23119999999994</v>
      </c>
      <c r="F48">
        <f>SUMIF(SNI!C$1:C$65536,'RAB - RumahC'!B$1:B$65536,SNI!L$1:L$65536)</f>
        <v>12600</v>
      </c>
      <c r="G48">
        <f>E48*F48</f>
        <v>5824113.119999999</v>
      </c>
    </row>
    <row r="49">
      <c r="A49">
        <v>3</v>
      </c>
      <c r="B49" t="str">
        <v>Beton K - 175</v>
      </c>
      <c r="C49" t="str">
        <v>uk. 15/15; Sitemix</v>
      </c>
      <c r="D49" t="str">
        <v>m3</v>
      </c>
      <c r="E49">
        <f>'C-QTY'!G299</f>
        <v>2.9081249999999996</v>
      </c>
      <c r="F49">
        <f>SUMIF(SNI!C$1:C$65536,'RAB - RumahC'!B$1:B$65536,SNI!L$1:L$65536)</f>
        <v>834600</v>
      </c>
      <c r="G49">
        <f>E49*F49</f>
        <v>2427121.1249999995</v>
      </c>
      <c r="H49">
        <f>SUM(G47:G49)</f>
        <v>10961606.745</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531500</v>
      </c>
      <c r="G51">
        <f>E51*F51</f>
        <v>2828908.75</v>
      </c>
    </row>
    <row r="52">
      <c r="A52">
        <v>2</v>
      </c>
      <c r="B52" t="str">
        <v>Tulangan besi beton U-24</v>
      </c>
      <c r="D52" t="str">
        <v>kg</v>
      </c>
      <c r="E52">
        <f>'C-QTY'!H351</f>
        <v>33.268950000000004</v>
      </c>
      <c r="F52">
        <f>SUMIF(SNI!C$1:C$65536,'RAB - RumahC'!B$1:B$65536,SNI!L$1:L$65536)</f>
        <v>12600</v>
      </c>
      <c r="G52">
        <f>E52*F52</f>
        <v>419188.7700000001</v>
      </c>
    </row>
    <row r="53">
      <c r="A53">
        <v>3</v>
      </c>
      <c r="B53" t="str">
        <v>Beton K - 175</v>
      </c>
      <c r="C53" t="str">
        <v>uk.15/15; Sitemix</v>
      </c>
      <c r="D53" t="str">
        <v>m3</v>
      </c>
      <c r="E53">
        <f>'C-QTY'!H345</f>
        <v>0.321</v>
      </c>
      <c r="F53">
        <f>SUMIF(SNI!C$1:C$65536,'RAB - RumahC'!B$1:B$65536,SNI!L$1:L$65536)</f>
        <v>834600</v>
      </c>
      <c r="G53">
        <f>E53*F53</f>
        <v>267906.60000000003</v>
      </c>
      <c r="H53">
        <f>SUM(G51:G53)</f>
        <v>3516004.12</v>
      </c>
    </row>
    <row r="54">
      <c r="G54">
        <f>E54*F54</f>
        <v>0</v>
      </c>
    </row>
    <row r="55">
      <c r="G55" t="str">
        <v>Jumlah A.2 .... Rp</v>
      </c>
      <c r="H55">
        <f>SUM(G39:G54)</f>
        <v>33284031.015000004</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180500</v>
      </c>
      <c r="G59">
        <f>E59*F59</f>
        <v>1372792.7500000002</v>
      </c>
    </row>
    <row r="60">
      <c r="A60">
        <v>2</v>
      </c>
      <c r="B60" t="str">
        <v>Pas. Lantai kerja beton tumbuk 1:3:5</v>
      </c>
      <c r="C60" t="str">
        <v>t. 5 cm</v>
      </c>
      <c r="D60" t="str">
        <v>m2</v>
      </c>
      <c r="E60">
        <f>'C-QTY'!AC16</f>
        <v>76.05499999999999</v>
      </c>
      <c r="F60">
        <f>SUMIF(SNI!C$1:C$65536,'RAB - RumahC'!B$1:B$65536,SNI!L$1:L$65536)</f>
        <v>53900</v>
      </c>
      <c r="G60">
        <f>E60*F60</f>
        <v>4099364.4999999995</v>
      </c>
    </row>
    <row r="61">
      <c r="A61">
        <v>3</v>
      </c>
      <c r="B61" t="str">
        <v>Pas. Lantai Keramik 300x300</v>
      </c>
      <c r="C61" t="str">
        <v>ex Masterina</v>
      </c>
      <c r="D61" t="str">
        <v>m2</v>
      </c>
      <c r="E61">
        <f>'C-QTY'!AD16+'C-QTY'!AE16</f>
        <v>76.05499999999999</v>
      </c>
      <c r="F61">
        <f>SUMIF(SNI!C$1:C$65536,'RAB - RumahC'!B$1:B$65536,SNI!L$1:L$65536)</f>
        <v>159100</v>
      </c>
      <c r="G61">
        <f>E61*F61</f>
        <v>12100350.499999998</v>
      </c>
    </row>
    <row r="62">
      <c r="A62">
        <v>4</v>
      </c>
      <c r="B62" t="str">
        <v>Pas. Rabat beton; finish acian</v>
      </c>
      <c r="C62" t="str">
        <v>Beton 1:3:5</v>
      </c>
      <c r="D62" t="str">
        <v>m2</v>
      </c>
      <c r="E62">
        <f>'C-QTY'!AD41+'C-QTY'!AD45</f>
        <v>9.145</v>
      </c>
      <c r="F62">
        <f>SUMIF(SNI!C$1:C$65536,'RAB - RumahC'!B$1:B$65536,SNI!L$1:L$65536)</f>
        <v>84400</v>
      </c>
      <c r="G62">
        <f>E62*F62</f>
        <v>771838</v>
      </c>
    </row>
    <row r="63">
      <c r="G63" t="str">
        <v>Jumlah B.1 .... Rp</v>
      </c>
      <c r="H63">
        <f>SUM(G59:G62)</f>
        <v>18344345.75</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5272700</v>
      </c>
      <c r="G65">
        <f>E65*F65</f>
        <v>896286500.3750001</v>
      </c>
    </row>
    <row r="66">
      <c r="A66">
        <v>2</v>
      </c>
      <c r="B66" t="str">
        <v>Pas. Plester acian; ad. 1:2</v>
      </c>
      <c r="C66" t="str">
        <v>t. 15 mm; tanpa acian; interior</v>
      </c>
      <c r="D66" t="str">
        <v>m2</v>
      </c>
      <c r="E66">
        <f>'C-QTY'!T16</f>
        <v>10.32</v>
      </c>
      <c r="F66">
        <f>SUMIF(SNI!C$1:C$65536,'RAB - RumahC'!B$1:B$65536,SNI!L$1:L$65536)</f>
        <v>42000</v>
      </c>
      <c r="G66">
        <f>E66*F66</f>
        <v>433440</v>
      </c>
    </row>
    <row r="67">
      <c r="A67">
        <v>3</v>
      </c>
      <c r="B67" t="str">
        <v>Pas. Plester acian; ad. 1:4</v>
      </c>
      <c r="C67" t="str">
        <v>t. 15 mm; tanpa acian; eksterior</v>
      </c>
      <c r="D67" t="str">
        <v>m2</v>
      </c>
      <c r="E67">
        <f>'C-QTY'!S16+'C-QTY'!U16</f>
        <v>326.215</v>
      </c>
      <c r="F67">
        <f>SUMIF(SNI!C$1:C$65536,'RAB - RumahC'!B$1:B$65536,SNI!L$1:L$65536)</f>
        <v>37500</v>
      </c>
      <c r="G67">
        <f>E67*F67</f>
        <v>12233062.499999998</v>
      </c>
    </row>
    <row r="68">
      <c r="G68" t="str">
        <v>Jumlah B.2 .... Rp</v>
      </c>
      <c r="H68">
        <f>SUM(G65:G67)</f>
        <v>908953002.8750001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111900</v>
      </c>
      <c r="G70">
        <f>E70*F70</f>
        <v>7379805</v>
      </c>
    </row>
    <row r="71">
      <c r="A71">
        <v>2</v>
      </c>
      <c r="B71" t="str">
        <v>Pas. Penutup Plafond Gypsumboard t. 9 mm</v>
      </c>
      <c r="D71" t="str">
        <v>m2</v>
      </c>
      <c r="E71">
        <f>E70</f>
        <v>65.95</v>
      </c>
      <c r="F71">
        <f>SUMIF(SNI!C$1:C$65536,'RAB - RumahC'!B$1:B$65536,SNI!L$1:L$65536)</f>
        <v>31700</v>
      </c>
      <c r="G71">
        <f>E71*F71</f>
        <v>2090615</v>
      </c>
    </row>
    <row r="72">
      <c r="G72" t="str">
        <v>Jumlah B.3 .... Rp</v>
      </c>
      <c r="H72">
        <f>SUM(G70:G71)</f>
        <v>9470420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9641200</v>
      </c>
      <c r="G74">
        <f>E74*F74</f>
        <v>13738710</v>
      </c>
    </row>
    <row r="75">
      <c r="A75">
        <v>2</v>
      </c>
      <c r="B75" t="str">
        <v>Rangka Atap kayu</v>
      </c>
      <c r="D75" t="str">
        <v>m2</v>
      </c>
      <c r="E75">
        <f>E76</f>
        <v>70</v>
      </c>
      <c r="F75">
        <f>SUMIF(SNI!C$1:C$65536,'RAB - RumahC'!B$1:B$65536,SNI!L$1:L$65536)</f>
        <v>394200</v>
      </c>
      <c r="G75">
        <f>E75*F75</f>
        <v>27594000</v>
      </c>
    </row>
    <row r="76">
      <c r="A76">
        <v>3</v>
      </c>
      <c r="B76" t="str">
        <v xml:space="preserve">Penutup atap Genteng Keramik </v>
      </c>
      <c r="C76" t="str">
        <v>ex Jatiwangi</v>
      </c>
      <c r="D76" t="str">
        <v>m2</v>
      </c>
      <c r="E76">
        <v>70</v>
      </c>
      <c r="F76">
        <f>SUMIF(SNI!C$1:C$65536,'RAB - RumahC'!B$1:B$65536,SNI!L$1:L$65536)</f>
        <v>80900</v>
      </c>
      <c r="G76">
        <f>E76*F76</f>
        <v>5663000</v>
      </c>
    </row>
    <row r="77">
      <c r="A77">
        <v>4</v>
      </c>
      <c r="B77" t="str">
        <v>Bubungan Genteng Keramik</v>
      </c>
      <c r="C77" t="str">
        <v>ex Jatiwangi</v>
      </c>
      <c r="D77" t="str">
        <v>m'</v>
      </c>
      <c r="E77">
        <v>9.5</v>
      </c>
      <c r="F77">
        <f>SUMIF(SNI!C$1:C$65536,'RAB - RumahC'!B$1:B$65536,SNI!L$1:L$65536)</f>
        <v>85900</v>
      </c>
      <c r="G77">
        <f>E77*F77</f>
        <v>816050</v>
      </c>
    </row>
    <row r="78">
      <c r="A78">
        <v>5</v>
      </c>
      <c r="B78" t="str">
        <v>Pas. Lisplank Kayu 3/20 mm</v>
      </c>
      <c r="C78" t="str">
        <v>Kayu kamper medan</v>
      </c>
      <c r="D78" t="str">
        <v>m'</v>
      </c>
      <c r="E78">
        <f>7.5+4.25*4</f>
        <v>24.5</v>
      </c>
      <c r="F78">
        <f>SUMIF(SNI!C$1:C$65536,'RAB - RumahC'!B$1:B$65536,SNI!L$1:L$65536)</f>
        <v>101400</v>
      </c>
      <c r="G78">
        <f>E78*F78</f>
        <v>2484300</v>
      </c>
    </row>
    <row r="79">
      <c r="A79">
        <v>6</v>
      </c>
      <c r="B79" t="str">
        <v>Pas. Fleshing seng plat</v>
      </c>
      <c r="C79" t="str">
        <v>Seng bjls 35</v>
      </c>
      <c r="D79" t="str">
        <v>m'</v>
      </c>
      <c r="E79">
        <f>8.5*2+(4.75*4)</f>
        <v>36</v>
      </c>
      <c r="F79">
        <f>SUMIF(SNI!C$1:C$65536,'RAB - RumahC'!B$1:B$65536,SNI!L$1:L$65536)</f>
        <v>51600</v>
      </c>
      <c r="G79">
        <f>E79*F79</f>
        <v>1857600</v>
      </c>
    </row>
    <row r="80">
      <c r="G80" t="str">
        <v>Jumlah B.4 .... Rp</v>
      </c>
      <c r="H80">
        <f>SUM(G74:G79)</f>
        <v>52153660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7464600</v>
      </c>
      <c r="G82">
        <f>E82*F82</f>
        <v>4299609.6</v>
      </c>
    </row>
    <row r="83">
      <c r="A83">
        <v>2</v>
      </c>
      <c r="B83" t="str">
        <v>Pintu panel kayu KW.III; 82 x 206 cm; R. Tamu</v>
      </c>
      <c r="C83" t="str">
        <v>Kayu Kamper Singkil</v>
      </c>
      <c r="D83" t="str">
        <v>m2</v>
      </c>
      <c r="E83">
        <f>'C-QTY'!E121</f>
        <v>1.4626</v>
      </c>
      <c r="F83">
        <f>SNI!L757</f>
        <v>456000</v>
      </c>
      <c r="G83">
        <f>E83*F83</f>
        <v>666945.6</v>
      </c>
    </row>
    <row r="84">
      <c r="A84">
        <v>3</v>
      </c>
      <c r="B84" t="str">
        <v>Pintu doble triplex 82 x 206 cm; K. Tidur</v>
      </c>
      <c r="C84" t="str">
        <v>Rangka Kayu Kamper Singkil</v>
      </c>
      <c r="D84" t="str">
        <v>m2</v>
      </c>
      <c r="E84">
        <f>'C-QTY'!E122</f>
        <v>5.005800000000001</v>
      </c>
      <c r="F84">
        <f>SNI!L775</f>
        <v>431500</v>
      </c>
      <c r="G84">
        <f>E84*F84</f>
        <v>2160002.7</v>
      </c>
    </row>
    <row r="85">
      <c r="A85">
        <v>4</v>
      </c>
      <c r="B85" t="str">
        <v>Pintu doble triplex 72 x 206 cm; K. Mandi</v>
      </c>
      <c r="C85" t="str">
        <v>Rangka Kayu Kamper Singkil</v>
      </c>
      <c r="D85" t="str">
        <v>m2</v>
      </c>
      <c r="E85">
        <f>'C-QTY'!E123</f>
        <v>2.9252</v>
      </c>
      <c r="F85">
        <f>F84</f>
        <v>431500</v>
      </c>
      <c r="G85">
        <f>E85*F85</f>
        <v>1262223.7999999998</v>
      </c>
    </row>
    <row r="86">
      <c r="A86">
        <v>5</v>
      </c>
      <c r="B86" t="str">
        <v>Jendela kaca kayu KW.III; 52 x 122 cm</v>
      </c>
      <c r="C86" t="str">
        <v>Rangka Kayu Kamper Singkil</v>
      </c>
      <c r="D86" t="str">
        <v>m2</v>
      </c>
      <c r="E86">
        <f>'C-QTY'!E125</f>
        <v>0.6344</v>
      </c>
      <c r="F86">
        <f>SNI!L733</f>
        <v>285200</v>
      </c>
      <c r="G86">
        <f>E86*F86</f>
        <v>180930.87999999998</v>
      </c>
    </row>
    <row r="87">
      <c r="A87">
        <v>6</v>
      </c>
      <c r="B87" t="str">
        <v>Jendela kaca kayu KW.III; 52 x 182 cm</v>
      </c>
      <c r="C87" t="str">
        <v>Rangka Kayu Kamper Singkil</v>
      </c>
      <c r="D87" t="str">
        <v>m2</v>
      </c>
      <c r="E87">
        <f>'C-QTY'!E126</f>
        <v>5.678400000000001</v>
      </c>
      <c r="F87">
        <f>F86</f>
        <v>285200</v>
      </c>
      <c r="G87">
        <f>E87*F87</f>
        <v>1619479.6800000002</v>
      </c>
    </row>
    <row r="88">
      <c r="A88">
        <v>7</v>
      </c>
      <c r="B88" t="str">
        <v>Pas. Kaca polos 3 mm</v>
      </c>
      <c r="C88" t="str">
        <v>ex Asahi</v>
      </c>
      <c r="D88" t="str">
        <v>m2</v>
      </c>
      <c r="E88">
        <f>'C-QTY'!E129</f>
        <v>2.8944</v>
      </c>
      <c r="F88">
        <f>SUMIF(SNI!C$1:C$65536,'RAB - RumahC'!B$1:B$65536,SNI!L$1:L$65536)</f>
        <v>89800</v>
      </c>
      <c r="G88">
        <f>E88*F88</f>
        <v>259917.12</v>
      </c>
    </row>
    <row r="89">
      <c r="A89">
        <v>8</v>
      </c>
      <c r="B89" t="str">
        <v xml:space="preserve">Cat kayu synthetic </v>
      </c>
      <c r="C89" t="str">
        <v>ex Seiv</v>
      </c>
      <c r="D89" t="str">
        <v>m2</v>
      </c>
      <c r="E89">
        <f>'C-QTY'!E129</f>
        <v>2.8944</v>
      </c>
      <c r="F89">
        <f>SUMIF(SNI!C$1:C$65536,'RAB - RumahC'!B$1:B$65536,SNI!L$1:L$65536)</f>
        <v>42300</v>
      </c>
      <c r="G89">
        <f>E89*F89</f>
        <v>122433.12000000001</v>
      </c>
    </row>
    <row r="90">
      <c r="A90">
        <v>9</v>
      </c>
      <c r="B90" t="str">
        <v xml:space="preserve">Cat besi synthetic </v>
      </c>
      <c r="C90" t="str">
        <v>ex Seiv</v>
      </c>
      <c r="D90" t="str">
        <v>m2</v>
      </c>
      <c r="E90">
        <f>'C-QTY'!E130</f>
        <v>24</v>
      </c>
      <c r="F90">
        <f>SUMIF(SNI!C$1:C$65536,'RAB - RumahC'!B$1:B$65536,SNI!L$1:L$65536)</f>
        <v>42300</v>
      </c>
      <c r="G90">
        <f>E90*F90</f>
        <v>1015200</v>
      </c>
    </row>
    <row r="91">
      <c r="A91">
        <v>10</v>
      </c>
      <c r="B91" t="str">
        <v>Pas. Engsel pintu</v>
      </c>
      <c r="C91" t="str">
        <v>ex Solid</v>
      </c>
      <c r="D91" t="str">
        <v>bh</v>
      </c>
      <c r="E91">
        <f>'C-QTY'!E130</f>
        <v>24</v>
      </c>
      <c r="F91">
        <f>SUMIF(SNI!C$1:C$65536,'RAB - RumahC'!B$1:B$65536,SNI!L$1:L$65536)</f>
        <v>24900</v>
      </c>
      <c r="G91">
        <f>E91*F91</f>
        <v>597600</v>
      </c>
    </row>
    <row r="92">
      <c r="A92">
        <v>11</v>
      </c>
      <c r="B92" t="str">
        <v>Pas. Engsel jendela</v>
      </c>
      <c r="C92" t="str">
        <v>ex Solid</v>
      </c>
      <c r="D92" t="str">
        <v>bh</v>
      </c>
      <c r="E92">
        <f>'C-QTY'!E131</f>
        <v>14</v>
      </c>
      <c r="F92">
        <f>SUMIF(SNI!C$1:C$65536,'RAB - RumahC'!B$1:B$65536,SNI!L$1:L$65536)</f>
        <v>23200</v>
      </c>
      <c r="G92">
        <f>E92*F92</f>
        <v>324800</v>
      </c>
    </row>
    <row r="93">
      <c r="A93">
        <v>12</v>
      </c>
      <c r="B93" t="str">
        <v>Pas. Kunci pintu ruangan</v>
      </c>
      <c r="C93" t="str">
        <v>ex Solid</v>
      </c>
      <c r="D93" t="str">
        <v>bh</v>
      </c>
      <c r="E93">
        <f>'C-QTY'!E132+'C-QTY'!E133</f>
        <v>6</v>
      </c>
      <c r="F93">
        <f>SUMIF(SNI!C$1:C$65536,'RAB - RumahC'!B$1:B$65536,SNI!L$1:L$65536)</f>
        <v>311900</v>
      </c>
      <c r="G93">
        <f>E93*F93</f>
        <v>1871400</v>
      </c>
    </row>
    <row r="94">
      <c r="A94">
        <v>13</v>
      </c>
      <c r="B94" t="str">
        <v>Pas. Kunci knob pintu kamar mandi</v>
      </c>
      <c r="C94" t="str">
        <v>ex Alpha</v>
      </c>
      <c r="D94" t="str">
        <v>bh</v>
      </c>
      <c r="E94">
        <f>'C-QTY'!E134</f>
        <v>2</v>
      </c>
      <c r="F94">
        <f>SUMIF(SNI!C$1:C$65536,'RAB - RumahC'!B$1:B$65536,SNI!L$1:L$65536)</f>
        <v>318600</v>
      </c>
      <c r="G94">
        <f>E94*F94</f>
        <v>637200</v>
      </c>
    </row>
    <row r="95">
      <c r="A95">
        <v>14</v>
      </c>
      <c r="B95" t="str">
        <v>Pas. Kait angin jendela</v>
      </c>
      <c r="C95" t="str">
        <v>ex Solid</v>
      </c>
      <c r="D95" t="str">
        <v>bh</v>
      </c>
      <c r="E95">
        <f>'C-QTY'!E136</f>
        <v>7</v>
      </c>
      <c r="F95">
        <f>SUMIF(SNI!C$1:C$65536,'RAB - RumahC'!B$1:B$65536,SNI!L$1:L$65536)</f>
        <v>12200</v>
      </c>
      <c r="G95">
        <f>E95*F95</f>
        <v>85400</v>
      </c>
    </row>
    <row r="96">
      <c r="A96">
        <v>15</v>
      </c>
      <c r="B96" t="str">
        <v>Pas. Grendel Jendela</v>
      </c>
      <c r="C96" t="str">
        <v>ex Solid</v>
      </c>
      <c r="D96" t="str">
        <v>bh</v>
      </c>
      <c r="E96">
        <f>'C-QTY'!E137</f>
        <v>14</v>
      </c>
      <c r="F96">
        <f>SUMIF(SNI!C$1:C$65536,'RAB - RumahC'!B$1:B$65536,SNI!L$1:L$65536)</f>
        <v>25000</v>
      </c>
      <c r="G96">
        <f>E96*F96</f>
        <v>350000</v>
      </c>
    </row>
    <row r="97">
      <c r="G97" t="str">
        <v>Jumlah B.5 .... Rp</v>
      </c>
      <c r="H97">
        <f>SUM(G82:G96)</f>
        <v>15453142.499999998</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220200</v>
      </c>
      <c r="G101">
        <f>E101*F101</f>
        <v>220200</v>
      </c>
    </row>
    <row r="102">
      <c r="A102">
        <v>2</v>
      </c>
      <c r="B102" t="str">
        <v>Pas. Bak Air Fiberglass</v>
      </c>
      <c r="D102" t="str">
        <v>bh</v>
      </c>
      <c r="E102">
        <v>1</v>
      </c>
      <c r="F102">
        <f>SUMIF(SNI!C$1:C$65536,'RAB - RumahC'!B$1:B$65536,SNI!L$1:L$65536)</f>
        <v>614200</v>
      </c>
      <c r="G102">
        <f>E102*F102</f>
        <v>614200</v>
      </c>
    </row>
    <row r="103">
      <c r="A103">
        <v>3</v>
      </c>
      <c r="B103" t="str">
        <v>Pas. Kran dinding</v>
      </c>
      <c r="C103" t="str">
        <v>TOTO T 23 B 13</v>
      </c>
      <c r="D103" t="str">
        <v>bh</v>
      </c>
      <c r="E103">
        <v>2</v>
      </c>
      <c r="F103">
        <f>SUMIF(SNI!C$1:C$65536,'RAB - RumahC'!B$1:B$65536,SNI!L$1:L$65536)</f>
        <v>133300</v>
      </c>
      <c r="G103">
        <f>E103*F103</f>
        <v>266600</v>
      </c>
    </row>
    <row r="104">
      <c r="A104">
        <v>4</v>
      </c>
      <c r="B104" t="str">
        <v>Pas. Floor Drain</v>
      </c>
      <c r="C104" t="str">
        <v>TOTO TX 1 BN</v>
      </c>
      <c r="D104" t="str">
        <v>bh</v>
      </c>
      <c r="E104">
        <v>1</v>
      </c>
      <c r="F104">
        <f>SUMIF(SNI!C$1:C$65536,'RAB - RumahC'!B$1:B$65536,SNI!L$1:L$65536)</f>
        <v>107500</v>
      </c>
      <c r="G104">
        <f>E104*F104</f>
        <v>107500</v>
      </c>
    </row>
    <row r="105">
      <c r="A105" t="str">
        <v>C.1.2</v>
      </c>
      <c r="B105" t="str">
        <v>Pekerjaan Sumur Dalam</v>
      </c>
    </row>
    <row r="106">
      <c r="A106">
        <v>1</v>
      </c>
      <c r="B106" t="str">
        <v xml:space="preserve">Pipa PVC dia. 3" </v>
      </c>
      <c r="C106" t="str">
        <v>Casing; Wavin</v>
      </c>
      <c r="D106" t="str">
        <v>m'</v>
      </c>
      <c r="E106">
        <v>24</v>
      </c>
      <c r="F106">
        <f>SUMIF(SNI!C$1:C$65536,'RAB - RumahC'!B$1:B$65536,SNI!L$1:L$65536)</f>
        <v>66800</v>
      </c>
      <c r="G106">
        <f>E106*F106</f>
        <v>1603200</v>
      </c>
    </row>
    <row r="107">
      <c r="A107">
        <v>2</v>
      </c>
      <c r="B107" t="str">
        <v xml:space="preserve">Pipa PVC dia. 2" </v>
      </c>
      <c r="C107" t="str">
        <v>Casing; Wavin</v>
      </c>
      <c r="D107" t="str">
        <v>m'</v>
      </c>
      <c r="E107">
        <v>6</v>
      </c>
      <c r="F107">
        <f>SUMIF(SNI!C$1:C$65536,'RAB - RumahC'!B$1:B$65536,SNI!L$1:L$65536)</f>
        <v>35600</v>
      </c>
      <c r="G107">
        <f>E107*F107</f>
        <v>213600</v>
      </c>
    </row>
    <row r="108">
      <c r="A108">
        <v>3</v>
      </c>
      <c r="B108" t="str">
        <v xml:space="preserve">Pipa PVC dia. 3/4" </v>
      </c>
      <c r="C108" t="str">
        <v>ex Wavin</v>
      </c>
      <c r="D108" t="str">
        <v>m'</v>
      </c>
      <c r="E108">
        <v>24</v>
      </c>
      <c r="F108">
        <f>SUMIF(SNI!C$1:C$65536,'RAB - RumahC'!B$1:B$65536,SNI!L$1:L$65536)</f>
        <v>17600</v>
      </c>
      <c r="G108">
        <f>E108*F108</f>
        <v>422400</v>
      </c>
    </row>
    <row r="109">
      <c r="A109">
        <v>4</v>
      </c>
      <c r="B109" t="str">
        <v>Klep diameter 3/4"</v>
      </c>
      <c r="D109" t="str">
        <v>bh</v>
      </c>
      <c r="E109">
        <v>1</v>
      </c>
      <c r="F109">
        <f>SUMIF(SNI!C$1:C$65536,'RAB - RumahC'!B$1:B$65536,SNI!L$1:L$65536)</f>
        <v>65400</v>
      </c>
      <c r="G109">
        <f>E109*F109</f>
        <v>65400</v>
      </c>
    </row>
    <row r="110">
      <c r="A110">
        <v>5</v>
      </c>
      <c r="B110" t="str">
        <v>Stop kran dia. 1"</v>
      </c>
      <c r="D110" t="str">
        <v>bh</v>
      </c>
      <c r="E110">
        <v>1</v>
      </c>
      <c r="F110">
        <f>SUMIF(SNI!C$1:C$65536,'RAB - RumahC'!B$1:B$65536,SNI!L$1:L$65536)</f>
        <v>72500</v>
      </c>
      <c r="G110">
        <f>E110*F110</f>
        <v>72500</v>
      </c>
    </row>
    <row r="111">
      <c r="A111">
        <v>6</v>
      </c>
      <c r="B111" t="str">
        <v>Mesin pompa kap.150 watt</v>
      </c>
      <c r="C111" t="str">
        <v>Groundfos</v>
      </c>
      <c r="D111" t="str">
        <v>bh</v>
      </c>
      <c r="E111">
        <v>1</v>
      </c>
      <c r="F111">
        <f>SUMIF(SNI!C$1:C$65536,'RAB - RumahC'!B$1:B$65536,SNI!L$1:L$65536)</f>
        <v>1369400</v>
      </c>
      <c r="G111">
        <f>E111*F111</f>
        <v>1369400</v>
      </c>
    </row>
    <row r="112">
      <c r="A112" t="str">
        <v>C.1.3</v>
      </c>
      <c r="B112" t="str">
        <v>Instalasi Air Bersih</v>
      </c>
    </row>
    <row r="113">
      <c r="A113">
        <v>1</v>
      </c>
      <c r="B113" t="str">
        <v xml:space="preserve">Pipa PVC dia. 1" </v>
      </c>
      <c r="C113" t="str">
        <v>ex Wavin</v>
      </c>
      <c r="D113" t="str">
        <v>m'</v>
      </c>
      <c r="E113">
        <v>15.4</v>
      </c>
      <c r="F113">
        <f>SUMIF(SNI!C$1:C$65536,'RAB - RumahC'!B$1:B$65536,SNI!L$1:L$65536)</f>
        <v>23000</v>
      </c>
      <c r="G113">
        <f>E113*F113</f>
        <v>354200</v>
      </c>
    </row>
    <row r="114">
      <c r="A114">
        <v>2</v>
      </c>
      <c r="B114" t="str">
        <v xml:space="preserve">Pipa PVC dia. 3/4" </v>
      </c>
      <c r="C114" t="str">
        <v>ex Wavin</v>
      </c>
      <c r="D114" t="str">
        <v>m'</v>
      </c>
      <c r="E114">
        <v>13.2</v>
      </c>
      <c r="F114">
        <f>SUMIF(SNI!C$1:C$65536,'RAB - RumahC'!B$1:B$65536,SNI!L$1:L$65536)</f>
        <v>17600</v>
      </c>
      <c r="G114">
        <f>E114*F114</f>
        <v>232320</v>
      </c>
    </row>
    <row r="115">
      <c r="A115">
        <v>3</v>
      </c>
      <c r="B115" t="str">
        <v xml:space="preserve">Pipa PVC dia. 1/2" </v>
      </c>
      <c r="C115" t="str">
        <v>ex Wavin</v>
      </c>
      <c r="D115" t="str">
        <v>m'</v>
      </c>
      <c r="E115">
        <v>15.4</v>
      </c>
      <c r="F115">
        <f>SUMIF(SNI!C$1:C$65536,'RAB - RumahC'!B$1:B$65536,SNI!L$1:L$65536)</f>
        <v>15500</v>
      </c>
      <c r="G115">
        <f>E115*F115</f>
        <v>238700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95300</v>
      </c>
      <c r="G117">
        <f>E117*F117</f>
        <v>628980</v>
      </c>
    </row>
    <row r="118">
      <c r="A118">
        <v>2</v>
      </c>
      <c r="B118" t="str">
        <v xml:space="preserve">Pipa PVC dia. 3" </v>
      </c>
      <c r="C118" t="str">
        <v>ex Wavin</v>
      </c>
      <c r="D118" t="str">
        <v>m'</v>
      </c>
      <c r="E118">
        <v>11</v>
      </c>
      <c r="F118">
        <f>SUMIF(SNI!C$1:C$65536,'RAB - RumahC'!B$1:B$65536,SNI!L$1:L$65536)</f>
        <v>66800</v>
      </c>
      <c r="G118">
        <f>E118*F118</f>
        <v>734800</v>
      </c>
    </row>
    <row r="119">
      <c r="A119">
        <v>3</v>
      </c>
      <c r="B119" t="str">
        <v xml:space="preserve">Pipa PVC dia. 2" </v>
      </c>
      <c r="C119" t="str">
        <v>ex Wavin</v>
      </c>
      <c r="D119" t="str">
        <v>m'</v>
      </c>
      <c r="E119">
        <v>6.6</v>
      </c>
      <c r="F119">
        <f>SUMIF(SNI!C$1:C$65536,'RAB - RumahC'!B$1:B$65536,SNI!L$1:L$65536)</f>
        <v>35600</v>
      </c>
      <c r="G119">
        <f>E119*F119</f>
        <v>234960</v>
      </c>
    </row>
    <row r="120">
      <c r="A120">
        <v>4</v>
      </c>
      <c r="B120" t="str">
        <v xml:space="preserve">Pipa PVC dia. 1" </v>
      </c>
      <c r="C120" t="str">
        <v>ex Wavin</v>
      </c>
      <c r="D120" t="str">
        <v>m'</v>
      </c>
      <c r="E120">
        <v>4.4</v>
      </c>
      <c r="F120">
        <f>SUMIF(SNI!C$1:C$65536,'RAB - RumahC'!B$1:B$65536,SNI!L$1:L$65536)</f>
        <v>23000</v>
      </c>
      <c r="G120">
        <f>E120*F120</f>
        <v>101200.00000000001</v>
      </c>
    </row>
    <row r="121">
      <c r="A121" t="str">
        <v>C.1.5</v>
      </c>
      <c r="B121" t="str">
        <v>Pekerjaan Septictank</v>
      </c>
    </row>
    <row r="122">
      <c r="A122">
        <v>1</v>
      </c>
      <c r="B122" t="str">
        <v xml:space="preserve">Septictank Pas. Bata kap. 3,00 m3 + Rembesan </v>
      </c>
      <c r="D122" t="str">
        <v>unit</v>
      </c>
      <c r="E122">
        <v>1</v>
      </c>
      <c r="F122">
        <f>SUMIF(SNI!C$1:C$65536,'RAB - RumahC'!B$1:B$65536,SNI!L$1:L$65536)</f>
        <v>62600300</v>
      </c>
      <c r="G122">
        <f>E122*F122</f>
        <v>62600300</v>
      </c>
    </row>
    <row r="124">
      <c r="G124" t="str">
        <v>Jumlah C.1 .... Rp</v>
      </c>
      <c r="H124">
        <f>SUM(G100:G123)</f>
        <v>70080460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858000</v>
      </c>
      <c r="G127">
        <f>E127*F127</f>
        <v>858000</v>
      </c>
    </row>
    <row r="128">
      <c r="A128" t="str">
        <v>C.2</v>
      </c>
      <c r="B128" t="str">
        <v>Instalasi</v>
      </c>
    </row>
    <row r="129">
      <c r="A129">
        <v>1</v>
      </c>
      <c r="B129" t="str">
        <v>Pas. Instalasi stop kontak</v>
      </c>
      <c r="C129" t="str">
        <v>Supreme NYM 3 x 2.5 mm</v>
      </c>
      <c r="D129" t="str">
        <v>ttk</v>
      </c>
      <c r="E129">
        <v>4</v>
      </c>
      <c r="F129">
        <f>SUMIF(SNI!C$1:C$65536,'RAB - RumahC'!B$1:B$65536,SNI!L$1:L$65536)</f>
        <v>150800</v>
      </c>
      <c r="G129">
        <f>E129*F129</f>
        <v>603200</v>
      </c>
    </row>
    <row r="130">
      <c r="A130">
        <v>2</v>
      </c>
      <c r="B130" t="str">
        <v>Pas. Instalasi lampu</v>
      </c>
      <c r="C130" t="str">
        <v>Supreme NYM 2 x 1.5 mm</v>
      </c>
      <c r="D130" t="str">
        <v>ttk</v>
      </c>
      <c r="E130">
        <v>8</v>
      </c>
      <c r="F130">
        <f>SUMIF(SNI!C$1:C$65536,'RAB - RumahC'!B$1:B$65536,SNI!L$1:L$65536)</f>
        <v>117800</v>
      </c>
      <c r="G130">
        <f>E130*F130</f>
        <v>942400</v>
      </c>
    </row>
    <row r="131">
      <c r="A131" t="str">
        <v>C.3</v>
      </c>
      <c r="B131" t="str">
        <v>Armature</v>
      </c>
    </row>
    <row r="132">
      <c r="A132">
        <v>1</v>
      </c>
      <c r="B132" t="str">
        <v>Pas. Saklar engkel</v>
      </c>
      <c r="D132" t="str">
        <v>bh</v>
      </c>
      <c r="E132">
        <v>4</v>
      </c>
      <c r="F132">
        <f>SUMIF(SNI!C$1:C$65536,'RAB - RumahC'!B$1:B$65536,SNI!L$1:L$65536)</f>
        <v>34100</v>
      </c>
      <c r="G132">
        <f>E132*F132</f>
        <v>136400</v>
      </c>
    </row>
    <row r="133">
      <c r="A133">
        <v>2</v>
      </c>
      <c r="B133" t="str">
        <v>Pas. Saklar doble</v>
      </c>
      <c r="D133" t="str">
        <v>bh</v>
      </c>
      <c r="E133">
        <v>2</v>
      </c>
      <c r="F133">
        <f>SUMIF(SNI!C$1:C$65536,'RAB - RumahC'!B$1:B$65536,SNI!L$1:L$65536)</f>
        <v>38400</v>
      </c>
      <c r="G133">
        <f>E133*F133</f>
        <v>76800</v>
      </c>
    </row>
    <row r="134">
      <c r="A134">
        <v>3</v>
      </c>
      <c r="B134" t="str">
        <v>Pas. Stop kontak</v>
      </c>
      <c r="D134" t="str">
        <v>bh</v>
      </c>
      <c r="E134">
        <f>E129</f>
        <v>4</v>
      </c>
      <c r="F134">
        <f>SUMIF(SNI!C$1:C$65536,'RAB - RumahC'!B$1:B$65536,SNI!L$1:L$65536)</f>
        <v>31400</v>
      </c>
      <c r="G134">
        <f>E134*F134</f>
        <v>125600</v>
      </c>
    </row>
    <row r="135">
      <c r="A135">
        <v>4</v>
      </c>
      <c r="B135" t="str">
        <v>Pas. Fitting plafond + Lampu SL</v>
      </c>
      <c r="D135" t="str">
        <v>bh</v>
      </c>
      <c r="E135">
        <f>E130</f>
        <v>8</v>
      </c>
      <c r="F135">
        <f>SUMIF(SNI!C$1:C$65536,'RAB - RumahC'!B$1:B$65536,SNI!L$1:L$65536)</f>
        <v>99000</v>
      </c>
      <c r="G135">
        <f>E135*F135</f>
        <v>792000</v>
      </c>
    </row>
    <row r="136">
      <c r="G136" t="str">
        <v>Jumlah C.2 .... Rp</v>
      </c>
      <c r="H136">
        <f>SUM(G127:G135)</f>
        <v>3534400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13900</v>
      </c>
      <c r="G138">
        <f>E138*F138</f>
        <v>2545854.5</v>
      </c>
    </row>
    <row r="139">
      <c r="A139">
        <v>2</v>
      </c>
      <c r="B139" t="str">
        <v>Cat dinding luar weathershiled KW.II</v>
      </c>
      <c r="C139" t="str">
        <v>ex Vinilex</v>
      </c>
      <c r="D139" t="str">
        <v>m2</v>
      </c>
      <c r="E139">
        <f>'C-QTY'!Y16</f>
        <v>153.38</v>
      </c>
      <c r="F139">
        <f>SUMIF(SNI!C$1:C$65536,'RAB - RumahC'!B$1:B$65536,SNI!L$1:L$65536)</f>
        <v>13900</v>
      </c>
      <c r="G139">
        <f>E139*F139</f>
        <v>2131982</v>
      </c>
    </row>
    <row r="140">
      <c r="A140">
        <v>3</v>
      </c>
      <c r="B140" t="str">
        <v>Cat plafond acrylic emulsion KW.II</v>
      </c>
      <c r="C140" t="str">
        <v>ex Vinilex</v>
      </c>
      <c r="D140" t="str">
        <v>m2</v>
      </c>
      <c r="E140">
        <f>E71</f>
        <v>65.95</v>
      </c>
      <c r="F140">
        <f>SUMIF(SNI!C$1:C$65536,'RAB - RumahC'!B$1:B$65536,SNI!L$1:L$65536)</f>
        <v>13900</v>
      </c>
      <c r="G140">
        <f>E140*F140</f>
        <v>916705</v>
      </c>
    </row>
    <row r="141">
      <c r="A141">
        <v>4</v>
      </c>
      <c r="B141" t="str">
        <v xml:space="preserve">Cat kayu synthetic </v>
      </c>
      <c r="C141" t="str">
        <v>Seiv</v>
      </c>
      <c r="D141" t="str">
        <v>m2</v>
      </c>
      <c r="E141">
        <f>E79*0.5</f>
        <v>18</v>
      </c>
      <c r="F141">
        <f>SUMIF(SNI!C$1:C$65536,'RAB - RumahC'!B$1:B$65536,SNI!L$1:L$65536)</f>
        <v>42300</v>
      </c>
      <c r="G141">
        <f>E141*F141</f>
        <v>761400</v>
      </c>
    </row>
    <row r="142">
      <c r="A142">
        <v>5</v>
      </c>
      <c r="B142" t="str">
        <v>Pas. Acian PC</v>
      </c>
      <c r="D142" t="str">
        <v>m2</v>
      </c>
      <c r="E142">
        <f>'C-QTY'!H346</f>
        <v>5.3225</v>
      </c>
      <c r="F142">
        <f>SUMIF(SNI!C$1:C$65536,'RAB - RumahC'!B$1:B$65536,SNI!L$1:L$65536)</f>
        <v>20400</v>
      </c>
      <c r="G142">
        <f>E142*F142</f>
        <v>108579</v>
      </c>
    </row>
    <row r="143">
      <c r="A143">
        <v>6</v>
      </c>
      <c r="B143" t="str">
        <v>Cat plafond acrylic emulsion KW.II</v>
      </c>
      <c r="C143" t="str">
        <v>ex Vinilex</v>
      </c>
      <c r="D143" t="str">
        <v>m2</v>
      </c>
      <c r="E143">
        <f>E142</f>
        <v>5.3225</v>
      </c>
      <c r="F143">
        <f>SUMIF(SNI!C$1:C$65536,'RAB - RumahC'!B$1:B$65536,SNI!L$1:L$65536)</f>
        <v>13900</v>
      </c>
      <c r="G143">
        <f>E143*F143</f>
        <v>73982.75</v>
      </c>
    </row>
    <row r="144">
      <c r="G144" t="str">
        <v>Jumlah D. .... Rp</v>
      </c>
      <c r="H144">
        <f>SUM(G138:G143)</f>
        <v>6538503.25</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A7:A8"/>
    <mergeCell ref="B7:B8"/>
    <mergeCell ref="C25:D25"/>
    <mergeCell ref="C26:D28"/>
    <mergeCell ref="C7:D7"/>
    <mergeCell ref="E7:E8"/>
    <mergeCell ref="C21:D21"/>
    <mergeCell ref="C11:D11"/>
    <mergeCell ref="C12:D12"/>
    <mergeCell ref="C13:D13"/>
    <mergeCell ref="E17:E21"/>
    <mergeCell ref="C18:D18"/>
    <mergeCell ref="C19:D19"/>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9160000</v>
      </c>
    </row>
    <row r="7">
      <c r="G7" t="str">
        <v>Jumlah Biaya Konstruksi ( a ) … Rp.</v>
      </c>
      <c r="H7">
        <f>SUM(H5:H5)</f>
        <v>9160000</v>
      </c>
    </row>
    <row r="8">
      <c r="G8" t="str">
        <v>Harga pagar / m … Rp.</v>
      </c>
      <c r="H8">
        <f>H7/H28</f>
        <v>9160000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12980000</v>
      </c>
    </row>
    <row r="37">
      <c r="G37" t="str">
        <v>Jumlah Biaya Konstruksi ( a ) … Rp.</v>
      </c>
      <c r="H37">
        <f>SUM(H35:H35)</f>
        <v>12980000</v>
      </c>
    </row>
    <row r="38">
      <c r="G38" t="str">
        <v>Harga pagar / m … Rp.</v>
      </c>
      <c r="H38">
        <f>H37/H58</f>
        <v>12980000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15650000</v>
      </c>
    </row>
    <row r="67">
      <c r="G67" t="str">
        <v>Jumlah Biaya Konstruksi ( a ) … Rp.</v>
      </c>
      <c r="H67">
        <f>SUM(H65:H65)</f>
        <v>15650000</v>
      </c>
    </row>
    <row r="68">
      <c r="G68" t="str">
        <v>Harga pagar / m … Rp.</v>
      </c>
      <c r="H68">
        <f>H67/H88</f>
        <v>15650000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34400</v>
      </c>
      <c r="G102">
        <f>E102*F102</f>
        <v>317856</v>
      </c>
    </row>
    <row r="103">
      <c r="A103">
        <v>2</v>
      </c>
      <c r="B103" t="str">
        <v>Pas. Urugan pasir</v>
      </c>
      <c r="D103" t="str">
        <v>m3</v>
      </c>
      <c r="E103">
        <f>'QTY-PG'!D31</f>
        <v>0.41999999999999993</v>
      </c>
      <c r="F103">
        <f>SUMIF(SNI!C$1:C$65536,'RAB - PG'!B$1:B$65536,SNI!L$1:L$65536)</f>
        <v>180500</v>
      </c>
      <c r="G103">
        <f>E103*F103</f>
        <v>75809.99999999999</v>
      </c>
    </row>
    <row r="104">
      <c r="A104">
        <v>3</v>
      </c>
      <c r="B104" t="str">
        <v>Aanstamping batu kali</v>
      </c>
      <c r="D104" t="str">
        <v>m3</v>
      </c>
      <c r="E104">
        <f>'QTY-PG'!D32</f>
        <v>1.2599999999999998</v>
      </c>
      <c r="F104">
        <f>SUMIF(SNI!C$1:C$65536,'RAB - PG'!B$1:B$65536,SNI!L$1:L$65536)</f>
        <v>413200</v>
      </c>
      <c r="G104">
        <f>E104*F104</f>
        <v>520631.9999999999</v>
      </c>
    </row>
    <row r="105">
      <c r="A105">
        <v>4</v>
      </c>
      <c r="B105" t="str">
        <v>Pas. pondasi batu kali 1:4</v>
      </c>
      <c r="C105" t="str">
        <v>Spesi 1 : 4</v>
      </c>
      <c r="D105" t="str">
        <v>m3</v>
      </c>
      <c r="E105">
        <f>'QTY-PG'!D33</f>
        <v>3.7799999999999994</v>
      </c>
      <c r="F105">
        <f>SUMIF(SNI!C$1:C$65536,'RAB - PG'!B$1:B$65536,SNI!L$1:L$65536)</f>
        <v>698700</v>
      </c>
      <c r="G105">
        <f>E105*F105</f>
        <v>2641085.9999999995</v>
      </c>
    </row>
    <row r="106">
      <c r="A106">
        <v>5</v>
      </c>
      <c r="B106" t="str">
        <v>Urugan tanah kembali</v>
      </c>
      <c r="C106" t="str">
        <v>Sisi pondasi</v>
      </c>
      <c r="D106" t="str">
        <v>m3</v>
      </c>
      <c r="E106">
        <f>'QTY-PG'!D34</f>
        <v>3.780000000000001</v>
      </c>
      <c r="F106">
        <f>SUMIF(SNI!C$1:C$65536,'RAB - PG'!B$1:B$65536,SNI!L$1:L$65536)</f>
        <v>11500</v>
      </c>
      <c r="G106">
        <f>E106*F106</f>
        <v>43470.000000000015</v>
      </c>
    </row>
    <row r="107">
      <c r="A107">
        <v>6</v>
      </c>
      <c r="B107" t="str">
        <v>Buang tanah</v>
      </c>
      <c r="C107" t="str">
        <v>Didalam site</v>
      </c>
      <c r="D107" t="str">
        <v>m3</v>
      </c>
      <c r="E107">
        <f>'QTY-PG'!D35</f>
        <v>5.459999999999999</v>
      </c>
      <c r="F107">
        <f>SUMIF(SNI!C$1:C$65536,'RAB - PG'!B$1:B$65536,SNI!L$1:L$65536)</f>
        <v>15100</v>
      </c>
      <c r="G107">
        <f>E107*F107</f>
        <v>82445.99999999999</v>
      </c>
      <c r="H107">
        <f>SUM(G102:G107)</f>
        <v>3681299.9999999995</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269300</v>
      </c>
      <c r="G110">
        <f>E110*F110</f>
        <v>1292640.0000000002</v>
      </c>
    </row>
    <row r="111">
      <c r="A111">
        <v>2</v>
      </c>
      <c r="B111" t="str">
        <v>Tulangan besi beton U-24</v>
      </c>
      <c r="D111" t="str">
        <v>kg</v>
      </c>
      <c r="E111">
        <f>'QTY-PG'!D102</f>
        <v>68.10205500000001</v>
      </c>
      <c r="F111">
        <f>SUMIF(SNI!C$1:C$65536,'RAB - PG'!B$1:B$65536,SNI!L$1:L$65536)</f>
        <v>12600</v>
      </c>
      <c r="G111">
        <f>E111*F111</f>
        <v>858085.893</v>
      </c>
    </row>
    <row r="112">
      <c r="A112">
        <v>3</v>
      </c>
      <c r="B112" t="str">
        <v>Beton K - 175</v>
      </c>
      <c r="D112" t="str">
        <v>m3</v>
      </c>
      <c r="E112">
        <f>'QTY-PG'!D103</f>
        <v>0.36</v>
      </c>
      <c r="F112">
        <f>SUMIF(SNI!C$1:C$65536,'RAB - PG'!B$1:B$65536,SNI!L$1:L$65536)</f>
        <v>834600</v>
      </c>
      <c r="G112">
        <f>E112*F112</f>
        <v>300456</v>
      </c>
      <c r="H112">
        <f>SUM(G110:G112)</f>
        <v>2451181.893</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269300</v>
      </c>
      <c r="G115">
        <f>E115*F115</f>
        <v>363554.99999999994</v>
      </c>
    </row>
    <row r="116">
      <c r="A116">
        <v>1</v>
      </c>
      <c r="B116" t="str">
        <v>Tulangan besi beton U-24</v>
      </c>
      <c r="D116" t="str">
        <v>kg</v>
      </c>
      <c r="E116">
        <f>'QTY-PG'!D139</f>
        <v>31.528727999999994</v>
      </c>
      <c r="F116">
        <f>SUMIF(SNI!C$1:C$65536,'RAB - PG'!B$1:B$65536,SNI!L$1:L$65536)</f>
        <v>12600</v>
      </c>
      <c r="G116">
        <f>E116*F116</f>
        <v>397261.97279999993</v>
      </c>
    </row>
    <row r="117">
      <c r="A117">
        <v>3</v>
      </c>
      <c r="B117" t="str">
        <v>Beton K - 175</v>
      </c>
      <c r="D117" t="str">
        <v>m3</v>
      </c>
      <c r="E117">
        <f>'QTY-PG'!D140</f>
        <v>0.10125</v>
      </c>
      <c r="F117">
        <f>SUMIF(SNI!C$1:C$65536,'RAB - PG'!B$1:B$65536,SNI!L$1:L$65536)</f>
        <v>834600</v>
      </c>
      <c r="G117">
        <f>E117*F117</f>
        <v>84503.25</v>
      </c>
      <c r="H117">
        <f>SUM(G115:G117)</f>
        <v>845320.2227999999</v>
      </c>
    </row>
    <row r="119">
      <c r="A119" t="str">
        <v>IV.</v>
      </c>
      <c r="B119" t="str">
        <v>Pekerjaan Dinding</v>
      </c>
    </row>
    <row r="120">
      <c r="A120">
        <v>1</v>
      </c>
      <c r="B120" t="str">
        <v xml:space="preserve">Pagar besi </v>
      </c>
      <c r="C120" t="str">
        <v>Besi tempa</v>
      </c>
      <c r="D120" t="str">
        <v>m2</v>
      </c>
      <c r="E120">
        <f>10.9*1.5</f>
        <v>16.35</v>
      </c>
      <c r="F120">
        <f>SUMIF(SNI!C$1:C$65536,'RAB - PG'!B$1:B$65536,SNI!L$1:L$65536)</f>
        <v>497100</v>
      </c>
      <c r="G120">
        <f>E120*F120</f>
        <v>8127585.000000001</v>
      </c>
    </row>
    <row r="121">
      <c r="A121">
        <v>2</v>
      </c>
      <c r="B121" t="str">
        <v>Pintu pagar besi</v>
      </c>
      <c r="C121" t="str">
        <v>Besi tempa</v>
      </c>
      <c r="D121" t="str">
        <v>m2</v>
      </c>
      <c r="E121">
        <f>1*1.5</f>
        <v>1.5</v>
      </c>
      <c r="F121">
        <f>F120*1.25</f>
        <v>621375</v>
      </c>
      <c r="G121">
        <f>E121*F121</f>
        <v>932062.5</v>
      </c>
      <c r="H121">
        <f>SUM(G120:G121)</f>
        <v>9059647.5</v>
      </c>
    </row>
    <row r="123">
      <c r="B123" t="str">
        <v>pilar ;</v>
      </c>
    </row>
    <row r="124">
      <c r="A124">
        <v>3</v>
      </c>
      <c r="B124" t="str">
        <v>Pas. Dinding batu bata; ad 1:4</v>
      </c>
      <c r="C124" t="str">
        <v>Spesi 1 : 4</v>
      </c>
      <c r="D124" t="str">
        <v>m2</v>
      </c>
      <c r="E124">
        <f>((1.2*1.5)*5)+(0.55*12)</f>
        <v>15.600000000000001</v>
      </c>
      <c r="F124">
        <f>SUMIF(SNI!C$1:C$65536,'RAB - PG'!B$1:B$65536,SNI!L$1:L$65536)</f>
        <v>5272700</v>
      </c>
      <c r="G124">
        <f>E124*F124</f>
        <v>82254120.00000001</v>
      </c>
    </row>
    <row r="125">
      <c r="A125">
        <v>4</v>
      </c>
      <c r="B125" t="str">
        <v>Pas. Plester acian; ad. 1:4</v>
      </c>
      <c r="C125" t="str">
        <v>Spesi 1 : 4</v>
      </c>
      <c r="D125" t="str">
        <v>m2</v>
      </c>
      <c r="E125">
        <f>E124*2</f>
        <v>31.200000000000003</v>
      </c>
      <c r="F125">
        <f>SUMIF(SNI!C$1:C$65536,'RAB - PG'!B$1:B$65536,SNI!L$1:L$65536)</f>
        <v>37500</v>
      </c>
      <c r="G125">
        <f>E125*F125</f>
        <v>1170000</v>
      </c>
    </row>
    <row r="126">
      <c r="A126">
        <v>5</v>
      </c>
      <c r="B126" t="str">
        <v>Cat dinding dalam acrylic emulsion KW.II</v>
      </c>
      <c r="C126" t="str">
        <v>ex Mowilex</v>
      </c>
      <c r="D126" t="str">
        <v>m2</v>
      </c>
      <c r="E126">
        <f>E124*2</f>
        <v>31.200000000000003</v>
      </c>
      <c r="F126">
        <f>SUMIF(SNI!C$1:C$65536,'RAB - PG'!B$1:B$65536,SNI!L$1:L$65536)</f>
        <v>13900</v>
      </c>
      <c r="G126">
        <f>E126*F126</f>
        <v>433680.00000000006</v>
      </c>
    </row>
    <row r="128">
      <c r="G128" t="str">
        <v>Jumlah… Rp.</v>
      </c>
      <c r="H128">
        <f>SUM(G100:G127)</f>
        <v>99895249.61580002</v>
      </c>
    </row>
    <row r="129">
      <c r="G129" t="str">
        <v>Ppn 10%… Rp.</v>
      </c>
      <c r="H129">
        <f>0.1*H128</f>
        <v>9989524.961580003</v>
      </c>
    </row>
    <row r="130">
      <c r="G130" t="str">
        <v>Total</v>
      </c>
      <c r="H130">
        <f>H128+H129</f>
        <v>109884774.57738003</v>
      </c>
    </row>
    <row r="131">
      <c r="G131" t="str">
        <v>Panjang pagar,…m</v>
      </c>
      <c r="H131">
        <v>12</v>
      </c>
    </row>
    <row r="132">
      <c r="G132" t="str">
        <v>Harga pagar …/m</v>
      </c>
      <c r="H132">
        <f>H130/H131</f>
        <v>9157064.548115002</v>
      </c>
    </row>
    <row r="133">
      <c r="G133" t="str">
        <v>Dibulatkan …/m</v>
      </c>
      <c r="H133">
        <f>ROUND(H132,-4)</f>
        <v>9160000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34400</v>
      </c>
      <c r="G138">
        <f>E138*F138</f>
        <v>215877.2</v>
      </c>
    </row>
    <row r="139">
      <c r="A139">
        <v>2</v>
      </c>
      <c r="B139" t="str">
        <v>Pas. Urugan pasir</v>
      </c>
      <c r="D139" t="str">
        <v>m3</v>
      </c>
      <c r="E139">
        <f>'QTY-PG'!E31</f>
        <v>0.28525</v>
      </c>
      <c r="F139">
        <f>SUMIF(SNI!C$1:C$65536,'RAB - PG'!B$1:B$65536,SNI!L$1:L$65536)</f>
        <v>180500</v>
      </c>
      <c r="G139">
        <f>E139*F139</f>
        <v>51487.625</v>
      </c>
    </row>
    <row r="140">
      <c r="A140">
        <v>3</v>
      </c>
      <c r="B140" t="str">
        <v>Aanstamping batu kali</v>
      </c>
      <c r="D140" t="str">
        <v>m3</v>
      </c>
      <c r="E140">
        <f>'QTY-PG'!E32</f>
        <v>0.85575</v>
      </c>
      <c r="F140">
        <f>SUMIF(SNI!C$1:C$65536,'RAB - PG'!B$1:B$65536,SNI!L$1:L$65536)</f>
        <v>413200</v>
      </c>
      <c r="G140">
        <f>E140*F140</f>
        <v>353595.9</v>
      </c>
    </row>
    <row r="141">
      <c r="A141">
        <v>4</v>
      </c>
      <c r="B141" t="str">
        <v>Pas. pondasi batu kali 1:4</v>
      </c>
      <c r="C141" t="str">
        <v>Spesi 1 : 4</v>
      </c>
      <c r="D141" t="str">
        <v>m3</v>
      </c>
      <c r="E141">
        <f>'QTY-PG'!E33</f>
        <v>2.5672499999999996</v>
      </c>
      <c r="F141">
        <f>SUMIF(SNI!C$1:C$65536,'RAB - PG'!B$1:B$65536,SNI!L$1:L$65536)</f>
        <v>698700</v>
      </c>
      <c r="G141">
        <f>E141*F141</f>
        <v>1793737.5749999997</v>
      </c>
    </row>
    <row r="142">
      <c r="A142">
        <v>5</v>
      </c>
      <c r="B142" t="str">
        <v>Urugan tanah kembali</v>
      </c>
      <c r="C142" t="str">
        <v>Sisi pondasi</v>
      </c>
      <c r="D142" t="str">
        <v>m3</v>
      </c>
      <c r="E142">
        <f>'QTY-PG'!E34</f>
        <v>2.5672500000000005</v>
      </c>
      <c r="F142">
        <f>SUMIF(SNI!C$1:C$65536,'RAB - PG'!B$1:B$65536,SNI!L$1:L$65536)</f>
        <v>11500</v>
      </c>
      <c r="G142">
        <f>E142*F142</f>
        <v>29523.375000000007</v>
      </c>
    </row>
    <row r="143">
      <c r="A143">
        <v>6</v>
      </c>
      <c r="B143" t="str">
        <v>Buang tanah</v>
      </c>
      <c r="C143" t="str">
        <v>Didalam site</v>
      </c>
      <c r="D143" t="str">
        <v>m3</v>
      </c>
      <c r="E143">
        <f>'QTY-PG'!E35</f>
        <v>3.7082499999999996</v>
      </c>
      <c r="F143">
        <f>SUMIF(SNI!C$1:C$65536,'RAB - PG'!B$1:B$65536,SNI!L$1:L$65536)</f>
        <v>15100</v>
      </c>
      <c r="G143">
        <f>E143*F143</f>
        <v>55994.575</v>
      </c>
      <c r="H143">
        <f>SUM(G138:G143)</f>
        <v>2500216.25</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269300</v>
      </c>
      <c r="G146">
        <f>E146*F146</f>
        <v>877918.0000000001</v>
      </c>
    </row>
    <row r="147">
      <c r="A147">
        <v>2</v>
      </c>
      <c r="B147" t="str">
        <v>Tulangan besi beton U-24</v>
      </c>
      <c r="D147" t="str">
        <v>kg</v>
      </c>
      <c r="E147">
        <f>'QTY-PG'!E102</f>
        <v>46.249035000000006</v>
      </c>
      <c r="F147">
        <f>SUMIF(SNI!C$1:C$65536,'RAB - PG'!B$1:B$65536,SNI!L$1:L$65536)</f>
        <v>12600</v>
      </c>
      <c r="G147">
        <f>E147*F147</f>
        <v>582737.8410000001</v>
      </c>
    </row>
    <row r="148">
      <c r="A148">
        <v>3</v>
      </c>
      <c r="B148" t="str">
        <v>Beton K - 175</v>
      </c>
      <c r="D148" t="str">
        <v>m3</v>
      </c>
      <c r="E148">
        <f>'QTY-PG'!E103</f>
        <v>0.2445</v>
      </c>
      <c r="F148">
        <f>SUMIF(SNI!C$1:C$65536,'RAB - PG'!B$1:B$65536,SNI!L$1:L$65536)</f>
        <v>834600</v>
      </c>
      <c r="G148">
        <f>E148*F148</f>
        <v>204059.69999999998</v>
      </c>
      <c r="H148">
        <f>SUM(G146:G148)</f>
        <v>1664715.5410000002</v>
      </c>
    </row>
    <row r="150">
      <c r="A150" t="str">
        <v>III.</v>
      </c>
      <c r="B150" t="str">
        <v>Pekerjaan Kolom Praktis</v>
      </c>
    </row>
    <row r="151">
      <c r="A151">
        <v>2</v>
      </c>
      <c r="B151" t="str">
        <v>Bekisting sloof beton</v>
      </c>
      <c r="C151" t="str">
        <v>Mutu baja U-24</v>
      </c>
      <c r="D151" t="str">
        <v>m2</v>
      </c>
      <c r="E151">
        <f>'QTY-PG'!E138</f>
        <v>3</v>
      </c>
      <c r="F151">
        <f>SUMIF(SNI!C$1:C$65536,'RAB - PG'!B$1:B$65536,SNI!L$1:L$65536)</f>
        <v>269300</v>
      </c>
      <c r="G151">
        <f>E151*F151</f>
        <v>807900</v>
      </c>
    </row>
    <row r="152">
      <c r="A152">
        <v>1</v>
      </c>
      <c r="B152" t="str">
        <v>Tulangan besi beton U-24</v>
      </c>
      <c r="D152" t="str">
        <v>kg</v>
      </c>
      <c r="E152">
        <f>'QTY-PG'!E139</f>
        <v>62.882064</v>
      </c>
      <c r="F152">
        <f>SUMIF(SNI!C$1:C$65536,'RAB - PG'!B$1:B$65536,SNI!L$1:L$65536)</f>
        <v>12600</v>
      </c>
      <c r="G152">
        <f>E152*F152</f>
        <v>792314.0064</v>
      </c>
    </row>
    <row r="153">
      <c r="A153">
        <v>3</v>
      </c>
      <c r="B153" t="str">
        <v>Beton K - 175</v>
      </c>
      <c r="D153" t="str">
        <v>m3</v>
      </c>
      <c r="E153">
        <f>'QTY-PG'!E140</f>
        <v>0.22499999999999998</v>
      </c>
      <c r="F153">
        <f>SUMIF(SNI!C$1:C$65536,'RAB - PG'!B$1:B$65536,SNI!L$1:L$65536)</f>
        <v>834600</v>
      </c>
      <c r="G153">
        <f>E153*F153</f>
        <v>187784.99999999997</v>
      </c>
      <c r="H153">
        <f>SUM(G151:G153)</f>
        <v>1787999.0063999998</v>
      </c>
    </row>
    <row r="155">
      <c r="A155" t="str">
        <v>IV.</v>
      </c>
      <c r="B155" t="str">
        <v>Pekerjaan Ringbalk</v>
      </c>
    </row>
    <row r="156">
      <c r="A156">
        <v>1</v>
      </c>
      <c r="B156" t="str">
        <v>Bekisting Praktis beton</v>
      </c>
      <c r="C156" t="str">
        <v>Kayu terentang</v>
      </c>
      <c r="D156" t="str">
        <v>m2</v>
      </c>
      <c r="E156">
        <f>'QTY-PG'!E192</f>
        <v>2.445</v>
      </c>
      <c r="F156">
        <f>SUMIF(SNI!C$1:C$65536,'RAB - PG'!B$1:B$65536,SNI!L$1:L$65536)</f>
        <v>46600</v>
      </c>
      <c r="G156">
        <f>E156*F156</f>
        <v>113936.99999999999</v>
      </c>
    </row>
    <row r="157">
      <c r="A157">
        <v>2</v>
      </c>
      <c r="B157" t="str">
        <v>Tulangan besi beton U-24</v>
      </c>
      <c r="D157" t="str">
        <v>kg</v>
      </c>
      <c r="E157">
        <f>'QTY-PG'!E191</f>
        <v>43.97946</v>
      </c>
      <c r="F157">
        <f>SUMIF(SNI!C$1:C$65536,'RAB - PG'!B$1:B$65536,SNI!L$1:L$65536)</f>
        <v>12600</v>
      </c>
      <c r="G157">
        <f>E157*F157</f>
        <v>554141.196</v>
      </c>
    </row>
    <row r="158">
      <c r="A158">
        <v>3</v>
      </c>
      <c r="B158" t="str">
        <v>Beton K - 175</v>
      </c>
      <c r="D158" t="str">
        <v>m3</v>
      </c>
      <c r="E158">
        <f>'QTY-PG'!E193</f>
        <v>0.183375</v>
      </c>
      <c r="F158">
        <f>SUMIF(SNI!C$1:C$65536,'RAB - PG'!B$1:B$65536,SNI!L$1:L$65536)</f>
        <v>834600</v>
      </c>
      <c r="G158">
        <f>E158*F158</f>
        <v>153044.775</v>
      </c>
      <c r="H158">
        <f>SUM(G156:G158)</f>
        <v>821122.971</v>
      </c>
    </row>
    <row r="160">
      <c r="A160" t="str">
        <v>V.</v>
      </c>
      <c r="B160" t="str">
        <v>Pekerjaan Dinding</v>
      </c>
    </row>
    <row r="161">
      <c r="A161">
        <v>1</v>
      </c>
      <c r="B161" t="str">
        <v>Pas. Dinding batu bata; ad 1:4</v>
      </c>
      <c r="C161" t="str">
        <v>Spesi 1 : 4</v>
      </c>
      <c r="D161" t="str">
        <v>m2</v>
      </c>
      <c r="E161">
        <f>'QTY-PG'!H13</f>
        <v>16.3</v>
      </c>
      <c r="F161">
        <f>SUMIF(SNI!C$1:C$65536,'RAB - PG'!B$1:B$65536,SNI!L$1:L$65536)</f>
        <v>5272700</v>
      </c>
      <c r="G161">
        <f>E161*F161</f>
        <v>85945010</v>
      </c>
    </row>
    <row r="162">
      <c r="A162">
        <v>2</v>
      </c>
      <c r="B162" t="str">
        <v>Pas. Plester acian; ad. 1:4</v>
      </c>
      <c r="C162" t="str">
        <v>Spesi 1 : 4</v>
      </c>
      <c r="D162" t="str">
        <v>m2</v>
      </c>
      <c r="E162">
        <f>E161*2</f>
        <v>32.6</v>
      </c>
      <c r="F162">
        <f>SUMIF(SNI!C$1:C$65536,'RAB - PG'!B$1:B$65536,SNI!L$1:L$65536)</f>
        <v>37500</v>
      </c>
      <c r="G162">
        <f>E162*F162</f>
        <v>1222500</v>
      </c>
    </row>
    <row r="163">
      <c r="A163">
        <v>3</v>
      </c>
      <c r="B163" t="str">
        <v>Cat dinding dalam acrylic emulsion KW.II</v>
      </c>
      <c r="C163" t="str">
        <v>ex Mowilex</v>
      </c>
      <c r="D163" t="str">
        <v>m2</v>
      </c>
      <c r="E163">
        <f>E161*2</f>
        <v>32.6</v>
      </c>
      <c r="F163">
        <f>SUMIF(SNI!C$1:C$65536,'RAB - PG'!B$1:B$65536,SNI!L$1:L$65536)</f>
        <v>13900</v>
      </c>
      <c r="G163">
        <f>E163*F163</f>
        <v>453140</v>
      </c>
      <c r="H163">
        <f>SUM(G161:G163)</f>
        <v>87620650</v>
      </c>
    </row>
    <row r="165">
      <c r="G165" t="str">
        <v>TOTAL,… Rp.</v>
      </c>
      <c r="H165">
        <f>SUM(G134:G164)</f>
        <v>94394703.7684</v>
      </c>
    </row>
    <row r="166">
      <c r="G166" t="str">
        <v>Ppn 10%… Rp.</v>
      </c>
      <c r="H166">
        <f>0.1*H165</f>
        <v>9439470.376840001</v>
      </c>
    </row>
    <row r="167">
      <c r="G167" t="str">
        <v>Total</v>
      </c>
      <c r="H167">
        <f>H165+H166</f>
        <v>103834174.14524</v>
      </c>
    </row>
    <row r="168">
      <c r="G168" t="str">
        <v>Panjang pagar,…m</v>
      </c>
      <c r="H168">
        <v>8</v>
      </c>
    </row>
    <row r="169">
      <c r="G169" t="str">
        <v>Harga pagar …/m</v>
      </c>
      <c r="H169">
        <f>H167/H168</f>
        <v>12979271.768155</v>
      </c>
    </row>
    <row r="170">
      <c r="G170" t="str">
        <v>Dibulatkan …/m</v>
      </c>
      <c r="H170">
        <f>ROUND(H169,-4)</f>
        <v>12980000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34400</v>
      </c>
      <c r="G175">
        <f>E175*F175</f>
        <v>132440</v>
      </c>
    </row>
    <row r="176">
      <c r="A176">
        <v>2</v>
      </c>
      <c r="B176" t="str">
        <v>Pas. Urugan pasir</v>
      </c>
      <c r="D176" t="str">
        <v>m3</v>
      </c>
      <c r="E176">
        <f>'QTY-PG'!F31</f>
        <v>0.17500000000000002</v>
      </c>
      <c r="F176">
        <f>SUMIF(SNI!C$1:C$65536,'RAB - PG'!B$1:B$65536,SNI!L$1:L$65536)</f>
        <v>180500</v>
      </c>
      <c r="G176">
        <f>E176*F176</f>
        <v>31587.500000000004</v>
      </c>
    </row>
    <row r="177">
      <c r="A177">
        <v>3</v>
      </c>
      <c r="B177" t="str">
        <v>Aanstamping batu kali</v>
      </c>
      <c r="D177" t="str">
        <v>m3</v>
      </c>
      <c r="E177">
        <f>'QTY-PG'!F32</f>
        <v>0.525</v>
      </c>
      <c r="F177">
        <f>SUMIF(SNI!C$1:C$65536,'RAB - PG'!B$1:B$65536,SNI!L$1:L$65536)</f>
        <v>413200</v>
      </c>
      <c r="G177">
        <f>E177*F177</f>
        <v>216930</v>
      </c>
    </row>
    <row r="178">
      <c r="A178">
        <v>4</v>
      </c>
      <c r="B178" t="str">
        <v>Pas. pondasi batu kali 1:4</v>
      </c>
      <c r="C178" t="str">
        <v>Spesi 1 : 4</v>
      </c>
      <c r="D178" t="str">
        <v>m3</v>
      </c>
      <c r="E178">
        <f>'QTY-PG'!F33</f>
        <v>1.5749999999999997</v>
      </c>
      <c r="F178">
        <f>SUMIF(SNI!C$1:C$65536,'RAB - PG'!B$1:B$65536,SNI!L$1:L$65536)</f>
        <v>698700</v>
      </c>
      <c r="G178">
        <f>E178*F178</f>
        <v>1100452.4999999998</v>
      </c>
    </row>
    <row r="179">
      <c r="A179">
        <v>5</v>
      </c>
      <c r="B179" t="str">
        <v>Urugan tanah kembali</v>
      </c>
      <c r="C179" t="str">
        <v>Sisi pondasi</v>
      </c>
      <c r="D179" t="str">
        <v>m3</v>
      </c>
      <c r="E179">
        <f>'QTY-PG'!F34</f>
        <v>1.5750000000000002</v>
      </c>
      <c r="F179">
        <f>SUMIF(SNI!C$1:C$65536,'RAB - PG'!B$1:B$65536,SNI!L$1:L$65536)</f>
        <v>11500</v>
      </c>
      <c r="G179">
        <f>E179*F179</f>
        <v>18112.500000000004</v>
      </c>
    </row>
    <row r="180">
      <c r="A180">
        <v>6</v>
      </c>
      <c r="B180" t="str">
        <v>Buang tanah</v>
      </c>
      <c r="C180" t="str">
        <v>Didalam site</v>
      </c>
      <c r="D180" t="str">
        <v>m3</v>
      </c>
      <c r="E180">
        <f>'QTY-PG'!F35</f>
        <v>2.275</v>
      </c>
      <c r="F180">
        <f>SUMIF(SNI!C$1:C$65536,'RAB - PG'!B$1:B$65536,SNI!L$1:L$65536)</f>
        <v>15100</v>
      </c>
      <c r="G180">
        <f>E180*F180</f>
        <v>34352.5</v>
      </c>
      <c r="H180">
        <f>SUM(G175:G180)</f>
        <v>1533874.9999999998</v>
      </c>
    </row>
    <row r="182">
      <c r="A182" t="str">
        <v>II.</v>
      </c>
      <c r="B182" t="str">
        <v>Pekerjaan Sloof</v>
      </c>
    </row>
    <row r="183">
      <c r="A183">
        <v>1</v>
      </c>
      <c r="B183" t="str">
        <v>Bekisting sloof beton</v>
      </c>
      <c r="C183" t="str">
        <v>Kayu terentang</v>
      </c>
      <c r="D183" t="str">
        <v>m2</v>
      </c>
      <c r="E183">
        <f>'QTY-PG'!F101</f>
        <v>2</v>
      </c>
      <c r="F183">
        <f>SUMIF(SNI!C$1:C$65536,'RAB - PG'!B$1:B$65536,SNI!L$1:L$65536)</f>
        <v>269300</v>
      </c>
      <c r="G183">
        <f>E183*F183</f>
        <v>538600</v>
      </c>
    </row>
    <row r="184">
      <c r="A184">
        <v>2</v>
      </c>
      <c r="B184" t="str">
        <v>Tulangan besi beton U-24</v>
      </c>
      <c r="D184" t="str">
        <v>kg</v>
      </c>
      <c r="E184">
        <f>'QTY-PG'!F102</f>
        <v>28.44807</v>
      </c>
      <c r="F184">
        <f>SUMIF(SNI!C$1:C$65536,'RAB - PG'!B$1:B$65536,SNI!L$1:L$65536)</f>
        <v>12600</v>
      </c>
      <c r="G184">
        <f>E184*F184</f>
        <v>358445.68200000003</v>
      </c>
    </row>
    <row r="185">
      <c r="A185">
        <v>3</v>
      </c>
      <c r="B185" t="str">
        <v>Beton K - 175</v>
      </c>
      <c r="D185" t="str">
        <v>m3</v>
      </c>
      <c r="E185">
        <f>'QTY-PG'!F103</f>
        <v>0.15</v>
      </c>
      <c r="F185">
        <f>SUMIF(SNI!C$1:C$65536,'RAB - PG'!B$1:B$65536,SNI!L$1:L$65536)</f>
        <v>834600</v>
      </c>
      <c r="G185">
        <f>E185*F185</f>
        <v>125190</v>
      </c>
      <c r="H185">
        <f>SUM(G183:G185)</f>
        <v>1022235.682</v>
      </c>
    </row>
    <row r="187">
      <c r="A187" t="str">
        <v>III.</v>
      </c>
      <c r="B187" t="str">
        <v>Pekerjaan Kolom Praktis</v>
      </c>
    </row>
    <row r="188">
      <c r="A188">
        <v>2</v>
      </c>
      <c r="B188" t="str">
        <v>Bekisting sloof beton</v>
      </c>
      <c r="C188" t="str">
        <v>Mutu baja U-24</v>
      </c>
      <c r="D188" t="str">
        <v>m2</v>
      </c>
      <c r="E188">
        <f>'QTY-PG'!F138</f>
        <v>1.5</v>
      </c>
      <c r="F188">
        <f>SUMIF(SNI!C$1:C$65536,'RAB - PG'!B$1:B$65536,SNI!L$1:L$65536)</f>
        <v>269300</v>
      </c>
      <c r="G188">
        <f>E188*F188</f>
        <v>403950</v>
      </c>
    </row>
    <row r="189">
      <c r="A189">
        <v>1</v>
      </c>
      <c r="B189" t="str">
        <v>Tulangan besi beton U-24</v>
      </c>
      <c r="D189" t="str">
        <v>kg</v>
      </c>
      <c r="E189">
        <f>'QTY-PG'!F139</f>
        <v>31.441032</v>
      </c>
      <c r="F189">
        <f>SUMIF(SNI!C$1:C$65536,'RAB - PG'!B$1:B$65536,SNI!L$1:L$65536)</f>
        <v>12600</v>
      </c>
      <c r="G189">
        <f>E189*F189</f>
        <v>396157.0032</v>
      </c>
    </row>
    <row r="190">
      <c r="A190">
        <v>3</v>
      </c>
      <c r="B190" t="str">
        <v>Beton K - 175</v>
      </c>
      <c r="D190" t="str">
        <v>m3</v>
      </c>
      <c r="E190">
        <f>'QTY-PG'!F140</f>
        <v>0.11249999999999999</v>
      </c>
      <c r="F190">
        <f>SUMIF(SNI!C$1:C$65536,'RAB - PG'!B$1:B$65536,SNI!L$1:L$65536)</f>
        <v>834600</v>
      </c>
      <c r="G190">
        <f>E190*F190</f>
        <v>93892.49999999999</v>
      </c>
      <c r="H190">
        <f>SUM(G188:G190)</f>
        <v>893999.5031999999</v>
      </c>
    </row>
    <row r="192">
      <c r="A192" t="str">
        <v>IV.</v>
      </c>
      <c r="B192" t="str">
        <v>Pekerjaan Ringbalk</v>
      </c>
    </row>
    <row r="193">
      <c r="A193">
        <v>2</v>
      </c>
      <c r="B193" t="str">
        <v>Bekisting Praktis beton</v>
      </c>
      <c r="C193" t="str">
        <v>Kayu terentang</v>
      </c>
      <c r="D193" t="str">
        <v>m2</v>
      </c>
      <c r="E193">
        <f>'QTY-PG'!F192</f>
        <v>1.5</v>
      </c>
      <c r="F193">
        <f>SUMIF(SNI!C$1:C$65536,'RAB - PG'!B$1:B$65536,SNI!L$1:L$65536)</f>
        <v>46600</v>
      </c>
      <c r="G193">
        <f>E193*F193</f>
        <v>69900</v>
      </c>
    </row>
    <row r="194">
      <c r="A194">
        <v>1</v>
      </c>
      <c r="B194" t="str">
        <v>Tulangan besi beton U-24</v>
      </c>
      <c r="D194" t="str">
        <v>kg</v>
      </c>
      <c r="E194">
        <f>'QTY-PG'!F191</f>
        <v>27.04506</v>
      </c>
      <c r="F194">
        <f>SUMIF(SNI!C$1:C$65536,'RAB - PG'!B$1:B$65536,SNI!L$1:L$65536)</f>
        <v>12600</v>
      </c>
      <c r="G194">
        <f>E194*F194</f>
        <v>340767.756</v>
      </c>
    </row>
    <row r="195">
      <c r="A195">
        <v>3</v>
      </c>
      <c r="B195" t="str">
        <v>Beton K - 175</v>
      </c>
      <c r="D195" t="str">
        <v>m3</v>
      </c>
      <c r="E195">
        <f>'QTY-PG'!F193</f>
        <v>0.11249999999999999</v>
      </c>
      <c r="F195">
        <f>SUMIF(SNI!C$1:C$65536,'RAB - PG'!B$1:B$65536,SNI!L$1:L$65536)</f>
        <v>834600</v>
      </c>
      <c r="G195">
        <f>E195*F195</f>
        <v>93892.49999999999</v>
      </c>
      <c r="H195">
        <f>SUM(G193:G195)</f>
        <v>504560.256</v>
      </c>
    </row>
    <row r="197">
      <c r="A197" t="str">
        <v>V.</v>
      </c>
      <c r="B197" t="str">
        <v>Pekerjaan Dinding</v>
      </c>
    </row>
    <row r="198">
      <c r="A198">
        <v>1</v>
      </c>
      <c r="B198" t="str">
        <v>Pas. Dinding batu bata; ad 1:4</v>
      </c>
      <c r="C198" t="str">
        <v>Spesi 1 : 4</v>
      </c>
      <c r="D198" t="str">
        <v>m2</v>
      </c>
      <c r="E198">
        <f>'QTY-PG'!L13</f>
        <v>12.5</v>
      </c>
      <c r="F198">
        <f>SUMIF(SNI!C$1:C$65536,'RAB - PG'!B$1:B$65536,SNI!L$1:L$65536)</f>
        <v>5272700</v>
      </c>
      <c r="G198">
        <f>E198*F198</f>
        <v>65908750</v>
      </c>
    </row>
    <row r="199">
      <c r="A199">
        <v>2</v>
      </c>
      <c r="B199" t="str">
        <v>Pas. Plester acian; ad. 1:4</v>
      </c>
      <c r="C199" t="str">
        <v>Spesi 1 : 4</v>
      </c>
      <c r="D199" t="str">
        <v>m2</v>
      </c>
      <c r="E199">
        <f>E198*2</f>
        <v>25</v>
      </c>
      <c r="F199">
        <f>SUMIF(SNI!C$1:C$65536,'RAB - PG'!B$1:B$65536,SNI!L$1:L$65536)</f>
        <v>37500</v>
      </c>
      <c r="G199">
        <f>E199*F199</f>
        <v>937500</v>
      </c>
    </row>
    <row r="200">
      <c r="A200">
        <v>3</v>
      </c>
      <c r="B200" t="str">
        <v>Cat dinding dalam acrylic emulsion KW.II</v>
      </c>
      <c r="C200" t="str">
        <v>ex Mowilex</v>
      </c>
      <c r="D200" t="str">
        <v>m2</v>
      </c>
      <c r="E200">
        <f>E198*2</f>
        <v>25</v>
      </c>
      <c r="F200">
        <f>SUMIF(SNI!C$1:C$65536,'RAB - PG'!B$1:B$65536,SNI!L$1:L$65536)</f>
        <v>13900</v>
      </c>
      <c r="G200">
        <f>E200*F200</f>
        <v>347500</v>
      </c>
      <c r="H200">
        <f>SUM(G198:G200)</f>
        <v>67193750</v>
      </c>
    </row>
    <row r="203">
      <c r="G203" t="str">
        <v>TOTAL,… Rp.</v>
      </c>
      <c r="H203">
        <f>SUM(G171:G202)</f>
        <v>71148420.4412</v>
      </c>
    </row>
    <row r="204">
      <c r="G204" t="str">
        <v>Ppn 10%… Rp.</v>
      </c>
      <c r="H204">
        <f>0.1*H203</f>
        <v>7114842.044120001</v>
      </c>
    </row>
    <row r="205">
      <c r="G205" t="str">
        <v>Total</v>
      </c>
      <c r="H205">
        <f>H203+H204</f>
        <v>78263262.48532</v>
      </c>
    </row>
    <row r="206">
      <c r="G206" t="str">
        <v>Panjang pagar,…m</v>
      </c>
      <c r="H206">
        <v>5</v>
      </c>
    </row>
    <row r="207">
      <c r="G207" t="str">
        <v>Harga pagar …/m</v>
      </c>
      <c r="H207">
        <f>H205/H206</f>
        <v>15652652.497064</v>
      </c>
    </row>
    <row r="208">
      <c r="G208" t="str">
        <v>Dibulatkan …/m</v>
      </c>
      <c r="H208">
        <f>ROUND(H207,-4)</f>
        <v>15650000</v>
      </c>
    </row>
  </sheetData>
  <mergeCells count="13">
    <mergeCell ref="A2:H2"/>
    <mergeCell ref="A32:H32"/>
    <mergeCell ref="A62:H62"/>
    <mergeCell ref="A95:H95"/>
    <mergeCell ref="A134:H134"/>
    <mergeCell ref="A171:H171"/>
    <mergeCell ref="G96:H96"/>
    <mergeCell ref="G97:H97"/>
    <mergeCell ref="A96:A97"/>
    <mergeCell ref="B96:B97"/>
    <mergeCell ref="D96:D97"/>
    <mergeCell ref="E96:E97"/>
    <mergeCell ref="C96:C97"/>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7"/>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9880000</v>
      </c>
    </row>
    <row r="7">
      <c r="G7" t="str">
        <v>Jumlah Biaya Konstruksi ( a ) … Rp.</v>
      </c>
      <c r="H7">
        <f>SUM(H5:H5)</f>
        <v>9880000</v>
      </c>
    </row>
    <row r="8">
      <c r="G8" t="str">
        <v>Harga pagar / m … Rp.</v>
      </c>
      <c r="H8">
        <f>H7/H28</f>
        <v>9880000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12270000</v>
      </c>
    </row>
    <row r="37">
      <c r="G37" t="str">
        <v>Jumlah Biaya Konstruksi ( a ) … Rp.</v>
      </c>
      <c r="H37">
        <f>SUM(H35:H35)</f>
        <v>12270000</v>
      </c>
    </row>
    <row r="38">
      <c r="G38" t="str">
        <v>Harga pagar / m … Rp.</v>
      </c>
      <c r="H38">
        <f>H37/H58</f>
        <v>12270000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15160000</v>
      </c>
    </row>
    <row r="67">
      <c r="G67" t="str">
        <v>Jumlah Biaya Konstruksi ( a ) … Rp.</v>
      </c>
      <c r="H67">
        <f>SUM(H65:H65)</f>
        <v>15160000</v>
      </c>
    </row>
    <row r="69">
      <c r="G69" t="str">
        <v>Harga pagar / m … Rp.</v>
      </c>
      <c r="H69">
        <f>H67/H89</f>
        <v>15160000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34400</v>
      </c>
      <c r="G101">
        <f>E101*F101</f>
        <v>72239.99999999999</v>
      </c>
    </row>
    <row r="102">
      <c r="A102">
        <v>2</v>
      </c>
      <c r="B102" t="str">
        <v>Pas. Urugan pasir</v>
      </c>
      <c r="D102" t="str">
        <v>m3</v>
      </c>
      <c r="E102">
        <f>'QTY-PR'!D31</f>
        <v>0.15000000000000002</v>
      </c>
      <c r="F102">
        <f>SUMIF(SNI!C$1:C$65536,'RAB - PR'!B$1:B$65536,SNI!L$1:L$65536)</f>
        <v>180500</v>
      </c>
      <c r="G102">
        <f>E102*F102</f>
        <v>27075.000000000004</v>
      </c>
    </row>
    <row r="103">
      <c r="A103">
        <v>3</v>
      </c>
      <c r="B103" t="str">
        <v>Aanstamping batu kali</v>
      </c>
      <c r="D103" t="str">
        <v>m3</v>
      </c>
      <c r="E103">
        <f>'QTY-PR'!D32</f>
        <v>0.44999999999999996</v>
      </c>
      <c r="F103">
        <f>SUMIF(SNI!C$1:C$65536,'RAB - PR'!B$1:B$65536,SNI!L$1:L$65536)</f>
        <v>413200</v>
      </c>
      <c r="G103">
        <f>E103*F103</f>
        <v>185939.99999999997</v>
      </c>
    </row>
    <row r="104">
      <c r="A104">
        <v>4</v>
      </c>
      <c r="B104" t="str">
        <v>Pas. pondasi batu kali 1:4</v>
      </c>
      <c r="C104" t="str">
        <v>Spesi 1 : 4</v>
      </c>
      <c r="D104" t="str">
        <v>m3</v>
      </c>
      <c r="E104">
        <f>'QTY-PR'!D33</f>
        <v>1.08</v>
      </c>
      <c r="F104">
        <f>SUMIF(SNI!C$1:C$65536,'RAB - PR'!B$1:B$65536,SNI!L$1:L$65536)</f>
        <v>698700</v>
      </c>
      <c r="G104">
        <f>E104*F104</f>
        <v>754596</v>
      </c>
    </row>
    <row r="105">
      <c r="A105">
        <v>5</v>
      </c>
      <c r="B105" t="str">
        <v>Urugan tanah kembali</v>
      </c>
      <c r="C105" t="str">
        <v>Sisi pondasi</v>
      </c>
      <c r="D105" t="str">
        <v>m3</v>
      </c>
      <c r="E105">
        <f>'QTY-PR'!D34</f>
        <v>0.4199999999999995</v>
      </c>
      <c r="F105">
        <f>SUMIF(SNI!C$1:C$65536,'RAB - PR'!B$1:B$65536,SNI!L$1:L$65536)</f>
        <v>11500</v>
      </c>
      <c r="G105">
        <f>E105*F105</f>
        <v>4829.999999999994</v>
      </c>
    </row>
    <row r="106">
      <c r="A106">
        <v>6</v>
      </c>
      <c r="B106" t="str">
        <v>Buang tanah</v>
      </c>
      <c r="C106" t="str">
        <v>Didalam site</v>
      </c>
      <c r="D106" t="str">
        <v>m3</v>
      </c>
      <c r="E106">
        <f>'QTY-PR'!D35</f>
        <v>1.6800000000000002</v>
      </c>
      <c r="F106">
        <f>SUMIF(SNI!C$1:C$65536,'RAB - PR'!B$1:B$65536,SNI!L$1:L$65536)</f>
        <v>15100</v>
      </c>
      <c r="G106">
        <f>E106*F106</f>
        <v>25368.000000000004</v>
      </c>
      <c r="H106">
        <f>SUM(G101:G106)</f>
        <v>1070049</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269300</v>
      </c>
      <c r="G109">
        <f>E109*F109</f>
        <v>484739.99999999994</v>
      </c>
    </row>
    <row r="110">
      <c r="A110">
        <v>2</v>
      </c>
      <c r="B110" t="str">
        <v>Tulangan besi beton U-24</v>
      </c>
      <c r="D110" t="str">
        <v>kg</v>
      </c>
      <c r="E110">
        <f>'QTY-PR'!D102</f>
        <v>30.811725</v>
      </c>
      <c r="F110">
        <f>SUMIF(SNI!C$1:C$65536,'RAB - PR'!B$1:B$65536,SNI!L$1:L$65536)</f>
        <v>12600</v>
      </c>
      <c r="G110">
        <f>E110*F110</f>
        <v>388227.735</v>
      </c>
    </row>
    <row r="111">
      <c r="A111">
        <v>3</v>
      </c>
      <c r="B111" t="str">
        <v>Beton K - 175</v>
      </c>
      <c r="D111" t="str">
        <v>m3</v>
      </c>
      <c r="E111">
        <f>'QTY-PR'!D103</f>
        <v>0.09</v>
      </c>
      <c r="F111">
        <f>SUMIF(SNI!C$1:C$65536,'RAB - PR'!B$1:B$65536,SNI!L$1:L$65536)</f>
        <v>834600</v>
      </c>
      <c r="G111">
        <f>E111*F111</f>
        <v>75114</v>
      </c>
      <c r="H111">
        <f>SUM(G109:G111)</f>
        <v>948081.7349999999</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269300</v>
      </c>
      <c r="G114">
        <f>E114*F114</f>
        <v>161580.00000000003</v>
      </c>
    </row>
    <row r="115">
      <c r="A115">
        <v>2</v>
      </c>
      <c r="B115" t="str">
        <v>Tulangan besi beton U-24</v>
      </c>
      <c r="D115" t="str">
        <v>kg</v>
      </c>
      <c r="E115">
        <f>'QTY-PR'!D139</f>
        <v>19.203491999999997</v>
      </c>
      <c r="F115">
        <f>SUMIF(SNI!C$1:C$65536,'RAB - PR'!B$1:B$65536,SNI!L$1:L$65536)</f>
        <v>12600</v>
      </c>
      <c r="G115">
        <f>E115*F115</f>
        <v>241963.99919999996</v>
      </c>
    </row>
    <row r="116">
      <c r="A116">
        <v>3</v>
      </c>
      <c r="B116" t="str">
        <v>Beton K - 175</v>
      </c>
      <c r="D116" t="str">
        <v>m3</v>
      </c>
      <c r="E116">
        <f>'QTY-PR'!D140</f>
        <v>0.030000000000000006</v>
      </c>
      <c r="F116">
        <f>SUMIF(SNI!C$1:C$65536,'RAB - PR'!B$1:B$65536,SNI!L$1:L$65536)</f>
        <v>834600</v>
      </c>
      <c r="G116">
        <f>E116*F116</f>
        <v>25038.000000000004</v>
      </c>
      <c r="H116">
        <f>SUM(G115:G116)</f>
        <v>267001.99919999996</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497100</v>
      </c>
      <c r="G119">
        <f>E119*F119</f>
        <v>3728250</v>
      </c>
    </row>
    <row r="120">
      <c r="A120">
        <v>2</v>
      </c>
      <c r="B120" t="str">
        <v>Pintu pagar besi</v>
      </c>
      <c r="C120" t="str">
        <v>Besi hollow 20.40.0,8 mm</v>
      </c>
      <c r="D120" t="str">
        <v>m2</v>
      </c>
      <c r="E120">
        <f>1*1.5</f>
        <v>1.5</v>
      </c>
      <c r="F120">
        <f>F119*1.25</f>
        <v>621375</v>
      </c>
      <c r="G120">
        <f>E120*F120</f>
        <v>932062.5</v>
      </c>
      <c r="H120">
        <f>SUM(G119:G120)</f>
        <v>4660312.5</v>
      </c>
    </row>
    <row r="122">
      <c r="B122" t="str">
        <v>pilar ;</v>
      </c>
    </row>
    <row r="123">
      <c r="A123">
        <v>3</v>
      </c>
      <c r="B123" t="str">
        <v>Pas. Dinding batu bata; ad 1:4</v>
      </c>
      <c r="C123" t="str">
        <v>Spesi 1 : 4</v>
      </c>
      <c r="D123" t="str">
        <v>m2</v>
      </c>
      <c r="E123">
        <f>((1.2*1.5)*3)+(0.55*6)</f>
        <v>8.7</v>
      </c>
      <c r="F123">
        <f>SUMIF(SNI!C$1:C$65536,'RAB - PR'!B$1:B$65536,SNI!L$1:L$65536)</f>
        <v>5272700</v>
      </c>
      <c r="G123">
        <f>E123*F123</f>
        <v>45872489.99999999</v>
      </c>
    </row>
    <row r="124">
      <c r="A124">
        <v>4</v>
      </c>
      <c r="B124" t="str">
        <v>Pas. Plester acian; ad. 1:4</v>
      </c>
      <c r="C124" t="str">
        <v>Spesi 1 : 4</v>
      </c>
      <c r="D124" t="str">
        <v>m2</v>
      </c>
      <c r="E124">
        <f>E123*2</f>
        <v>17.4</v>
      </c>
      <c r="F124">
        <f>SUMIF(SNI!C$1:C$65536,'RAB - PR'!B$1:B$65536,SNI!L$1:L$65536)</f>
        <v>37500</v>
      </c>
      <c r="G124">
        <f>E124*F124</f>
        <v>652500</v>
      </c>
    </row>
    <row r="125">
      <c r="A125">
        <v>5</v>
      </c>
      <c r="B125" t="str">
        <v>Cat dinding dalam acrylic emulsion KW.II</v>
      </c>
      <c r="C125" t="str">
        <v>ex Mowilex</v>
      </c>
      <c r="D125" t="str">
        <v>m2</v>
      </c>
      <c r="E125">
        <f>E123*2</f>
        <v>17.4</v>
      </c>
      <c r="F125">
        <f>SUMIF(SNI!C$1:C$65536,'RAB - PR'!B$1:B$65536,SNI!L$1:L$65536)</f>
        <v>13900</v>
      </c>
      <c r="G125">
        <f>E125*F125</f>
        <v>241859.99999999997</v>
      </c>
      <c r="H125">
        <f>SUM(G123:G125)</f>
        <v>46766849.99999999</v>
      </c>
    </row>
    <row r="127">
      <c r="G127" t="str">
        <v>TOTAL,… Rp.</v>
      </c>
      <c r="H127">
        <f>SUM(G98:G126)</f>
        <v>53873875.23419999</v>
      </c>
    </row>
    <row r="128">
      <c r="G128" t="str">
        <v>Ppn 10%… Rp.</v>
      </c>
      <c r="H128">
        <f>0.1*H127</f>
        <v>5387387.5234199995</v>
      </c>
    </row>
    <row r="129">
      <c r="G129" t="str">
        <v>Total</v>
      </c>
      <c r="H129">
        <f>H127+H128</f>
        <v>59261262.75761999</v>
      </c>
    </row>
    <row r="130">
      <c r="G130" t="str">
        <v>Panjang pagar,…m</v>
      </c>
      <c r="H130">
        <v>6</v>
      </c>
    </row>
    <row r="131">
      <c r="G131" t="str">
        <v>Harga pagar …/m</v>
      </c>
      <c r="H131">
        <f>H129/H130</f>
        <v>9876877.126269998</v>
      </c>
    </row>
    <row r="132">
      <c r="G132" t="str">
        <v>Dibulatkan …/m</v>
      </c>
      <c r="H132">
        <f>ROUND(H131,-4)</f>
        <v>9880000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34400</v>
      </c>
      <c r="G137">
        <f>E137*F137</f>
        <v>72239.99999999999</v>
      </c>
    </row>
    <row r="138">
      <c r="A138">
        <v>2</v>
      </c>
      <c r="B138" t="str">
        <v>Pas. Urugan pasir</v>
      </c>
      <c r="D138" t="str">
        <v>m3</v>
      </c>
      <c r="E138">
        <f>'QTY-PR'!E31</f>
        <v>0.15000000000000002</v>
      </c>
      <c r="F138">
        <f>SUMIF(SNI!C$1:C$65536,'RAB - PR'!B$1:B$65536,SNI!L$1:L$65536)</f>
        <v>180500</v>
      </c>
      <c r="G138">
        <f>E138*F138</f>
        <v>27075.000000000004</v>
      </c>
    </row>
    <row r="139">
      <c r="A139">
        <v>3</v>
      </c>
      <c r="B139" t="str">
        <v>Aanstamping batu kali</v>
      </c>
      <c r="D139" t="str">
        <v>m3</v>
      </c>
      <c r="E139">
        <f>'QTY-PR'!E32</f>
        <v>0.44999999999999996</v>
      </c>
      <c r="F139">
        <f>SUMIF(SNI!C$1:C$65536,'RAB - PR'!B$1:B$65536,SNI!L$1:L$65536)</f>
        <v>413200</v>
      </c>
      <c r="G139">
        <f>E139*F139</f>
        <v>185939.99999999997</v>
      </c>
    </row>
    <row r="140">
      <c r="A140">
        <v>4</v>
      </c>
      <c r="B140" t="str">
        <v>Pas. pondasi batu kali 1:4</v>
      </c>
      <c r="C140" t="str">
        <v>Spesi 1 : 4</v>
      </c>
      <c r="D140" t="str">
        <v>m3</v>
      </c>
      <c r="E140">
        <f>'QTY-PR'!E33</f>
        <v>1.08</v>
      </c>
      <c r="F140">
        <f>SUMIF(SNI!C$1:C$65536,'RAB - PR'!B$1:B$65536,SNI!L$1:L$65536)</f>
        <v>698700</v>
      </c>
      <c r="G140">
        <f>E140*F140</f>
        <v>754596</v>
      </c>
    </row>
    <row r="141">
      <c r="A141">
        <v>5</v>
      </c>
      <c r="B141" t="str">
        <v>Urugan tanah kembali</v>
      </c>
      <c r="C141" t="str">
        <v>Sisi pondasi</v>
      </c>
      <c r="D141" t="str">
        <v>m3</v>
      </c>
      <c r="E141">
        <f>'QTY-PR'!E34</f>
        <v>0.4199999999999995</v>
      </c>
      <c r="F141">
        <f>SUMIF(SNI!C$1:C$65536,'RAB - PR'!B$1:B$65536,SNI!L$1:L$65536)</f>
        <v>11500</v>
      </c>
      <c r="G141">
        <f>E141*F141</f>
        <v>4829.999999999994</v>
      </c>
    </row>
    <row r="142">
      <c r="A142">
        <v>6</v>
      </c>
      <c r="B142" t="str">
        <v>Buang tanah</v>
      </c>
      <c r="C142" t="str">
        <v>Didalam site</v>
      </c>
      <c r="D142" t="str">
        <v>m3</v>
      </c>
      <c r="E142">
        <f>'QTY-PR'!E35</f>
        <v>1.6800000000000002</v>
      </c>
      <c r="F142">
        <f>SUMIF(SNI!C$1:C$65536,'RAB - PR'!B$1:B$65536,SNI!L$1:L$65536)</f>
        <v>15100</v>
      </c>
      <c r="G142">
        <f>E142*F142</f>
        <v>25368.000000000004</v>
      </c>
      <c r="H142">
        <f>SUM(G137:G142)</f>
        <v>1070049</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269300</v>
      </c>
      <c r="G145">
        <f>E145*F145</f>
        <v>484739.99999999994</v>
      </c>
    </row>
    <row r="146">
      <c r="A146">
        <v>2</v>
      </c>
      <c r="B146" t="str">
        <v>Tulangan besi beton U-24</v>
      </c>
      <c r="D146" t="str">
        <v>kg</v>
      </c>
      <c r="E146">
        <f>'QTY-PR'!E102</f>
        <v>30.811725</v>
      </c>
      <c r="F146">
        <f>SUMIF(SNI!C$1:C$65536,'RAB - PR'!B$1:B$65536,SNI!L$1:L$65536)</f>
        <v>12600</v>
      </c>
      <c r="G146">
        <f>E146*F146</f>
        <v>388227.735</v>
      </c>
    </row>
    <row r="147">
      <c r="A147">
        <v>3</v>
      </c>
      <c r="B147" t="str">
        <v>Beton K - 175</v>
      </c>
      <c r="D147" t="str">
        <v>m3</v>
      </c>
      <c r="E147">
        <f>'QTY-PR'!E103</f>
        <v>0.09</v>
      </c>
      <c r="F147">
        <f>SUMIF(SNI!C$1:C$65536,'RAB - PR'!B$1:B$65536,SNI!L$1:L$65536)</f>
        <v>834600</v>
      </c>
      <c r="G147">
        <f>E147*F147</f>
        <v>75114</v>
      </c>
      <c r="H147">
        <f>SUM(G145:G147)</f>
        <v>948081.7349999999</v>
      </c>
    </row>
    <row r="149">
      <c r="A149" t="str">
        <v>B.3</v>
      </c>
      <c r="B149" t="str">
        <v>Pekerjaan Kolom Praktis</v>
      </c>
    </row>
    <row r="150">
      <c r="A150">
        <v>1</v>
      </c>
      <c r="B150" t="str">
        <v>Bekisting sloof beton</v>
      </c>
      <c r="C150" t="str">
        <v>Mutu baja U-24</v>
      </c>
      <c r="D150" t="str">
        <v>m2</v>
      </c>
      <c r="E150">
        <f>'QTY-PR'!E138</f>
        <v>0.8</v>
      </c>
      <c r="F150">
        <f>SUMIF(SNI!C$1:C$65536,'RAB - PR'!B$1:B$65536,SNI!L$1:L$65536)</f>
        <v>269300</v>
      </c>
      <c r="G150">
        <f>E150*F150</f>
        <v>215440</v>
      </c>
    </row>
    <row r="151">
      <c r="A151">
        <v>2</v>
      </c>
      <c r="B151" t="str">
        <v>Tulangan besi beton U-24</v>
      </c>
      <c r="D151" t="str">
        <v>kg</v>
      </c>
      <c r="E151">
        <f>'QTY-PR'!E139</f>
        <v>23.919252</v>
      </c>
      <c r="F151">
        <f>SUMIF(SNI!C$1:C$65536,'RAB - PR'!B$1:B$65536,SNI!L$1:L$65536)</f>
        <v>12600</v>
      </c>
      <c r="G151">
        <f>E151*F151</f>
        <v>301382.5752</v>
      </c>
    </row>
    <row r="152">
      <c r="A152">
        <v>3</v>
      </c>
      <c r="B152" t="str">
        <v>Beton K - 175</v>
      </c>
      <c r="D152" t="str">
        <v>m3</v>
      </c>
      <c r="E152">
        <f>'QTY-PR'!E140</f>
        <v>0.04000000000000001</v>
      </c>
      <c r="F152">
        <f>SUMIF(SNI!C$1:C$65536,'RAB - PR'!B$1:B$65536,SNI!L$1:L$65536)</f>
        <v>834600</v>
      </c>
      <c r="G152">
        <f>E152*F152</f>
        <v>33384.00000000001</v>
      </c>
      <c r="H152">
        <f>SUM(G151:G152)</f>
        <v>334766.5752</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46600</v>
      </c>
      <c r="G155">
        <f>E155*F155</f>
        <v>55920.00000000001</v>
      </c>
    </row>
    <row r="156">
      <c r="A156">
        <v>1</v>
      </c>
      <c r="B156" t="str">
        <v>Tulangan besi beton U-24</v>
      </c>
      <c r="D156" t="str">
        <v>kg</v>
      </c>
      <c r="E156">
        <f>'QTY-PR'!E191</f>
        <v>29.11986</v>
      </c>
      <c r="F156">
        <f>SUMIF(SNI!C$1:C$65536,'RAB - PR'!B$1:B$65536,SNI!L$1:L$65536)</f>
        <v>12600</v>
      </c>
      <c r="G156">
        <f>E156*F156</f>
        <v>366910.236</v>
      </c>
    </row>
    <row r="157">
      <c r="A157">
        <v>3</v>
      </c>
      <c r="B157" t="str">
        <v>Beton K - 175</v>
      </c>
      <c r="D157" t="str">
        <v>m3</v>
      </c>
      <c r="E157">
        <f>'QTY-PR'!E193</f>
        <v>0.06000000000000001</v>
      </c>
      <c r="F157">
        <f>SUMIF(SNI!C$1:C$65536,'RAB - PR'!B$1:B$65536,SNI!L$1:L$65536)</f>
        <v>834600</v>
      </c>
      <c r="G157">
        <f>E157*F157</f>
        <v>50076.00000000001</v>
      </c>
      <c r="H157">
        <f>SUM(G156:G157)</f>
        <v>416986.236</v>
      </c>
    </row>
    <row r="159">
      <c r="A159" t="str">
        <v>B.5</v>
      </c>
      <c r="B159" t="str">
        <v>Pekerjaan Dinding</v>
      </c>
    </row>
    <row r="160">
      <c r="A160">
        <v>1</v>
      </c>
      <c r="B160" t="str">
        <v>Pas. Dinding batu bata; ad 1:4</v>
      </c>
      <c r="C160" t="str">
        <v>Spesi 1 : 4</v>
      </c>
      <c r="D160" t="str">
        <v>m2</v>
      </c>
      <c r="E160">
        <v>12</v>
      </c>
      <c r="F160">
        <f>SUMIF(SNI!C$1:C$65536,'RAB - PR'!B$1:B$65536,SNI!L$1:L$65536)</f>
        <v>5272700</v>
      </c>
      <c r="G160">
        <f>E160*F160</f>
        <v>63272400</v>
      </c>
    </row>
    <row r="161">
      <c r="A161">
        <v>2</v>
      </c>
      <c r="B161" t="str">
        <v>Pas. Plester acian; ad. 1:4</v>
      </c>
      <c r="C161" t="str">
        <v>Spesi 1 : 4</v>
      </c>
      <c r="D161" t="str">
        <v>m2</v>
      </c>
      <c r="E161">
        <v>12</v>
      </c>
      <c r="F161">
        <f>SUMIF(SNI!C$1:C$65536,'RAB - PR'!B$1:B$65536,SNI!L$1:L$65536)</f>
        <v>37500</v>
      </c>
      <c r="G161">
        <f>E161*F161</f>
        <v>450000</v>
      </c>
    </row>
    <row r="162">
      <c r="A162">
        <v>3</v>
      </c>
      <c r="B162" t="str">
        <v>Cat dinding dalam acrylic emulsion KW.II</v>
      </c>
      <c r="C162" t="str">
        <v>ex Mowilex</v>
      </c>
      <c r="D162" t="str">
        <v>m2</v>
      </c>
      <c r="E162">
        <v>12</v>
      </c>
      <c r="F162">
        <f>SUMIF(SNI!C$1:C$65536,'RAB - PR'!B$1:B$65536,SNI!L$1:L$65536)</f>
        <v>13900</v>
      </c>
      <c r="G162">
        <f>E162*F162</f>
        <v>166800</v>
      </c>
      <c r="H162">
        <f>SUM(G160:G162)</f>
        <v>63889200</v>
      </c>
    </row>
    <row r="164">
      <c r="G164" t="str">
        <v>TOTAL,… Rp.</v>
      </c>
      <c r="H164">
        <f>SUM(G134:G163)</f>
        <v>66930443.5462</v>
      </c>
    </row>
    <row r="165">
      <c r="G165" t="str">
        <v>Ppn 10%… Rp.</v>
      </c>
      <c r="H165">
        <f>0.1*H164</f>
        <v>6693044.35462</v>
      </c>
    </row>
    <row r="166">
      <c r="G166" t="str">
        <v>Total</v>
      </c>
      <c r="H166">
        <f>H164+H165</f>
        <v>73623487.90082</v>
      </c>
    </row>
    <row r="167">
      <c r="G167" t="str">
        <v>Panjang pagar,…m</v>
      </c>
      <c r="H167">
        <v>6</v>
      </c>
    </row>
    <row r="168">
      <c r="G168" t="str">
        <v>Harga pagar …/m</v>
      </c>
      <c r="H168">
        <f>H166/H167</f>
        <v>12270581.316803334</v>
      </c>
    </row>
    <row r="169">
      <c r="G169" t="str">
        <v>Dibulatkan …/m</v>
      </c>
      <c r="H169">
        <f>ROUND(H168,-4)</f>
        <v>12270000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34400</v>
      </c>
      <c r="G174">
        <f>E174*F174</f>
        <v>72239.99999999999</v>
      </c>
    </row>
    <row r="175">
      <c r="A175">
        <v>2</v>
      </c>
      <c r="B175" t="str">
        <v>Pas. Urugan pasir</v>
      </c>
      <c r="D175" t="str">
        <v>m3</v>
      </c>
      <c r="E175">
        <f>'QTY-PR'!F31</f>
        <v>0.15000000000000002</v>
      </c>
      <c r="F175">
        <f>SUMIF(SNI!C$1:C$65536,'RAB - PR'!B$1:B$65536,SNI!L$1:L$65536)</f>
        <v>180500</v>
      </c>
      <c r="G175">
        <f>E175*F175</f>
        <v>27075.000000000004</v>
      </c>
    </row>
    <row r="176">
      <c r="A176">
        <v>3</v>
      </c>
      <c r="B176" t="str">
        <v>Aanstamping batu kali</v>
      </c>
      <c r="D176" t="str">
        <v>m3</v>
      </c>
      <c r="E176">
        <f>'QTY-PR'!F32</f>
        <v>0.44999999999999996</v>
      </c>
      <c r="F176">
        <f>SUMIF(SNI!C$1:C$65536,'RAB - PR'!B$1:B$65536,SNI!L$1:L$65536)</f>
        <v>413200</v>
      </c>
      <c r="G176">
        <f>E176*F176</f>
        <v>185939.99999999997</v>
      </c>
    </row>
    <row r="177">
      <c r="A177">
        <v>4</v>
      </c>
      <c r="B177" t="str">
        <v>Pas. pondasi batu kali 1:4</v>
      </c>
      <c r="C177" t="str">
        <v>Spesi 1 : 4</v>
      </c>
      <c r="D177" t="str">
        <v>m3</v>
      </c>
      <c r="E177">
        <f>'QTY-PR'!F33</f>
        <v>1.08</v>
      </c>
      <c r="F177">
        <f>SUMIF(SNI!C$1:C$65536,'RAB - PR'!B$1:B$65536,SNI!L$1:L$65536)</f>
        <v>698700</v>
      </c>
      <c r="G177">
        <f>E177*F177</f>
        <v>754596</v>
      </c>
    </row>
    <row r="178">
      <c r="A178">
        <v>5</v>
      </c>
      <c r="B178" t="str">
        <v>Urugan tanah kembali</v>
      </c>
      <c r="C178" t="str">
        <v>Sisi pondasi</v>
      </c>
      <c r="D178" t="str">
        <v>m3</v>
      </c>
      <c r="E178">
        <f>'QTY-PR'!F34</f>
        <v>0.4199999999999995</v>
      </c>
      <c r="F178">
        <f>SUMIF(SNI!C$1:C$65536,'RAB - PR'!B$1:B$65536,SNI!L$1:L$65536)</f>
        <v>11500</v>
      </c>
      <c r="G178">
        <f>E178*F178</f>
        <v>4829.999999999994</v>
      </c>
    </row>
    <row r="179">
      <c r="A179">
        <v>6</v>
      </c>
      <c r="B179" t="str">
        <v>Buang tanah</v>
      </c>
      <c r="C179" t="str">
        <v>Didalam site</v>
      </c>
      <c r="D179" t="str">
        <v>m3</v>
      </c>
      <c r="E179">
        <f>'QTY-PR'!F35</f>
        <v>1.6800000000000002</v>
      </c>
      <c r="F179">
        <f>SUMIF(SNI!C$1:C$65536,'RAB - PR'!B$1:B$65536,SNI!L$1:L$65536)</f>
        <v>15100</v>
      </c>
      <c r="G179">
        <f>E179*F179</f>
        <v>25368.000000000004</v>
      </c>
      <c r="H179">
        <f>SUM(G174:G179)</f>
        <v>1070049</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269300</v>
      </c>
      <c r="G182">
        <f>E182*F182</f>
        <v>484739.99999999994</v>
      </c>
    </row>
    <row r="183">
      <c r="A183">
        <v>2</v>
      </c>
      <c r="B183" t="str">
        <v>Tulangan besi beton U-24</v>
      </c>
      <c r="D183" t="str">
        <v>kg</v>
      </c>
      <c r="E183">
        <f>'QTY-PR'!F102</f>
        <v>30.811725</v>
      </c>
      <c r="F183">
        <f>SUMIF(SNI!C$1:C$65536,'RAB - PR'!B$1:B$65536,SNI!L$1:L$65536)</f>
        <v>12600</v>
      </c>
      <c r="G183">
        <f>E183*F183</f>
        <v>388227.735</v>
      </c>
    </row>
    <row r="184">
      <c r="A184">
        <v>3</v>
      </c>
      <c r="B184" t="str">
        <v>Beton K - 175</v>
      </c>
      <c r="D184" t="str">
        <v>m3</v>
      </c>
      <c r="E184">
        <f>'QTY-PR'!F103</f>
        <v>0.09</v>
      </c>
      <c r="F184">
        <f>SUMIF(SNI!C$1:C$65536,'RAB - PR'!B$1:B$65536,SNI!L$1:L$65536)</f>
        <v>834600</v>
      </c>
      <c r="G184">
        <f>E184*F184</f>
        <v>75114</v>
      </c>
      <c r="H184">
        <f>SUM(G182:G184)</f>
        <v>948081.7349999999</v>
      </c>
    </row>
    <row r="186">
      <c r="A186" t="str">
        <v>C.3</v>
      </c>
      <c r="B186" t="str">
        <v>Pekerjaan Kolom Praktis</v>
      </c>
    </row>
    <row r="187">
      <c r="A187">
        <v>1</v>
      </c>
      <c r="B187" t="str">
        <v>Bekisting sloof beton</v>
      </c>
      <c r="C187" t="str">
        <v>Mutu baja U-24</v>
      </c>
      <c r="D187" t="str">
        <v>kg</v>
      </c>
      <c r="E187">
        <f>'QTY-PR'!F138</f>
        <v>1</v>
      </c>
      <c r="F187">
        <f>SUMIF(SNI!C$1:C$65536,'RAB - PR'!B$1:B$65536,SNI!L$1:L$65536)</f>
        <v>269300</v>
      </c>
      <c r="G187">
        <f>E187*F187</f>
        <v>269300</v>
      </c>
    </row>
    <row r="188">
      <c r="A188">
        <v>2</v>
      </c>
      <c r="B188" t="str">
        <v>Tulangan besi beton U-24</v>
      </c>
      <c r="D188" t="str">
        <v>m2</v>
      </c>
      <c r="E188">
        <f>'QTY-PR'!F138</f>
        <v>1</v>
      </c>
      <c r="F188">
        <f>SUMIF(SNI!C$1:C$65536,'RAB - PR'!B$1:B$65536,SNI!L$1:L$65536)</f>
        <v>12600</v>
      </c>
      <c r="G188">
        <f>E188*F188</f>
        <v>12600</v>
      </c>
    </row>
    <row r="189">
      <c r="A189">
        <v>3</v>
      </c>
      <c r="B189" t="str">
        <v>Beton K - 175</v>
      </c>
      <c r="D189" t="str">
        <v>m3</v>
      </c>
      <c r="E189">
        <f>'QTY-PR'!F140</f>
        <v>0.05000000000000001</v>
      </c>
      <c r="F189">
        <f>SUMIF(SNI!C$1:C$65536,'RAB - PR'!B$1:B$65536,SNI!L$1:L$65536)</f>
        <v>834600</v>
      </c>
      <c r="G189">
        <f>E189*F189</f>
        <v>41730.00000000001</v>
      </c>
      <c r="H189">
        <f>SUM(G187:G189)</f>
        <v>323630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46600</v>
      </c>
      <c r="G192">
        <f>E192*F192</f>
        <v>55920.00000000001</v>
      </c>
    </row>
    <row r="193">
      <c r="A193">
        <v>1</v>
      </c>
      <c r="B193" t="str">
        <v>Tulangan besi beton U-24</v>
      </c>
      <c r="D193" t="str">
        <v>kg</v>
      </c>
      <c r="E193">
        <f>'QTY-PR'!F191</f>
        <v>29.11986</v>
      </c>
      <c r="F193">
        <f>SUMIF(SNI!C$1:C$65536,'RAB - PR'!B$1:B$65536,SNI!L$1:L$65536)</f>
        <v>12600</v>
      </c>
      <c r="G193">
        <f>E193*F193</f>
        <v>366910.236</v>
      </c>
    </row>
    <row r="194">
      <c r="A194">
        <v>3</v>
      </c>
      <c r="B194" t="str">
        <v>Beton K - 175</v>
      </c>
      <c r="D194" t="str">
        <v>m3</v>
      </c>
      <c r="E194">
        <f>'QTY-PR'!F193</f>
        <v>0.06000000000000001</v>
      </c>
      <c r="F194">
        <f>SUMIF(SNI!C$1:C$65536,'RAB - PR'!B$1:B$65536,SNI!L$1:L$65536)</f>
        <v>834600</v>
      </c>
      <c r="G194">
        <f>E194*F194</f>
        <v>50076.00000000001</v>
      </c>
      <c r="H194">
        <f>SUM(G193:G194)</f>
        <v>416986.236</v>
      </c>
    </row>
    <row r="196">
      <c r="A196" t="str">
        <v>C.5</v>
      </c>
      <c r="B196" t="str">
        <v>Pekerjaan Dinding</v>
      </c>
    </row>
    <row r="197">
      <c r="A197">
        <v>1</v>
      </c>
      <c r="B197" t="str">
        <v>Pas. Dinding batu bata; ad 1:4</v>
      </c>
      <c r="C197" t="str">
        <v>Spesi 1 : 4</v>
      </c>
      <c r="D197" t="str">
        <v>m2</v>
      </c>
      <c r="E197">
        <f>'QTY-PR'!L13</f>
        <v>15</v>
      </c>
      <c r="F197">
        <f>SUMIF(SNI!C$1:C$65536,'RAB - PR'!B$1:B$65536,SNI!L$1:L$65536)</f>
        <v>5272700</v>
      </c>
      <c r="G197">
        <f>E197*F197</f>
        <v>79090500</v>
      </c>
    </row>
    <row r="198">
      <c r="A198">
        <v>2</v>
      </c>
      <c r="B198" t="str">
        <v>Pas. Plester acian; ad. 1:4</v>
      </c>
      <c r="C198" t="str">
        <v>Spesi 1 : 4</v>
      </c>
      <c r="D198" t="str">
        <v>m2</v>
      </c>
      <c r="E198">
        <f>E197</f>
        <v>15</v>
      </c>
      <c r="F198">
        <f>SUMIF(SNI!C$1:C$65536,'RAB - PR'!B$1:B$65536,SNI!L$1:L$65536)</f>
        <v>37500</v>
      </c>
      <c r="G198">
        <f>E198*F198</f>
        <v>562500</v>
      </c>
    </row>
    <row r="199">
      <c r="A199">
        <v>3</v>
      </c>
      <c r="B199" t="str">
        <v>Cat dinding dalam acrylic emulsion KW.II</v>
      </c>
      <c r="C199" t="str">
        <v>ex Mowilex</v>
      </c>
      <c r="D199" t="str">
        <v>m2</v>
      </c>
      <c r="E199">
        <f>E197</f>
        <v>15</v>
      </c>
      <c r="F199">
        <f>SUMIF(SNI!C$1:C$65536,'RAB - PR'!B$1:B$65536,SNI!L$1:L$65536)</f>
        <v>13900</v>
      </c>
      <c r="G199">
        <f>E199*F199</f>
        <v>208500</v>
      </c>
      <c r="H199">
        <f>SUM(G197:G199)</f>
        <v>79861500</v>
      </c>
    </row>
    <row r="201">
      <c r="G201" t="str">
        <v>TOTAL,… Rp.</v>
      </c>
      <c r="H201">
        <f>SUM(G174:G199)</f>
        <v>82676166.971</v>
      </c>
    </row>
    <row r="202">
      <c r="G202" t="str">
        <v>Ppn 10%… Rp.</v>
      </c>
      <c r="H202">
        <f>0.1*H201</f>
        <v>8267616.6971</v>
      </c>
    </row>
    <row r="203">
      <c r="G203" t="str">
        <v>Total</v>
      </c>
      <c r="H203">
        <f>H201+H202</f>
        <v>90943783.6681</v>
      </c>
    </row>
    <row r="204">
      <c r="G204" t="str">
        <v>Panjang pagar,…m</v>
      </c>
      <c r="H204">
        <v>6</v>
      </c>
    </row>
    <row r="205">
      <c r="G205" t="str">
        <v>Harga pagar …/m</v>
      </c>
      <c r="H205">
        <f>H203/H204</f>
        <v>15157297.278016666</v>
      </c>
    </row>
    <row r="206">
      <c r="G206" t="str">
        <v>Dibulatkan …/m</v>
      </c>
      <c r="H206">
        <f>ROUND(H205,-4)</f>
        <v>15160000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7"/>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892"/>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2750</v>
      </c>
      <c r="F14">
        <v>0</v>
      </c>
    </row>
    <row r="15">
      <c r="A15">
        <v>3</v>
      </c>
      <c r="B15" t="str">
        <v>Batu kali</v>
      </c>
      <c r="C15" t="str">
        <v>Batu belah pondasi</v>
      </c>
      <c r="D15" t="str">
        <v>m3</v>
      </c>
      <c r="E15">
        <f>HLOOKUP($C$1,D!$G$6:$BV$165,ROW(D!A6),0)</f>
        <v>190000</v>
      </c>
      <c r="F15">
        <v>0</v>
      </c>
    </row>
    <row r="16">
      <c r="A16">
        <v>4</v>
      </c>
      <c r="B16" t="str">
        <v>Batu Split Pecah Mesin 1/2</v>
      </c>
      <c r="D16" t="str">
        <v>m3</v>
      </c>
      <c r="E16">
        <f>HLOOKUP($C$1,D!$G$6:$BV$165,ROW(D!A7),0)</f>
        <v>210000</v>
      </c>
      <c r="F16">
        <v>0</v>
      </c>
    </row>
    <row r="17">
      <c r="A17">
        <v>5</v>
      </c>
      <c r="B17" t="str">
        <v>Batu Split Pecah Mesin 3/5</v>
      </c>
      <c r="D17" t="str">
        <v>m3</v>
      </c>
      <c r="E17">
        <f>HLOOKUP($C$1,D!$G$6:$BV$165,ROW(D!A8),0)</f>
        <v>220000</v>
      </c>
      <c r="F17">
        <v>0</v>
      </c>
    </row>
    <row r="18">
      <c r="A18">
        <v>6</v>
      </c>
      <c r="B18" t="str">
        <v>Batu Kerikil</v>
      </c>
      <c r="D18" t="str">
        <v>m3</v>
      </c>
      <c r="E18">
        <f>HLOOKUP($C$1,D!$G$6:$BV$165,ROW(D!A9),0)</f>
        <v>180000</v>
      </c>
      <c r="F18">
        <v>0</v>
      </c>
    </row>
    <row r="19">
      <c r="A19">
        <v>7</v>
      </c>
      <c r="B19" t="str">
        <v>Pasir Beton</v>
      </c>
      <c r="D19" t="str">
        <v>m3</v>
      </c>
      <c r="E19">
        <f>HLOOKUP($C$1,D!$G$6:$BV$165,ROW(D!A10),0)</f>
        <v>210000</v>
      </c>
      <c r="F19">
        <v>0</v>
      </c>
    </row>
    <row r="20">
      <c r="A20">
        <v>8</v>
      </c>
      <c r="B20" t="str">
        <v>Pasir Pasang</v>
      </c>
      <c r="D20" t="str">
        <v>m3</v>
      </c>
      <c r="E20">
        <f>HLOOKUP($C$1,D!$G$6:$BV$165,ROW(D!A11),0)</f>
        <v>190000</v>
      </c>
      <c r="F20">
        <v>0</v>
      </c>
    </row>
    <row r="21">
      <c r="A21">
        <v>9</v>
      </c>
      <c r="B21" t="str">
        <v>Pasir Urug</v>
      </c>
      <c r="D21" t="str">
        <v>m3</v>
      </c>
      <c r="E21">
        <f>HLOOKUP($C$1,D!$G$6:$BV$165,ROW(D!A12),0)</f>
        <v>140000</v>
      </c>
      <c r="F21">
        <v>0</v>
      </c>
    </row>
    <row r="22">
      <c r="A22">
        <v>10</v>
      </c>
      <c r="B22" t="str">
        <v>Tanah Urug</v>
      </c>
      <c r="D22" t="str">
        <v>m3</v>
      </c>
      <c r="E22">
        <f>HLOOKUP($C$1,D!$G$6:$BV$165,ROW(D!A13),0)</f>
        <v>50000</v>
      </c>
      <c r="F22">
        <v>0</v>
      </c>
    </row>
    <row r="24">
      <c r="A24" t="str">
        <v>II</v>
      </c>
      <c r="B24" t="str">
        <v xml:space="preserve">BAHAN PEREKAT </v>
      </c>
    </row>
    <row r="25">
      <c r="A25">
        <v>1</v>
      </c>
      <c r="B25" t="str">
        <v>Semen (50 Kg)</v>
      </c>
      <c r="C25" t="str">
        <v>Semen Indonesia</v>
      </c>
      <c r="D25" t="str">
        <v>zak</v>
      </c>
      <c r="E25">
        <f>HLOOKUP($C$1,D!$G$6:$BV$165,ROW(D!A16),0)</f>
        <v>61000</v>
      </c>
      <c r="F25">
        <v>0</v>
      </c>
    </row>
    <row r="26">
      <c r="A26">
        <v>2</v>
      </c>
      <c r="B26" t="str">
        <v xml:space="preserve">Semen Warna </v>
      </c>
      <c r="C26" t="str">
        <v>Semen Indonesia</v>
      </c>
      <c r="D26" t="str">
        <v>kg</v>
      </c>
      <c r="E26">
        <f>HLOOKUP($C$1,D!$G$6:$BV$165,ROW(D!A17),0)</f>
        <v>11500</v>
      </c>
      <c r="F26">
        <v>0</v>
      </c>
    </row>
    <row r="28">
      <c r="A28" t="str">
        <v>III</v>
      </c>
      <c r="B28" t="str">
        <v>BAHAN BAJA :</v>
      </c>
    </row>
    <row r="29">
      <c r="A29">
        <v>1</v>
      </c>
      <c r="B29" t="str">
        <v>Besi Beton U-24</v>
      </c>
      <c r="C29" t="str">
        <v>KS</v>
      </c>
      <c r="D29" t="str">
        <v>Kg</v>
      </c>
      <c r="E29">
        <f>HLOOKUP($C$1,D!$G$6:$BV$165,ROW(D!A20),0)</f>
        <v>10000</v>
      </c>
      <c r="F29">
        <v>0</v>
      </c>
    </row>
    <row r="30">
      <c r="A30">
        <v>2</v>
      </c>
      <c r="B30" t="str">
        <v>Besi Beton U-39</v>
      </c>
      <c r="C30" t="str">
        <v>KS</v>
      </c>
      <c r="D30" t="str">
        <v>kg</v>
      </c>
      <c r="E30">
        <f>HLOOKUP($C$1,D!$G$6:$BV$165,ROW(D!A21),0)</f>
        <v>12500</v>
      </c>
      <c r="F30">
        <v>0</v>
      </c>
    </row>
    <row r="31">
      <c r="A31">
        <v>3</v>
      </c>
      <c r="B31" t="str">
        <v xml:space="preserve">Besi Plat rata2 </v>
      </c>
      <c r="C31" t="str">
        <v>KS</v>
      </c>
      <c r="D31" t="str">
        <v>Kg</v>
      </c>
      <c r="E31">
        <f>HLOOKUP($C$1,D!$G$6:$BV$165,ROW(D!A22),0)</f>
        <v>13700</v>
      </c>
      <c r="F31">
        <v>0</v>
      </c>
    </row>
    <row r="32">
      <c r="A32">
        <v>4</v>
      </c>
      <c r="B32" t="str">
        <v>Besi Tempa</v>
      </c>
      <c r="D32" t="str">
        <v>m2</v>
      </c>
      <c r="E32">
        <f>HLOOKUP($C$1,D!$G$6:$BV$165,ROW(D!A23),0)</f>
        <v>225000</v>
      </c>
      <c r="F32" t="str">
        <v>BRC 120cm</v>
      </c>
    </row>
    <row r="33">
      <c r="A33">
        <v>5</v>
      </c>
      <c r="B33" t="str">
        <v>Rangka atap baja ringan</v>
      </c>
      <c r="C33" t="str">
        <v xml:space="preserve"> Smart truss; Prima truss</v>
      </c>
      <c r="D33" t="str">
        <v>m2</v>
      </c>
      <c r="E33">
        <f>HLOOKUP($C$1,D!$G$6:$BV$165,ROW(D!A24),0)</f>
        <v>120000</v>
      </c>
      <c r="F33">
        <v>0</v>
      </c>
    </row>
    <row r="34">
      <c r="A34">
        <v>6</v>
      </c>
      <c r="B34" t="str">
        <v>Kawat beton</v>
      </c>
      <c r="C34" t="str">
        <v>Kawat Beton</v>
      </c>
      <c r="D34" t="str">
        <v>kg</v>
      </c>
      <c r="E34">
        <f>HLOOKUP($C$1,D!$G$6:$BV$165,ROW(D!A25),0)</f>
        <v>15000</v>
      </c>
      <c r="F34">
        <v>0</v>
      </c>
    </row>
    <row r="36">
      <c r="A36" t="str">
        <v>IV</v>
      </c>
      <c r="B36" t="str">
        <v xml:space="preserve">BAHAN KAYU </v>
      </c>
    </row>
    <row r="37">
      <c r="A37">
        <v>1</v>
      </c>
      <c r="B37" t="str">
        <v>Kayu Klas I</v>
      </c>
      <c r="C37" t="str">
        <v>Jati</v>
      </c>
      <c r="D37" t="str">
        <v>m3</v>
      </c>
      <c r="E37">
        <f>HLOOKUP($C$1,D!$G$6:$BV$165,ROW(D!A28),0)</f>
        <v>19500000</v>
      </c>
      <c r="F37">
        <v>0</v>
      </c>
    </row>
    <row r="38">
      <c r="A38">
        <v>2</v>
      </c>
      <c r="B38" t="str">
        <v>Kayu Klas II</v>
      </c>
      <c r="C38" t="str">
        <v>Kamper</v>
      </c>
      <c r="D38" t="str">
        <v>m3</v>
      </c>
      <c r="E38">
        <f>HLOOKUP($C$1,D!$G$6:$BV$165,ROW(D!A29),0)</f>
        <v>6900000</v>
      </c>
      <c r="F38">
        <v>0</v>
      </c>
    </row>
    <row r="39">
      <c r="A39">
        <v>3</v>
      </c>
      <c r="B39" t="str">
        <v>Kayu Klas III</v>
      </c>
      <c r="C39" t="str">
        <v>Meranti</v>
      </c>
      <c r="D39" t="str">
        <v>m3</v>
      </c>
      <c r="E39">
        <f>HLOOKUP($C$1,D!$G$6:$BV$165,ROW(D!A30),0)</f>
        <v>4500000</v>
      </c>
      <c r="F39">
        <v>0</v>
      </c>
    </row>
    <row r="40">
      <c r="A40">
        <v>4</v>
      </c>
      <c r="B40" t="str">
        <v>Kayu Klas IV</v>
      </c>
      <c r="C40" t="str">
        <v>Terentang</v>
      </c>
      <c r="D40" t="str">
        <v>m3</v>
      </c>
      <c r="E40">
        <f>HLOOKUP($C$1,D!$G$6:$BV$165,ROW(D!A31),0)</f>
        <v>1750000</v>
      </c>
      <c r="F40">
        <v>0</v>
      </c>
    </row>
    <row r="41">
      <c r="A41">
        <v>5</v>
      </c>
      <c r="B41" t="str">
        <v>Dolken dia 8 s/d 10 cm</v>
      </c>
      <c r="C41" t="str">
        <v>p. 4 m</v>
      </c>
      <c r="D41" t="str">
        <v>btg</v>
      </c>
      <c r="E41">
        <f>HLOOKUP($C$1,D!$G$6:$BV$165,ROW(D!A32),0)</f>
        <v>18000</v>
      </c>
      <c r="F41">
        <v>0</v>
      </c>
    </row>
    <row r="43">
      <c r="A43" t="str">
        <v>V</v>
      </c>
      <c r="B43" t="str">
        <v>BAHAN  ALMUNIUM</v>
      </c>
    </row>
    <row r="44">
      <c r="A44">
        <v>1</v>
      </c>
      <c r="B44" t="str">
        <v>Kusen Almunium</v>
      </c>
      <c r="C44" t="str">
        <v>3", Alexindo</v>
      </c>
      <c r="D44" t="str">
        <v>m'</v>
      </c>
      <c r="E44">
        <f>HLOOKUP($C$1,D!$G$6:$BV$165,ROW(D!A35),0)</f>
        <v>70000</v>
      </c>
      <c r="F44">
        <v>0</v>
      </c>
    </row>
    <row r="45">
      <c r="A45">
        <v>2</v>
      </c>
      <c r="B45" t="str">
        <v>Rangka Jendela Almunium</v>
      </c>
      <c r="C45" t="str">
        <v>Alexindo</v>
      </c>
      <c r="D45" t="str">
        <v>m'</v>
      </c>
      <c r="E45">
        <f>HLOOKUP($C$1,D!$G$6:$BV$165,ROW(D!A36),0)</f>
        <v>70000</v>
      </c>
      <c r="F45">
        <v>0</v>
      </c>
    </row>
    <row r="46">
      <c r="A46">
        <v>3</v>
      </c>
      <c r="B46" t="str">
        <v>Rangka Pintu Almunium</v>
      </c>
      <c r="C46" t="str">
        <v>Alexindo</v>
      </c>
      <c r="D46" t="str">
        <v>m'</v>
      </c>
      <c r="E46">
        <f>HLOOKUP($C$1,D!$G$6:$BV$165,ROW(D!A37),0)</f>
        <v>70000</v>
      </c>
      <c r="F46">
        <v>0</v>
      </c>
    </row>
    <row r="47">
      <c r="A47">
        <v>4</v>
      </c>
      <c r="B47" t="str">
        <v>Kusen &amp; Pintu PVC toilet</v>
      </c>
      <c r="C47" t="str">
        <v>Maspion</v>
      </c>
      <c r="D47" t="str">
        <v>unt</v>
      </c>
      <c r="E47">
        <f>HLOOKUP($C$1,D!$G$6:$BV$165,ROW(D!A38),0)</f>
        <v>850000</v>
      </c>
      <c r="F47">
        <v>0</v>
      </c>
    </row>
    <row r="48">
      <c r="A48">
        <v>5</v>
      </c>
      <c r="B48" t="str">
        <v xml:space="preserve">Engsel </v>
      </c>
      <c r="C48" t="str">
        <v>3", ex Bos</v>
      </c>
      <c r="D48" t="str">
        <v>bh</v>
      </c>
      <c r="E48">
        <f>HLOOKUP($C$1,D!$G$6:$BV$165,ROW(D!A39),0)</f>
        <v>15000</v>
      </c>
      <c r="F48">
        <v>0</v>
      </c>
    </row>
    <row r="49">
      <c r="A49">
        <v>7</v>
      </c>
      <c r="B49" t="str">
        <v xml:space="preserve">Handle pintu </v>
      </c>
      <c r="C49" t="str">
        <v>type HRE 75.01 ex. Cisa</v>
      </c>
      <c r="D49" t="str">
        <v>bh</v>
      </c>
      <c r="E49">
        <f>HLOOKUP($C$1,D!$G$6:$BV$165,ROW(D!A40),0)</f>
        <v>253000</v>
      </c>
      <c r="F49">
        <v>0</v>
      </c>
    </row>
    <row r="50">
      <c r="A50">
        <v>8</v>
      </c>
      <c r="B50" t="str">
        <v xml:space="preserve">Selinder </v>
      </c>
      <c r="C50" t="str">
        <v>type 08510 ex. Cisa</v>
      </c>
      <c r="D50" t="str">
        <v>bh</v>
      </c>
      <c r="E50">
        <f>HLOOKUP($C$1,D!$G$6:$BV$165,ROW(D!A41),0)</f>
        <v>242000</v>
      </c>
      <c r="F50">
        <v>0</v>
      </c>
    </row>
    <row r="51">
      <c r="A51">
        <v>9</v>
      </c>
      <c r="B51" t="str">
        <v>Door Stoper</v>
      </c>
      <c r="D51" t="str">
        <v>bh</v>
      </c>
      <c r="E51">
        <f>HLOOKUP($C$1,D!$G$6:$BV$165,ROW(D!A42),0)</f>
        <v>250000</v>
      </c>
      <c r="F51">
        <v>0</v>
      </c>
    </row>
    <row r="52">
      <c r="A52">
        <v>10</v>
      </c>
      <c r="B52" t="str">
        <v>Door closer</v>
      </c>
      <c r="D52" t="str">
        <v>bh</v>
      </c>
      <c r="E52">
        <f>HLOOKUP($C$1,D!$G$6:$BV$165,ROW(D!A43),0)</f>
        <v>450000</v>
      </c>
      <c r="F52">
        <v>0</v>
      </c>
    </row>
    <row r="53">
      <c r="A53">
        <v>11</v>
      </c>
      <c r="B53" t="str">
        <v>Slot Tanam</v>
      </c>
      <c r="D53" t="str">
        <v>bh</v>
      </c>
      <c r="E53">
        <f>HLOOKUP($C$1,D!$G$6:$BV$165,ROW(D!A44),0)</f>
        <v>75000</v>
      </c>
      <c r="F53">
        <v>0</v>
      </c>
    </row>
    <row r="54">
      <c r="A54">
        <v>12</v>
      </c>
      <c r="B54" t="str">
        <v>Kait Angin</v>
      </c>
      <c r="D54" t="str">
        <v>bh</v>
      </c>
      <c r="E54">
        <f>HLOOKUP($C$1,D!$G$6:$BV$165,ROW(D!A45),0)</f>
        <v>5000</v>
      </c>
      <c r="F54">
        <v>0</v>
      </c>
    </row>
    <row r="55">
      <c r="A55">
        <v>13</v>
      </c>
      <c r="B55" t="str">
        <v>Grendel</v>
      </c>
      <c r="D55" t="str">
        <v>bh</v>
      </c>
      <c r="E55">
        <f>HLOOKUP($C$1,D!$G$6:$BV$165,ROW(D!A46),0)</f>
        <v>7500</v>
      </c>
      <c r="F55">
        <v>0</v>
      </c>
    </row>
    <row r="57">
      <c r="A57" t="str">
        <v>VI</v>
      </c>
      <c r="B57" t="str">
        <v>BAHAN PELAPIS :</v>
      </c>
    </row>
    <row r="58">
      <c r="A58">
        <v>1</v>
      </c>
      <c r="B58" t="str">
        <v>Triplek  t. 3 mm</v>
      </c>
      <c r="C58" t="str">
        <v xml:space="preserve">Uk 120x240 cm </v>
      </c>
      <c r="D58" t="str">
        <v>lbr</v>
      </c>
      <c r="E58">
        <f>HLOOKUP($C$1,D!$G$6:$BV$165,ROW(D!A49),0)</f>
        <v>35000</v>
      </c>
      <c r="F58">
        <v>0</v>
      </c>
    </row>
    <row r="59">
      <c r="A59">
        <v>2</v>
      </c>
      <c r="B59" t="str">
        <v>Triplex  t. 4 mm</v>
      </c>
      <c r="C59" t="str">
        <v xml:space="preserve">Uk 120x240 cm </v>
      </c>
      <c r="D59" t="str">
        <v>lbr</v>
      </c>
      <c r="E59">
        <f>HLOOKUP($C$1,D!$G$6:$BV$165,ROW(D!A50),0)</f>
        <v>45000</v>
      </c>
      <c r="F59">
        <v>0</v>
      </c>
    </row>
    <row r="60">
      <c r="A60">
        <v>3</v>
      </c>
      <c r="B60" t="str">
        <v>Triplex  t. 9 mm</v>
      </c>
      <c r="C60" t="str">
        <v xml:space="preserve">Uk 120x240 cm </v>
      </c>
      <c r="D60" t="str">
        <v>lbr</v>
      </c>
      <c r="E60">
        <f>HLOOKUP($C$1,D!$G$6:$BV$165,ROW(D!A51),0)</f>
        <v>106000</v>
      </c>
      <c r="F60">
        <v>0</v>
      </c>
    </row>
    <row r="62">
      <c r="A62" t="str">
        <v>VII</v>
      </c>
      <c r="B62" t="str">
        <v>BAHAN LANTAI &amp; DINDING KERAMIK</v>
      </c>
    </row>
    <row r="63">
      <c r="A63">
        <v>1</v>
      </c>
      <c r="B63" t="str">
        <v xml:space="preserve">Keramik 30/30 </v>
      </c>
      <c r="C63" t="str">
        <v>ex Masterina</v>
      </c>
      <c r="D63" t="str">
        <v>m2</v>
      </c>
      <c r="E63">
        <f>HLOOKUP($C$1,D!$G$6:$BV$165,ROW(D!A54),0)</f>
        <v>52000</v>
      </c>
      <c r="F63">
        <v>0</v>
      </c>
    </row>
    <row r="64">
      <c r="A64">
        <v>2</v>
      </c>
      <c r="B64" t="str">
        <v xml:space="preserve">Granite Tile 40/40 </v>
      </c>
      <c r="C64" t="str">
        <v>ex Granito tile</v>
      </c>
      <c r="D64" t="str">
        <v>m2</v>
      </c>
      <c r="E64">
        <f>HLOOKUP($C$1,D!$G$6:$BV$165,ROW(D!A55),0)</f>
        <v>350000</v>
      </c>
      <c r="F64">
        <v>0</v>
      </c>
    </row>
    <row r="65">
      <c r="A65">
        <v>3</v>
      </c>
      <c r="B65" t="str">
        <v xml:space="preserve">Plint Keramik 10/30 cm </v>
      </c>
      <c r="C65" t="str">
        <v>ex. Roman</v>
      </c>
      <c r="D65" t="str">
        <v>bh</v>
      </c>
      <c r="E65">
        <f>HLOOKUP($C$1,D!$G$6:$BV$165,ROW(D!A56),0)</f>
        <v>5000</v>
      </c>
      <c r="F65">
        <v>0</v>
      </c>
    </row>
    <row r="66">
      <c r="A66">
        <v>4</v>
      </c>
      <c r="B66" t="str">
        <v xml:space="preserve">Plint Granitetile 10/40 cm </v>
      </c>
      <c r="C66" t="str">
        <v>ex. Granito</v>
      </c>
      <c r="D66" t="str">
        <v>bh</v>
      </c>
      <c r="E66">
        <f>HLOOKUP($C$1,D!$G$6:$BV$165,ROW(D!A57),0)</f>
        <v>20000</v>
      </c>
      <c r="F66">
        <v>0</v>
      </c>
    </row>
    <row r="68">
      <c r="A68" t="str">
        <v>VIII</v>
      </c>
      <c r="B68" t="str">
        <v>BAHAN PENUTUP ATAP</v>
      </c>
    </row>
    <row r="69">
      <c r="A69">
        <v>1</v>
      </c>
      <c r="B69" t="str">
        <v xml:space="preserve">Genteng Keramik </v>
      </c>
      <c r="C69" t="str">
        <v>25 bh/m2 ex Jatiwangi</v>
      </c>
      <c r="D69" t="str">
        <v>bh</v>
      </c>
      <c r="E69">
        <f>HLOOKUP($C$1,D!$G$6:$BV$165,ROW(D!A60),0)</f>
        <v>2500</v>
      </c>
      <c r="F69">
        <v>0</v>
      </c>
    </row>
    <row r="70">
      <c r="A70">
        <v>2</v>
      </c>
      <c r="B70" t="str">
        <v>Genteng Keramik Glazur</v>
      </c>
      <c r="C70" t="str">
        <v xml:space="preserve"> 15 bh/m2 KANMURI</v>
      </c>
      <c r="D70" t="str">
        <v>bh</v>
      </c>
      <c r="E70">
        <f>HLOOKUP($C$1,D!$G$6:$BV$165,ROW(D!A61),0)</f>
        <v>5800</v>
      </c>
      <c r="F70">
        <v>0</v>
      </c>
    </row>
    <row r="71">
      <c r="A71">
        <v>3</v>
      </c>
      <c r="B71" t="str">
        <v>Nok Genteng Keramik</v>
      </c>
      <c r="C71" t="str">
        <v>4 bh/m ex Jatiwangi</v>
      </c>
      <c r="D71" t="str">
        <v>bh</v>
      </c>
      <c r="E71">
        <f>HLOOKUP($C$1,D!$G$6:$BV$165,ROW(D!A62),0)</f>
        <v>6100</v>
      </c>
      <c r="F71">
        <v>0</v>
      </c>
    </row>
    <row r="72">
      <c r="A72">
        <v>4</v>
      </c>
      <c r="B72" t="str">
        <v>Nok Genteng Keramik Glasur</v>
      </c>
      <c r="C72" t="str">
        <v>4 bh/m ex KANMURI</v>
      </c>
      <c r="D72" t="str">
        <v>bh</v>
      </c>
      <c r="E72">
        <f>HLOOKUP($C$1,D!$G$6:$BV$165,ROW(D!A63),0)</f>
        <v>7800</v>
      </c>
      <c r="F72">
        <v>0</v>
      </c>
    </row>
    <row r="73">
      <c r="A73">
        <v>5</v>
      </c>
      <c r="B73" t="str">
        <v>Seng Plat BJLS 30</v>
      </c>
      <c r="C73" t="str">
        <v>L. 90 cm</v>
      </c>
      <c r="D73" t="str">
        <v>m'</v>
      </c>
      <c r="E73">
        <f>HLOOKUP($C$1,D!$G$6:$BV$165,ROW(D!A64),0)</f>
        <v>65000</v>
      </c>
      <c r="F73">
        <v>0</v>
      </c>
    </row>
    <row r="75">
      <c r="A75" t="str">
        <v>IX</v>
      </c>
      <c r="B75" t="str">
        <v>BAHAN KACA :</v>
      </c>
    </row>
    <row r="76">
      <c r="A76">
        <v>1</v>
      </c>
      <c r="B76" t="str">
        <v>Kaca Polos 3 mm</v>
      </c>
      <c r="D76" t="str">
        <v>m2</v>
      </c>
      <c r="E76">
        <f>HLOOKUP($C$1,D!$G$6:$BV$165,ROW(D!A67),0)</f>
        <v>62000</v>
      </c>
      <c r="F76">
        <v>0</v>
      </c>
    </row>
    <row r="77">
      <c r="A77">
        <v>2</v>
      </c>
      <c r="B77" t="str">
        <v>Kaca Polos 5 mm</v>
      </c>
      <c r="D77" t="str">
        <v>m2</v>
      </c>
      <c r="E77">
        <f>HLOOKUP($C$1,D!$G$6:$BV$165,ROW(D!A68),0)</f>
        <v>70000</v>
      </c>
      <c r="F77">
        <v>0</v>
      </c>
    </row>
    <row r="78">
      <c r="A78">
        <v>3</v>
      </c>
      <c r="B78" t="str">
        <v>Kaca Polos 8 mm</v>
      </c>
      <c r="D78" t="str">
        <v>m2</v>
      </c>
      <c r="E78">
        <f>HLOOKUP($C$1,D!$G$6:$BV$165,ROW(D!A69),0)</f>
        <v>125000</v>
      </c>
      <c r="F78">
        <v>0</v>
      </c>
    </row>
    <row r="80">
      <c r="A80" t="str">
        <v>X</v>
      </c>
      <c r="B80" t="str">
        <v>BAHAN PAKU DAN MUR BAUT :</v>
      </c>
    </row>
    <row r="81">
      <c r="A81">
        <v>1</v>
      </c>
      <c r="B81" t="str">
        <v>Paku 1 s/d 3 cm</v>
      </c>
      <c r="D81" t="str">
        <v>kg</v>
      </c>
      <c r="E81">
        <f>HLOOKUP($C$1,D!$G$6:$BV$165,ROW(D!A72),0)</f>
        <v>12000</v>
      </c>
      <c r="F81">
        <v>0</v>
      </c>
    </row>
    <row r="82">
      <c r="A82">
        <v>2</v>
      </c>
      <c r="B82" t="str">
        <v>Paku 5 s/d 10 cm</v>
      </c>
      <c r="D82" t="str">
        <v>kg</v>
      </c>
      <c r="E82">
        <f>HLOOKUP($C$1,D!$G$6:$BV$165,ROW(D!A73),0)</f>
        <v>12000</v>
      </c>
      <c r="F82">
        <v>0</v>
      </c>
    </row>
    <row r="83">
      <c r="A83">
        <v>3</v>
      </c>
      <c r="B83" t="str">
        <v>Paku 8 s/d 12 cm</v>
      </c>
      <c r="D83" t="str">
        <v>kg</v>
      </c>
      <c r="E83">
        <f>HLOOKUP($C$1,D!$G$6:$BV$165,ROW(D!A74),0)</f>
        <v>12000</v>
      </c>
      <c r="F83">
        <v>0</v>
      </c>
    </row>
    <row r="84">
      <c r="A84">
        <v>4</v>
      </c>
      <c r="B84" t="str">
        <v>Paku Skrup</v>
      </c>
      <c r="D84" t="str">
        <v>bh</v>
      </c>
      <c r="E84">
        <f>HLOOKUP($C$1,D!$G$6:$BV$165,ROW(D!A75),0)</f>
        <v>3700</v>
      </c>
      <c r="F84">
        <v>0</v>
      </c>
    </row>
    <row r="86">
      <c r="A86" t="str">
        <v>XI</v>
      </c>
      <c r="B86" t="str">
        <v xml:space="preserve">BAHAN FINISHING : </v>
      </c>
    </row>
    <row r="87">
      <c r="A87">
        <v>1</v>
      </c>
      <c r="B87" t="str">
        <v xml:space="preserve">Cat kayu/Besi </v>
      </c>
      <c r="C87" t="str">
        <v>ex. SEIV</v>
      </c>
      <c r="D87" t="str">
        <v>Kg</v>
      </c>
      <c r="E87">
        <f>HLOOKUP($C$1,D!$G$6:$BV$165,ROW(D!A78),0)</f>
        <v>48000</v>
      </c>
      <c r="F87">
        <v>0</v>
      </c>
    </row>
    <row r="88">
      <c r="A88">
        <v>2</v>
      </c>
      <c r="B88" t="str">
        <v>Plamir Kayu</v>
      </c>
      <c r="D88" t="str">
        <v>Kg</v>
      </c>
      <c r="E88">
        <f>HLOOKUP($C$1,D!$G$6:$BV$165,ROW(D!A79),0)</f>
        <v>15000</v>
      </c>
      <c r="F88">
        <v>0</v>
      </c>
    </row>
    <row r="89">
      <c r="A89">
        <v>3</v>
      </c>
      <c r="B89" t="str">
        <v xml:space="preserve">Meni kayu </v>
      </c>
      <c r="C89" t="str">
        <v>ex. Nippon</v>
      </c>
      <c r="D89" t="str">
        <v>kg</v>
      </c>
      <c r="E89">
        <f>HLOOKUP($C$1,D!$G$6:$BV$165,ROW(D!A80),0)</f>
        <v>15000</v>
      </c>
      <c r="F89">
        <v>0</v>
      </c>
    </row>
    <row r="90">
      <c r="A90">
        <v>4</v>
      </c>
      <c r="B90" t="str">
        <v>Wood Filler</v>
      </c>
      <c r="C90" t="str">
        <v>Impra</v>
      </c>
      <c r="D90" t="str">
        <v>Kg</v>
      </c>
      <c r="E90">
        <f>HLOOKUP($C$1,D!$G$6:$BV$165,ROW(D!A81),0)</f>
        <v>27500</v>
      </c>
      <c r="F90">
        <v>0</v>
      </c>
    </row>
    <row r="91">
      <c r="A91">
        <v>5</v>
      </c>
      <c r="B91" t="str">
        <v xml:space="preserve">Thinner </v>
      </c>
      <c r="C91" t="str">
        <v>ND IMPALA</v>
      </c>
      <c r="D91" t="str">
        <v>Ltr</v>
      </c>
      <c r="E91">
        <f>HLOOKUP($C$1,D!$G$6:$BV$165,ROW(D!A82),0)</f>
        <v>8000</v>
      </c>
      <c r="F91">
        <v>0</v>
      </c>
    </row>
    <row r="92">
      <c r="A92">
        <v>6</v>
      </c>
      <c r="B92" t="str">
        <v>Amplas Kayu</v>
      </c>
      <c r="D92" t="str">
        <v>Lbr</v>
      </c>
      <c r="E92">
        <f>HLOOKUP($C$1,D!$G$6:$BV$165,ROW(D!A83),0)</f>
        <v>6850</v>
      </c>
      <c r="F92">
        <v>0</v>
      </c>
    </row>
    <row r="93">
      <c r="A93">
        <v>7</v>
      </c>
      <c r="B93" t="str">
        <v>Kwas cat</v>
      </c>
      <c r="D93" t="str">
        <v>bh</v>
      </c>
      <c r="E93">
        <f>HLOOKUP($C$1,D!$G$6:$BV$165,ROW(D!A84),0)</f>
        <v>7500</v>
      </c>
      <c r="F93">
        <v>0</v>
      </c>
    </row>
    <row r="94">
      <c r="A94">
        <v>8</v>
      </c>
      <c r="B94" t="str">
        <v>Cat Tembok kw1</v>
      </c>
      <c r="C94" t="str">
        <v>ex. Dulux ; Warna standard</v>
      </c>
      <c r="D94" t="str">
        <v>Kg</v>
      </c>
      <c r="E94">
        <f>HLOOKUP($C$1,D!$G$6:$BV$165,ROW(D!A85),0)</f>
        <v>45000</v>
      </c>
      <c r="F94">
        <v>0</v>
      </c>
    </row>
    <row r="95">
      <c r="A95">
        <v>9</v>
      </c>
      <c r="B95" t="str">
        <v>Cat Tembok kw2</v>
      </c>
      <c r="C95" t="str">
        <v>ex. Vinilex ; Warna standard</v>
      </c>
      <c r="D95" t="str">
        <v>Kg</v>
      </c>
      <c r="E95">
        <f>HLOOKUP($C$1,D!$G$6:$BV$165,ROW(D!A86),0)</f>
        <v>19000</v>
      </c>
      <c r="F95">
        <v>0</v>
      </c>
    </row>
    <row r="96">
      <c r="A96">
        <v>10</v>
      </c>
      <c r="B96" t="str">
        <v xml:space="preserve">Plamir Tembok </v>
      </c>
      <c r="D96" t="str">
        <v>Kg</v>
      </c>
      <c r="E96">
        <f>HLOOKUP($C$1,D!$G$6:$BV$165,ROW(D!A87),0)</f>
        <v>10500</v>
      </c>
      <c r="F96">
        <v>0</v>
      </c>
    </row>
    <row r="97">
      <c r="A97">
        <v>11</v>
      </c>
      <c r="B97" t="str">
        <v>Lem Kayu</v>
      </c>
      <c r="D97" t="str">
        <v>kg</v>
      </c>
      <c r="E97">
        <f>HLOOKUP($C$1,D!$G$6:$BV$165,ROW(D!A88),0)</f>
        <v>18000</v>
      </c>
      <c r="F97">
        <v>0</v>
      </c>
    </row>
    <row r="98">
      <c r="A98">
        <v>12</v>
      </c>
      <c r="B98" t="str">
        <v>Seal tape</v>
      </c>
      <c r="D98" t="str">
        <v>bh</v>
      </c>
      <c r="E98">
        <f>HLOOKUP($C$1,D!$G$6:$BV$165,ROW(D!A89),0)</f>
        <v>2000</v>
      </c>
      <c r="F98">
        <v>0</v>
      </c>
    </row>
    <row r="99">
      <c r="A99">
        <v>13</v>
      </c>
      <c r="B99" t="str">
        <v>Minyak bekisting</v>
      </c>
      <c r="D99" t="str">
        <v>Ltr</v>
      </c>
      <c r="E99">
        <f>HLOOKUP($C$1,D!$G$6:$BV$165,ROW(D!A90),0)</f>
        <v>8000</v>
      </c>
      <c r="F99" t="str">
        <v>residu</v>
      </c>
    </row>
    <row r="101">
      <c r="A101" t="str">
        <v>XII</v>
      </c>
      <c r="B101" t="str">
        <v>BAHAN SANITARI</v>
      </c>
    </row>
    <row r="102">
      <c r="A102">
        <v>1</v>
      </c>
      <c r="B102" t="str">
        <v xml:space="preserve">Wastafel </v>
      </c>
      <c r="C102" t="str">
        <v>LW 240 CJ ex Toto, Komplit kran &amp; acc</v>
      </c>
      <c r="D102" t="str">
        <v>unt</v>
      </c>
      <c r="E102">
        <f>HLOOKUP($C$1,D!$G$6:$BV$165,ROW(D!A93),0)</f>
        <v>850000</v>
      </c>
      <c r="F102">
        <v>0</v>
      </c>
    </row>
    <row r="103">
      <c r="A103">
        <v>2</v>
      </c>
      <c r="B103" t="str">
        <v xml:space="preserve">Kloset duduk </v>
      </c>
      <c r="C103" t="str">
        <v>CW 600 J / SW 660 J Komplit  &amp; acc</v>
      </c>
      <c r="D103" t="str">
        <v>unt</v>
      </c>
      <c r="E103">
        <f>HLOOKUP($C$1,D!$G$6:$BV$165,ROW(D!A94),0)</f>
        <v>950000</v>
      </c>
      <c r="F103">
        <v>0</v>
      </c>
    </row>
    <row r="104">
      <c r="A104">
        <v>3</v>
      </c>
      <c r="B104" t="str">
        <v xml:space="preserve">Kloset Jongkok </v>
      </c>
      <c r="C104" t="str">
        <v>type CE 6 ex. Toto</v>
      </c>
      <c r="D104" t="str">
        <v>unt</v>
      </c>
      <c r="E104">
        <f>HLOOKUP($C$1,D!$G$6:$BV$165,ROW(D!A95),0)</f>
        <v>125000</v>
      </c>
      <c r="F104">
        <v>0</v>
      </c>
    </row>
    <row r="105">
      <c r="A105">
        <v>4</v>
      </c>
      <c r="B105" t="str">
        <v xml:space="preserve">Urinoir </v>
      </c>
      <c r="C105" t="str">
        <v>type U 57 M ex. Toto</v>
      </c>
      <c r="D105" t="str">
        <v>unt</v>
      </c>
      <c r="E105">
        <f>HLOOKUP($C$1,D!$G$6:$BV$165,ROW(D!A96),0)</f>
        <v>1217000</v>
      </c>
      <c r="F105">
        <v>0</v>
      </c>
    </row>
    <row r="106">
      <c r="A106">
        <v>5</v>
      </c>
      <c r="B106" t="str">
        <v xml:space="preserve">Bak air fibreglass  </v>
      </c>
      <c r="C106" t="str">
        <v>uk. 55x55x60 cm</v>
      </c>
      <c r="D106" t="str">
        <v>bh</v>
      </c>
      <c r="E106">
        <f>HLOOKUP($C$1,D!$G$6:$BV$165,ROW(D!A97),0)</f>
        <v>300000</v>
      </c>
      <c r="F106">
        <v>0</v>
      </c>
    </row>
    <row r="107">
      <c r="A107">
        <v>6</v>
      </c>
      <c r="B107" t="str">
        <v xml:space="preserve">Shower Spray </v>
      </c>
      <c r="C107" t="str">
        <v>type THX 20 NBPIV  ex. Toto</v>
      </c>
      <c r="D107" t="str">
        <v>unt</v>
      </c>
      <c r="E107">
        <f>HLOOKUP($C$1,D!$G$6:$BV$165,ROW(D!A98),0)</f>
        <v>181000</v>
      </c>
      <c r="F107">
        <v>0</v>
      </c>
    </row>
    <row r="108">
      <c r="A108">
        <v>7</v>
      </c>
      <c r="B108" t="str">
        <v xml:space="preserve">Shower Set </v>
      </c>
      <c r="C108" t="str">
        <v>type TX 423 SZ   ex. Toto</v>
      </c>
      <c r="D108" t="str">
        <v>unt</v>
      </c>
      <c r="E108">
        <f>HLOOKUP($C$1,D!$G$6:$BV$165,ROW(D!A99),0)</f>
        <v>598000</v>
      </c>
      <c r="F108">
        <v>0</v>
      </c>
    </row>
    <row r="109">
      <c r="A109">
        <v>8</v>
      </c>
      <c r="B109" t="str">
        <v xml:space="preserve">Floordrain </v>
      </c>
      <c r="C109" t="str">
        <v>TX 1B  ex. Toto</v>
      </c>
      <c r="D109" t="str">
        <v>bh</v>
      </c>
      <c r="E109">
        <f>HLOOKUP($C$1,D!$G$6:$BV$165,ROW(D!A100),0)</f>
        <v>22500</v>
      </c>
      <c r="F109">
        <v>0</v>
      </c>
    </row>
    <row r="110">
      <c r="A110">
        <v>9</v>
      </c>
      <c r="B110" t="str">
        <v xml:space="preserve">Tempat Sabun </v>
      </c>
      <c r="C110" t="str">
        <v>S 11 N EX. Toto</v>
      </c>
      <c r="D110" t="str">
        <v>bh</v>
      </c>
      <c r="E110">
        <f>HLOOKUP($C$1,D!$G$6:$BV$165,ROW(D!A101),0)</f>
        <v>20000</v>
      </c>
      <c r="F110">
        <v>0</v>
      </c>
    </row>
    <row r="111">
      <c r="A111">
        <v>10</v>
      </c>
      <c r="B111" t="str">
        <v>Kran zink</v>
      </c>
      <c r="C111" t="str">
        <v>T 30 AR13NV7N   ex. Toto</v>
      </c>
      <c r="D111" t="str">
        <v>bh</v>
      </c>
      <c r="E111">
        <f>HLOOKUP($C$1,D!$G$6:$BV$165,ROW(D!A102),0)</f>
        <v>299000</v>
      </c>
      <c r="F111">
        <v>0</v>
      </c>
    </row>
    <row r="112">
      <c r="A112">
        <v>11</v>
      </c>
      <c r="B112" t="str">
        <v xml:space="preserve">Kitchenzink  </v>
      </c>
      <c r="C112" t="str">
        <v>Hwaco 1L</v>
      </c>
      <c r="D112" t="str">
        <v>unt</v>
      </c>
      <c r="E112">
        <f>HLOOKUP($C$1,D!$G$6:$BV$165,ROW(D!A103),0)</f>
        <v>145000</v>
      </c>
      <c r="F112">
        <v>0</v>
      </c>
    </row>
    <row r="113">
      <c r="A113">
        <v>12</v>
      </c>
      <c r="B113" t="str">
        <v xml:space="preserve">Kran dinding </v>
      </c>
      <c r="C113" t="str">
        <v>type T 23 B13V7N ex. Toto</v>
      </c>
      <c r="D113" t="str">
        <v>bh</v>
      </c>
      <c r="E113">
        <f>HLOOKUP($C$1,D!$G$6:$BV$165,ROW(D!A104),0)</f>
        <v>115000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58000</v>
      </c>
      <c r="F116">
        <v>0</v>
      </c>
    </row>
    <row r="117">
      <c r="A117">
        <v>2</v>
      </c>
      <c r="B117" t="str">
        <v>List Profil 5 cm Gypsum</v>
      </c>
      <c r="D117" t="str">
        <v>m</v>
      </c>
      <c r="E117">
        <f>HLOOKUP($C$1,D!$G$6:$BV$165,ROW(D!A108),0)</f>
        <v>4800</v>
      </c>
      <c r="F117">
        <v>0</v>
      </c>
    </row>
    <row r="118">
      <c r="A118">
        <v>3</v>
      </c>
      <c r="B118" t="str">
        <v>Rangka plafond Metal furing</v>
      </c>
      <c r="C118" t="str">
        <v xml:space="preserve">termasuk paku ripet &amp; acc </v>
      </c>
      <c r="D118" t="str">
        <v>m2</v>
      </c>
      <c r="E118">
        <f>HLOOKUP($C$1,D!$G$6:$BV$165,ROW(D!A109),0)</f>
        <v>50000</v>
      </c>
      <c r="F118">
        <v>0</v>
      </c>
    </row>
    <row r="120">
      <c r="A120" t="str">
        <v>XIV</v>
      </c>
      <c r="B120" t="str">
        <v xml:space="preserve">BAHAN SALURAN AIR </v>
      </c>
    </row>
    <row r="121">
      <c r="A121">
        <v>1</v>
      </c>
      <c r="B121" t="str">
        <v xml:space="preserve">Pipa PVC dia 1/2" </v>
      </c>
      <c r="C121" t="str">
        <v>ex. Wavin ; P. 4 m</v>
      </c>
      <c r="D121" t="str">
        <v>m'</v>
      </c>
      <c r="E121">
        <f>HLOOKUP($C$1,D!$G$6:$BV$165,ROW(D!A112),0)</f>
        <v>5750</v>
      </c>
      <c r="F121" t="str">
        <v>rucika</v>
      </c>
    </row>
    <row r="122">
      <c r="A122">
        <v>2</v>
      </c>
      <c r="B122" t="str">
        <v xml:space="preserve">Pipa PVC dia 3/4" </v>
      </c>
      <c r="C122" t="str">
        <v>ex. Wavin ; P. 4 m</v>
      </c>
      <c r="D122" t="str">
        <v>m'</v>
      </c>
      <c r="E122">
        <f>HLOOKUP($C$1,D!$G$6:$BV$165,ROW(D!A113),0)</f>
        <v>7000</v>
      </c>
      <c r="F122" t="str">
        <v>rucika</v>
      </c>
    </row>
    <row r="123">
      <c r="A123">
        <v>3</v>
      </c>
      <c r="B123" t="str">
        <v xml:space="preserve">Pipa PVC dia 1" </v>
      </c>
      <c r="C123" t="str">
        <v>ex. Wavin ; P. 4 m</v>
      </c>
      <c r="D123" t="str">
        <v>m'</v>
      </c>
      <c r="E123">
        <f>HLOOKUP($C$1,D!$G$6:$BV$165,ROW(D!A114),0)</f>
        <v>10125</v>
      </c>
      <c r="F123" t="str">
        <v>rucika</v>
      </c>
    </row>
    <row r="124">
      <c r="A124">
        <v>4</v>
      </c>
      <c r="B124" t="str">
        <v xml:space="preserve">Pipa PVC dia 2" </v>
      </c>
      <c r="C124" t="str">
        <v>ex. Wavin ; P. 4 m</v>
      </c>
      <c r="D124" t="str">
        <v>m'</v>
      </c>
      <c r="E124">
        <f>HLOOKUP($C$1,D!$G$6:$BV$165,ROW(D!A115),0)</f>
        <v>15833.333333333334</v>
      </c>
      <c r="F124" t="str">
        <v>rucika</v>
      </c>
    </row>
    <row r="125">
      <c r="A125">
        <v>5</v>
      </c>
      <c r="B125" t="str">
        <v xml:space="preserve">Pipa PVC dia 3" </v>
      </c>
      <c r="C125" t="str">
        <v>ex. Wavin ; P. 4 m</v>
      </c>
      <c r="D125" t="str">
        <v>m'</v>
      </c>
      <c r="E125">
        <f>HLOOKUP($C$1,D!$G$6:$BV$165,ROW(D!A116),0)</f>
        <v>31666.666666666668</v>
      </c>
      <c r="F125" t="str">
        <v>rucika</v>
      </c>
    </row>
    <row r="126">
      <c r="A126">
        <v>6</v>
      </c>
      <c r="B126" t="str">
        <v xml:space="preserve">Pipa PVC dia 4" </v>
      </c>
      <c r="C126" t="str">
        <v>ex. Wavin ; P. 4 m</v>
      </c>
      <c r="D126" t="str">
        <v>m'</v>
      </c>
      <c r="E126">
        <f>HLOOKUP($C$1,D!$G$6:$BV$165,ROW(D!A117),0)</f>
        <v>48333.333333333336</v>
      </c>
      <c r="F126" t="str">
        <v>rucika</v>
      </c>
    </row>
    <row r="127">
      <c r="A127">
        <v>7</v>
      </c>
      <c r="B127" t="str">
        <v xml:space="preserve">Stop kran dia 1" </v>
      </c>
      <c r="C127" t="str">
        <v>ex. Onda</v>
      </c>
      <c r="D127" t="str">
        <v>bh</v>
      </c>
      <c r="E127">
        <f>HLOOKUP($C$1,D!$G$6:$BV$165,ROW(D!A118),0)</f>
        <v>45000</v>
      </c>
      <c r="F127">
        <v>0</v>
      </c>
    </row>
    <row r="128">
      <c r="A128">
        <v>8</v>
      </c>
      <c r="B128" t="str">
        <v xml:space="preserve">Klep diameter 3/4" </v>
      </c>
      <c r="C128" t="str">
        <v>ex. Onda</v>
      </c>
      <c r="D128" t="str">
        <v>bh</v>
      </c>
      <c r="E128">
        <f>HLOOKUP($C$1,D!$G$6:$BV$165,ROW(D!A119),0)</f>
        <v>35000</v>
      </c>
      <c r="F128">
        <v>0</v>
      </c>
    </row>
    <row r="129">
      <c r="A129">
        <v>9</v>
      </c>
      <c r="B129" t="str">
        <v>Tangki air 1000 liter</v>
      </c>
      <c r="C129" t="str">
        <v>EXEL</v>
      </c>
      <c r="D129" t="str">
        <v>bh</v>
      </c>
      <c r="E129">
        <f>HLOOKUP($C$1,D!$G$6:$BV$165,ROW(D!A120),0)</f>
        <v>1250000</v>
      </c>
      <c r="F129">
        <v>0</v>
      </c>
    </row>
    <row r="130">
      <c r="A130">
        <v>10</v>
      </c>
      <c r="B130" t="str">
        <v>Tangki air 500 liter</v>
      </c>
      <c r="C130" t="str">
        <v>EXEL</v>
      </c>
      <c r="D130" t="str">
        <v>bh</v>
      </c>
      <c r="E130">
        <f>HLOOKUP($C$1,D!$G$6:$BV$165,ROW(D!A121),0)</f>
        <v>850000</v>
      </c>
      <c r="F130">
        <v>0</v>
      </c>
    </row>
    <row r="131">
      <c r="A131">
        <v>11</v>
      </c>
      <c r="B131" t="str">
        <v>Pelampung otomatis</v>
      </c>
      <c r="D131" t="str">
        <v>bh</v>
      </c>
      <c r="E131">
        <f>HLOOKUP($C$1,D!$G$6:$BV$165,ROW(D!A122),0)</f>
        <v>25000</v>
      </c>
      <c r="F131">
        <v>0</v>
      </c>
    </row>
    <row r="132">
      <c r="A132">
        <v>12</v>
      </c>
      <c r="B132" t="str">
        <v>Roof Drain Metal</v>
      </c>
      <c r="D132" t="str">
        <v>Bh</v>
      </c>
      <c r="E132">
        <f>HLOOKUP($C$1,D!$G$6:$BV$165,ROW(D!A123),0)</f>
        <v>35000</v>
      </c>
      <c r="F132">
        <v>0</v>
      </c>
    </row>
    <row r="133">
      <c r="A133">
        <v>13</v>
      </c>
      <c r="B133" t="str">
        <v>Mesin Jet Pump kap.250 watt</v>
      </c>
      <c r="C133" t="str">
        <v>Groundfos</v>
      </c>
      <c r="D133" t="str">
        <v>unt</v>
      </c>
      <c r="E133">
        <f>HLOOKUP($C$1,D!$G$6:$BV$165,ROW(D!A124),0)</f>
        <v>1450000</v>
      </c>
      <c r="F133">
        <v>0</v>
      </c>
    </row>
    <row r="134">
      <c r="A134">
        <v>14</v>
      </c>
      <c r="B134" t="str">
        <v>Mesin Pompa tekan kap. 150 watt</v>
      </c>
      <c r="C134" t="str">
        <v>Groundfos</v>
      </c>
      <c r="D134" t="str">
        <v>unt</v>
      </c>
      <c r="E134">
        <f>HLOOKUP($C$1,D!$G$6:$BV$165,ROW(D!A125),0)</f>
        <v>975000</v>
      </c>
      <c r="F134" t="str">
        <v>sanyo</v>
      </c>
    </row>
    <row r="136">
      <c r="A136" t="str">
        <v>XV</v>
      </c>
      <c r="B136" t="str">
        <v>PERALATAN ELEKTRIKAL</v>
      </c>
    </row>
    <row r="137">
      <c r="A137">
        <v>1</v>
      </c>
      <c r="B137" t="str">
        <v>Box panel PVC isi 4 MCB</v>
      </c>
      <c r="C137" t="str">
        <v>Legran</v>
      </c>
      <c r="D137" t="str">
        <v>bh</v>
      </c>
      <c r="E137">
        <f>HLOOKUP($C$1,D!$G$6:$BV$165,ROW(D!A128),0)</f>
        <v>325000</v>
      </c>
      <c r="F137">
        <v>0</v>
      </c>
    </row>
    <row r="138">
      <c r="A138">
        <v>2</v>
      </c>
      <c r="B138" t="str">
        <v>MCB 6 A</v>
      </c>
      <c r="C138" t="str">
        <v>Legran</v>
      </c>
      <c r="D138" t="str">
        <v>bh</v>
      </c>
      <c r="E138">
        <f>HLOOKUP($C$1,D!$G$6:$BV$165,ROW(D!A129),0)</f>
        <v>50000</v>
      </c>
      <c r="F138">
        <v>0</v>
      </c>
    </row>
    <row r="139">
      <c r="A139">
        <v>3</v>
      </c>
      <c r="B139" t="str">
        <v>MCB 4 A</v>
      </c>
      <c r="C139" t="str">
        <v>Legran</v>
      </c>
      <c r="D139" t="str">
        <v>bh</v>
      </c>
      <c r="E139">
        <f>HLOOKUP($C$1,D!$G$6:$BV$165,ROW(D!A130),0)</f>
        <v>50000</v>
      </c>
      <c r="F139">
        <v>0</v>
      </c>
    </row>
    <row r="140">
      <c r="A140">
        <v>4</v>
      </c>
      <c r="B140" t="str">
        <v>Kabel NYM 2 x 2,5 mm2</v>
      </c>
      <c r="D140" t="str">
        <v>m'</v>
      </c>
      <c r="E140">
        <f>HLOOKUP($C$1,D!$G$6:$BV$165,ROW(D!A131),0)</f>
        <v>15000</v>
      </c>
      <c r="F140">
        <v>0</v>
      </c>
    </row>
    <row r="141">
      <c r="A141">
        <v>5</v>
      </c>
      <c r="B141" t="str">
        <v>Kabel NYM 3 x 2,5 mm2</v>
      </c>
      <c r="D141" t="str">
        <v>m'</v>
      </c>
      <c r="E141">
        <f>HLOOKUP($C$1,D!$G$6:$BV$165,ROW(D!A132),0)</f>
        <v>20000</v>
      </c>
      <c r="F141">
        <v>0</v>
      </c>
    </row>
    <row r="142">
      <c r="A142">
        <v>6</v>
      </c>
      <c r="B142" t="str">
        <v>Kabel telephone 4 x 0.5 mm</v>
      </c>
      <c r="D142" t="str">
        <v>m'</v>
      </c>
      <c r="E142">
        <f>HLOOKUP($C$1,D!$G$6:$BV$165,ROW(D!A133),0)</f>
        <v>15000</v>
      </c>
      <c r="F142">
        <v>0</v>
      </c>
    </row>
    <row r="143">
      <c r="A143">
        <v>7</v>
      </c>
      <c r="B143" t="str">
        <v>Isolasi</v>
      </c>
      <c r="D143" t="str">
        <v>bh</v>
      </c>
      <c r="E143">
        <f>HLOOKUP($C$1,D!$G$6:$BV$165,ROW(D!A134),0)</f>
        <v>5000</v>
      </c>
      <c r="F143">
        <v>0</v>
      </c>
    </row>
    <row r="144">
      <c r="A144">
        <v>8</v>
      </c>
      <c r="B144" t="str">
        <v>Saklar tunggal</v>
      </c>
      <c r="C144" t="str">
        <v>Broco</v>
      </c>
      <c r="D144" t="str">
        <v>bh</v>
      </c>
      <c r="E144">
        <f>HLOOKUP($C$1,D!$G$6:$BV$165,ROW(D!A135),0)</f>
        <v>15000</v>
      </c>
      <c r="F144">
        <v>0</v>
      </c>
    </row>
    <row r="145">
      <c r="A145">
        <v>9</v>
      </c>
      <c r="B145" t="str">
        <v>Saklar ganda</v>
      </c>
      <c r="C145" t="str">
        <v>Broco</v>
      </c>
      <c r="D145" t="str">
        <v>bh</v>
      </c>
      <c r="E145">
        <f>HLOOKUP($C$1,D!$G$6:$BV$165,ROW(D!A136),0)</f>
        <v>18900</v>
      </c>
      <c r="F145">
        <v>0</v>
      </c>
    </row>
    <row r="146">
      <c r="A146">
        <v>10</v>
      </c>
      <c r="B146" t="str">
        <v>Stop kontak</v>
      </c>
      <c r="C146" t="str">
        <v>Broco</v>
      </c>
      <c r="D146" t="str">
        <v>bh</v>
      </c>
      <c r="E146">
        <f>HLOOKUP($C$1,D!$G$6:$BV$165,ROW(D!A137),0)</f>
        <v>12500</v>
      </c>
      <c r="F146">
        <v>0</v>
      </c>
    </row>
    <row r="147">
      <c r="A147">
        <v>11</v>
      </c>
      <c r="B147" t="str">
        <v>Outlet TV</v>
      </c>
      <c r="C147" t="str">
        <v>Broco</v>
      </c>
      <c r="D147" t="str">
        <v>bh</v>
      </c>
      <c r="E147">
        <f>HLOOKUP($C$1,D!$G$6:$BV$165,ROW(D!A138),0)</f>
        <v>43575</v>
      </c>
      <c r="F147">
        <v>0</v>
      </c>
    </row>
    <row r="148">
      <c r="A148">
        <v>12</v>
      </c>
      <c r="B148" t="str">
        <v>Outlet Telephone</v>
      </c>
      <c r="C148" t="str">
        <v>Broco</v>
      </c>
      <c r="D148" t="str">
        <v>bh</v>
      </c>
      <c r="E148">
        <f>HLOOKUP($C$1,D!$G$6:$BV$165,ROW(D!A139),0)</f>
        <v>43575</v>
      </c>
      <c r="F148">
        <v>0</v>
      </c>
    </row>
    <row r="149">
      <c r="A149">
        <v>13</v>
      </c>
      <c r="B149" t="str">
        <v>Down light / PLC 13 W</v>
      </c>
      <c r="D149" t="str">
        <v>bh</v>
      </c>
      <c r="E149">
        <f>HLOOKUP($C$1,D!$G$6:$BV$165,ROW(D!A140),0)</f>
        <v>173460</v>
      </c>
      <c r="F149">
        <v>0</v>
      </c>
    </row>
    <row r="150">
      <c r="A150">
        <v>14</v>
      </c>
      <c r="B150" t="str">
        <v>Fitting plafond + lampu SL</v>
      </c>
      <c r="C150" t="str">
        <v>Panasonic</v>
      </c>
      <c r="D150" t="str">
        <v>bh</v>
      </c>
      <c r="E150">
        <f>HLOOKUP($C$1,D!$G$6:$BV$165,ROW(D!A141),0)</f>
        <v>75000</v>
      </c>
      <c r="F150">
        <v>0</v>
      </c>
    </row>
    <row r="151">
      <c r="A151">
        <v>15</v>
      </c>
      <c r="B151" t="str">
        <v>Lampu TL 2 x 18 watt grille</v>
      </c>
      <c r="C151" t="str">
        <v>Panasonic</v>
      </c>
      <c r="D151" t="str">
        <v>bh</v>
      </c>
      <c r="E151">
        <f>HLOOKUP($C$1,D!$G$6:$BV$165,ROW(D!A142),0)</f>
        <v>250000</v>
      </c>
      <c r="F151">
        <v>0</v>
      </c>
    </row>
    <row r="152">
      <c r="A152">
        <v>16</v>
      </c>
      <c r="B152" t="str">
        <v>Lampu TL 2 x 36 watt grille</v>
      </c>
      <c r="C152" t="str">
        <v>Panasonic</v>
      </c>
      <c r="D152" t="str">
        <v>bh</v>
      </c>
      <c r="E152">
        <f>HLOOKUP($C$1,D!$G$6:$BV$165,ROW(D!A143),0)</f>
        <v>375000</v>
      </c>
      <c r="F152">
        <v>0</v>
      </c>
    </row>
    <row r="154">
      <c r="A154" t="str">
        <v>XVI</v>
      </c>
      <c r="B154" t="str">
        <v>UPAH PEKERJA :</v>
      </c>
    </row>
    <row r="155">
      <c r="A155">
        <v>1</v>
      </c>
      <c r="B155" t="str">
        <v>Tukang Besi Konstruksi</v>
      </c>
      <c r="D155" t="str">
        <v>Org/Hari</v>
      </c>
      <c r="E155">
        <f>HLOOKUP($C$1,D!$G$6:$BV$165,ROW(D!A146),0)</f>
        <v>55000</v>
      </c>
      <c r="F155">
        <v>0</v>
      </c>
    </row>
    <row r="156">
      <c r="A156">
        <v>2</v>
      </c>
      <c r="B156" t="str">
        <v xml:space="preserve">Tukang Besi Tulangan </v>
      </c>
      <c r="D156" t="str">
        <v>Org/Hari</v>
      </c>
      <c r="E156">
        <f>HLOOKUP($C$1,D!$G$6:$BV$165,ROW(D!A147),0)</f>
        <v>55000</v>
      </c>
      <c r="F156">
        <v>0</v>
      </c>
    </row>
    <row r="157">
      <c r="A157">
        <v>3</v>
      </c>
      <c r="B157" t="str">
        <v>Kepala Tukang Besi</v>
      </c>
      <c r="D157" t="str">
        <v>Org/Hari</v>
      </c>
      <c r="E157">
        <f>HLOOKUP($C$1,D!$G$6:$BV$165,ROW(D!A148),0)</f>
        <v>60000</v>
      </c>
      <c r="F157">
        <v>0</v>
      </c>
    </row>
    <row r="158">
      <c r="A158">
        <v>4</v>
      </c>
      <c r="B158" t="str">
        <v xml:space="preserve">Tukang Kayu Kasar </v>
      </c>
      <c r="C158" t="str">
        <v>(Plafond , Kuda/Gording, R.Atap)</v>
      </c>
      <c r="D158" t="str">
        <v>Org/Hari</v>
      </c>
      <c r="E158">
        <f>HLOOKUP($C$1,D!$G$6:$BV$165,ROW(D!A149),0)</f>
        <v>55000</v>
      </c>
      <c r="F158">
        <v>0</v>
      </c>
    </row>
    <row r="159">
      <c r="A159">
        <v>5</v>
      </c>
      <c r="B159" t="str">
        <v>Tukang Kayu Halus</v>
      </c>
      <c r="C159" t="str">
        <v>(Kusen)</v>
      </c>
      <c r="D159" t="str">
        <v>Org/Hari</v>
      </c>
      <c r="E159">
        <f>HLOOKUP($C$1,D!$G$6:$BV$165,ROW(D!A150),0)</f>
        <v>55000</v>
      </c>
      <c r="F159">
        <v>0</v>
      </c>
    </row>
    <row r="160">
      <c r="A160">
        <v>6</v>
      </c>
      <c r="B160" t="str">
        <v>Kepala Tukang Kayu</v>
      </c>
      <c r="D160" t="str">
        <v>Org/Hari</v>
      </c>
      <c r="E160">
        <f>HLOOKUP($C$1,D!$G$6:$BV$165,ROW(D!A151),0)</f>
        <v>60000</v>
      </c>
      <c r="F160">
        <v>0</v>
      </c>
    </row>
    <row r="161">
      <c r="A161">
        <v>7</v>
      </c>
      <c r="B161" t="str">
        <v>Tukang Batu Kasar</v>
      </c>
      <c r="C161" t="str">
        <v>Tukang Batu Kasar</v>
      </c>
      <c r="D161" t="str">
        <v>Org/Hari</v>
      </c>
      <c r="E161">
        <f>HLOOKUP($C$1,D!$G$6:$BV$165,ROW(D!A152),0)</f>
        <v>55000</v>
      </c>
      <c r="F161">
        <v>0</v>
      </c>
    </row>
    <row r="162">
      <c r="A162">
        <v>8</v>
      </c>
      <c r="B162" t="str">
        <v>Tukang Batu Halus</v>
      </c>
      <c r="C162" t="str">
        <v>Tukang Batu Halus (Bata,Plester,Acian list2)</v>
      </c>
      <c r="D162" t="str">
        <v>Org/Hari</v>
      </c>
      <c r="E162">
        <f>HLOOKUP($C$1,D!$G$6:$BV$165,ROW(D!A153),0)</f>
        <v>55000</v>
      </c>
      <c r="F162">
        <v>0</v>
      </c>
    </row>
    <row r="163">
      <c r="A163">
        <v>9</v>
      </c>
      <c r="B163" t="str">
        <v>Kepala Tukang Batu</v>
      </c>
      <c r="D163" t="str">
        <v>Org/Hari</v>
      </c>
      <c r="E163">
        <f>HLOOKUP($C$1,D!$G$6:$BV$165,ROW(D!A154),0)</f>
        <v>60000</v>
      </c>
      <c r="F163">
        <v>0</v>
      </c>
    </row>
    <row r="164">
      <c r="A164">
        <v>10</v>
      </c>
      <c r="B164" t="str">
        <v>Tukang Cat Biasa</v>
      </c>
      <c r="D164" t="str">
        <v>Org/Hari</v>
      </c>
      <c r="E164">
        <f>HLOOKUP($C$1,D!$G$6:$BV$165,ROW(D!A155),0)</f>
        <v>55000</v>
      </c>
      <c r="F164">
        <v>0</v>
      </c>
    </row>
    <row r="165">
      <c r="A165">
        <v>11</v>
      </c>
      <c r="B165" t="str">
        <v>Kepala Tukang Cat</v>
      </c>
      <c r="D165" t="str">
        <v>Org/Hari</v>
      </c>
      <c r="E165">
        <f>HLOOKUP($C$1,D!$G$6:$BV$165,ROW(D!A156),0)</f>
        <v>60000</v>
      </c>
      <c r="F165">
        <v>0</v>
      </c>
    </row>
    <row r="166">
      <c r="A166">
        <v>12</v>
      </c>
      <c r="B166" t="str">
        <v>Tukang Listrik</v>
      </c>
      <c r="D166" t="str">
        <v>Org/Hari</v>
      </c>
      <c r="E166">
        <f>HLOOKUP($C$1,D!$G$6:$BV$165,ROW(D!A157),0)</f>
        <v>55000</v>
      </c>
      <c r="F166">
        <v>0</v>
      </c>
    </row>
    <row r="167">
      <c r="A167">
        <v>13</v>
      </c>
      <c r="B167" t="str">
        <v>Kepala Tukang Listrik</v>
      </c>
      <c r="D167" t="str">
        <v>Org/Hari</v>
      </c>
      <c r="E167">
        <f>HLOOKUP($C$1,D!$G$6:$BV$165,ROW(D!A158),0)</f>
        <v>60000</v>
      </c>
      <c r="F167">
        <v>0</v>
      </c>
    </row>
    <row r="168">
      <c r="A168">
        <v>14</v>
      </c>
      <c r="B168" t="str">
        <v>Pekerja</v>
      </c>
      <c r="D168" t="str">
        <v>Org/Hari</v>
      </c>
      <c r="E168">
        <f>HLOOKUP($C$1,D!$G$6:$BV$165,ROW(D!A159),0)</f>
        <v>40000</v>
      </c>
      <c r="F168">
        <v>0</v>
      </c>
    </row>
    <row r="169">
      <c r="A169">
        <v>15</v>
      </c>
      <c r="B169" t="str">
        <v xml:space="preserve">Mandor </v>
      </c>
      <c r="D169" t="str">
        <v>Org/Hari</v>
      </c>
      <c r="E169">
        <f>HLOOKUP($C$1,D!$G$6:$BV$165,ROW(D!A160),0)</f>
        <v>50000</v>
      </c>
      <c r="F169">
        <v>0</v>
      </c>
    </row>
    <row r="170">
      <c r="A170" t="str">
        <v>XVII</v>
      </c>
      <c r="B170" t="str">
        <v>LAIN-lAIN</v>
      </c>
    </row>
    <row r="171">
      <c r="A171">
        <v>1</v>
      </c>
      <c r="B171" t="str">
        <v>IMB</v>
      </c>
      <c r="D171" t="str">
        <v>m2</v>
      </c>
      <c r="E171">
        <f>HLOOKUP($C$1,D!$G$6:$BV$167,ROW(D!A162),0)</f>
        <v>15000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892"/>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67890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2750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190000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210000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220000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180000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210000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190000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140000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50000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61000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11500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10000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12500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13700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718</v>
      </c>
      <c r="AH28">
        <v>225000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120000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15000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19500000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6900000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4500000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1750000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18000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70000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70000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70000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850000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15000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253000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242000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250000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450000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75000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5000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7500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35000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45000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106000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52000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350000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5000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20000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2500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5800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6100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7800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65000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62000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70000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125000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12000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12000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12000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3700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48000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15000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15000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27500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8000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6850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7500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45000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19000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10500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18000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2000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8000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850000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950000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125000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1217000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300000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181000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598000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22500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20000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299000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145000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115000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58000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4800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50000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5750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7000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10125</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15833.333333333334</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31666.666666666668</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48333.333333333336</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45000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35000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1250000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850000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25000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35000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1450000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975000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325000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50000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50000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15000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20000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15000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5000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15000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18900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12500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43575</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43575</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173460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75000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250000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375000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55000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55000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60000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55000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55000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60000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55000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55000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60000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55000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60000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55000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60000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40000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50000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719</v>
      </c>
      <c r="AH167">
        <v>15000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10910000</v>
      </c>
    </row>
    <row r="9">
      <c r="B9" t="str">
        <v>TIDAK SEDERHANA</v>
      </c>
      <c r="D9" t="str">
        <v>SEDERHANA</v>
      </c>
      <c r="H9" t="str">
        <v>B.</v>
      </c>
      <c r="I9" t="str">
        <v>Gedung Sederhana</v>
      </c>
      <c r="J9">
        <f>D10</f>
        <v>17050000</v>
      </c>
    </row>
    <row r="10">
      <c r="B10">
        <f>'RAB - GTS'!I26</f>
        <v>10910000</v>
      </c>
      <c r="D10">
        <f>'RAB - GS'!H24</f>
        <v>17050000</v>
      </c>
      <c r="H10" t="str">
        <v>C.</v>
      </c>
      <c r="I10" t="str">
        <v>Rumah Tipe A</v>
      </c>
      <c r="J10">
        <f>B14</f>
        <v>22570000</v>
      </c>
    </row>
    <row r="11">
      <c r="H11" t="str">
        <v>D.</v>
      </c>
      <c r="I11" t="str">
        <v>Rumah Tipe B</v>
      </c>
      <c r="J11">
        <f>C14</f>
        <v>26440000</v>
      </c>
    </row>
    <row r="12">
      <c r="B12" t="str">
        <v>RUMAH NEGARA</v>
      </c>
      <c r="H12" t="str">
        <v>E.</v>
      </c>
      <c r="I12" t="str">
        <v>Rumah Tipe C,D,E</v>
      </c>
      <c r="J12">
        <f>D14</f>
        <v>17830000</v>
      </c>
    </row>
    <row r="13">
      <c r="B13" t="str">
        <v>TIPE A</v>
      </c>
      <c r="C13" t="str">
        <v>TIPE B</v>
      </c>
      <c r="D13" t="str">
        <v>TIPE C,D,E</v>
      </c>
    </row>
    <row r="14">
      <c r="B14">
        <f>'RAB - rumahA'!H24</f>
        <v>22570000</v>
      </c>
      <c r="C14">
        <f>'RAB - RumahB'!H24</f>
        <v>26440000</v>
      </c>
      <c r="D14">
        <f>'RAB - RumahC'!H24</f>
        <v>17830000</v>
      </c>
      <c r="H14" t="str">
        <v>F.</v>
      </c>
      <c r="I14" t="str">
        <v>Pagar Gedung negara</v>
      </c>
    </row>
    <row r="15">
      <c r="H15">
        <v>1</v>
      </c>
      <c r="I15" t="str">
        <v>- Depan</v>
      </c>
      <c r="J15">
        <f>B19</f>
        <v>9160000</v>
      </c>
    </row>
    <row r="16">
      <c r="B16" t="str">
        <v>PAGAR GEDUNG NEGARA</v>
      </c>
      <c r="H16">
        <v>2</v>
      </c>
      <c r="I16" t="str">
        <v>- Belakang</v>
      </c>
      <c r="J16">
        <f>C19</f>
        <v>15650000</v>
      </c>
    </row>
    <row r="17">
      <c r="B17" t="str">
        <v>DEPAN</v>
      </c>
      <c r="C17" t="str">
        <v>BELAKANG</v>
      </c>
      <c r="D17" t="str">
        <v>SAMPING</v>
      </c>
      <c r="H17">
        <v>3</v>
      </c>
      <c r="I17" t="str">
        <v>- Samping</v>
      </c>
      <c r="J17">
        <f>D19</f>
        <v>12980000</v>
      </c>
    </row>
    <row r="18">
      <c r="B18" t="str">
        <v>BT; T. 1,50 M</v>
      </c>
      <c r="C18" t="str">
        <v>T. 3 M</v>
      </c>
      <c r="D18" t="str">
        <v>T. 2 M</v>
      </c>
    </row>
    <row r="19">
      <c r="B19">
        <f>'RAB - PG'!H7</f>
        <v>9160000</v>
      </c>
      <c r="C19">
        <f>'RAB - PG'!H67</f>
        <v>15650000</v>
      </c>
      <c r="D19">
        <f>'RAB - PG'!H37</f>
        <v>12980000</v>
      </c>
      <c r="H19" t="str">
        <v>G.</v>
      </c>
      <c r="I19" t="str">
        <v>Pagar Rumah Negara</v>
      </c>
    </row>
    <row r="20">
      <c r="H20">
        <v>1</v>
      </c>
      <c r="I20" t="str">
        <v>- Depan</v>
      </c>
      <c r="J20">
        <f>B24</f>
        <v>9880000</v>
      </c>
    </row>
    <row r="21">
      <c r="B21" t="str">
        <v>PAGAR RUMAH NEGARA</v>
      </c>
      <c r="H21">
        <v>2</v>
      </c>
      <c r="I21" t="str">
        <v>- Belakang</v>
      </c>
      <c r="J21">
        <f>C24</f>
        <v>15160000</v>
      </c>
    </row>
    <row r="22">
      <c r="B22" t="str">
        <v>DEPAN</v>
      </c>
      <c r="C22" t="str">
        <v>BELAKANG</v>
      </c>
      <c r="D22" t="str">
        <v>SAMPING</v>
      </c>
      <c r="H22">
        <v>3</v>
      </c>
      <c r="I22" t="str">
        <v>- Samping</v>
      </c>
      <c r="J22">
        <f>D24</f>
        <v>12270000</v>
      </c>
    </row>
    <row r="23">
      <c r="B23" t="str">
        <v>BH; T. 1,50 M</v>
      </c>
      <c r="C23" t="str">
        <v>T. 2,5 M</v>
      </c>
      <c r="D23" t="str">
        <v>T. 2 M</v>
      </c>
    </row>
    <row r="24">
      <c r="B24">
        <f>'RAB - PR'!H7</f>
        <v>9880000</v>
      </c>
      <c r="C24">
        <f>'RAB - PR'!H67</f>
        <v>15160000</v>
      </c>
      <c r="D24">
        <f>'RAB - PR'!H37</f>
        <v>12270000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10910000</v>
      </c>
      <c r="E31">
        <f>HSBGN!D10</f>
        <v>17050000</v>
      </c>
    </row>
    <row r="33">
      <c r="B33" t="str">
        <v xml:space="preserve">2. </v>
      </c>
      <c r="C33" t="str">
        <v>Harga Satuan Pembangunan Rumah Negara (dalam Rupiah/m2 bangunan)</v>
      </c>
    </row>
    <row r="35">
      <c r="C35" t="str">
        <v>Rumah Tipe A</v>
      </c>
      <c r="D35" t="str">
        <v>Rumah Tipe B</v>
      </c>
      <c r="E35" t="str">
        <v>Rumah Tipe C,D,E</v>
      </c>
    </row>
    <row r="36">
      <c r="C36">
        <f>HSBGN!B14</f>
        <v>22570000</v>
      </c>
      <c r="D36">
        <f>HSBGN!C14</f>
        <v>26440000</v>
      </c>
      <c r="E36">
        <f>HSBGN!D14</f>
        <v>17830000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9160000</v>
      </c>
      <c r="D42">
        <f>HSBGN!C19</f>
        <v>15650000</v>
      </c>
      <c r="E42">
        <f>HSBGN!D19</f>
        <v>12980000</v>
      </c>
    </row>
    <row r="44">
      <c r="C44" t="str">
        <v>Pagar Rumah Negara</v>
      </c>
    </row>
    <row r="45">
      <c r="C45" t="str">
        <v xml:space="preserve">Pagar Depan </v>
      </c>
      <c r="D45" t="str">
        <v>Pagar Belakang</v>
      </c>
      <c r="E45" t="str">
        <v>Pagar Samping</v>
      </c>
    </row>
    <row r="46">
      <c r="C46">
        <f>HSBGN!B24</f>
        <v>9880000</v>
      </c>
      <c r="D46">
        <f>HSBGN!C24</f>
        <v>15160000</v>
      </c>
      <c r="E46">
        <f>HSBGN!D24</f>
        <v>12270000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B8:H8"/>
    <mergeCell ref="B9:H9"/>
    <mergeCell ref="B1:H1"/>
    <mergeCell ref="B2:H2"/>
    <mergeCell ref="B4:H4"/>
    <mergeCell ref="B6:H6"/>
    <mergeCell ref="C18:H18"/>
    <mergeCell ref="C19:H19"/>
    <mergeCell ref="C20:H20"/>
    <mergeCell ref="C21:H21"/>
    <mergeCell ref="C12:H12"/>
    <mergeCell ref="C13:H13"/>
    <mergeCell ref="C14:H14"/>
    <mergeCell ref="C17:H17"/>
    <mergeCell ref="B53:C53"/>
    <mergeCell ref="B54:C54"/>
    <mergeCell ref="C30:D30"/>
    <mergeCell ref="E30:F30"/>
    <mergeCell ref="C48:H48"/>
    <mergeCell ref="C50:H50"/>
    <mergeCell ref="C40:E40"/>
    <mergeCell ref="C44:E44"/>
    <mergeCell ref="C31:D31"/>
    <mergeCell ref="E31:F31"/>
    <mergeCell ref="C33:H33"/>
    <mergeCell ref="C38:H38"/>
    <mergeCell ref="C22:H22"/>
    <mergeCell ref="C23:H23"/>
    <mergeCell ref="C26:H26"/>
    <mergeCell ref="C28:H28"/>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mp;amp;amp;amp;amp;amp;amp;amp;amp;amp;amp;amp;amp;amp;amp;amp;amp;amp;amp;amp;amp;amp;amp;apos;SpeK Gedung&amp;amp;amp;amp;amp;amp;amp;amp;amp;amp;amp;amp;amp;amp;amp;amp;amp;amp;amp;amp;amp;amp;amp;amp;apos;!A1" tooltip="Spesifikasi Gedung Negara"/>
    <hyperlink ref="D98" location="model!A1" tooltip="BACK"/>
    <hyperlink ref="F98" location="&amp;amp;amp;amp;amp;amp;amp;amp;amp;amp;amp;amp;amp;amp;amp;amp;amp;amp;amp;amp;amp;amp;amp;amp;apos;SpeK Gedung&amp;amp;amp;amp;amp;amp;amp;amp;amp;amp;amp;amp;amp;amp;amp;amp;amp;amp;amp;amp;amp;amp;amp;amp;apos;!A1" tooltip="Spesifikasi Gedung Negara"/>
    <hyperlink ref="E151" location="model!A1" tooltip="BACK"/>
    <hyperlink ref="F151" location="&amp;amp;amp;amp;amp;amp;amp;amp;amp;amp;amp;amp;amp;amp;amp;amp;amp;amp;amp;amp;amp;amp;amp;amp;apos;SpeK Rumah&amp;amp;amp;amp;amp;amp;amp;amp;amp;amp;amp;amp;amp;amp;amp;amp;amp;amp;amp;amp;amp;amp;amp;amp;apos;!A1" tooltip="Spesifikasi Rumah Negara"/>
    <hyperlink ref="E201" location="model!A1" tooltip="BACK"/>
    <hyperlink ref="F201" location="&amp;amp;amp;amp;amp;amp;amp;amp;amp;amp;amp;amp;amp;amp;amp;amp;amp;amp;amp;amp;amp;amp;amp;amp;apos;SpeK Rumah&amp;amp;amp;amp;amp;amp;amp;amp;amp;amp;amp;amp;amp;amp;amp;amp;amp;amp;amp;amp;amp;amp;amp;amp;apos;!A1" tooltip="Spesifikasi Rumah Negara"/>
    <hyperlink ref="E235" location="model!A1" tooltip="BACK"/>
    <hyperlink ref="F235" location="&amp;amp;amp;amp;amp;amp;amp;amp;amp;amp;amp;amp;amp;amp;amp;amp;amp;amp;amp;amp;amp;amp;amp;amp;apos;SpeK Rumah&amp;amp;amp;amp;amp;amp;amp;amp;amp;amp;amp;amp;amp;amp;amp;amp;amp;amp;amp;amp;amp;amp;amp;amp;apos;!A1" tooltip="Spesifikasi Rumah Negara"/>
    <hyperlink ref="E268" location="model!A1" tooltip="BACK"/>
    <hyperlink ref="F268" location="&amp;amp;amp;amp;amp;amp;amp;amp;amp;amp;amp;amp;amp;amp;amp;amp;amp;amp;amp;amp;amp;amp;amp;amp;apos;SpeK Rumah&amp;amp;amp;amp;amp;amp;amp;amp;amp;amp;amp;amp;amp;amp;amp;amp;amp;amp;amp;amp;amp;amp;amp;amp;apos;!A1" tooltip="Spesifikasi Rumah Negara"/>
    <hyperlink ref="E304" location="model!A1" tooltip="BACK"/>
    <hyperlink ref="F304" location="&amp;amp;amp;amp;amp;amp;amp;amp;amp;amp;amp;amp;amp;amp;amp;amp;amp;amp;amp;amp;amp;amp;amp;amp;apos;SpeK Rumah&amp;amp;amp;amp;amp;amp;amp;amp;amp;amp;amp;amp;amp;amp;amp;amp;amp;amp;amp;amp;amp;amp;amp;amp;apos;!A1" tooltip="Spesifikasi Rumah Negara"/>
    <hyperlink ref="E350" location="model!A1" tooltip="BACK"/>
    <hyperlink ref="F350" location="&amp;amp;amp;amp;amp;amp;amp;amp;amp;amp;amp;amp;amp;amp;amp;amp;amp;amp;amp;amp;amp;amp;amp;amp;apos;SpeK Pagar&amp;amp;amp;amp;amp;amp;amp;amp;amp;amp;amp;amp;amp;amp;amp;amp;amp;amp;amp;amp;amp;amp;amp;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4250</v>
      </c>
      <c r="J10">
        <f>$J$3</f>
        <v>0.1</v>
      </c>
      <c r="K10">
        <f>SUM(H10:I10)*(1+J10)</f>
        <v>4675</v>
      </c>
      <c r="L10">
        <f>ROUND(K10,-2)</f>
        <v>4700</v>
      </c>
    </row>
    <row r="11">
      <c r="C11" t="str">
        <f>'Isi Data'!B168</f>
        <v>Pekerja</v>
      </c>
      <c r="E11" t="str">
        <v>org/hr</v>
      </c>
      <c r="F11">
        <v>0.1</v>
      </c>
      <c r="G11">
        <f>SUMIF('Isi Data'!B$1:B$65536,SNI!C$1:C$65536,'Isi Data'!E$1:E$65536)</f>
        <v>40000</v>
      </c>
      <c r="I11">
        <f>F11*G11</f>
        <v>4000</v>
      </c>
    </row>
    <row r="12">
      <c r="C12" t="str">
        <f>'Isi Data'!B169</f>
        <v xml:space="preserve">Mandor </v>
      </c>
      <c r="E12" t="str">
        <v>org/hr</v>
      </c>
      <c r="F12">
        <v>0.005</v>
      </c>
      <c r="G12">
        <f>SUMIF('Isi Data'!B$1:B$65536,SNI!C$1:C$65536,'Isi Data'!E$1:E$65536)</f>
        <v>50000</v>
      </c>
      <c r="I12">
        <f>F12*G12</f>
        <v>250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240</v>
      </c>
      <c r="I14">
        <f>SUM(I15:I21)</f>
        <v>6250</v>
      </c>
      <c r="J14">
        <f>$J$3</f>
        <v>0.1</v>
      </c>
      <c r="K14">
        <f>SUM(H14:I14)*(1+J14)</f>
        <v>7139.000000000001</v>
      </c>
      <c r="L14">
        <f>ROUND(K14,-2)</f>
        <v>7100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12000</v>
      </c>
      <c r="H17">
        <f>F17*G17</f>
        <v>240</v>
      </c>
      <c r="K17" t="str">
        <v xml:space="preserve"> </v>
      </c>
      <c r="L17" t="str">
        <v xml:space="preserve"> </v>
      </c>
    </row>
    <row r="18">
      <c r="C18" t="str">
        <f>'Isi Data'!B168</f>
        <v>Pekerja</v>
      </c>
      <c r="E18" t="str">
        <v>org/hr</v>
      </c>
      <c r="F18">
        <v>0.08</v>
      </c>
      <c r="G18">
        <f>SUMIF('Isi Data'!B$1:B$65536,SNI!C$1:C$65536,'Isi Data'!E$1:E$65536)</f>
        <v>40000</v>
      </c>
      <c r="I18">
        <f>F18*G18</f>
        <v>3200</v>
      </c>
    </row>
    <row r="19">
      <c r="C19" t="str">
        <f>'Isi Data'!B158</f>
        <v xml:space="preserve">Tukang Kayu Kasar </v>
      </c>
      <c r="E19" t="str">
        <v>org/hr</v>
      </c>
      <c r="F19">
        <v>0.04</v>
      </c>
      <c r="G19">
        <f>SUMIF('Isi Data'!B$1:B$65536,SNI!C$1:C$65536,'Isi Data'!E$1:E$65536)</f>
        <v>55000</v>
      </c>
      <c r="I19">
        <f>F19*G19</f>
        <v>2200</v>
      </c>
      <c r="K19" t="str">
        <v xml:space="preserve"> </v>
      </c>
      <c r="L19" t="str">
        <v xml:space="preserve"> </v>
      </c>
    </row>
    <row r="20">
      <c r="C20" t="str">
        <f>'Isi Data'!B160</f>
        <v>Kepala Tukang Kayu</v>
      </c>
      <c r="E20" t="str">
        <v>org/hr</v>
      </c>
      <c r="F20">
        <v>0.01</v>
      </c>
      <c r="G20">
        <f>SUMIF('Isi Data'!B$1:B$65536,SNI!C$1:C$65536,'Isi Data'!E$1:E$65536)</f>
        <v>60000</v>
      </c>
      <c r="I20">
        <f>F20*G20</f>
        <v>600</v>
      </c>
    </row>
    <row r="21">
      <c r="C21" t="str">
        <f>'Isi Data'!B169</f>
        <v xml:space="preserve">Mandor </v>
      </c>
      <c r="E21" t="str">
        <v>org/hr</v>
      </c>
      <c r="F21">
        <v>0.005</v>
      </c>
      <c r="G21">
        <f>SUMIF('Isi Data'!B$1:B$65536,SNI!C$1:C$65536,'Isi Data'!E$1:E$65536)</f>
        <v>50000</v>
      </c>
      <c r="I21">
        <f>F21*G21</f>
        <v>250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73860</v>
      </c>
      <c r="I23">
        <f>SUM(I24:I34)</f>
        <v>75400</v>
      </c>
      <c r="J23">
        <f>$J$3</f>
        <v>0.1</v>
      </c>
      <c r="K23">
        <f>SUM(H23:I23)*(1+J23)</f>
        <v>164186</v>
      </c>
      <c r="L23">
        <f>ROUND(K23,-2)</f>
        <v>164200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45000</v>
      </c>
      <c r="H25">
        <f>F25*G25</f>
        <v>36000</v>
      </c>
      <c r="K25" t="str">
        <v xml:space="preserve"> </v>
      </c>
      <c r="L25" t="str">
        <v xml:space="preserve"> </v>
      </c>
    </row>
    <row r="26">
      <c r="C26" t="str">
        <v>Triplex  t. 4 mm</v>
      </c>
      <c r="D26" t="str">
        <v>Plafond</v>
      </c>
      <c r="E26" t="str">
        <v>lbr</v>
      </c>
      <c r="F26">
        <v>0.7</v>
      </c>
      <c r="G26">
        <f>SUMIF('Isi Data'!B$1:B$65536,SNI!C$1:C$65536,'Isi Data'!E$1:E$65536)</f>
        <v>45000</v>
      </c>
      <c r="H26">
        <f>F26*G26</f>
        <v>31499.999999999996</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106000</v>
      </c>
      <c r="H29">
        <f>F29*G29</f>
        <v>6360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40000</v>
      </c>
      <c r="I31">
        <f>F31*G31</f>
        <v>48000</v>
      </c>
    </row>
    <row r="32">
      <c r="C32" t="str">
        <f>'Isi Data'!B158</f>
        <v xml:space="preserve">Tukang Kayu Kasar </v>
      </c>
      <c r="E32" t="str">
        <v>org/hr</v>
      </c>
      <c r="F32">
        <v>0.4</v>
      </c>
      <c r="G32">
        <f>SUMIF('Isi Data'!B$1:B$65536,SNI!C$1:C$65536,'Isi Data'!E$1:E$65536)</f>
        <v>55000</v>
      </c>
      <c r="I32">
        <f>F32*G32</f>
        <v>22000</v>
      </c>
    </row>
    <row r="33">
      <c r="C33" t="str">
        <f>'Isi Data'!B160</f>
        <v>Kepala Tukang Kayu</v>
      </c>
      <c r="E33" t="str">
        <v>org/hr</v>
      </c>
      <c r="F33">
        <v>0.04</v>
      </c>
      <c r="G33">
        <f>SUMIF('Isi Data'!B$1:B$65536,SNI!C$1:C$65536,'Isi Data'!E$1:E$65536)</f>
        <v>60000</v>
      </c>
      <c r="I33">
        <f>F33*G33</f>
        <v>2400</v>
      </c>
    </row>
    <row r="34">
      <c r="C34" t="str">
        <f>'Isi Data'!B169</f>
        <v xml:space="preserve">Mandor </v>
      </c>
      <c r="E34" t="str">
        <v>org/hr</v>
      </c>
      <c r="F34">
        <v>0.06</v>
      </c>
      <c r="G34">
        <f>SUMIF('Isi Data'!B$1:B$65536,SNI!C$1:C$65536,'Isi Data'!E$1:E$65536)</f>
        <v>50000</v>
      </c>
      <c r="I34">
        <f>F34*G34</f>
        <v>3000</v>
      </c>
    </row>
    <row r="35">
      <c r="F35" t="str">
        <v xml:space="preserve"> </v>
      </c>
    </row>
    <row r="36">
      <c r="B36" t="str">
        <v>Bh</v>
      </c>
      <c r="C36" t="str">
        <v>Pembuatan papan nama proyek</v>
      </c>
      <c r="H36">
        <f>SUM(H37:H52)</f>
        <v>122450</v>
      </c>
      <c r="I36">
        <f>SUM(I37:I52)</f>
        <v>118700</v>
      </c>
      <c r="J36">
        <f>$J$3</f>
        <v>0.1</v>
      </c>
      <c r="K36">
        <f>SUM(H36:I36)*(1+J36)</f>
        <v>265265</v>
      </c>
      <c r="L36">
        <f>ROUND(K36,-2)</f>
        <v>265300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12000</v>
      </c>
      <c r="H39">
        <f>F39*G39</f>
        <v>7200</v>
      </c>
      <c r="K39" t="str">
        <v xml:space="preserve"> </v>
      </c>
    </row>
    <row r="40">
      <c r="C40" t="str">
        <f>'Isi Data'!B89</f>
        <v xml:space="preserve">Meni kayu </v>
      </c>
      <c r="E40" t="str">
        <v>kg</v>
      </c>
      <c r="F40">
        <v>0.75</v>
      </c>
      <c r="G40">
        <f>SUMIF('Isi Data'!B$1:B$65536,SNI!C$1:C$65536,'Isi Data'!E$1:E$65536)</f>
        <v>15000</v>
      </c>
      <c r="H40">
        <f>F40*G40</f>
        <v>11250</v>
      </c>
      <c r="K40" t="str">
        <v xml:space="preserve"> </v>
      </c>
      <c r="L40" t="str">
        <v xml:space="preserve"> </v>
      </c>
    </row>
    <row r="41">
      <c r="C41" t="str">
        <f>'Isi Data'!B88</f>
        <v>Plamir Kayu</v>
      </c>
      <c r="E41" t="str">
        <v>kg</v>
      </c>
      <c r="F41">
        <v>0.3</v>
      </c>
      <c r="G41">
        <f>SUMIF('Isi Data'!B$1:B$65536,SNI!C$1:C$65536,'Isi Data'!E$1:E$65536)</f>
        <v>15000</v>
      </c>
      <c r="H41">
        <f>F41*G41</f>
        <v>4500</v>
      </c>
      <c r="K41" t="str">
        <v xml:space="preserve"> </v>
      </c>
      <c r="L41" t="str">
        <v xml:space="preserve"> </v>
      </c>
    </row>
    <row r="42">
      <c r="C42" t="str">
        <f>'Isi Data'!B92</f>
        <v>Amplas Kayu</v>
      </c>
      <c r="E42" t="str">
        <v>lbr</v>
      </c>
      <c r="F42">
        <v>2</v>
      </c>
      <c r="G42">
        <f>SUMIF('Isi Data'!B$1:B$65536,SNI!C$1:C$65536,'Isi Data'!E$1:E$65536)</f>
        <v>6850</v>
      </c>
      <c r="H42">
        <f>F42*G42</f>
        <v>13700</v>
      </c>
    </row>
    <row r="43">
      <c r="C43" t="str">
        <f>'Isi Data'!B93</f>
        <v>Kwas cat</v>
      </c>
      <c r="E43" t="str">
        <v>bh</v>
      </c>
      <c r="F43">
        <v>0.2</v>
      </c>
      <c r="G43">
        <f>SUMIF('Isi Data'!B$1:B$65536,SNI!C$1:C$65536,'Isi Data'!E$1:E$65536)</f>
        <v>7500</v>
      </c>
      <c r="H43">
        <f>F43*G43</f>
        <v>1500</v>
      </c>
    </row>
    <row r="44">
      <c r="C44" t="str">
        <f>'Isi Data'!B87</f>
        <v xml:space="preserve">Cat kayu/Besi </v>
      </c>
      <c r="E44" t="str">
        <v>kg</v>
      </c>
      <c r="F44">
        <v>0.4</v>
      </c>
      <c r="G44">
        <f>SUMIF('Isi Data'!B$1:B$65536,SNI!C$1:C$65536,'Isi Data'!E$1:E$65536)</f>
        <v>48000</v>
      </c>
      <c r="H44">
        <f>F44*G44</f>
        <v>19200</v>
      </c>
      <c r="K44" t="str">
        <v xml:space="preserve"> </v>
      </c>
      <c r="L44" t="str">
        <v xml:space="preserve"> </v>
      </c>
    </row>
    <row r="45">
      <c r="C45" t="str">
        <f>'Isi Data'!B25</f>
        <v>Semen (50 Kg)</v>
      </c>
      <c r="E45" t="str">
        <v>zak</v>
      </c>
      <c r="F45">
        <v>0.5</v>
      </c>
      <c r="G45">
        <f>SUMIF('Isi Data'!B$1:B$65536,SNI!C$1:C$65536,'Isi Data'!E$1:E$65536)</f>
        <v>61000</v>
      </c>
      <c r="H45">
        <f>F45*G45</f>
        <v>30500</v>
      </c>
      <c r="K45" t="str">
        <v xml:space="preserve"> </v>
      </c>
      <c r="L45" t="str">
        <v xml:space="preserve"> </v>
      </c>
    </row>
    <row r="46">
      <c r="C46" t="str">
        <f>'Isi Data'!B19</f>
        <v>Pasir Beton</v>
      </c>
      <c r="E46" t="str">
        <v>m3</v>
      </c>
      <c r="F46">
        <v>0.06</v>
      </c>
      <c r="G46">
        <f>SUMIF('Isi Data'!B$1:B$65536,SNI!C$1:C$65536,'Isi Data'!E$1:E$65536)</f>
        <v>210000</v>
      </c>
      <c r="H46">
        <f>F46*G46</f>
        <v>12600</v>
      </c>
    </row>
    <row r="47">
      <c r="C47" t="str">
        <f>'Isi Data'!B17</f>
        <v>Batu Split Pecah Mesin 3/5</v>
      </c>
      <c r="E47" t="str">
        <v>m3</v>
      </c>
      <c r="F47">
        <v>0.1</v>
      </c>
      <c r="G47">
        <f>SUMIF('Isi Data'!B$1:B$65536,SNI!C$1:C$65536,'Isi Data'!E$1:E$65536)</f>
        <v>220000</v>
      </c>
      <c r="H47">
        <f>F47*G47</f>
        <v>22000</v>
      </c>
    </row>
    <row r="48">
      <c r="C48" t="str">
        <f>'Isi Data'!B168</f>
        <v>Pekerja</v>
      </c>
      <c r="E48" t="str">
        <v>org/hr</v>
      </c>
      <c r="F48">
        <v>0.63</v>
      </c>
      <c r="G48">
        <f>SUMIF('Isi Data'!B$1:B$65536,SNI!C$1:C$65536,'Isi Data'!E$1:E$65536)</f>
        <v>40000</v>
      </c>
      <c r="I48">
        <f>F48*G48</f>
        <v>25200</v>
      </c>
    </row>
    <row r="49">
      <c r="C49" t="str">
        <f>'Isi Data'!B158</f>
        <v xml:space="preserve">Tukang Kayu Kasar </v>
      </c>
      <c r="E49" t="str">
        <v>org/hr</v>
      </c>
      <c r="F49">
        <v>1</v>
      </c>
      <c r="G49">
        <f>SUMIF('Isi Data'!B$1:B$65536,SNI!C$1:C$65536,'Isi Data'!E$1:E$65536)</f>
        <v>55000</v>
      </c>
      <c r="I49">
        <f>F49*G49</f>
        <v>55000</v>
      </c>
      <c r="K49" t="str">
        <v xml:space="preserve"> </v>
      </c>
      <c r="L49" t="str">
        <v xml:space="preserve"> </v>
      </c>
    </row>
    <row r="50">
      <c r="C50" t="str">
        <f>'Isi Data'!B164</f>
        <v>Tukang Cat Biasa</v>
      </c>
      <c r="E50" t="str">
        <v>org/hr</v>
      </c>
      <c r="F50">
        <v>0.5</v>
      </c>
      <c r="G50">
        <f>SUMIF('Isi Data'!B$1:B$65536,SNI!C$1:C$65536,'Isi Data'!E$1:E$65536)</f>
        <v>55000</v>
      </c>
      <c r="I50">
        <f>F50*G50</f>
        <v>27500</v>
      </c>
      <c r="K50" t="str">
        <v xml:space="preserve"> </v>
      </c>
      <c r="L50" t="str">
        <v xml:space="preserve"> </v>
      </c>
    </row>
    <row r="51">
      <c r="C51" t="str">
        <f>'Isi Data'!B160</f>
        <v>Kepala Tukang Kayu</v>
      </c>
      <c r="E51" t="str">
        <v>org/hr</v>
      </c>
      <c r="F51">
        <v>0.1</v>
      </c>
      <c r="G51">
        <f>SUMIF('Isi Data'!B$1:B$65536,SNI!C$1:C$65536,'Isi Data'!E$1:E$65536)</f>
        <v>60000</v>
      </c>
      <c r="I51">
        <f>F51*G51</f>
        <v>6000</v>
      </c>
      <c r="K51" t="str">
        <v xml:space="preserve"> </v>
      </c>
      <c r="L51" t="str">
        <v xml:space="preserve"> </v>
      </c>
    </row>
    <row r="52">
      <c r="C52" t="str">
        <f>'Isi Data'!B169</f>
        <v xml:space="preserve">Mandor </v>
      </c>
      <c r="E52" t="str">
        <v>org/hr</v>
      </c>
      <c r="F52">
        <v>0.1</v>
      </c>
      <c r="G52">
        <f>SUMIF('Isi Data'!B$1:B$65536,SNI!C$1:C$65536,'Isi Data'!E$1:E$65536)</f>
        <v>50000</v>
      </c>
      <c r="I52">
        <f>F52*G52</f>
        <v>5000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2250</v>
      </c>
      <c r="J57">
        <f>$J$3</f>
        <v>0.1</v>
      </c>
      <c r="K57">
        <f>SUM(H57:I57)*(1+J57)</f>
        <v>2475</v>
      </c>
      <c r="L57">
        <f>ROUND(K57,-2)</f>
        <v>2500</v>
      </c>
    </row>
    <row r="58">
      <c r="C58" t="str">
        <f>'Isi Data'!B168</f>
        <v>Pekerja</v>
      </c>
      <c r="E58" t="str">
        <v>org/hr</v>
      </c>
      <c r="F58">
        <v>0.05</v>
      </c>
      <c r="G58">
        <f>SUMIF('Isi Data'!B$1:B$65536,SNI!C$1:C$65536,'Isi Data'!E$1:E$65536)</f>
        <v>40000</v>
      </c>
      <c r="I58">
        <f>F58*G58</f>
        <v>2000</v>
      </c>
      <c r="M58" t="str">
        <f>IF(G58=0,"edit"," ")</f>
        <v xml:space="preserve"> </v>
      </c>
    </row>
    <row r="59">
      <c r="C59" t="str">
        <f>'Isi Data'!B169</f>
        <v xml:space="preserve">Mandor </v>
      </c>
      <c r="E59" t="str">
        <v>org/hr</v>
      </c>
      <c r="F59">
        <v>0.005</v>
      </c>
      <c r="G59">
        <f>SUMIF('Isi Data'!B$1:B$65536,SNI!C$1:C$65536,'Isi Data'!E$1:E$65536)</f>
        <v>50000</v>
      </c>
      <c r="I59">
        <f>F59*G59</f>
        <v>250</v>
      </c>
      <c r="M59" t="str">
        <f>IF(G59=0,"edit"," ")</f>
        <v xml:space="preserve"> </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31250</v>
      </c>
      <c r="J61">
        <f>$J$3</f>
        <v>0.1</v>
      </c>
      <c r="K61">
        <f>SUM(H61:I61)*(1+J61)</f>
        <v>34375</v>
      </c>
      <c r="L61">
        <f>ROUND(K61,-2)</f>
        <v>34400</v>
      </c>
    </row>
    <row r="62">
      <c r="C62" t="str">
        <f>'Isi Data'!B168</f>
        <v>Pekerja</v>
      </c>
      <c r="E62" t="str">
        <v>org/hr</v>
      </c>
      <c r="F62">
        <v>0.75</v>
      </c>
      <c r="G62">
        <f>SUMIF('Isi Data'!B$1:B$65536,SNI!C$1:C$65536,'Isi Data'!E$1:E$65536)</f>
        <v>40000</v>
      </c>
      <c r="I62">
        <f>F62*G62</f>
        <v>30000</v>
      </c>
      <c r="M62" t="str">
        <f>IF(G62=0,"edit"," ")</f>
        <v xml:space="preserve"> </v>
      </c>
    </row>
    <row r="63">
      <c r="C63" t="str">
        <f>'Isi Data'!B169</f>
        <v xml:space="preserve">Mandor </v>
      </c>
      <c r="E63" t="str">
        <v>org/hr</v>
      </c>
      <c r="F63">
        <v>0.025</v>
      </c>
      <c r="G63">
        <f>SUMIF('Isi Data'!B$1:B$65536,SNI!C$1:C$65536,'Isi Data'!E$1:E$65536)</f>
        <v>50000</v>
      </c>
      <c r="I63">
        <f>F63*G63</f>
        <v>1250</v>
      </c>
      <c r="M63" t="str">
        <f>IF(G63=0,"edit"," ")</f>
        <v xml:space="preserve"> </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10416.666666666666</v>
      </c>
      <c r="J65">
        <f>$J$3</f>
        <v>0.1</v>
      </c>
      <c r="K65">
        <f>SUM(H65:I65)*(1+J65)</f>
        <v>11458.333333333334</v>
      </c>
      <c r="L65">
        <f>ROUND(K65,-2)</f>
        <v>11500</v>
      </c>
    </row>
    <row r="66">
      <c r="C66" t="str">
        <f>'Isi Data'!B168</f>
        <v>Pekerja</v>
      </c>
      <c r="E66" t="str">
        <v>org/hr</v>
      </c>
      <c r="F66">
        <f>F62/3</f>
        <v>0.25</v>
      </c>
      <c r="G66">
        <f>SUMIF('Isi Data'!B$1:B$65536,SNI!C$1:C$65536,'Isi Data'!E$1:E$65536)</f>
        <v>40000</v>
      </c>
      <c r="I66">
        <f>F66*G66</f>
        <v>10000</v>
      </c>
      <c r="M66" t="str">
        <f>IF(G66=0,"edit"," ")</f>
        <v xml:space="preserve"> </v>
      </c>
    </row>
    <row r="67">
      <c r="C67" t="str">
        <f>'Isi Data'!B169</f>
        <v xml:space="preserve">Mandor </v>
      </c>
      <c r="E67" t="str">
        <v>org/hr</v>
      </c>
      <c r="F67">
        <f>F63/3</f>
        <v>0.008333333333333333</v>
      </c>
      <c r="G67">
        <f>SUMIF('Isi Data'!B$1:B$65536,SNI!C$1:C$65536,'Isi Data'!E$1:E$65536)</f>
        <v>50000</v>
      </c>
      <c r="I67">
        <f>F67*G67</f>
        <v>416.6666666666667</v>
      </c>
      <c r="M67" t="str">
        <f>IF(G67=0,"edit"," ")</f>
        <v xml:space="preserve"> </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168000</v>
      </c>
      <c r="I70">
        <f>SUM(I71:I73)</f>
        <v>12500</v>
      </c>
      <c r="K70">
        <f>SUM(H70:I70)</f>
        <v>180500</v>
      </c>
      <c r="L70">
        <f>ROUND(K70,-2)</f>
        <v>180500</v>
      </c>
    </row>
    <row r="71">
      <c r="C71" t="str">
        <f>'Isi Data'!B21</f>
        <v>Pasir Urug</v>
      </c>
      <c r="E71" t="str">
        <v>m3</v>
      </c>
      <c r="F71">
        <v>1.2</v>
      </c>
      <c r="G71">
        <f>SUMIF('Isi Data'!B$1:B$65536,SNI!C$1:C$65536,'Isi Data'!E$1:E$65536)</f>
        <v>140000</v>
      </c>
      <c r="H71">
        <f>F71*G71</f>
        <v>168000</v>
      </c>
      <c r="M71" t="str">
        <f>IF(G71=0,"edit"," ")</f>
        <v xml:space="preserve"> </v>
      </c>
    </row>
    <row r="72">
      <c r="C72" t="str">
        <f>'Isi Data'!B168</f>
        <v>Pekerja</v>
      </c>
      <c r="E72" t="str">
        <v>org/hr</v>
      </c>
      <c r="F72">
        <v>0.3</v>
      </c>
      <c r="G72">
        <f>SUMIF('Isi Data'!B$1:B$65536,SNI!C$1:C$65536,'Isi Data'!E$1:E$65536)</f>
        <v>40000</v>
      </c>
      <c r="I72">
        <f>F72*G72</f>
        <v>12000</v>
      </c>
      <c r="M72" t="str">
        <f>IF(G72=0,"edit"," ")</f>
        <v xml:space="preserve"> </v>
      </c>
    </row>
    <row r="73">
      <c r="C73" t="str">
        <f>'Isi Data'!B169</f>
        <v xml:space="preserve">Mandor </v>
      </c>
      <c r="E73" t="str">
        <v>org/hr</v>
      </c>
      <c r="F73">
        <v>0.01</v>
      </c>
      <c r="G73">
        <f>SUMIF('Isi Data'!B$1:B$65536,SNI!C$1:C$65536,'Isi Data'!E$1:E$65536)</f>
        <v>50000</v>
      </c>
      <c r="I73">
        <f>F73*G73</f>
        <v>500</v>
      </c>
      <c r="M73" t="str">
        <f>IF(G73=0,"edit"," ")</f>
        <v xml:space="preserve"> </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13700</v>
      </c>
      <c r="J76">
        <f>$J$3</f>
        <v>0.1</v>
      </c>
      <c r="K76">
        <f>SUM(H76:I76)*(1+J76)</f>
        <v>15070.000000000002</v>
      </c>
      <c r="L76">
        <f>ROUND(K76,-2)</f>
        <v>15100</v>
      </c>
    </row>
    <row r="77">
      <c r="C77" t="str">
        <f>'Isi Data'!B168</f>
        <v>Pekerja</v>
      </c>
      <c r="E77" t="str">
        <v>org/hr</v>
      </c>
      <c r="F77">
        <v>0.33</v>
      </c>
      <c r="G77">
        <f>SUMIF('Isi Data'!B$1:B$65536,SNI!C$1:C$65536,'Isi Data'!E$1:E$65536)</f>
        <v>40000</v>
      </c>
      <c r="I77">
        <f>F77*G77</f>
        <v>13200</v>
      </c>
      <c r="M77" t="str">
        <f>IF(G77=0,"edit"," ")</f>
        <v xml:space="preserve"> </v>
      </c>
    </row>
    <row r="78">
      <c r="C78" t="str">
        <f>'Isi Data'!B169</f>
        <v xml:space="preserve">Mandor </v>
      </c>
      <c r="E78" t="str">
        <v>org/hr</v>
      </c>
      <c r="F78">
        <v>0.01</v>
      </c>
      <c r="G78">
        <f>SUMIF('Isi Data'!B$1:B$65536,SNI!C$1:C$65536,'Isi Data'!E$1:E$65536)</f>
        <v>50000</v>
      </c>
      <c r="I78">
        <f>F78*G78</f>
        <v>500</v>
      </c>
      <c r="M78" t="str">
        <f>IF(G78=0,"edit"," ")</f>
        <v xml:space="preserve"> </v>
      </c>
    </row>
    <row r="79">
      <c r="C79" t="str">
        <v xml:space="preserve"> </v>
      </c>
    </row>
    <row r="80">
      <c r="A80" t="str">
        <v>SNI DT 91-0006-2007</v>
      </c>
      <c r="B80" t="str">
        <v>M3</v>
      </c>
      <c r="C80" t="str">
        <v>Pas. Urugan tanah</v>
      </c>
      <c r="H80">
        <f>SUM(H81:H83)</f>
        <v>60000</v>
      </c>
      <c r="I80">
        <f>SUM(I81:I83)</f>
        <v>11250</v>
      </c>
      <c r="J80">
        <f>$J$3</f>
        <v>0.1</v>
      </c>
      <c r="K80">
        <f>SUM(H80:I80)*(1+J80)</f>
        <v>78375</v>
      </c>
      <c r="L80">
        <f>ROUND(K80,-2)</f>
        <v>78400</v>
      </c>
    </row>
    <row r="81">
      <c r="C81" t="str">
        <f>'Isi Data'!B22</f>
        <v>Tanah Urug</v>
      </c>
      <c r="E81" t="str">
        <v>m3</v>
      </c>
      <c r="F81">
        <v>1.2</v>
      </c>
      <c r="G81">
        <f>SUMIF('Isi Data'!B$1:B$65536,SNI!C$1:C$65536,'Isi Data'!E$1:E$65536)</f>
        <v>50000</v>
      </c>
      <c r="H81">
        <f>F81*G81</f>
        <v>60000</v>
      </c>
      <c r="M81" t="str">
        <f>IF(G81=0,"edit"," ")</f>
        <v xml:space="preserve"> </v>
      </c>
    </row>
    <row r="82">
      <c r="C82" t="str">
        <f>'Isi Data'!B168</f>
        <v>Pekerja</v>
      </c>
      <c r="E82" t="str">
        <v>org/hr</v>
      </c>
      <c r="F82">
        <v>0.25</v>
      </c>
      <c r="G82">
        <f>SUMIF('Isi Data'!B$1:B$65536,SNI!C$1:C$65536,'Isi Data'!E$1:E$65536)</f>
        <v>40000</v>
      </c>
      <c r="I82">
        <f>F82*G82</f>
        <v>10000</v>
      </c>
      <c r="M82" t="str">
        <f>IF(G82=0,"edit"," ")</f>
        <v xml:space="preserve"> </v>
      </c>
    </row>
    <row r="83">
      <c r="C83" t="str">
        <f>'Isi Data'!B169</f>
        <v xml:space="preserve">Mandor </v>
      </c>
      <c r="E83" t="str">
        <v>org/hr</v>
      </c>
      <c r="F83">
        <v>0.025</v>
      </c>
      <c r="G83">
        <f>SUMIF('Isi Data'!B$1:B$65536,SNI!C$1:C$65536,'Isi Data'!E$1:E$65536)</f>
        <v>50000</v>
      </c>
      <c r="I83">
        <f>F83*G83</f>
        <v>1250</v>
      </c>
      <c r="M83" t="str">
        <f>IF(G83=0,"edit"," ")</f>
        <v xml:space="preserve"> </v>
      </c>
    </row>
    <row r="85">
      <c r="F85" t="str">
        <v xml:space="preserve"> </v>
      </c>
    </row>
    <row r="86">
      <c r="C86" t="str">
        <v>PEKERJAAN PONDASI :</v>
      </c>
    </row>
    <row r="87">
      <c r="C87" t="str">
        <v xml:space="preserve"> </v>
      </c>
    </row>
    <row r="88">
      <c r="A88" t="str">
        <v>SNI 7395-2008-6.9</v>
      </c>
      <c r="B88" t="str">
        <v>M3</v>
      </c>
      <c r="C88" t="str">
        <v>Aanstamping batu kali</v>
      </c>
      <c r="H88">
        <f>SUM(H89:H94)</f>
        <v>318720</v>
      </c>
      <c r="I88">
        <f>SUM(I89:I94)</f>
        <v>56940</v>
      </c>
      <c r="J88">
        <f>$J$3</f>
        <v>0.1</v>
      </c>
      <c r="K88">
        <f>SUM(H88:I88)*(1+J88)</f>
        <v>413226.00000000006</v>
      </c>
      <c r="L88">
        <f>ROUND(K88,-2)</f>
        <v>413200</v>
      </c>
    </row>
    <row r="89">
      <c r="C89" t="str">
        <f>'Isi Data'!B15</f>
        <v>Batu kali</v>
      </c>
      <c r="E89" t="str">
        <v>m3</v>
      </c>
      <c r="F89">
        <v>1.2</v>
      </c>
      <c r="G89">
        <f>SUMIF('Isi Data'!B$1:B$65536,SNI!C$1:C$65536,'Isi Data'!E$1:E$65536)</f>
        <v>190000</v>
      </c>
      <c r="H89">
        <f>F89*G89</f>
        <v>228000</v>
      </c>
      <c r="M89" t="str">
        <f>IF(G89=0,"edit"," ")</f>
        <v xml:space="preserve"> </v>
      </c>
    </row>
    <row r="90">
      <c r="C90" t="str">
        <f>'Isi Data'!B19</f>
        <v>Pasir Beton</v>
      </c>
      <c r="E90" t="str">
        <v>m3</v>
      </c>
      <c r="F90">
        <v>0.432</v>
      </c>
      <c r="G90">
        <f>SUMIF('Isi Data'!B$1:B$65536,SNI!C$1:C$65536,'Isi Data'!E$1:E$65536)</f>
        <v>210000</v>
      </c>
      <c r="H90">
        <f>F90*G90</f>
        <v>90720</v>
      </c>
      <c r="M90" t="str">
        <f>IF(G90=0,"edit"," ")</f>
        <v xml:space="preserve"> </v>
      </c>
    </row>
    <row r="91">
      <c r="C91" t="str">
        <f>'Isi Data'!B168</f>
        <v>Pekerja</v>
      </c>
      <c r="E91" t="str">
        <v>org/hr</v>
      </c>
      <c r="F91">
        <v>0.78</v>
      </c>
      <c r="G91">
        <f>SUMIF('Isi Data'!B$1:B$65536,SNI!C$1:C$65536,'Isi Data'!E$1:E$65536)</f>
        <v>40000</v>
      </c>
      <c r="I91">
        <f>F91*G91</f>
        <v>31200</v>
      </c>
      <c r="M91" t="str">
        <f>IF(G91=0,"edit"," ")</f>
        <v xml:space="preserve"> </v>
      </c>
    </row>
    <row r="92">
      <c r="C92" t="str">
        <f>'Isi Data'!B161</f>
        <v>Tukang Batu Kasar</v>
      </c>
      <c r="E92" t="str">
        <v>org/hr</v>
      </c>
      <c r="F92">
        <v>0.39</v>
      </c>
      <c r="G92">
        <f>SUMIF('Isi Data'!B$1:B$65536,SNI!C$1:C$65536,'Isi Data'!E$1:E$65536)</f>
        <v>55000</v>
      </c>
      <c r="I92">
        <f>F92*G92</f>
        <v>21450</v>
      </c>
      <c r="M92" t="str">
        <f>IF(G92=0,"edit"," ")</f>
        <v xml:space="preserve"> </v>
      </c>
    </row>
    <row r="93">
      <c r="C93" t="str">
        <f>'Isi Data'!B163</f>
        <v>Kepala Tukang Batu</v>
      </c>
      <c r="E93" t="str">
        <v>org/hr</v>
      </c>
      <c r="F93">
        <v>0.039</v>
      </c>
      <c r="G93">
        <f>SUMIF('Isi Data'!B$1:B$65536,SNI!C$1:C$65536,'Isi Data'!E$1:E$65536)</f>
        <v>60000</v>
      </c>
      <c r="I93">
        <f>F93*G93</f>
        <v>2340</v>
      </c>
      <c r="M93" t="str">
        <f>IF(G93=0,"edit"," ")</f>
        <v xml:space="preserve"> </v>
      </c>
    </row>
    <row r="94">
      <c r="C94" t="str">
        <f>'Isi Data'!B169</f>
        <v xml:space="preserve">Mandor </v>
      </c>
      <c r="E94" t="str">
        <v>org/hr</v>
      </c>
      <c r="F94">
        <v>0.039</v>
      </c>
      <c r="G94">
        <f>SUMIF('Isi Data'!B$1:B$65536,SNI!C$1:C$65536,'Isi Data'!E$1:E$65536)</f>
        <v>50000</v>
      </c>
      <c r="I94">
        <f>F94*G94</f>
        <v>1950</v>
      </c>
      <c r="M94" t="str">
        <f>IF(G94=0,"edit"," ")</f>
        <v xml:space="preserve"> </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525660</v>
      </c>
      <c r="I96">
        <f>SUM(I97:I103)</f>
        <v>109500</v>
      </c>
      <c r="J96">
        <f>$J$3</f>
        <v>0.1</v>
      </c>
      <c r="K96">
        <f>SUM(H96:I96)*(1+J96)</f>
        <v>698676</v>
      </c>
      <c r="L96">
        <f>ROUND(K96,-2)</f>
        <v>698700</v>
      </c>
    </row>
    <row r="97">
      <c r="C97" t="str">
        <f>'Isi Data'!B15</f>
        <v>Batu kali</v>
      </c>
      <c r="E97" t="str">
        <v>m3</v>
      </c>
      <c r="F97">
        <v>1.2</v>
      </c>
      <c r="G97">
        <f>SUMIF('Isi Data'!B$1:B$65536,SNI!C$1:C$65536,'Isi Data'!E$1:E$65536)</f>
        <v>190000</v>
      </c>
      <c r="H97">
        <f>F97*G97</f>
        <v>228000</v>
      </c>
      <c r="M97" t="str">
        <f>IF(G97=0,"edit"," ")</f>
        <v xml:space="preserve"> </v>
      </c>
    </row>
    <row r="98">
      <c r="C98" t="str">
        <f>'Isi Data'!B25</f>
        <v>Semen (50 Kg)</v>
      </c>
      <c r="E98" t="str">
        <v>zak</v>
      </c>
      <c r="F98">
        <f>163/50</f>
        <v>3.26</v>
      </c>
      <c r="G98">
        <f>SUMIF('Isi Data'!B$1:B$65536,SNI!C$1:C$65536,'Isi Data'!E$1:E$65536)</f>
        <v>61000</v>
      </c>
      <c r="H98">
        <f>F98*G98</f>
        <v>198860</v>
      </c>
      <c r="M98" t="str">
        <f>IF(G98=0,"edit"," ")</f>
        <v xml:space="preserve"> </v>
      </c>
    </row>
    <row r="99">
      <c r="C99" t="str">
        <f>'Isi Data'!B20</f>
        <v>Pasir Pasang</v>
      </c>
      <c r="E99" t="str">
        <v>m3</v>
      </c>
      <c r="F99">
        <v>0.52</v>
      </c>
      <c r="G99">
        <f>SUMIF('Isi Data'!B$1:B$65536,SNI!C$1:C$65536,'Isi Data'!E$1:E$65536)</f>
        <v>190000</v>
      </c>
      <c r="H99">
        <f>F99*G99</f>
        <v>98800</v>
      </c>
      <c r="M99" t="str">
        <f>IF(G99=0,"edit"," ")</f>
        <v xml:space="preserve"> </v>
      </c>
    </row>
    <row r="100">
      <c r="C100" t="str">
        <f>'Isi Data'!B168</f>
        <v>Pekerja</v>
      </c>
      <c r="E100" t="str">
        <v>org/hr</v>
      </c>
      <c r="F100">
        <v>1.5</v>
      </c>
      <c r="G100">
        <f>SUMIF('Isi Data'!B$1:B$65536,SNI!C$1:C$65536,'Isi Data'!E$1:E$65536)</f>
        <v>40000</v>
      </c>
      <c r="I100">
        <f>F100*G100</f>
        <v>60000</v>
      </c>
      <c r="M100" t="str">
        <f>IF(G100=0,"edit"," ")</f>
        <v xml:space="preserve"> </v>
      </c>
    </row>
    <row r="101">
      <c r="C101" t="str">
        <f>'Isi Data'!B161</f>
        <v>Tukang Batu Kasar</v>
      </c>
      <c r="E101" t="str">
        <v>org/hr</v>
      </c>
      <c r="F101">
        <v>0.75</v>
      </c>
      <c r="G101">
        <f>SUMIF('Isi Data'!B$1:B$65536,SNI!C$1:C$65536,'Isi Data'!E$1:E$65536)</f>
        <v>55000</v>
      </c>
      <c r="I101">
        <f>F101*G101</f>
        <v>41250</v>
      </c>
      <c r="M101" t="str">
        <f>IF(G101=0,"edit"," ")</f>
        <v xml:space="preserve"> </v>
      </c>
    </row>
    <row r="102">
      <c r="C102" t="str">
        <f>'Isi Data'!B163</f>
        <v>Kepala Tukang Batu</v>
      </c>
      <c r="E102" t="str">
        <v>org/hr</v>
      </c>
      <c r="F102">
        <v>0.075</v>
      </c>
      <c r="G102">
        <f>SUMIF('Isi Data'!B$1:B$65536,SNI!C$1:C$65536,'Isi Data'!E$1:E$65536)</f>
        <v>60000</v>
      </c>
      <c r="I102">
        <f>F102*G102</f>
        <v>4500</v>
      </c>
      <c r="M102" t="str">
        <f>IF(G102=0,"edit"," ")</f>
        <v xml:space="preserve"> </v>
      </c>
    </row>
    <row r="103">
      <c r="C103" t="str">
        <f>'Isi Data'!B169</f>
        <v xml:space="preserve">Mandor </v>
      </c>
      <c r="E103" t="str">
        <v>org/hr</v>
      </c>
      <c r="F103">
        <v>0.075</v>
      </c>
      <c r="G103">
        <f>SUMIF('Isi Data'!B$1:B$65536,SNI!C$1:C$65536,'Isi Data'!E$1:E$65536)</f>
        <v>50000</v>
      </c>
      <c r="I103">
        <f>F103*G103</f>
        <v>3750</v>
      </c>
      <c r="M103" t="str">
        <f>IF(G103=0,"edit"," ")</f>
        <v xml:space="preserve"> </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671786.6666666667</v>
      </c>
      <c r="I108">
        <f>SUM(I109:I115)</f>
        <v>86955</v>
      </c>
      <c r="J108">
        <f>$J$3</f>
        <v>0.1</v>
      </c>
      <c r="K108">
        <f>SUM(H108:I108)*(1+J108)</f>
        <v>834615.8333333335</v>
      </c>
      <c r="L108">
        <f>ROUND(K108,-2)</f>
        <v>834600</v>
      </c>
    </row>
    <row r="109">
      <c r="C109" t="str">
        <f>'Isi Data'!B25</f>
        <v>Semen (50 Kg)</v>
      </c>
      <c r="E109" t="str">
        <v>zak</v>
      </c>
      <c r="F109">
        <f>326/50</f>
        <v>6.52</v>
      </c>
      <c r="G109">
        <f>SUMIF('Isi Data'!B$1:B$65536,SNI!C$1:C$65536,'Isi Data'!E$1:E$65536)</f>
        <v>61000</v>
      </c>
      <c r="H109">
        <f>F109*G109</f>
        <v>397720</v>
      </c>
      <c r="M109" t="str">
        <f>IF(G109=0,"edit"," ")</f>
        <v xml:space="preserve"> </v>
      </c>
    </row>
    <row r="110">
      <c r="C110" t="str">
        <f>'Isi Data'!B19</f>
        <v>Pasir Beton</v>
      </c>
      <c r="E110" t="str">
        <v>m3</v>
      </c>
      <c r="F110">
        <f>760/1400</f>
        <v>0.5428571428571428</v>
      </c>
      <c r="G110">
        <f>SUMIF('Isi Data'!B$1:B$65536,SNI!C$1:C$65536,'Isi Data'!E$1:E$65536)</f>
        <v>210000</v>
      </c>
      <c r="H110">
        <f>F110*G110</f>
        <v>113999.99999999999</v>
      </c>
      <c r="M110" t="str">
        <f>IF(G110=0,"edit"," ")</f>
        <v xml:space="preserve"> </v>
      </c>
    </row>
    <row r="111">
      <c r="C111" t="str">
        <f>'Isi Data'!B16</f>
        <v>Batu Split Pecah Mesin 1/2</v>
      </c>
      <c r="E111" t="str">
        <v>m3</v>
      </c>
      <c r="F111">
        <f>1029/1350</f>
        <v>0.7622222222222222</v>
      </c>
      <c r="G111">
        <f>SUMIF('Isi Data'!B$1:B$65536,SNI!C$1:C$65536,'Isi Data'!E$1:E$65536)</f>
        <v>210000</v>
      </c>
      <c r="H111">
        <f>F111*G111</f>
        <v>160066.6666666667</v>
      </c>
      <c r="M111" t="str">
        <f>IF(G111=0,"edit"," ")</f>
        <v xml:space="preserve"> </v>
      </c>
    </row>
    <row r="112">
      <c r="C112" t="str">
        <f>'Isi Data'!B168</f>
        <v>Pekerja</v>
      </c>
      <c r="E112" t="str">
        <v>org/hr</v>
      </c>
      <c r="F112">
        <v>1.65</v>
      </c>
      <c r="G112">
        <f>SUMIF('Isi Data'!B$1:B$65536,SNI!C$1:C$65536,'Isi Data'!E$1:E$65536)</f>
        <v>40000</v>
      </c>
      <c r="I112">
        <f>F112*G112</f>
        <v>66000</v>
      </c>
      <c r="K112" t="str">
        <v xml:space="preserve"> </v>
      </c>
      <c r="L112" t="str">
        <v xml:space="preserve"> </v>
      </c>
      <c r="M112" t="str">
        <f>IF(G112=0,"edit"," ")</f>
        <v xml:space="preserve"> </v>
      </c>
    </row>
    <row r="113">
      <c r="C113" t="str">
        <f>'Isi Data'!B161</f>
        <v>Tukang Batu Kasar</v>
      </c>
      <c r="E113" t="str">
        <v>org/hr</v>
      </c>
      <c r="F113">
        <v>0.275</v>
      </c>
      <c r="G113">
        <f>SUMIF('Isi Data'!B$1:B$65536,SNI!C$1:C$65536,'Isi Data'!E$1:E$65536)</f>
        <v>55000</v>
      </c>
      <c r="I113">
        <f>F113*G113</f>
        <v>15125.000000000002</v>
      </c>
      <c r="M113" t="str">
        <f>IF(G113=0,"edit"," ")</f>
        <v xml:space="preserve"> </v>
      </c>
    </row>
    <row r="114">
      <c r="C114" t="str">
        <f>'Isi Data'!B163</f>
        <v>Kepala Tukang Batu</v>
      </c>
      <c r="E114" t="str">
        <v>org/hr</v>
      </c>
      <c r="F114">
        <v>0.028</v>
      </c>
      <c r="G114">
        <f>SUMIF('Isi Data'!B$1:B$65536,SNI!C$1:C$65536,'Isi Data'!E$1:E$65536)</f>
        <v>60000</v>
      </c>
      <c r="I114">
        <f>F114*G114</f>
        <v>1680</v>
      </c>
      <c r="K114" t="str">
        <v xml:space="preserve"> </v>
      </c>
      <c r="L114" t="str">
        <v xml:space="preserve"> </v>
      </c>
      <c r="M114" t="str">
        <f>IF(G114=0,"edit"," ")</f>
        <v xml:space="preserve"> </v>
      </c>
    </row>
    <row r="115">
      <c r="C115" t="str">
        <f>'Isi Data'!B169</f>
        <v xml:space="preserve">Mandor </v>
      </c>
      <c r="E115" t="str">
        <v>org/hr</v>
      </c>
      <c r="F115">
        <v>0.083</v>
      </c>
      <c r="G115">
        <f>SUMIF('Isi Data'!B$1:B$65536,SNI!C$1:C$65536,'Isi Data'!E$1:E$65536)</f>
        <v>50000</v>
      </c>
      <c r="I115">
        <f>F115*G115</f>
        <v>4150</v>
      </c>
      <c r="M115" t="str">
        <f>IF(G115=0,"edit"," ")</f>
        <v xml:space="preserve"> </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699467.7777777778</v>
      </c>
      <c r="I117">
        <f>SUM(I118:I124)</f>
        <v>86955</v>
      </c>
      <c r="J117">
        <f>$J$3</f>
        <v>0.1</v>
      </c>
      <c r="K117">
        <f>SUM(H117:I117)*(1+J117)</f>
        <v>865065.0555555556</v>
      </c>
      <c r="L117">
        <f>ROUND(K117,-2)</f>
        <v>865100</v>
      </c>
    </row>
    <row r="118">
      <c r="C118" t="str">
        <f>'Isi Data'!B25</f>
        <v>Semen (50 Kg)</v>
      </c>
      <c r="E118" t="str">
        <v>zak</v>
      </c>
      <c r="F118">
        <f>352/50</f>
        <v>7.04</v>
      </c>
      <c r="G118">
        <f>SUMIF('Isi Data'!B$1:B$65536,SNI!C$1:C$65536,'Isi Data'!E$1:E$65536)</f>
        <v>61000</v>
      </c>
      <c r="H118">
        <f>F118*G118</f>
        <v>429440</v>
      </c>
      <c r="M118" t="str">
        <f>IF(G118=0,"edit"," ")</f>
        <v xml:space="preserve"> </v>
      </c>
    </row>
    <row r="119">
      <c r="C119" t="str">
        <f>'Isi Data'!B19</f>
        <v>Pasir Beton</v>
      </c>
      <c r="E119" t="str">
        <v>m3</v>
      </c>
      <c r="F119">
        <f>731/1400</f>
        <v>0.5221428571428571</v>
      </c>
      <c r="G119">
        <f>SUMIF('Isi Data'!B$1:B$65536,SNI!C$1:C$65536,'Isi Data'!E$1:E$65536)</f>
        <v>210000</v>
      </c>
      <c r="H119">
        <f>F119*G119</f>
        <v>109650</v>
      </c>
      <c r="M119" t="str">
        <f>IF(G119=0,"edit"," ")</f>
        <v xml:space="preserve"> </v>
      </c>
    </row>
    <row r="120">
      <c r="C120" t="str">
        <f>'Isi Data'!B16</f>
        <v>Batu Split Pecah Mesin 1/2</v>
      </c>
      <c r="E120" t="str">
        <v>m3</v>
      </c>
      <c r="F120">
        <f>1031/1350</f>
        <v>0.7637037037037037</v>
      </c>
      <c r="G120">
        <f>SUMIF('Isi Data'!B$1:B$65536,SNI!C$1:C$65536,'Isi Data'!E$1:E$65536)</f>
        <v>210000</v>
      </c>
      <c r="H120">
        <f>F120*G120</f>
        <v>160377.77777777778</v>
      </c>
      <c r="M120" t="str">
        <f>IF(G120=0,"edit"," ")</f>
        <v xml:space="preserve"> </v>
      </c>
    </row>
    <row r="121">
      <c r="C121" t="str">
        <f>'Isi Data'!B168</f>
        <v>Pekerja</v>
      </c>
      <c r="E121" t="str">
        <v>org/hr</v>
      </c>
      <c r="F121">
        <v>1.65</v>
      </c>
      <c r="G121">
        <f>SUMIF('Isi Data'!B$1:B$65536,SNI!C$1:C$65536,'Isi Data'!E$1:E$65536)</f>
        <v>40000</v>
      </c>
      <c r="I121">
        <f>F121*G121</f>
        <v>66000</v>
      </c>
      <c r="K121" t="str">
        <v xml:space="preserve"> </v>
      </c>
      <c r="L121" t="str">
        <v xml:space="preserve"> </v>
      </c>
      <c r="M121" t="str">
        <f>IF(G121=0,"edit"," ")</f>
        <v xml:space="preserve"> </v>
      </c>
    </row>
    <row r="122">
      <c r="C122" t="str">
        <f>'Isi Data'!B161</f>
        <v>Tukang Batu Kasar</v>
      </c>
      <c r="E122" t="str">
        <v>org/hr</v>
      </c>
      <c r="F122">
        <v>0.275</v>
      </c>
      <c r="G122">
        <f>SUMIF('Isi Data'!B$1:B$65536,SNI!C$1:C$65536,'Isi Data'!E$1:E$65536)</f>
        <v>55000</v>
      </c>
      <c r="I122">
        <f>F122*G122</f>
        <v>15125.000000000002</v>
      </c>
      <c r="M122" t="str">
        <f>IF(G122=0,"edit"," ")</f>
        <v xml:space="preserve"> </v>
      </c>
    </row>
    <row r="123">
      <c r="C123" t="str">
        <f>'Isi Data'!B163</f>
        <v>Kepala Tukang Batu</v>
      </c>
      <c r="E123" t="str">
        <v>org/hr</v>
      </c>
      <c r="F123">
        <v>0.028</v>
      </c>
      <c r="G123">
        <f>SUMIF('Isi Data'!B$1:B$65536,SNI!C$1:C$65536,'Isi Data'!E$1:E$65536)</f>
        <v>60000</v>
      </c>
      <c r="I123">
        <f>F123*G123</f>
        <v>1680</v>
      </c>
      <c r="K123" t="str">
        <v xml:space="preserve"> </v>
      </c>
      <c r="L123" t="str">
        <v xml:space="preserve"> </v>
      </c>
      <c r="M123" t="str">
        <f>IF(G123=0,"edit"," ")</f>
        <v xml:space="preserve"> </v>
      </c>
    </row>
    <row r="124">
      <c r="C124" t="str">
        <f>'Isi Data'!B169</f>
        <v xml:space="preserve">Mandor </v>
      </c>
      <c r="E124" t="str">
        <v>org/hr</v>
      </c>
      <c r="F124">
        <v>0.083</v>
      </c>
      <c r="G124">
        <f>SUMIF('Isi Data'!B$1:B$65536,SNI!C$1:C$65536,'Isi Data'!E$1:E$65536)</f>
        <v>50000</v>
      </c>
      <c r="I124">
        <f>F124*G124</f>
        <v>4150</v>
      </c>
      <c r="M124" t="str">
        <f>IF(G124=0,"edit"," ")</f>
        <v xml:space="preserve"> </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720186.6666666666</v>
      </c>
      <c r="I126">
        <f>SUM(I127:I133)</f>
        <v>86955</v>
      </c>
      <c r="J126">
        <f>$J$3</f>
        <v>0.1</v>
      </c>
      <c r="K126">
        <f>SUM(H126:I126)*(1+J126)</f>
        <v>887855.8333333334</v>
      </c>
      <c r="L126">
        <f>ROUND(K126,-2)</f>
        <v>887900</v>
      </c>
    </row>
    <row r="127">
      <c r="C127" t="str">
        <f>'Isi Data'!B25</f>
        <v>Semen (50 Kg)</v>
      </c>
      <c r="E127" t="str">
        <v>zak</v>
      </c>
      <c r="F127">
        <f>371/50</f>
        <v>7.42</v>
      </c>
      <c r="G127">
        <f>SUMIF('Isi Data'!B$1:B$65536,SNI!C$1:C$65536,'Isi Data'!E$1:E$65536)</f>
        <v>61000</v>
      </c>
      <c r="H127">
        <f>F127*G127</f>
        <v>452620</v>
      </c>
      <c r="M127" t="str">
        <f>IF(G127=0,"edit"," ")</f>
        <v xml:space="preserve"> </v>
      </c>
    </row>
    <row r="128">
      <c r="C128" t="str">
        <f>'Isi Data'!B19</f>
        <v>Pasir Beton</v>
      </c>
      <c r="E128" t="str">
        <v>m3</v>
      </c>
      <c r="F128">
        <f>698/1400</f>
        <v>0.49857142857142855</v>
      </c>
      <c r="G128">
        <f>SUMIF('Isi Data'!B$1:B$65536,SNI!C$1:C$65536,'Isi Data'!E$1:E$65536)</f>
        <v>210000</v>
      </c>
      <c r="H128">
        <f>F128*G128</f>
        <v>104700</v>
      </c>
      <c r="M128" t="str">
        <f>IF(G128=0,"edit"," ")</f>
        <v xml:space="preserve"> </v>
      </c>
    </row>
    <row r="129">
      <c r="C129" t="str">
        <f>'Isi Data'!B16</f>
        <v>Batu Split Pecah Mesin 1/2</v>
      </c>
      <c r="E129" t="str">
        <v>m3</v>
      </c>
      <c r="F129">
        <f>1047/1350</f>
        <v>0.7755555555555556</v>
      </c>
      <c r="G129">
        <f>SUMIF('Isi Data'!B$1:B$65536,SNI!C$1:C$65536,'Isi Data'!E$1:E$65536)</f>
        <v>210000</v>
      </c>
      <c r="H129">
        <f>F129*G129</f>
        <v>162866.66666666666</v>
      </c>
      <c r="M129" t="str">
        <f>IF(G129=0,"edit"," ")</f>
        <v xml:space="preserve"> </v>
      </c>
    </row>
    <row r="130">
      <c r="C130" t="str">
        <f>'Isi Data'!B168</f>
        <v>Pekerja</v>
      </c>
      <c r="E130" t="str">
        <v>org/hr</v>
      </c>
      <c r="F130">
        <v>1.65</v>
      </c>
      <c r="G130">
        <f>SUMIF('Isi Data'!B$1:B$65536,SNI!C$1:C$65536,'Isi Data'!E$1:E$65536)</f>
        <v>40000</v>
      </c>
      <c r="I130">
        <f>F130*G130</f>
        <v>66000</v>
      </c>
      <c r="K130" t="str">
        <v xml:space="preserve"> </v>
      </c>
      <c r="L130" t="str">
        <v xml:space="preserve"> </v>
      </c>
      <c r="M130" t="str">
        <f>IF(G130=0,"edit"," ")</f>
        <v xml:space="preserve"> </v>
      </c>
    </row>
    <row r="131">
      <c r="C131" t="str">
        <f>'Isi Data'!B161</f>
        <v>Tukang Batu Kasar</v>
      </c>
      <c r="E131" t="str">
        <v>org/hr</v>
      </c>
      <c r="F131">
        <v>0.275</v>
      </c>
      <c r="G131">
        <f>SUMIF('Isi Data'!B$1:B$65536,SNI!C$1:C$65536,'Isi Data'!E$1:E$65536)</f>
        <v>55000</v>
      </c>
      <c r="I131">
        <f>F131*G131</f>
        <v>15125.000000000002</v>
      </c>
      <c r="M131" t="str">
        <f>IF(G131=0,"edit"," ")</f>
        <v xml:space="preserve"> </v>
      </c>
    </row>
    <row r="132">
      <c r="C132" t="str">
        <f>'Isi Data'!B163</f>
        <v>Kepala Tukang Batu</v>
      </c>
      <c r="E132" t="str">
        <v>org/hr</v>
      </c>
      <c r="F132">
        <v>0.028</v>
      </c>
      <c r="G132">
        <f>SUMIF('Isi Data'!B$1:B$65536,SNI!C$1:C$65536,'Isi Data'!E$1:E$65536)</f>
        <v>60000</v>
      </c>
      <c r="I132">
        <f>F132*G132</f>
        <v>1680</v>
      </c>
      <c r="K132" t="str">
        <v xml:space="preserve"> </v>
      </c>
      <c r="L132" t="str">
        <v xml:space="preserve"> </v>
      </c>
      <c r="M132" t="str">
        <f>IF(G132=0,"edit"," ")</f>
        <v xml:space="preserve"> </v>
      </c>
    </row>
    <row r="133">
      <c r="C133" t="str">
        <f>'Isi Data'!B169</f>
        <v xml:space="preserve">Mandor </v>
      </c>
      <c r="E133" t="str">
        <v>org/hr</v>
      </c>
      <c r="F133">
        <v>0.083</v>
      </c>
      <c r="G133">
        <f>SUMIF('Isi Data'!B$1:B$65536,SNI!C$1:C$65536,'Isi Data'!E$1:E$65536)</f>
        <v>50000</v>
      </c>
      <c r="I133">
        <f>F133*G133</f>
        <v>4150</v>
      </c>
      <c r="M133" t="str">
        <f>IF(G133=0,"edit"," ")</f>
        <v xml:space="preserve"> </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733902.2222222222</v>
      </c>
      <c r="I135">
        <f>SUM(I136:I142)</f>
        <v>86955</v>
      </c>
      <c r="J135">
        <f>$J$3</f>
        <v>0.1</v>
      </c>
      <c r="K135">
        <f>SUM(H135:I135)*(1+J135)</f>
        <v>902942.9444444445</v>
      </c>
      <c r="L135">
        <f>ROUND(K135,-2)</f>
        <v>902900</v>
      </c>
    </row>
    <row r="136">
      <c r="C136" t="str">
        <f>'Isi Data'!B25</f>
        <v>Semen (50 Kg)</v>
      </c>
      <c r="E136" t="str">
        <v>zak</v>
      </c>
      <c r="F136">
        <f>384/50</f>
        <v>7.68</v>
      </c>
      <c r="G136">
        <f>SUMIF('Isi Data'!B$1:B$65536,SNI!C$1:C$65536,'Isi Data'!E$1:E$65536)</f>
        <v>61000</v>
      </c>
      <c r="H136">
        <f>F136*G136</f>
        <v>468480</v>
      </c>
      <c r="M136" t="str">
        <f>IF(G136=0,"edit"," ")</f>
        <v xml:space="preserve"> </v>
      </c>
    </row>
    <row r="137">
      <c r="C137" t="str">
        <f>'Isi Data'!B19</f>
        <v>Pasir Beton</v>
      </c>
      <c r="E137" t="str">
        <v>m3</v>
      </c>
      <c r="F137">
        <f>692/1400</f>
        <v>0.4942857142857143</v>
      </c>
      <c r="G137">
        <f>SUMIF('Isi Data'!B$1:B$65536,SNI!C$1:C$65536,'Isi Data'!E$1:E$65536)</f>
        <v>210000</v>
      </c>
      <c r="H137">
        <f>F137*G137</f>
        <v>103800</v>
      </c>
      <c r="M137" t="str">
        <f>IF(G137=0,"edit"," ")</f>
        <v xml:space="preserve"> </v>
      </c>
    </row>
    <row r="138">
      <c r="C138" t="str">
        <f>'Isi Data'!B16</f>
        <v>Batu Split Pecah Mesin 1/2</v>
      </c>
      <c r="E138" t="str">
        <v>m3</v>
      </c>
      <c r="F138">
        <f>1039/1350</f>
        <v>0.7696296296296297</v>
      </c>
      <c r="G138">
        <f>SUMIF('Isi Data'!B$1:B$65536,SNI!C$1:C$65536,'Isi Data'!E$1:E$65536)</f>
        <v>210000</v>
      </c>
      <c r="H138">
        <f>F138*G138</f>
        <v>161622.22222222222</v>
      </c>
      <c r="M138" t="str">
        <f>IF(G138=0,"edit"," ")</f>
        <v xml:space="preserve"> </v>
      </c>
    </row>
    <row r="139">
      <c r="C139" t="str">
        <f>'Isi Data'!B168</f>
        <v>Pekerja</v>
      </c>
      <c r="E139" t="str">
        <v>org/hr</v>
      </c>
      <c r="F139">
        <v>1.65</v>
      </c>
      <c r="G139">
        <f>SUMIF('Isi Data'!B$1:B$65536,SNI!C$1:C$65536,'Isi Data'!E$1:E$65536)</f>
        <v>40000</v>
      </c>
      <c r="I139">
        <f>F139*G139</f>
        <v>66000</v>
      </c>
      <c r="K139" t="str">
        <v xml:space="preserve"> </v>
      </c>
      <c r="L139" t="str">
        <v xml:space="preserve"> </v>
      </c>
      <c r="M139" t="str">
        <f>IF(G139=0,"edit"," ")</f>
        <v xml:space="preserve"> </v>
      </c>
    </row>
    <row r="140">
      <c r="C140" t="str">
        <f>'Isi Data'!B161</f>
        <v>Tukang Batu Kasar</v>
      </c>
      <c r="E140" t="str">
        <v>org/hr</v>
      </c>
      <c r="F140">
        <v>0.275</v>
      </c>
      <c r="G140">
        <f>SUMIF('Isi Data'!B$1:B$65536,SNI!C$1:C$65536,'Isi Data'!E$1:E$65536)</f>
        <v>55000</v>
      </c>
      <c r="I140">
        <f>F140*G140</f>
        <v>15125.000000000002</v>
      </c>
      <c r="M140" t="str">
        <f>IF(G140=0,"edit"," ")</f>
        <v xml:space="preserve"> </v>
      </c>
    </row>
    <row r="141">
      <c r="C141" t="str">
        <f>'Isi Data'!B163</f>
        <v>Kepala Tukang Batu</v>
      </c>
      <c r="E141" t="str">
        <v>org/hr</v>
      </c>
      <c r="F141">
        <v>0.028</v>
      </c>
      <c r="G141">
        <f>SUMIF('Isi Data'!B$1:B$65536,SNI!C$1:C$65536,'Isi Data'!E$1:E$65536)</f>
        <v>60000</v>
      </c>
      <c r="I141">
        <f>F141*G141</f>
        <v>1680</v>
      </c>
      <c r="K141" t="str">
        <v xml:space="preserve"> </v>
      </c>
      <c r="L141" t="str">
        <v xml:space="preserve"> </v>
      </c>
      <c r="M141" t="str">
        <f>IF(G141=0,"edit"," ")</f>
        <v xml:space="preserve"> </v>
      </c>
    </row>
    <row r="142">
      <c r="C142" t="str">
        <f>'Isi Data'!B169</f>
        <v xml:space="preserve">Mandor </v>
      </c>
      <c r="E142" t="str">
        <v>org/hr</v>
      </c>
      <c r="F142">
        <v>0.083</v>
      </c>
      <c r="G142">
        <f>SUMIF('Isi Data'!B$1:B$65536,SNI!C$1:C$65536,'Isi Data'!E$1:E$65536)</f>
        <v>50000</v>
      </c>
      <c r="I142">
        <f>F142*G142</f>
        <v>4150</v>
      </c>
      <c r="M142" t="str">
        <f>IF(G142=0,"edit"," ")</f>
        <v xml:space="preserve"> </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10725</v>
      </c>
      <c r="I144">
        <f>SUM(I145:I150)</f>
        <v>727</v>
      </c>
      <c r="J144">
        <f>$J$3</f>
        <v>0.1</v>
      </c>
      <c r="K144">
        <f>SUM(H144:I144)*(1+J144)</f>
        <v>12597.2</v>
      </c>
      <c r="L144">
        <f>ROUND(K144,-2)</f>
        <v>12600</v>
      </c>
    </row>
    <row r="145">
      <c r="C145" t="str">
        <f>'Isi Data'!B29</f>
        <v>Besi Beton U-24</v>
      </c>
      <c r="E145" t="str">
        <v>kg</v>
      </c>
      <c r="F145">
        <f>10.5/10</f>
        <v>1.05</v>
      </c>
      <c r="G145">
        <f>SUMIF('Isi Data'!B$1:B$65536,SNI!C$1:C$65536,'Isi Data'!E$1:E$65536)</f>
        <v>10000</v>
      </c>
      <c r="H145">
        <f>F145*G145</f>
        <v>10500</v>
      </c>
    </row>
    <row r="146">
      <c r="C146" t="str">
        <f>'Isi Data'!B34</f>
        <v>Kawat beton</v>
      </c>
      <c r="E146" t="str">
        <v>kg</v>
      </c>
      <c r="F146">
        <f>0.15/10</f>
        <v>0.015</v>
      </c>
      <c r="G146">
        <f>SUMIF('Isi Data'!B$1:B$65536,SNI!C$1:C$65536,'Isi Data'!E$1:E$65536)</f>
        <v>15000</v>
      </c>
      <c r="H146">
        <f>F146*G146</f>
        <v>225</v>
      </c>
      <c r="K146" t="str">
        <v xml:space="preserve"> </v>
      </c>
      <c r="L146" t="str">
        <v xml:space="preserve"> </v>
      </c>
    </row>
    <row r="147">
      <c r="C147" t="str">
        <f>'Isi Data'!B168</f>
        <v>Pekerja</v>
      </c>
      <c r="E147" t="str">
        <v>org/hr</v>
      </c>
      <c r="F147">
        <v>0.007</v>
      </c>
      <c r="G147">
        <f>SUMIF('Isi Data'!B$1:B$65536,SNI!C$1:C$65536,'Isi Data'!E$1:E$65536)</f>
        <v>40000</v>
      </c>
      <c r="I147">
        <f>F147*G147</f>
        <v>280</v>
      </c>
    </row>
    <row r="148">
      <c r="C148" t="str">
        <f>'Isi Data'!B156</f>
        <v xml:space="preserve">Tukang Besi Tulangan </v>
      </c>
      <c r="E148" t="str">
        <v>org/hr</v>
      </c>
      <c r="F148">
        <v>0.007</v>
      </c>
      <c r="G148">
        <f>SUMIF('Isi Data'!B$1:B$65536,SNI!C$1:C$65536,'Isi Data'!E$1:E$65536)</f>
        <v>55000</v>
      </c>
      <c r="I148">
        <f>F148*G148</f>
        <v>385</v>
      </c>
      <c r="K148" t="str">
        <v xml:space="preserve"> </v>
      </c>
      <c r="L148" t="str">
        <v xml:space="preserve"> </v>
      </c>
    </row>
    <row r="149">
      <c r="C149" t="str">
        <f>'Isi Data'!B157</f>
        <v>Kepala Tukang Besi</v>
      </c>
      <c r="E149" t="str">
        <v>org/hr</v>
      </c>
      <c r="F149">
        <v>0.0007</v>
      </c>
      <c r="G149">
        <f>SUMIF('Isi Data'!B$1:B$65536,SNI!C$1:C$65536,'Isi Data'!E$1:E$65536)</f>
        <v>60000</v>
      </c>
      <c r="I149">
        <f>F149*G149</f>
        <v>42</v>
      </c>
      <c r="K149" t="str">
        <v xml:space="preserve"> </v>
      </c>
      <c r="L149" t="str">
        <v xml:space="preserve"> </v>
      </c>
    </row>
    <row r="150">
      <c r="C150" t="str">
        <f>'Isi Data'!B169</f>
        <v xml:space="preserve">Mandor </v>
      </c>
      <c r="E150" t="str">
        <v>org/hr</v>
      </c>
      <c r="F150">
        <v>0.0004</v>
      </c>
      <c r="G150">
        <f>SUMIF('Isi Data'!B$1:B$65536,SNI!C$1:C$65536,'Isi Data'!E$1:E$65536)</f>
        <v>50000</v>
      </c>
      <c r="I150">
        <f>F150*G150</f>
        <v>20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13350</v>
      </c>
      <c r="I152">
        <f>SUM(I153:I158)</f>
        <v>727</v>
      </c>
      <c r="J152">
        <f>$J$3</f>
        <v>0.1</v>
      </c>
      <c r="K152">
        <f>SUM(H152:I152)*(1+J152)</f>
        <v>15484.7</v>
      </c>
      <c r="L152">
        <f>ROUND(K152,-2)</f>
        <v>15500</v>
      </c>
    </row>
    <row r="153">
      <c r="C153" t="str">
        <f>'Isi Data'!B30</f>
        <v>Besi Beton U-39</v>
      </c>
      <c r="E153" t="str">
        <v>kg</v>
      </c>
      <c r="F153">
        <f>10.5/10</f>
        <v>1.05</v>
      </c>
      <c r="G153">
        <f>SUMIF('Isi Data'!B$1:B$65536,SNI!C$1:C$65536,'Isi Data'!E$1:E$65536)</f>
        <v>12500</v>
      </c>
      <c r="H153">
        <f>F153*G153</f>
        <v>13125</v>
      </c>
    </row>
    <row r="154">
      <c r="C154" t="str">
        <f>'Isi Data'!B34</f>
        <v>Kawat beton</v>
      </c>
      <c r="E154" t="str">
        <v>kg</v>
      </c>
      <c r="F154">
        <f>0.15/10</f>
        <v>0.015</v>
      </c>
      <c r="G154">
        <f>SUMIF('Isi Data'!B$1:B$65536,SNI!C$1:C$65536,'Isi Data'!E$1:E$65536)</f>
        <v>15000</v>
      </c>
      <c r="H154">
        <f>F154*G154</f>
        <v>225</v>
      </c>
      <c r="K154" t="str">
        <v xml:space="preserve"> </v>
      </c>
      <c r="L154" t="str">
        <v xml:space="preserve"> </v>
      </c>
    </row>
    <row r="155">
      <c r="C155" t="str">
        <f>'Isi Data'!B168</f>
        <v>Pekerja</v>
      </c>
      <c r="E155" t="str">
        <v>org/hr</v>
      </c>
      <c r="F155">
        <v>0.007</v>
      </c>
      <c r="G155">
        <f>SUMIF('Isi Data'!B$1:B$65536,SNI!C$1:C$65536,'Isi Data'!E$1:E$65536)</f>
        <v>40000</v>
      </c>
      <c r="I155">
        <f>F155*G155</f>
        <v>280</v>
      </c>
    </row>
    <row r="156">
      <c r="C156" t="str">
        <f>'Isi Data'!B156</f>
        <v xml:space="preserve">Tukang Besi Tulangan </v>
      </c>
      <c r="E156" t="str">
        <v>org/hr</v>
      </c>
      <c r="F156">
        <v>0.007</v>
      </c>
      <c r="G156">
        <f>SUMIF('Isi Data'!B$1:B$65536,SNI!C$1:C$65536,'Isi Data'!E$1:E$65536)</f>
        <v>55000</v>
      </c>
      <c r="I156">
        <f>F156*G156</f>
        <v>385</v>
      </c>
      <c r="K156" t="str">
        <v xml:space="preserve"> </v>
      </c>
      <c r="L156" t="str">
        <v xml:space="preserve"> </v>
      </c>
    </row>
    <row r="157">
      <c r="C157" t="str">
        <f>'Isi Data'!B157</f>
        <v>Kepala Tukang Besi</v>
      </c>
      <c r="E157" t="str">
        <v>org/hr</v>
      </c>
      <c r="F157">
        <v>0.0007</v>
      </c>
      <c r="G157">
        <f>SUMIF('Isi Data'!B$1:B$65536,SNI!C$1:C$65536,'Isi Data'!E$1:E$65536)</f>
        <v>60000</v>
      </c>
      <c r="I157">
        <f>F157*G157</f>
        <v>42</v>
      </c>
      <c r="K157" t="str">
        <v xml:space="preserve"> </v>
      </c>
      <c r="L157" t="str">
        <v xml:space="preserve"> </v>
      </c>
    </row>
    <row r="158">
      <c r="C158" t="str">
        <f>'Isi Data'!B169</f>
        <v xml:space="preserve">Mandor </v>
      </c>
      <c r="E158" t="str">
        <v>org/hr</v>
      </c>
      <c r="F158">
        <v>0.0004</v>
      </c>
      <c r="G158">
        <f>SUMIF('Isi Data'!B$1:B$65536,SNI!C$1:C$65536,'Isi Data'!E$1:E$65536)</f>
        <v>50000</v>
      </c>
      <c r="I158">
        <f>F158*G158</f>
        <v>20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206900</v>
      </c>
      <c r="I160">
        <f>SUM(I161:I167)</f>
        <v>37960</v>
      </c>
      <c r="J160">
        <f>$J$3</f>
        <v>0.1</v>
      </c>
      <c r="K160">
        <f>SUM(H160:I160)*(1+J160)</f>
        <v>269346</v>
      </c>
      <c r="L160">
        <f>ROUND(K160,-2)</f>
        <v>269300</v>
      </c>
    </row>
    <row r="161">
      <c r="C161" t="str">
        <f>'Isi Data'!B39</f>
        <v>Kayu Klas III</v>
      </c>
      <c r="E161" t="str">
        <v>m3</v>
      </c>
      <c r="F161">
        <v>0.045</v>
      </c>
      <c r="G161">
        <f>SUMIF('Isi Data'!B$1:B$65536,SNI!C$1:C$65536,'Isi Data'!E$1:E$65536)</f>
        <v>4500000</v>
      </c>
      <c r="H161">
        <f>F161*G161</f>
        <v>202500</v>
      </c>
      <c r="M161" t="str">
        <f>IF(G161=0,"edit"," ")</f>
        <v xml:space="preserve"> </v>
      </c>
    </row>
    <row r="162">
      <c r="C162" t="str">
        <f>'Isi Data'!B82</f>
        <v>Paku 5 s/d 10 cm</v>
      </c>
      <c r="E162" t="str">
        <v>kg</v>
      </c>
      <c r="F162">
        <v>0.3</v>
      </c>
      <c r="G162">
        <f>SUMIF('Isi Data'!B$1:B$65536,SNI!C$1:C$65536,'Isi Data'!E$1:E$65536)</f>
        <v>12000</v>
      </c>
      <c r="H162">
        <f>F162*G162</f>
        <v>3600</v>
      </c>
      <c r="M162" t="str">
        <f>IF(G162=0,"edit"," ")</f>
        <v xml:space="preserve"> </v>
      </c>
    </row>
    <row r="163">
      <c r="C163" t="str">
        <f>'Isi Data'!B99</f>
        <v>Minyak bekisting</v>
      </c>
      <c r="E163" t="str">
        <v>ltr</v>
      </c>
      <c r="F163">
        <v>0.1</v>
      </c>
      <c r="G163">
        <f>SUMIF('Isi Data'!B$1:B$65536,SNI!C$1:C$65536,'Isi Data'!E$1:E$65536)</f>
        <v>8000</v>
      </c>
      <c r="H163">
        <f>F163*G163</f>
        <v>800</v>
      </c>
      <c r="M163" t="str">
        <f>IF(G163=0,"edit"," ")</f>
        <v xml:space="preserve"> </v>
      </c>
    </row>
    <row r="164">
      <c r="C164" t="str">
        <f>'Isi Data'!B168</f>
        <v>Pekerja</v>
      </c>
      <c r="E164" t="str">
        <v>org/hr</v>
      </c>
      <c r="F164">
        <v>0.52</v>
      </c>
      <c r="G164">
        <f>SUMIF('Isi Data'!B$1:B$65536,SNI!C$1:C$65536,'Isi Data'!E$1:E$65536)</f>
        <v>40000</v>
      </c>
      <c r="I164">
        <f>F164*G164</f>
        <v>20800</v>
      </c>
      <c r="M164" t="str">
        <f>IF(G164=0,"edit"," ")</f>
        <v xml:space="preserve"> </v>
      </c>
    </row>
    <row r="165">
      <c r="C165" t="str">
        <f>'Isi Data'!B158</f>
        <v xml:space="preserve">Tukang Kayu Kasar </v>
      </c>
      <c r="E165" t="str">
        <v>org/hr</v>
      </c>
      <c r="F165">
        <v>0.26</v>
      </c>
      <c r="G165">
        <f>SUMIF('Isi Data'!B$1:B$65536,SNI!C$1:C$65536,'Isi Data'!E$1:E$65536)</f>
        <v>55000</v>
      </c>
      <c r="I165">
        <f>F165*G165</f>
        <v>14300</v>
      </c>
      <c r="M165" t="str">
        <f>IF(G165=0,"edit"," ")</f>
        <v xml:space="preserve"> </v>
      </c>
    </row>
    <row r="166">
      <c r="C166" t="str">
        <f>'Isi Data'!B160</f>
        <v>Kepala Tukang Kayu</v>
      </c>
      <c r="E166" t="str">
        <v>org/hr</v>
      </c>
      <c r="F166">
        <v>0.026</v>
      </c>
      <c r="G166">
        <f>SUMIF('Isi Data'!B$1:B$65536,SNI!C$1:C$65536,'Isi Data'!E$1:E$65536)</f>
        <v>60000</v>
      </c>
      <c r="I166">
        <f>F166*G166</f>
        <v>1560</v>
      </c>
      <c r="M166" t="str">
        <f>IF(G166=0,"edit"," ")</f>
        <v xml:space="preserve"> </v>
      </c>
    </row>
    <row r="167">
      <c r="C167" t="str">
        <f>'Isi Data'!B169</f>
        <v xml:space="preserve">Mandor </v>
      </c>
      <c r="E167" t="str">
        <v>org/hr</v>
      </c>
      <c r="F167">
        <v>0.026</v>
      </c>
      <c r="G167">
        <f>SUMIF('Isi Data'!B$1:B$65536,SNI!C$1:C$65536,'Isi Data'!E$1:E$65536)</f>
        <v>50000</v>
      </c>
      <c r="I167">
        <f>F167*G167</f>
        <v>1300</v>
      </c>
      <c r="M167" t="str">
        <f>IF(G167=0,"edit"," ")</f>
        <v xml:space="preserve"> </v>
      </c>
    </row>
    <row r="168">
      <c r="G168">
        <f>SUMIF('Isi Data'!B$1:B$65536,SNI!C$1:C$65536,'Isi Data'!E$1:E$65536)</f>
        <v>0</v>
      </c>
    </row>
    <row r="169">
      <c r="A169" t="str">
        <v>SNI DT 91-0006-2007</v>
      </c>
      <c r="B169" t="str">
        <v>M2</v>
      </c>
      <c r="C169" t="str">
        <v>Bekisting Praktis beton</v>
      </c>
      <c r="G169">
        <f>SUMIF('Isi Data'!B$1:B$65536,SNI!C$1:C$65536,'Isi Data'!E$1:E$65536)</f>
        <v>0</v>
      </c>
      <c r="H169">
        <f>SUM(H170:H176)</f>
        <v>4420</v>
      </c>
      <c r="I169">
        <f>SUM(I170:I176)</f>
        <v>37960</v>
      </c>
      <c r="J169">
        <f>$J$3</f>
        <v>0.1</v>
      </c>
      <c r="K169">
        <f>SUM(H169:I169)*(1+J169)</f>
        <v>46618.00000000001</v>
      </c>
      <c r="L169">
        <f>ROUND(K169,-2)</f>
        <v>46600</v>
      </c>
    </row>
    <row r="170">
      <c r="C170" t="str">
        <f>'Isi Data'!B40</f>
        <v>Kayu Klas IV</v>
      </c>
      <c r="D170" t="str">
        <v>Kayu klas IV</v>
      </c>
      <c r="E170" t="str">
        <v>m3</v>
      </c>
      <c r="F170">
        <v>0.002</v>
      </c>
      <c r="G170">
        <f>SUMIF('Isi Data'!B$1:B$65536,SNI!C$1:C$65536,'Isi Data'!E$1:E$65536)</f>
        <v>1750000</v>
      </c>
      <c r="H170">
        <f>F170*G170</f>
        <v>3500</v>
      </c>
    </row>
    <row r="171">
      <c r="C171" t="str">
        <f>'Isi Data'!B82</f>
        <v>Paku 5 s/d 10 cm</v>
      </c>
      <c r="E171" t="str">
        <v>kg</v>
      </c>
      <c r="F171">
        <v>0.01</v>
      </c>
      <c r="G171">
        <f>SUMIF('Isi Data'!B$1:B$65536,SNI!C$1:C$65536,'Isi Data'!E$1:E$65536)</f>
        <v>12000</v>
      </c>
      <c r="H171">
        <f>F171*G171</f>
        <v>120</v>
      </c>
    </row>
    <row r="172">
      <c r="C172" t="str">
        <f>'Isi Data'!B99</f>
        <v>Minyak bekisting</v>
      </c>
      <c r="E172" t="str">
        <v>ltr</v>
      </c>
      <c r="F172">
        <v>0.1</v>
      </c>
      <c r="G172">
        <f>SUMIF('Isi Data'!B$1:B$65536,SNI!C$1:C$65536,'Isi Data'!E$1:E$65536)</f>
        <v>8000</v>
      </c>
      <c r="H172">
        <f>F172*G172</f>
        <v>800</v>
      </c>
    </row>
    <row r="173">
      <c r="C173" t="str">
        <f>'Isi Data'!B168</f>
        <v>Pekerja</v>
      </c>
      <c r="E173" t="str">
        <v>org/hr</v>
      </c>
      <c r="F173">
        <v>0.52</v>
      </c>
      <c r="G173">
        <f>SUMIF('Isi Data'!B$1:B$65536,SNI!C$1:C$65536,'Isi Data'!E$1:E$65536)</f>
        <v>40000</v>
      </c>
      <c r="I173">
        <f>F173*G173</f>
        <v>20800</v>
      </c>
    </row>
    <row r="174">
      <c r="C174" t="str">
        <f>'Isi Data'!B158</f>
        <v xml:space="preserve">Tukang Kayu Kasar </v>
      </c>
      <c r="E174" t="str">
        <v>org/hr</v>
      </c>
      <c r="F174">
        <v>0.26</v>
      </c>
      <c r="G174">
        <f>SUMIF('Isi Data'!B$1:B$65536,SNI!C$1:C$65536,'Isi Data'!E$1:E$65536)</f>
        <v>55000</v>
      </c>
      <c r="I174">
        <f>F174*G174</f>
        <v>14300</v>
      </c>
    </row>
    <row r="175">
      <c r="C175" t="str">
        <f>'Isi Data'!B160</f>
        <v>Kepala Tukang Kayu</v>
      </c>
      <c r="E175" t="str">
        <v>org/hr</v>
      </c>
      <c r="F175">
        <v>0.026</v>
      </c>
      <c r="G175">
        <f>SUMIF('Isi Data'!B$1:B$65536,SNI!C$1:C$65536,'Isi Data'!E$1:E$65536)</f>
        <v>60000</v>
      </c>
      <c r="I175">
        <f>F175*G175</f>
        <v>1560</v>
      </c>
    </row>
    <row r="176">
      <c r="C176" t="str">
        <f>'Isi Data'!B169</f>
        <v xml:space="preserve">Mandor </v>
      </c>
      <c r="E176" t="str">
        <v>org/hr</v>
      </c>
      <c r="F176">
        <v>0.026</v>
      </c>
      <c r="G176">
        <f>SUMIF('Isi Data'!B$1:B$65536,SNI!C$1:C$65536,'Isi Data'!E$1:E$65536)</f>
        <v>50000</v>
      </c>
      <c r="I176">
        <f>F176*G176</f>
        <v>1300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435000</v>
      </c>
      <c r="I179">
        <f>SUM(I180:I189)</f>
        <v>48180</v>
      </c>
      <c r="J179">
        <f>$J$3</f>
        <v>0.1</v>
      </c>
      <c r="K179">
        <f>SUM(H179:I179)*(1+J179)</f>
        <v>531498</v>
      </c>
      <c r="L179">
        <f>ROUND(K179,-2)</f>
        <v>531500</v>
      </c>
    </row>
    <row r="180">
      <c r="C180" t="str">
        <f>'Isi Data'!B60</f>
        <v>Triplex  t. 9 mm</v>
      </c>
      <c r="E180" t="str">
        <v>lbr</v>
      </c>
      <c r="F180">
        <v>0.35</v>
      </c>
      <c r="G180">
        <f>SUMIF('Isi Data'!B$1:B$65536,SNI!C$1:C$65536,'Isi Data'!E$1:E$65536)</f>
        <v>106000</v>
      </c>
      <c r="H180">
        <f>F180*G180</f>
        <v>37100</v>
      </c>
    </row>
    <row r="181">
      <c r="C181" t="str">
        <f>'Isi Data'!B82</f>
        <v>Paku 5 s/d 10 cm</v>
      </c>
      <c r="E181" t="str">
        <v>kg</v>
      </c>
      <c r="F181">
        <v>0.4</v>
      </c>
      <c r="G181">
        <f>SUMIF('Isi Data'!B$1:B$65536,SNI!C$1:C$65536,'Isi Data'!E$1:E$65536)</f>
        <v>12000</v>
      </c>
      <c r="H181">
        <f>F181*G181</f>
        <v>4800</v>
      </c>
    </row>
    <row r="182">
      <c r="C182" t="str">
        <f>'Isi Data'!B38</f>
        <v>Kayu Klas II</v>
      </c>
      <c r="D182" t="str">
        <v>Balok,Kayu klas III</v>
      </c>
      <c r="E182" t="str">
        <v>m3</v>
      </c>
      <c r="F182">
        <f>0.015</f>
        <v>0.015</v>
      </c>
      <c r="G182">
        <f>SUMIF('Isi Data'!B$1:B$65536,SNI!C$1:C$65536,'Isi Data'!E$1:E$65536)</f>
        <v>6900000</v>
      </c>
      <c r="H182">
        <f>F182*G182</f>
        <v>103500</v>
      </c>
    </row>
    <row r="183">
      <c r="C183" t="str">
        <f>'Isi Data'!B39</f>
        <v>Kayu Klas III</v>
      </c>
      <c r="D183" t="str">
        <v>Kaso, Kayu klas IV</v>
      </c>
      <c r="E183" t="str">
        <v>m3</v>
      </c>
      <c r="F183">
        <v>0.04</v>
      </c>
      <c r="G183">
        <f>SUMIF('Isi Data'!B$1:B$65536,SNI!C$1:C$65536,'Isi Data'!E$1:E$65536)</f>
        <v>4500000</v>
      </c>
      <c r="H183">
        <f>F183*G183</f>
        <v>180000</v>
      </c>
    </row>
    <row r="184">
      <c r="C184" t="str">
        <f>'Isi Data'!B41</f>
        <v>Dolken dia 8 s/d 10 cm</v>
      </c>
      <c r="E184" t="str">
        <v>btg</v>
      </c>
      <c r="F184">
        <v>6</v>
      </c>
      <c r="G184">
        <f>SUMIF('Isi Data'!B$1:B$65536,SNI!C$1:C$65536,'Isi Data'!E$1:E$65536)</f>
        <v>18000</v>
      </c>
      <c r="H184">
        <f>F184*G184</f>
        <v>108000</v>
      </c>
    </row>
    <row r="185">
      <c r="C185" t="str">
        <f>'Isi Data'!B99</f>
        <v>Minyak bekisting</v>
      </c>
      <c r="E185" t="str">
        <v>ltr</v>
      </c>
      <c r="F185">
        <v>0.2</v>
      </c>
      <c r="G185">
        <f>SUMIF('Isi Data'!B$1:B$65536,SNI!C$1:C$65536,'Isi Data'!E$1:E$65536)</f>
        <v>8000</v>
      </c>
      <c r="H185">
        <f>F185*G185</f>
        <v>1600</v>
      </c>
    </row>
    <row r="186">
      <c r="C186" t="str">
        <f>'Isi Data'!B168</f>
        <v>Pekerja</v>
      </c>
      <c r="E186" t="str">
        <v>org/hr</v>
      </c>
      <c r="F186">
        <v>0.66</v>
      </c>
      <c r="G186">
        <f>SUMIF('Isi Data'!B$1:B$65536,SNI!C$1:C$65536,'Isi Data'!E$1:E$65536)</f>
        <v>40000</v>
      </c>
      <c r="I186">
        <f>F186*G186</f>
        <v>26400</v>
      </c>
    </row>
    <row r="187">
      <c r="C187" t="str">
        <f>'Isi Data'!B158</f>
        <v xml:space="preserve">Tukang Kayu Kasar </v>
      </c>
      <c r="E187" t="str">
        <v>org/hr</v>
      </c>
      <c r="F187">
        <v>0.33</v>
      </c>
      <c r="G187">
        <f>SUMIF('Isi Data'!B$1:B$65536,SNI!C$1:C$65536,'Isi Data'!E$1:E$65536)</f>
        <v>55000</v>
      </c>
      <c r="I187">
        <f>F187*G187</f>
        <v>18150</v>
      </c>
    </row>
    <row r="188">
      <c r="C188" t="str">
        <f>'Isi Data'!B160</f>
        <v>Kepala Tukang Kayu</v>
      </c>
      <c r="E188" t="str">
        <v>org/hr</v>
      </c>
      <c r="F188">
        <v>0.033</v>
      </c>
      <c r="G188">
        <f>SUMIF('Isi Data'!B$1:B$65536,SNI!C$1:C$65536,'Isi Data'!E$1:E$65536)</f>
        <v>60000</v>
      </c>
      <c r="I188">
        <f>F188*G188</f>
        <v>1980</v>
      </c>
    </row>
    <row r="189">
      <c r="C189" t="str">
        <f>'Isi Data'!B169</f>
        <v xml:space="preserve">Mandor </v>
      </c>
      <c r="E189" t="str">
        <v>org/hr</v>
      </c>
      <c r="F189">
        <v>0.033</v>
      </c>
      <c r="G189">
        <f>SUMIF('Isi Data'!B$1:B$65536,SNI!C$1:C$65536,'Isi Data'!E$1:E$65536)</f>
        <v>50000</v>
      </c>
      <c r="I189">
        <f>F189*G189</f>
        <v>1650</v>
      </c>
    </row>
    <row r="190">
      <c r="G190">
        <f>SUMIF('Isi Data'!B$1:B$65536,SNI!C$1:C$65536,'Isi Data'!E$1:E$65536)</f>
        <v>0</v>
      </c>
    </row>
    <row r="191">
      <c r="A191" t="str">
        <v>SNI 7394:2008-6.22</v>
      </c>
      <c r="B191" t="str">
        <v>M2</v>
      </c>
      <c r="C191" t="str">
        <v>Bekisting kolom beton</v>
      </c>
      <c r="G191">
        <f>SUMIF('Isi Data'!B$1:B$65536,SNI!C$1:C$65536,'Isi Data'!E$1:E$65536)</f>
        <v>0</v>
      </c>
      <c r="H191">
        <f>SUM(H192:H201)</f>
        <v>363000</v>
      </c>
      <c r="I191">
        <f>SUM(I192:I201)</f>
        <v>48180</v>
      </c>
      <c r="J191">
        <f>$J$3</f>
        <v>0.1</v>
      </c>
      <c r="K191">
        <f>SUM(H191:I191)*(1+J191)</f>
        <v>452298.00000000006</v>
      </c>
      <c r="L191">
        <f>ROUND(K191,-2)</f>
        <v>452300</v>
      </c>
    </row>
    <row r="192">
      <c r="C192" t="str">
        <f>'Isi Data'!B60</f>
        <v>Triplex  t. 9 mm</v>
      </c>
      <c r="E192" t="str">
        <v>lbr</v>
      </c>
      <c r="F192">
        <v>0.35</v>
      </c>
      <c r="G192">
        <f>SUMIF('Isi Data'!B$1:B$65536,SNI!C$1:C$65536,'Isi Data'!E$1:E$65536)</f>
        <v>106000</v>
      </c>
      <c r="H192">
        <f>F192*G192</f>
        <v>37100</v>
      </c>
      <c r="M192" t="str">
        <f>IF(G192=0,"edit"," ")</f>
        <v xml:space="preserve"> </v>
      </c>
    </row>
    <row r="193">
      <c r="C193" t="str">
        <f>'Isi Data'!B82</f>
        <v>Paku 5 s/d 10 cm</v>
      </c>
      <c r="E193" t="str">
        <v>kg</v>
      </c>
      <c r="F193">
        <v>0.4</v>
      </c>
      <c r="G193">
        <f>SUMIF('Isi Data'!B$1:B$65536,SNI!C$1:C$65536,'Isi Data'!E$1:E$65536)</f>
        <v>12000</v>
      </c>
      <c r="H193">
        <f>F193*G193</f>
        <v>4800</v>
      </c>
      <c r="M193" t="str">
        <f>IF(G193=0,"edit"," ")</f>
        <v xml:space="preserve"> </v>
      </c>
    </row>
    <row r="194">
      <c r="C194" t="str">
        <f>'Isi Data'!B38</f>
        <v>Kayu Klas II</v>
      </c>
      <c r="D194" t="str">
        <v>Balok, Kayu klas IV</v>
      </c>
      <c r="E194" t="str">
        <v>m3</v>
      </c>
      <c r="F194">
        <v>0.015</v>
      </c>
      <c r="G194">
        <f>SUMIF('Isi Data'!B$1:B$65536,SNI!C$1:C$65536,'Isi Data'!E$1:E$65536)</f>
        <v>6900000</v>
      </c>
      <c r="H194">
        <f>F194*G194</f>
        <v>103500</v>
      </c>
      <c r="M194" t="str">
        <f>IF(G194=0,"edit"," ")</f>
        <v xml:space="preserve"> </v>
      </c>
    </row>
    <row r="195">
      <c r="C195" t="str">
        <f>'Isi Data'!B39</f>
        <v>Kayu Klas III</v>
      </c>
      <c r="D195" t="str">
        <v>Kaso, Kayu klas IV</v>
      </c>
      <c r="E195" t="str">
        <v>m3</v>
      </c>
      <c r="F195">
        <v>0.04</v>
      </c>
      <c r="G195">
        <f>SUMIF('Isi Data'!B$1:B$65536,SNI!C$1:C$65536,'Isi Data'!E$1:E$65536)</f>
        <v>4500000</v>
      </c>
      <c r="H195">
        <f>F195*G195</f>
        <v>180000</v>
      </c>
      <c r="M195" t="str">
        <f>IF(G195=0,"edit"," ")</f>
        <v xml:space="preserve"> </v>
      </c>
    </row>
    <row r="196">
      <c r="C196" t="str">
        <f>'Isi Data'!B41</f>
        <v>Dolken dia 8 s/d 10 cm</v>
      </c>
      <c r="E196" t="str">
        <v>btg</v>
      </c>
      <c r="F196">
        <v>2</v>
      </c>
      <c r="G196">
        <f>SUMIF('Isi Data'!B$1:B$65536,SNI!C$1:C$65536,'Isi Data'!E$1:E$65536)</f>
        <v>18000</v>
      </c>
      <c r="H196">
        <f>F196*G196</f>
        <v>36000</v>
      </c>
      <c r="M196" t="str">
        <f>IF(G196=0,"edit"," ")</f>
        <v xml:space="preserve"> </v>
      </c>
    </row>
    <row r="197">
      <c r="C197" t="str">
        <f>'Isi Data'!B99</f>
        <v>Minyak bekisting</v>
      </c>
      <c r="E197" t="str">
        <v>ltr</v>
      </c>
      <c r="F197">
        <v>0.2</v>
      </c>
      <c r="G197">
        <f>SUMIF('Isi Data'!B$1:B$65536,SNI!C$1:C$65536,'Isi Data'!E$1:E$65536)</f>
        <v>8000</v>
      </c>
      <c r="H197">
        <f>F197*G197</f>
        <v>1600</v>
      </c>
      <c r="M197" t="str">
        <f>IF(G197=0,"edit"," ")</f>
        <v xml:space="preserve"> </v>
      </c>
    </row>
    <row r="198">
      <c r="C198" t="str">
        <f>'Isi Data'!B168</f>
        <v>Pekerja</v>
      </c>
      <c r="E198" t="str">
        <v>org/hr</v>
      </c>
      <c r="F198">
        <v>0.66</v>
      </c>
      <c r="G198">
        <f>SUMIF('Isi Data'!B$1:B$65536,SNI!C$1:C$65536,'Isi Data'!E$1:E$65536)</f>
        <v>40000</v>
      </c>
      <c r="I198">
        <f>F198*G198</f>
        <v>26400</v>
      </c>
      <c r="M198" t="str">
        <f>IF(G198=0,"edit"," ")</f>
        <v xml:space="preserve"> </v>
      </c>
    </row>
    <row r="199">
      <c r="C199" t="str">
        <f>'Isi Data'!B158</f>
        <v xml:space="preserve">Tukang Kayu Kasar </v>
      </c>
      <c r="E199" t="str">
        <v>org/hr</v>
      </c>
      <c r="F199">
        <v>0.33</v>
      </c>
      <c r="G199">
        <f>SUMIF('Isi Data'!B$1:B$65536,SNI!C$1:C$65536,'Isi Data'!E$1:E$65536)</f>
        <v>55000</v>
      </c>
      <c r="I199">
        <f>F199*G199</f>
        <v>18150</v>
      </c>
      <c r="M199" t="str">
        <f>IF(G199=0,"edit"," ")</f>
        <v xml:space="preserve"> </v>
      </c>
    </row>
    <row r="200">
      <c r="C200" t="str">
        <f>'Isi Data'!B160</f>
        <v>Kepala Tukang Kayu</v>
      </c>
      <c r="E200" t="str">
        <v>org/hr</v>
      </c>
      <c r="F200">
        <v>0.033</v>
      </c>
      <c r="G200">
        <f>SUMIF('Isi Data'!B$1:B$65536,SNI!C$1:C$65536,'Isi Data'!E$1:E$65536)</f>
        <v>60000</v>
      </c>
      <c r="I200">
        <f>F200*G200</f>
        <v>1980</v>
      </c>
      <c r="M200" t="str">
        <f>IF(G200=0,"edit"," ")</f>
        <v xml:space="preserve"> </v>
      </c>
    </row>
    <row r="201">
      <c r="C201" t="str">
        <f>'Isi Data'!B169</f>
        <v xml:space="preserve">Mandor </v>
      </c>
      <c r="E201" t="str">
        <v>org/hr</v>
      </c>
      <c r="F201">
        <v>0.033</v>
      </c>
      <c r="G201">
        <f>SUMIF('Isi Data'!B$1:B$65536,SNI!C$1:C$65536,'Isi Data'!E$1:E$65536)</f>
        <v>50000</v>
      </c>
      <c r="I201">
        <f>F201*G201</f>
        <v>1650</v>
      </c>
      <c r="M201" t="str">
        <f>IF(G201=0,"edit"," ")</f>
        <v xml:space="preserve"> </v>
      </c>
    </row>
    <row r="202">
      <c r="G202">
        <f>SUMIF('Isi Data'!B$1:B$65536,SNI!C$1:C$65536,'Isi Data'!E$1:E$65536)</f>
        <v>0</v>
      </c>
    </row>
    <row r="203">
      <c r="A203" t="str">
        <v>SNI 7394:2008-6.23</v>
      </c>
      <c r="B203" t="str">
        <v>M2</v>
      </c>
      <c r="C203" t="str">
        <v>Bekisting balok beton</v>
      </c>
      <c r="G203">
        <f>SUMIF('Isi Data'!B$1:B$65536,SNI!C$1:C$65536,'Isi Data'!E$1:E$65536)</f>
        <v>0</v>
      </c>
      <c r="H203">
        <f>SUM(H204:H213)</f>
        <v>383700</v>
      </c>
      <c r="I203">
        <f>SUM(I204:I213)</f>
        <v>48180</v>
      </c>
      <c r="J203">
        <f>$J$3</f>
        <v>0.1</v>
      </c>
      <c r="K203">
        <f>SUM(H203:I203)*(1+J203)</f>
        <v>475068.00000000006</v>
      </c>
      <c r="L203">
        <f>ROUND(K203,-2)</f>
        <v>475100</v>
      </c>
    </row>
    <row r="204">
      <c r="C204" t="str">
        <f>'Isi Data'!B60</f>
        <v>Triplex  t. 9 mm</v>
      </c>
      <c r="E204" t="str">
        <v>lbr</v>
      </c>
      <c r="F204">
        <v>0.35</v>
      </c>
      <c r="G204">
        <f>SUMIF('Isi Data'!B$1:B$65536,SNI!C$1:C$65536,'Isi Data'!E$1:E$65536)</f>
        <v>106000</v>
      </c>
      <c r="H204">
        <f>F204*G204</f>
        <v>37100</v>
      </c>
    </row>
    <row r="205">
      <c r="C205" t="str">
        <f>'Isi Data'!B82</f>
        <v>Paku 5 s/d 10 cm</v>
      </c>
      <c r="E205" t="str">
        <v>kg</v>
      </c>
      <c r="F205">
        <v>0.4</v>
      </c>
      <c r="G205">
        <f>SUMIF('Isi Data'!B$1:B$65536,SNI!C$1:C$65536,'Isi Data'!E$1:E$65536)</f>
        <v>12000</v>
      </c>
      <c r="H205">
        <f>F205*G205</f>
        <v>4800</v>
      </c>
    </row>
    <row r="206">
      <c r="C206" t="str">
        <f>'Isi Data'!B38</f>
        <v>Kayu Klas II</v>
      </c>
      <c r="D206" t="str">
        <v>Balok,Kayu klas III</v>
      </c>
      <c r="E206" t="str">
        <v>m3</v>
      </c>
      <c r="F206">
        <v>0.018</v>
      </c>
      <c r="G206">
        <f>SUMIF('Isi Data'!B$1:B$65536,SNI!C$1:C$65536,'Isi Data'!E$1:E$65536)</f>
        <v>6900000</v>
      </c>
      <c r="H206">
        <f>F206*G206</f>
        <v>124199.99999999999</v>
      </c>
    </row>
    <row r="207">
      <c r="C207" t="str">
        <f>'Isi Data'!B39</f>
        <v>Kayu Klas III</v>
      </c>
      <c r="D207" t="str">
        <v>Kaso, Kayu klas IV</v>
      </c>
      <c r="E207" t="str">
        <v>m3</v>
      </c>
      <c r="F207">
        <v>0.04</v>
      </c>
      <c r="G207">
        <f>SUMIF('Isi Data'!B$1:B$65536,SNI!C$1:C$65536,'Isi Data'!E$1:E$65536)</f>
        <v>4500000</v>
      </c>
      <c r="H207">
        <f>F207*G207</f>
        <v>180000</v>
      </c>
    </row>
    <row r="208">
      <c r="C208" t="str">
        <f>'Isi Data'!B41</f>
        <v>Dolken dia 8 s/d 10 cm</v>
      </c>
      <c r="E208" t="str">
        <v>btg</v>
      </c>
      <c r="F208">
        <v>2</v>
      </c>
      <c r="G208">
        <f>SUMIF('Isi Data'!B$1:B$65536,SNI!C$1:C$65536,'Isi Data'!E$1:E$65536)</f>
        <v>18000</v>
      </c>
      <c r="H208">
        <f>F208*G208</f>
        <v>36000</v>
      </c>
    </row>
    <row r="209">
      <c r="C209" t="str">
        <f>'Isi Data'!B99</f>
        <v>Minyak bekisting</v>
      </c>
      <c r="E209" t="str">
        <v>ltr</v>
      </c>
      <c r="F209">
        <v>0.2</v>
      </c>
      <c r="G209">
        <f>SUMIF('Isi Data'!B$1:B$65536,SNI!C$1:C$65536,'Isi Data'!E$1:E$65536)</f>
        <v>8000</v>
      </c>
      <c r="H209">
        <f>F209*G209</f>
        <v>1600</v>
      </c>
    </row>
    <row r="210">
      <c r="C210" t="str">
        <f>'Isi Data'!B168</f>
        <v>Pekerja</v>
      </c>
      <c r="E210" t="str">
        <v>org/hr</v>
      </c>
      <c r="F210">
        <v>0.66</v>
      </c>
      <c r="G210">
        <f>SUMIF('Isi Data'!B$1:B$65536,SNI!C$1:C$65536,'Isi Data'!E$1:E$65536)</f>
        <v>40000</v>
      </c>
      <c r="I210">
        <f>F210*G210</f>
        <v>26400</v>
      </c>
    </row>
    <row r="211">
      <c r="C211" t="str">
        <f>'Isi Data'!B158</f>
        <v xml:space="preserve">Tukang Kayu Kasar </v>
      </c>
      <c r="E211" t="str">
        <v>org/hr</v>
      </c>
      <c r="F211">
        <v>0.33</v>
      </c>
      <c r="G211">
        <f>SUMIF('Isi Data'!B$1:B$65536,SNI!C$1:C$65536,'Isi Data'!E$1:E$65536)</f>
        <v>55000</v>
      </c>
      <c r="I211">
        <f>F211*G211</f>
        <v>18150</v>
      </c>
    </row>
    <row r="212">
      <c r="C212" t="str">
        <f>'Isi Data'!B160</f>
        <v>Kepala Tukang Kayu</v>
      </c>
      <c r="E212" t="str">
        <v>org/hr</v>
      </c>
      <c r="F212">
        <v>0.033</v>
      </c>
      <c r="G212">
        <f>SUMIF('Isi Data'!B$1:B$65536,SNI!C$1:C$65536,'Isi Data'!E$1:E$65536)</f>
        <v>60000</v>
      </c>
      <c r="I212">
        <f>F212*G212</f>
        <v>1980</v>
      </c>
    </row>
    <row r="213">
      <c r="C213" t="str">
        <f>'Isi Data'!B169</f>
        <v xml:space="preserve">Mandor </v>
      </c>
      <c r="E213" t="str">
        <v>org/hr</v>
      </c>
      <c r="F213">
        <v>0.033</v>
      </c>
      <c r="G213">
        <f>SUMIF('Isi Data'!B$1:B$65536,SNI!C$1:C$65536,'Isi Data'!E$1:E$65536)</f>
        <v>50000</v>
      </c>
      <c r="I213">
        <f>F213*G213</f>
        <v>1650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48960</v>
      </c>
      <c r="I215">
        <f>SUM(I216:I218)</f>
        <v>0</v>
      </c>
      <c r="J215">
        <f>$J$3</f>
        <v>0.1</v>
      </c>
      <c r="K215">
        <f>SUM(H215:I215)*(1+J215)</f>
        <v>53856.00000000001</v>
      </c>
      <c r="L215">
        <f>ROUND(K215,-2)</f>
        <v>53900</v>
      </c>
    </row>
    <row r="216">
      <c r="C216" t="str">
        <f>'Isi Data'!B25</f>
        <v>Semen (50 Kg)</v>
      </c>
      <c r="E216" t="str">
        <v>zak</v>
      </c>
      <c r="F216">
        <v>0.3</v>
      </c>
      <c r="G216">
        <f>SUMIF('Isi Data'!B$1:B$65536,SNI!C$1:C$65536,'Isi Data'!E$1:E$65536)</f>
        <v>61000</v>
      </c>
      <c r="H216">
        <f>F216*G216</f>
        <v>18300</v>
      </c>
      <c r="M216" t="str">
        <f>IF(G216=0,"edit"," ")</f>
        <v xml:space="preserve"> </v>
      </c>
    </row>
    <row r="217">
      <c r="C217" t="str">
        <f>'Isi Data'!B19</f>
        <v>Pasir Beton</v>
      </c>
      <c r="E217" t="str">
        <v>m3</v>
      </c>
      <c r="F217">
        <v>0.063</v>
      </c>
      <c r="G217">
        <f>SUMIF('Isi Data'!B$1:B$65536,SNI!C$1:C$65536,'Isi Data'!E$1:E$65536)</f>
        <v>210000</v>
      </c>
      <c r="H217">
        <f>F217*G217</f>
        <v>13230</v>
      </c>
      <c r="M217" t="str">
        <f>IF(G217=0,"edit"," ")</f>
        <v xml:space="preserve"> </v>
      </c>
    </row>
    <row r="218">
      <c r="C218" t="str">
        <f>'Isi Data'!B16</f>
        <v>Batu Split Pecah Mesin 1/2</v>
      </c>
      <c r="E218" t="str">
        <v>m3</v>
      </c>
      <c r="F218">
        <v>0.083</v>
      </c>
      <c r="G218">
        <f>SUMIF('Isi Data'!B$1:B$65536,SNI!C$1:C$65536,'Isi Data'!E$1:E$65536)</f>
        <v>210000</v>
      </c>
      <c r="H218">
        <f>F218*G218</f>
        <v>17430</v>
      </c>
      <c r="M218" t="str">
        <f>IF(G218=0,"edit"," ")</f>
        <v xml:space="preserve"> </v>
      </c>
    </row>
    <row r="219">
      <c r="C219" t="str">
        <f>'Isi Data'!B168</f>
        <v>Pekerja</v>
      </c>
      <c r="E219" t="str">
        <v>org/hr</v>
      </c>
      <c r="F219">
        <v>0.13</v>
      </c>
      <c r="G219">
        <f>SUMIF('Isi Data'!B$1:B$65536,SNI!C$1:C$65536,'Isi Data'!E$1:E$65536)</f>
        <v>40000</v>
      </c>
      <c r="I219">
        <f>F219*G219</f>
        <v>5200</v>
      </c>
      <c r="M219" t="str">
        <f>IF(G219=0,"edit"," ")</f>
        <v xml:space="preserve"> </v>
      </c>
    </row>
    <row r="220">
      <c r="C220" t="str">
        <f>'Isi Data'!B161</f>
        <v>Tukang Batu Kasar</v>
      </c>
      <c r="E220" t="str">
        <v>org/hr</v>
      </c>
      <c r="F220">
        <v>0.1</v>
      </c>
      <c r="G220">
        <f>SUMIF('Isi Data'!B$1:B$65536,SNI!C$1:C$65536,'Isi Data'!E$1:E$65536)</f>
        <v>55000</v>
      </c>
      <c r="I220">
        <f>F220*G220</f>
        <v>5500</v>
      </c>
      <c r="M220" t="str">
        <f>IF(G220=0,"edit"," ")</f>
        <v xml:space="preserve"> </v>
      </c>
    </row>
    <row r="221">
      <c r="C221" t="str">
        <f>'Isi Data'!B163</f>
        <v>Kepala Tukang Batu</v>
      </c>
      <c r="E221" t="str">
        <v>org/hr</v>
      </c>
      <c r="F221">
        <v>0.01</v>
      </c>
      <c r="G221">
        <f>SUMIF('Isi Data'!B$1:B$65536,SNI!C$1:C$65536,'Isi Data'!E$1:E$65536)</f>
        <v>60000</v>
      </c>
      <c r="I221">
        <f>F221*G221</f>
        <v>600</v>
      </c>
      <c r="M221" t="str">
        <f>IF(G221=0,"edit"," ")</f>
        <v xml:space="preserve"> </v>
      </c>
    </row>
    <row r="222">
      <c r="C222" t="str">
        <f>'Isi Data'!B169</f>
        <v xml:space="preserve">Mandor </v>
      </c>
      <c r="E222" t="str">
        <v>org/hr</v>
      </c>
      <c r="F222">
        <v>0.01</v>
      </c>
      <c r="G222">
        <f>SUMIF('Isi Data'!B$1:B$65536,SNI!C$1:C$65536,'Isi Data'!E$1:E$65536)</f>
        <v>50000</v>
      </c>
      <c r="I222">
        <f>F222*G222</f>
        <v>500</v>
      </c>
      <c r="M222" t="str">
        <f>IF(G222=0,"edit"," ")</f>
        <v xml:space="preserve"> </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213521.4</v>
      </c>
      <c r="I226">
        <f>SUM(I227:I234)</f>
        <v>24050</v>
      </c>
      <c r="J226">
        <f>$J$3</f>
        <v>0.1</v>
      </c>
      <c r="K226">
        <f>SUM(H226:I226)*(1+J226)</f>
        <v>261328.54</v>
      </c>
      <c r="L226">
        <f>ROUND(K226,-2)</f>
        <v>261300</v>
      </c>
    </row>
    <row r="227">
      <c r="C227" t="str">
        <f>'Isi Data'!B14</f>
        <v>Bata beton ringan ex Celcon</v>
      </c>
      <c r="E227" t="str">
        <v>bh</v>
      </c>
      <c r="F227">
        <f>1/0.2/0.4</f>
        <v>12.5</v>
      </c>
      <c r="G227">
        <f>SUMIF('Isi Data'!B$1:B$65536,SNI!C$1:C$65536,'Isi Data'!E$1:E$65536)</f>
        <v>2750</v>
      </c>
      <c r="H227">
        <f>F227*G227</f>
        <v>34375</v>
      </c>
    </row>
    <row r="228">
      <c r="C228" t="str">
        <f>'Isi Data'!B25</f>
        <v>Semen (50 Kg)</v>
      </c>
      <c r="E228" t="str">
        <v>zak</v>
      </c>
      <c r="F228">
        <f>30.32/50</f>
        <v>0.6064</v>
      </c>
      <c r="G228">
        <f>SUMIF('Isi Data'!B$1:B$65536,SNI!C$1:C$65536,'Isi Data'!E$1:E$65536)</f>
        <v>61000</v>
      </c>
      <c r="H228">
        <f>F228*G228</f>
        <v>36990.4</v>
      </c>
    </row>
    <row r="229">
      <c r="C229" t="str">
        <v>Besi angkur d= 8 mm</v>
      </c>
      <c r="E229" t="str">
        <v>kg</v>
      </c>
      <c r="F229">
        <v>0.28</v>
      </c>
      <c r="G229">
        <f>'Isi Data'!E31</f>
        <v>13700</v>
      </c>
      <c r="H229">
        <f>F229*G229</f>
        <v>3836.0000000000005</v>
      </c>
    </row>
    <row r="230">
      <c r="C230" t="str">
        <f>'Isi Data'!B20</f>
        <v>Pasir Pasang</v>
      </c>
      <c r="E230" t="str">
        <v>m3</v>
      </c>
      <c r="F230">
        <v>0.728</v>
      </c>
      <c r="G230">
        <f>SUMIF('Isi Data'!B$1:B$65536,SNI!C$1:C$65536,'Isi Data'!E$1:E$65536)</f>
        <v>190000</v>
      </c>
      <c r="H230">
        <f>F230*G230</f>
        <v>138320</v>
      </c>
    </row>
    <row r="231">
      <c r="C231" t="str">
        <f>'Isi Data'!B168</f>
        <v>Pekerja</v>
      </c>
      <c r="E231" t="str">
        <v>org/hr</v>
      </c>
      <c r="F231">
        <v>0.35</v>
      </c>
      <c r="G231">
        <f>SUMIF('Isi Data'!B$1:B$65536,SNI!C$1:C$65536,'Isi Data'!E$1:E$65536)</f>
        <v>40000</v>
      </c>
      <c r="I231">
        <f>F231*G231</f>
        <v>14000</v>
      </c>
    </row>
    <row r="232">
      <c r="C232" t="str">
        <f>'Isi Data'!B161</f>
        <v>Tukang Batu Kasar</v>
      </c>
      <c r="E232" t="str">
        <v>org/hr</v>
      </c>
      <c r="F232">
        <v>0.15</v>
      </c>
      <c r="G232">
        <f>SUMIF('Isi Data'!B$1:B$65536,SNI!C$1:C$65536,'Isi Data'!E$1:E$65536)</f>
        <v>55000</v>
      </c>
      <c r="I232">
        <f>F232*G232</f>
        <v>8250</v>
      </c>
    </row>
    <row r="233">
      <c r="C233" t="str">
        <f>'Isi Data'!B163</f>
        <v>Kepala Tukang Batu</v>
      </c>
      <c r="E233" t="str">
        <v>org/hr</v>
      </c>
      <c r="F233">
        <v>0.015</v>
      </c>
      <c r="G233">
        <f>SUMIF('Isi Data'!B$1:B$65536,SNI!C$1:C$65536,'Isi Data'!E$1:E$65536)</f>
        <v>60000</v>
      </c>
      <c r="I233">
        <f>F233*G233</f>
        <v>900</v>
      </c>
    </row>
    <row r="234">
      <c r="C234" t="str">
        <f>'Isi Data'!B169</f>
        <v xml:space="preserve">Mandor </v>
      </c>
      <c r="E234" t="str">
        <v>org/hr</v>
      </c>
      <c r="F234">
        <v>0.018</v>
      </c>
      <c r="G234">
        <f>SUMIF('Isi Data'!B$1:B$65536,SNI!C$1:C$65536,'Isi Data'!E$1:E$65536)</f>
        <v>50000</v>
      </c>
      <c r="I234">
        <f>F234*G234</f>
        <v>899.9999999999999</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214488.2</v>
      </c>
      <c r="I236">
        <f>SUM(I237:I244)</f>
        <v>24050</v>
      </c>
      <c r="J236">
        <f>$J$3</f>
        <v>0.1</v>
      </c>
      <c r="K236">
        <f>SUM(H236:I236)*(1+J236)</f>
        <v>262392.02</v>
      </c>
      <c r="L236">
        <f>ROUND(K236,-2)</f>
        <v>262400</v>
      </c>
    </row>
    <row r="237">
      <c r="C237" t="str">
        <f>'Isi Data'!B14</f>
        <v>Bata beton ringan ex Celcon</v>
      </c>
      <c r="E237" t="str">
        <v>bh</v>
      </c>
      <c r="F237">
        <f>1/0.2/0.4</f>
        <v>12.5</v>
      </c>
      <c r="G237">
        <f>SUMIF('Isi Data'!B$1:B$65536,SNI!C$1:C$65536,'Isi Data'!E$1:E$65536)</f>
        <v>2750</v>
      </c>
      <c r="H237">
        <f>F237*G237</f>
        <v>34375</v>
      </c>
      <c r="M237" t="str">
        <f>IF(G237=0,"edit"," ")</f>
        <v xml:space="preserve"> </v>
      </c>
    </row>
    <row r="238">
      <c r="C238" t="str">
        <f>'Isi Data'!B25</f>
        <v>Semen (50 Kg)</v>
      </c>
      <c r="E238" t="str">
        <v>zak</v>
      </c>
      <c r="F238">
        <f>24.26/50</f>
        <v>0.4852</v>
      </c>
      <c r="G238">
        <f>SUMIF('Isi Data'!B$1:B$65536,SNI!C$1:C$65536,'Isi Data'!E$1:E$65536)</f>
        <v>61000</v>
      </c>
      <c r="H238">
        <f>F238*G238</f>
        <v>29597.2</v>
      </c>
      <c r="M238" t="str">
        <f>IF(G238=0,"edit"," ")</f>
        <v xml:space="preserve"> </v>
      </c>
    </row>
    <row r="239">
      <c r="C239" t="str">
        <f>'Isi Data'!B20</f>
        <v>Pasir Pasang</v>
      </c>
      <c r="E239" t="str">
        <v>m3</v>
      </c>
      <c r="F239">
        <v>0.772</v>
      </c>
      <c r="G239">
        <f>SUMIF('Isi Data'!B$1:B$65536,SNI!C$1:C$65536,'Isi Data'!E$1:E$65536)</f>
        <v>190000</v>
      </c>
      <c r="H239">
        <f>F239*G239</f>
        <v>146680</v>
      </c>
      <c r="M239" t="str">
        <f>IF(G239=0,"edit"," ")</f>
        <v xml:space="preserve"> </v>
      </c>
    </row>
    <row r="240">
      <c r="C240" t="str">
        <v>Besi angkur d= 8 mm</v>
      </c>
      <c r="E240" t="str">
        <v>kg</v>
      </c>
      <c r="F240">
        <v>0.28</v>
      </c>
      <c r="G240">
        <f>'Isi Data'!E31</f>
        <v>13700</v>
      </c>
      <c r="H240">
        <f>F240*G240</f>
        <v>3836.0000000000005</v>
      </c>
    </row>
    <row r="241">
      <c r="C241" t="str">
        <f>'Isi Data'!B168</f>
        <v>Pekerja</v>
      </c>
      <c r="E241" t="str">
        <v>org/hr</v>
      </c>
      <c r="F241">
        <v>0.35</v>
      </c>
      <c r="G241">
        <f>SUMIF('Isi Data'!B$1:B$65536,SNI!C$1:C$65536,'Isi Data'!E$1:E$65536)</f>
        <v>40000</v>
      </c>
      <c r="I241">
        <f>F241*G241</f>
        <v>14000</v>
      </c>
      <c r="M241" t="str">
        <f>IF(G241=0,"edit"," ")</f>
        <v xml:space="preserve"> </v>
      </c>
    </row>
    <row r="242">
      <c r="C242" t="str">
        <f>'Isi Data'!B161</f>
        <v>Tukang Batu Kasar</v>
      </c>
      <c r="E242" t="str">
        <v>org/hr</v>
      </c>
      <c r="F242">
        <v>0.15</v>
      </c>
      <c r="G242">
        <f>SUMIF('Isi Data'!B$1:B$65536,SNI!C$1:C$65536,'Isi Data'!E$1:E$65536)</f>
        <v>55000</v>
      </c>
      <c r="I242">
        <f>F242*G242</f>
        <v>8250</v>
      </c>
      <c r="M242" t="str">
        <f>IF(G242=0,"edit"," ")</f>
        <v xml:space="preserve"> </v>
      </c>
    </row>
    <row r="243">
      <c r="C243" t="str">
        <f>'Isi Data'!B163</f>
        <v>Kepala Tukang Batu</v>
      </c>
      <c r="E243" t="str">
        <v>org/hr</v>
      </c>
      <c r="F243">
        <v>0.015</v>
      </c>
      <c r="G243">
        <f>SUMIF('Isi Data'!B$1:B$65536,SNI!C$1:C$65536,'Isi Data'!E$1:E$65536)</f>
        <v>60000</v>
      </c>
      <c r="I243">
        <f>F243*G243</f>
        <v>900</v>
      </c>
      <c r="M243" t="str">
        <f>IF(G243=0,"edit"," ")</f>
        <v xml:space="preserve"> </v>
      </c>
    </row>
    <row r="244">
      <c r="C244" t="str">
        <f>'Isi Data'!B169</f>
        <v xml:space="preserve">Mandor </v>
      </c>
      <c r="E244" t="str">
        <v>org/hr</v>
      </c>
      <c r="F244">
        <v>0.018</v>
      </c>
      <c r="G244">
        <f>SUMIF('Isi Data'!B$1:B$65536,SNI!C$1:C$65536,'Isi Data'!E$1:E$65536)</f>
        <v>50000</v>
      </c>
      <c r="I244">
        <f>F244*G244</f>
        <v>899.9999999999999</v>
      </c>
      <c r="M244" t="str">
        <f>IF(G244=0,"edit"," ")</f>
        <v xml:space="preserve"> </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4782639</v>
      </c>
      <c r="I246">
        <f>SUM(I247:I253)</f>
        <v>18850</v>
      </c>
      <c r="J246">
        <f>$J$3</f>
        <v>0.1</v>
      </c>
      <c r="K246">
        <f>SUM(H246:I246)*(1+J246)</f>
        <v>5281637.9</v>
      </c>
      <c r="L246">
        <f>ROUND(K246,-2)</f>
        <v>5281600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61000</v>
      </c>
      <c r="H248">
        <f>F248*G248</f>
        <v>23119</v>
      </c>
      <c r="M248" t="str">
        <f>IF(G248=0,"edit"," ")</f>
        <v xml:space="preserve"> </v>
      </c>
    </row>
    <row r="249">
      <c r="C249" t="str">
        <f>'Isi Data'!B20</f>
        <v>Pasir Pasang</v>
      </c>
      <c r="E249" t="str">
        <v>m3</v>
      </c>
      <c r="F249">
        <v>0.038</v>
      </c>
      <c r="G249">
        <f>SUMIF('Isi Data'!B$1:B$65536,SNI!C$1:C$65536,'Isi Data'!E$1:E$65536)</f>
        <v>190000</v>
      </c>
      <c r="H249">
        <f>F249*G249</f>
        <v>7220</v>
      </c>
      <c r="M249" t="str">
        <f>IF(G249=0,"edit"," ")</f>
        <v xml:space="preserve"> </v>
      </c>
    </row>
    <row r="250">
      <c r="C250" t="str">
        <f>'Isi Data'!B168</f>
        <v>Pekerja</v>
      </c>
      <c r="E250" t="str">
        <v>org/hr</v>
      </c>
      <c r="F250">
        <v>0.3</v>
      </c>
      <c r="G250">
        <f>SUMIF('Isi Data'!B$1:B$65536,SNI!C$1:C$65536,'Isi Data'!E$1:E$65536)</f>
        <v>40000</v>
      </c>
      <c r="I250">
        <f>F250*G250</f>
        <v>12000</v>
      </c>
      <c r="M250" t="str">
        <f>IF(G250=0,"edit"," ")</f>
        <v xml:space="preserve"> </v>
      </c>
    </row>
    <row r="251">
      <c r="C251" t="str">
        <f>'Isi Data'!B161</f>
        <v>Tukang Batu Kasar</v>
      </c>
      <c r="E251" t="str">
        <v>org/hr</v>
      </c>
      <c r="F251">
        <v>0.1</v>
      </c>
      <c r="G251">
        <f>SUMIF('Isi Data'!B$1:B$65536,SNI!C$1:C$65536,'Isi Data'!E$1:E$65536)</f>
        <v>55000</v>
      </c>
      <c r="I251">
        <f>F251*G251</f>
        <v>5500</v>
      </c>
      <c r="M251" t="str">
        <f>IF(G251=0,"edit"," ")</f>
        <v xml:space="preserve"> </v>
      </c>
    </row>
    <row r="252">
      <c r="C252" t="str">
        <f>'Isi Data'!B163</f>
        <v>Kepala Tukang Batu</v>
      </c>
      <c r="E252" t="str">
        <v>org/hr</v>
      </c>
      <c r="F252">
        <v>0.01</v>
      </c>
      <c r="G252">
        <f>SUMIF('Isi Data'!B$1:B$65536,SNI!C$1:C$65536,'Isi Data'!E$1:E$65536)</f>
        <v>60000</v>
      </c>
      <c r="I252">
        <f>F252*G252</f>
        <v>600</v>
      </c>
      <c r="M252" t="str">
        <f>IF(G252=0,"edit"," ")</f>
        <v xml:space="preserve"> </v>
      </c>
    </row>
    <row r="253">
      <c r="C253" t="str">
        <f>'Isi Data'!B169</f>
        <v xml:space="preserve">Mandor </v>
      </c>
      <c r="E253" t="str">
        <v>org/hr</v>
      </c>
      <c r="F253">
        <v>0.015</v>
      </c>
      <c r="G253">
        <f>SUMIF('Isi Data'!B$1:B$65536,SNI!C$1:C$65536,'Isi Data'!E$1:E$65536)</f>
        <v>50000</v>
      </c>
      <c r="I253">
        <f>F253*G253</f>
        <v>750</v>
      </c>
      <c r="M253" t="str">
        <f>IF(G253=0,"edit"," ")</f>
        <v xml:space="preserve"> </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4774500</v>
      </c>
      <c r="I255">
        <f>SUM(I256:I262)</f>
        <v>18850</v>
      </c>
      <c r="J255">
        <f>$J$3</f>
        <v>0.1</v>
      </c>
      <c r="K255">
        <f>SUM(H255:I255)*(1+J255)</f>
        <v>5272685</v>
      </c>
      <c r="L255">
        <f>ROUND(K255,-2)</f>
        <v>5272700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61000</v>
      </c>
      <c r="H257">
        <f>F257*G257</f>
        <v>14030</v>
      </c>
      <c r="M257" t="str">
        <f>IF(G257=0,"edit"," ")</f>
        <v xml:space="preserve"> </v>
      </c>
    </row>
    <row r="258">
      <c r="C258" t="str">
        <f>'Isi Data'!B20</f>
        <v>Pasir Pasang</v>
      </c>
      <c r="E258" t="str">
        <v>m3</v>
      </c>
      <c r="F258">
        <v>0.043</v>
      </c>
      <c r="G258">
        <f>SUMIF('Isi Data'!B$1:B$65536,SNI!C$1:C$65536,'Isi Data'!E$1:E$65536)</f>
        <v>190000</v>
      </c>
      <c r="H258">
        <f>F258*G258</f>
        <v>8169.999999999999</v>
      </c>
      <c r="M258" t="str">
        <f>IF(G258=0,"edit"," ")</f>
        <v xml:space="preserve"> </v>
      </c>
    </row>
    <row r="259">
      <c r="C259" t="str">
        <f>'Isi Data'!B168</f>
        <v>Pekerja</v>
      </c>
      <c r="E259" t="str">
        <v>org/hr</v>
      </c>
      <c r="F259">
        <v>0.3</v>
      </c>
      <c r="G259">
        <f>SUMIF('Isi Data'!B$1:B$65536,SNI!C$1:C$65536,'Isi Data'!E$1:E$65536)</f>
        <v>40000</v>
      </c>
      <c r="I259">
        <f>F259*G259</f>
        <v>12000</v>
      </c>
      <c r="M259" t="str">
        <f>IF(G259=0,"edit"," ")</f>
        <v xml:space="preserve"> </v>
      </c>
    </row>
    <row r="260">
      <c r="C260" t="str">
        <f>'Isi Data'!B161</f>
        <v>Tukang Batu Kasar</v>
      </c>
      <c r="E260" t="str">
        <v>org/hr</v>
      </c>
      <c r="F260">
        <v>0.1</v>
      </c>
      <c r="G260">
        <f>SUMIF('Isi Data'!B$1:B$65536,SNI!C$1:C$65536,'Isi Data'!E$1:E$65536)</f>
        <v>55000</v>
      </c>
      <c r="I260">
        <f>F260*G260</f>
        <v>5500</v>
      </c>
      <c r="M260" t="str">
        <f>IF(G260=0,"edit"," ")</f>
        <v xml:space="preserve"> </v>
      </c>
    </row>
    <row r="261">
      <c r="C261" t="str">
        <f>'Isi Data'!B163</f>
        <v>Kepala Tukang Batu</v>
      </c>
      <c r="E261" t="str">
        <v>org/hr</v>
      </c>
      <c r="F261">
        <v>0.01</v>
      </c>
      <c r="G261">
        <f>SUMIF('Isi Data'!B$1:B$65536,SNI!C$1:C$65536,'Isi Data'!E$1:E$65536)</f>
        <v>60000</v>
      </c>
      <c r="I261">
        <f>F261*G261</f>
        <v>600</v>
      </c>
      <c r="M261" t="str">
        <f>IF(G261=0,"edit"," ")</f>
        <v xml:space="preserve"> </v>
      </c>
    </row>
    <row r="262">
      <c r="C262" t="str">
        <f>'Isi Data'!B169</f>
        <v xml:space="preserve">Mandor </v>
      </c>
      <c r="E262" t="str">
        <v>org/hr</v>
      </c>
      <c r="F262">
        <v>0.015</v>
      </c>
      <c r="G262">
        <f>SUMIF('Isi Data'!B$1:B$65536,SNI!C$1:C$65536,'Isi Data'!E$1:E$65536)</f>
        <v>50000</v>
      </c>
      <c r="I262">
        <f>F262*G262</f>
        <v>750</v>
      </c>
      <c r="M262" t="str">
        <f>IF(G262=0,"edit"," ")</f>
        <v xml:space="preserve"> </v>
      </c>
    </row>
    <row r="263">
      <c r="G263">
        <f>SUMIF('Isi Data'!B$1:B$65536,SNI!C$1:C$65536,'Isi Data'!E$1:E$65536)</f>
        <v>0</v>
      </c>
    </row>
    <row r="264">
      <c r="B264" t="str">
        <v>M2</v>
      </c>
      <c r="C264" t="str">
        <v>Pas. Dinding partisi gypsumboard Rangka Kayu</v>
      </c>
      <c r="G264">
        <f>SUMIF('Isi Data'!B$1:B$65536,SNI!C$1:C$65536,'Isi Data'!E$1:E$65536)</f>
        <v>0</v>
      </c>
      <c r="H264">
        <f>SUM(H265:H272)</f>
        <v>187760</v>
      </c>
      <c r="I264">
        <f>SUM(I265:I272)</f>
        <v>88970</v>
      </c>
      <c r="J264">
        <f>$J$3</f>
        <v>0.1</v>
      </c>
      <c r="K264">
        <f>SUM(H264:I264)*(1+J264)</f>
        <v>304403</v>
      </c>
      <c r="L264">
        <f>ROUND(K264,-2)</f>
        <v>304400</v>
      </c>
    </row>
    <row r="265">
      <c r="C265" t="str">
        <f>'Isi Data'!B39</f>
        <v>Kayu Klas III</v>
      </c>
      <c r="D265" t="str">
        <v>Balok</v>
      </c>
      <c r="E265" t="str">
        <v>m3</v>
      </c>
      <c r="F265">
        <v>0.028</v>
      </c>
      <c r="G265">
        <f>SUMIF('Isi Data'!B$1:B$65536,SNI!C$1:C$65536,'Isi Data'!E$1:E$65536)</f>
        <v>4500000</v>
      </c>
      <c r="H265">
        <f>F265*G265</f>
        <v>126000</v>
      </c>
    </row>
    <row r="266">
      <c r="C266" t="str">
        <f>'Isi Data'!B83</f>
        <v>Paku 8 s/d 12 cm</v>
      </c>
      <c r="E266" t="str">
        <v>kg</v>
      </c>
      <c r="F266">
        <v>0.15</v>
      </c>
      <c r="G266">
        <f>SUMIF('Isi Data'!B$1:B$65536,SNI!C$1:C$65536,'Isi Data'!E$1:E$65536)</f>
        <v>12000</v>
      </c>
      <c r="H266">
        <f>F266*G266</f>
        <v>1800</v>
      </c>
    </row>
    <row r="267">
      <c r="C267" t="str">
        <f>'Isi Data'!B116</f>
        <v xml:space="preserve">Gypsumboard  t.9 mm </v>
      </c>
      <c r="E267" t="str">
        <v>lbr</v>
      </c>
      <c r="F267">
        <v>0.86</v>
      </c>
      <c r="G267">
        <f>SUMIF('Isi Data'!B$1:B$65536,SNI!C$1:C$65536,'Isi Data'!E$1:E$65536)</f>
        <v>58000</v>
      </c>
      <c r="H267">
        <f>F267*G267</f>
        <v>49880</v>
      </c>
    </row>
    <row r="268">
      <c r="C268" t="str">
        <f>'Isi Data'!B97</f>
        <v>Lem Kayu</v>
      </c>
      <c r="E268" t="str">
        <v>kg</v>
      </c>
      <c r="F268">
        <v>0.56</v>
      </c>
      <c r="G268">
        <f>SUMIF('Isi Data'!B$1:B$65536,SNI!C$1:C$65536,'Isi Data'!E$1:E$65536)</f>
        <v>18000</v>
      </c>
      <c r="H268">
        <f>F268*G268</f>
        <v>10080.000000000002</v>
      </c>
    </row>
    <row r="269">
      <c r="C269" t="str">
        <f>'Isi Data'!B168</f>
        <v>Pekerja</v>
      </c>
      <c r="E269" t="str">
        <v>org/hr</v>
      </c>
      <c r="F269">
        <v>0.028</v>
      </c>
      <c r="G269">
        <f>SUMIF('Isi Data'!B$1:B$65536,SNI!C$1:C$65536,'Isi Data'!E$1:E$65536)</f>
        <v>40000</v>
      </c>
      <c r="I269">
        <f>F269*G269</f>
        <v>1120</v>
      </c>
    </row>
    <row r="270">
      <c r="C270" t="str">
        <f>'Isi Data'!B159</f>
        <v>Tukang Kayu Halus</v>
      </c>
      <c r="E270" t="str">
        <v>org/hr</v>
      </c>
      <c r="F270">
        <v>0.15</v>
      </c>
      <c r="G270">
        <f>SUMIF('Isi Data'!B$1:B$65536,SNI!C$1:C$65536,'Isi Data'!E$1:E$65536)</f>
        <v>55000</v>
      </c>
      <c r="I270">
        <f>F270*G270</f>
        <v>8250</v>
      </c>
    </row>
    <row r="271">
      <c r="C271" t="str">
        <f>'Isi Data'!B160</f>
        <v>Kepala Tukang Kayu</v>
      </c>
      <c r="E271" t="str">
        <v>org/hr</v>
      </c>
      <c r="F271">
        <v>0.86</v>
      </c>
      <c r="G271">
        <f>SUMIF('Isi Data'!B$1:B$65536,SNI!C$1:C$65536,'Isi Data'!E$1:E$65536)</f>
        <v>60000</v>
      </c>
      <c r="I271">
        <f>F271*G271</f>
        <v>51600</v>
      </c>
    </row>
    <row r="272">
      <c r="C272" t="str">
        <f>'Isi Data'!B169</f>
        <v xml:space="preserve">Mandor </v>
      </c>
      <c r="E272" t="str">
        <v>org/hr</v>
      </c>
      <c r="F272">
        <v>0.56</v>
      </c>
      <c r="G272">
        <f>SUMIF('Isi Data'!B$1:B$65536,SNI!C$1:C$65536,'Isi Data'!E$1:E$65536)</f>
        <v>50000</v>
      </c>
      <c r="I272">
        <f>F272*G272</f>
        <v>28000.000000000004</v>
      </c>
    </row>
    <row r="273">
      <c r="G273">
        <f>SUMIF('Isi Data'!B$1:B$65536,SNI!C$1:C$65536,'Isi Data'!E$1:E$65536)</f>
        <v>0</v>
      </c>
    </row>
    <row r="274">
      <c r="B274" t="str">
        <v>M2</v>
      </c>
      <c r="C274" t="str">
        <v>Pas. Dinding partisi gypsumboard Rangka Metal Furing</v>
      </c>
      <c r="G274">
        <f>SUMIF('Isi Data'!B$1:B$65536,SNI!C$1:C$65536,'Isi Data'!E$1:E$65536)</f>
        <v>0</v>
      </c>
      <c r="H274">
        <f>SUM(H275:H280)</f>
        <v>99880</v>
      </c>
      <c r="I274">
        <f>SUM(I275:I280)</f>
        <v>88970</v>
      </c>
      <c r="J274">
        <f>$J$3</f>
        <v>0.1</v>
      </c>
      <c r="K274">
        <f>SUM(H274:I274)*(1+J274)</f>
        <v>207735.00000000003</v>
      </c>
      <c r="L274">
        <f>ROUND(K274,-2)</f>
        <v>207700</v>
      </c>
    </row>
    <row r="275">
      <c r="C275" t="str">
        <f>'Isi Data'!B118</f>
        <v>Rangka plafond Metal furing</v>
      </c>
      <c r="D275" t="str">
        <v>termasuk ripet</v>
      </c>
      <c r="E275" t="str">
        <v>m2</v>
      </c>
      <c r="F275">
        <v>1</v>
      </c>
      <c r="G275">
        <f>SUMIF('Isi Data'!B$1:B$65536,SNI!C$1:C$65536,'Isi Data'!E$1:E$65536)</f>
        <v>50000</v>
      </c>
      <c r="H275">
        <f>F275*G275</f>
        <v>50000</v>
      </c>
    </row>
    <row r="276">
      <c r="C276" t="str">
        <f>'Isi Data'!B116</f>
        <v xml:space="preserve">Gypsumboard  t.9 mm </v>
      </c>
      <c r="E276" t="str">
        <v>lbr</v>
      </c>
      <c r="F276">
        <v>0.86</v>
      </c>
      <c r="G276">
        <f>SUMIF('Isi Data'!B$1:B$65536,SNI!C$1:C$65536,'Isi Data'!E$1:E$65536)</f>
        <v>58000</v>
      </c>
      <c r="H276">
        <f>F276*G276</f>
        <v>49880</v>
      </c>
    </row>
    <row r="277">
      <c r="C277" t="str">
        <f>'Isi Data'!B168</f>
        <v>Pekerja</v>
      </c>
      <c r="E277" t="str">
        <v>org/hr</v>
      </c>
      <c r="F277">
        <v>0.028</v>
      </c>
      <c r="G277">
        <f>SUMIF('Isi Data'!B$1:B$65536,SNI!C$1:C$65536,'Isi Data'!E$1:E$65536)</f>
        <v>40000</v>
      </c>
      <c r="I277">
        <f>F277*G277</f>
        <v>1120</v>
      </c>
    </row>
    <row r="278">
      <c r="C278" t="str">
        <f>'Isi Data'!B159</f>
        <v>Tukang Kayu Halus</v>
      </c>
      <c r="E278" t="str">
        <v>org/hr</v>
      </c>
      <c r="F278">
        <v>0.15</v>
      </c>
      <c r="G278">
        <f>SUMIF('Isi Data'!B$1:B$65536,SNI!C$1:C$65536,'Isi Data'!E$1:E$65536)</f>
        <v>55000</v>
      </c>
      <c r="I278">
        <f>F278*G278</f>
        <v>8250</v>
      </c>
    </row>
    <row r="279">
      <c r="C279" t="str">
        <f>'Isi Data'!B160</f>
        <v>Kepala Tukang Kayu</v>
      </c>
      <c r="E279" t="str">
        <v>org/hr</v>
      </c>
      <c r="F279">
        <v>0.86</v>
      </c>
      <c r="G279">
        <f>SUMIF('Isi Data'!B$1:B$65536,SNI!C$1:C$65536,'Isi Data'!E$1:E$65536)</f>
        <v>60000</v>
      </c>
      <c r="I279">
        <f>F279*G279</f>
        <v>51600</v>
      </c>
    </row>
    <row r="280">
      <c r="C280" t="str">
        <f>'Isi Data'!B169</f>
        <v xml:space="preserve">Mandor </v>
      </c>
      <c r="E280" t="str">
        <v>org/hr</v>
      </c>
      <c r="F280">
        <v>0.56</v>
      </c>
      <c r="G280">
        <f>SUMIF('Isi Data'!B$1:B$65536,SNI!C$1:C$65536,'Isi Data'!E$1:E$65536)</f>
        <v>50000</v>
      </c>
      <c r="I280">
        <f>F280*G280</f>
        <v>28000.000000000004</v>
      </c>
    </row>
    <row r="281">
      <c r="G281">
        <f>SUMIF('Isi Data'!B$1:B$65536,SNI!C$1:C$65536,'Isi Data'!E$1:E$65536)</f>
        <v>0</v>
      </c>
    </row>
    <row r="282">
      <c r="B282" t="str">
        <v>M2</v>
      </c>
      <c r="C282" t="str">
        <v>Pas. Dinding partisi Toilet;triplek 9 mm</v>
      </c>
      <c r="G282">
        <f>SUMIF('Isi Data'!B$1:B$65536,SNI!C$1:C$65536,'Isi Data'!E$1:E$65536)</f>
        <v>0</v>
      </c>
      <c r="H282">
        <f>SUM(H283:H290)</f>
        <v>249440</v>
      </c>
      <c r="I282">
        <f>SUM(I283:I290)</f>
        <v>88970</v>
      </c>
      <c r="J282">
        <f>$J$3</f>
        <v>0.1</v>
      </c>
      <c r="K282">
        <f>SUM(H282:I282)*(1+J282)</f>
        <v>372251.00000000006</v>
      </c>
      <c r="L282">
        <f>ROUND(K282,-2)</f>
        <v>372300</v>
      </c>
    </row>
    <row r="283">
      <c r="C283" t="str">
        <f>'Isi Data'!B39</f>
        <v>Kayu Klas III</v>
      </c>
      <c r="E283" t="str">
        <v>m3</v>
      </c>
      <c r="F283">
        <v>0.028</v>
      </c>
      <c r="G283">
        <f>SUMIF('Isi Data'!B$1:B$65536,SNI!C$1:C$65536,'Isi Data'!E$1:E$65536)</f>
        <v>4500000</v>
      </c>
      <c r="H283">
        <f>F283*G283</f>
        <v>126000</v>
      </c>
      <c r="M283" t="str">
        <f>IF(G283=0,"edit"," ")</f>
        <v xml:space="preserve"> </v>
      </c>
    </row>
    <row r="284">
      <c r="C284" t="str">
        <f>'Isi Data'!B60</f>
        <v>Triplex  t. 9 mm</v>
      </c>
      <c r="E284" t="str">
        <v>lbr</v>
      </c>
      <c r="F284">
        <v>0.86</v>
      </c>
      <c r="G284">
        <f>SUMIF('Isi Data'!B$1:B$65536,SNI!C$1:C$65536,'Isi Data'!E$1:E$65536)</f>
        <v>106000</v>
      </c>
      <c r="H284">
        <f>F284*G284</f>
        <v>91160</v>
      </c>
      <c r="M284" t="str">
        <f>IF(G284=0,"edit"," ")</f>
        <v xml:space="preserve"> </v>
      </c>
    </row>
    <row r="285">
      <c r="C285" t="str">
        <f>'Isi Data'!B84</f>
        <v>Paku Skrup</v>
      </c>
      <c r="E285" t="str">
        <v>bh</v>
      </c>
      <c r="F285">
        <v>6</v>
      </c>
      <c r="G285">
        <f>SUMIF('Isi Data'!B$1:B$65536,SNI!C$1:C$65536,'Isi Data'!E$1:E$65536)</f>
        <v>3700</v>
      </c>
      <c r="H285">
        <f>F285*G285</f>
        <v>22200</v>
      </c>
      <c r="M285" t="str">
        <f>IF(G285=0,"edit"," ")</f>
        <v xml:space="preserve"> </v>
      </c>
    </row>
    <row r="286">
      <c r="C286" t="str">
        <f>'Isi Data'!B97</f>
        <v>Lem Kayu</v>
      </c>
      <c r="E286" t="str">
        <v>kg</v>
      </c>
      <c r="F286">
        <v>0.56</v>
      </c>
      <c r="G286">
        <f>SUMIF('Isi Data'!B$1:B$65536,SNI!C$1:C$65536,'Isi Data'!E$1:E$65536)</f>
        <v>18000</v>
      </c>
      <c r="H286">
        <f>F286*G286</f>
        <v>10080.000000000002</v>
      </c>
      <c r="M286" t="str">
        <f>IF(G286=0,"edit"," ")</f>
        <v xml:space="preserve"> </v>
      </c>
    </row>
    <row r="287">
      <c r="C287" t="str">
        <f>'Isi Data'!B168</f>
        <v>Pekerja</v>
      </c>
      <c r="E287" t="str">
        <v>org/hr</v>
      </c>
      <c r="F287">
        <v>0.028</v>
      </c>
      <c r="G287">
        <f>SUMIF('Isi Data'!B$1:B$65536,SNI!C$1:C$65536,'Isi Data'!E$1:E$65536)</f>
        <v>40000</v>
      </c>
      <c r="I287">
        <f>F287*G287</f>
        <v>1120</v>
      </c>
      <c r="M287" t="str">
        <f>IF(G287=0,"edit"," ")</f>
        <v xml:space="preserve"> </v>
      </c>
    </row>
    <row r="288">
      <c r="C288" t="str">
        <f>'Isi Data'!B159</f>
        <v>Tukang Kayu Halus</v>
      </c>
      <c r="E288" t="str">
        <v>org/hr</v>
      </c>
      <c r="F288">
        <v>0.15</v>
      </c>
      <c r="G288">
        <f>SUMIF('Isi Data'!B$1:B$65536,SNI!C$1:C$65536,'Isi Data'!E$1:E$65536)</f>
        <v>55000</v>
      </c>
      <c r="I288">
        <f>F288*G288</f>
        <v>8250</v>
      </c>
      <c r="M288" t="str">
        <f>IF(G288=0,"edit"," ")</f>
        <v xml:space="preserve"> </v>
      </c>
    </row>
    <row r="289">
      <c r="C289" t="str">
        <f>'Isi Data'!B160</f>
        <v>Kepala Tukang Kayu</v>
      </c>
      <c r="E289" t="str">
        <v>org/hr</v>
      </c>
      <c r="F289">
        <v>0.86</v>
      </c>
      <c r="G289">
        <f>SUMIF('Isi Data'!B$1:B$65536,SNI!C$1:C$65536,'Isi Data'!E$1:E$65536)</f>
        <v>60000</v>
      </c>
      <c r="I289">
        <f>F289*G289</f>
        <v>51600</v>
      </c>
      <c r="M289" t="str">
        <f>IF(G289=0,"edit"," ")</f>
        <v xml:space="preserve"> </v>
      </c>
    </row>
    <row r="290">
      <c r="C290" t="str">
        <f>'Isi Data'!B169</f>
        <v xml:space="preserve">Mandor </v>
      </c>
      <c r="E290" t="str">
        <v>org/hr</v>
      </c>
      <c r="F290">
        <v>0.56</v>
      </c>
      <c r="G290">
        <f>SUMIF('Isi Data'!B$1:B$65536,SNI!C$1:C$65536,'Isi Data'!E$1:E$65536)</f>
        <v>50000</v>
      </c>
      <c r="I290">
        <f>F290*G290</f>
        <v>28000.000000000004</v>
      </c>
      <c r="M290" t="str">
        <f>IF(G290=0,"edit"," ")</f>
        <v xml:space="preserve"> </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16273.279999999999</v>
      </c>
      <c r="I295">
        <f>SUM(I296:I301)</f>
        <v>21900</v>
      </c>
      <c r="J295">
        <f>$J$3</f>
        <v>0.1</v>
      </c>
      <c r="K295">
        <f>SUM(H295:I295)*(1+J295)</f>
        <v>41990.608</v>
      </c>
      <c r="L295">
        <f>ROUND(K295,-2)</f>
        <v>42000</v>
      </c>
    </row>
    <row r="296">
      <c r="C296" t="str">
        <f>'Isi Data'!B25</f>
        <v>Semen (50 Kg)</v>
      </c>
      <c r="E296" t="str">
        <v>zak</v>
      </c>
      <c r="F296">
        <f>10.224/50</f>
        <v>0.20448</v>
      </c>
      <c r="G296">
        <f>SUMIF('Isi Data'!B$1:B$65536,SNI!C$1:C$65536,'Isi Data'!E$1:E$65536)</f>
        <v>61000</v>
      </c>
      <c r="H296">
        <f>F296*G296</f>
        <v>12473.279999999999</v>
      </c>
      <c r="M296" t="str">
        <f>IF(G296=0,"edit"," ")</f>
        <v xml:space="preserve"> </v>
      </c>
    </row>
    <row r="297">
      <c r="C297" t="str">
        <f>'Isi Data'!B20</f>
        <v>Pasir Pasang</v>
      </c>
      <c r="E297" t="str">
        <v>m3</v>
      </c>
      <c r="F297">
        <v>0.02</v>
      </c>
      <c r="G297">
        <f>SUMIF('Isi Data'!B$1:B$65536,SNI!C$1:C$65536,'Isi Data'!E$1:E$65536)</f>
        <v>190000</v>
      </c>
      <c r="H297">
        <f>F297*G297</f>
        <v>3800</v>
      </c>
      <c r="M297" t="str">
        <f>IF(G297=0,"edit"," ")</f>
        <v xml:space="preserve"> </v>
      </c>
    </row>
    <row r="298">
      <c r="C298" t="str">
        <f>'Isi Data'!B168</f>
        <v>Pekerja</v>
      </c>
      <c r="E298" t="str">
        <v>org/hr</v>
      </c>
      <c r="F298">
        <v>0.3</v>
      </c>
      <c r="G298">
        <f>SUMIF('Isi Data'!B$1:B$65536,SNI!C$1:C$65536,'Isi Data'!E$1:E$65536)</f>
        <v>40000</v>
      </c>
      <c r="I298">
        <f>F298*G298</f>
        <v>12000</v>
      </c>
      <c r="M298" t="str">
        <f>IF(G298=0,"edit"," ")</f>
        <v xml:space="preserve"> </v>
      </c>
    </row>
    <row r="299">
      <c r="C299" t="str">
        <f>'Isi Data'!B161</f>
        <v>Tukang Batu Kasar</v>
      </c>
      <c r="E299" t="str">
        <v>org/hr</v>
      </c>
      <c r="F299">
        <v>0.15</v>
      </c>
      <c r="G299">
        <f>SUMIF('Isi Data'!B$1:B$65536,SNI!C$1:C$65536,'Isi Data'!E$1:E$65536)</f>
        <v>55000</v>
      </c>
      <c r="I299">
        <f>F299*G299</f>
        <v>8250</v>
      </c>
      <c r="M299" t="str">
        <f>IF(G299=0,"edit"," ")</f>
        <v xml:space="preserve"> </v>
      </c>
    </row>
    <row r="300">
      <c r="C300" t="str">
        <f>'Isi Data'!B163</f>
        <v>Kepala Tukang Batu</v>
      </c>
      <c r="E300" t="str">
        <v>org/hr</v>
      </c>
      <c r="F300">
        <v>0.015</v>
      </c>
      <c r="G300">
        <f>SUMIF('Isi Data'!B$1:B$65536,SNI!C$1:C$65536,'Isi Data'!E$1:E$65536)</f>
        <v>60000</v>
      </c>
      <c r="I300">
        <f>F300*G300</f>
        <v>900</v>
      </c>
      <c r="M300" t="str">
        <f>IF(G300=0,"edit"," ")</f>
        <v xml:space="preserve"> </v>
      </c>
    </row>
    <row r="301">
      <c r="C301" t="str">
        <f>'Isi Data'!B169</f>
        <v xml:space="preserve">Mandor </v>
      </c>
      <c r="E301" t="str">
        <v>org/hr</v>
      </c>
      <c r="F301">
        <v>0.015</v>
      </c>
      <c r="G301">
        <f>SUMIF('Isi Data'!B$1:B$65536,SNI!C$1:C$65536,'Isi Data'!E$1:E$65536)</f>
        <v>50000</v>
      </c>
      <c r="I301">
        <f>F301*G301</f>
        <v>750</v>
      </c>
      <c r="M301" t="str">
        <f>IF(G301=0,"edit"," ")</f>
        <v xml:space="preserve"> </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12172.8</v>
      </c>
      <c r="I303">
        <f>SUM(I304:I309)</f>
        <v>21900</v>
      </c>
      <c r="J303">
        <f>$J$3</f>
        <v>0.1</v>
      </c>
      <c r="K303">
        <f>SUM(H303:I303)*(1+J303)</f>
        <v>37480.08000000001</v>
      </c>
      <c r="L303">
        <f>ROUND(K303,-2)</f>
        <v>37500</v>
      </c>
    </row>
    <row r="304">
      <c r="C304" t="str">
        <f>'Isi Data'!B25</f>
        <v>Semen (50 Kg)</v>
      </c>
      <c r="E304" t="str">
        <v>zak</v>
      </c>
      <c r="F304">
        <f>6.24/50</f>
        <v>0.12480000000000001</v>
      </c>
      <c r="G304">
        <f>SUMIF('Isi Data'!B$1:B$65536,SNI!C$1:C$65536,'Isi Data'!E$1:E$65536)</f>
        <v>61000</v>
      </c>
      <c r="H304">
        <f>F304*G304</f>
        <v>7612.8</v>
      </c>
      <c r="M304" t="str">
        <f>IF(G304=0,"edit"," ")</f>
        <v xml:space="preserve"> </v>
      </c>
    </row>
    <row r="305">
      <c r="C305" t="str">
        <f>'Isi Data'!B20</f>
        <v>Pasir Pasang</v>
      </c>
      <c r="E305" t="str">
        <v>m3</v>
      </c>
      <c r="F305">
        <v>0.024</v>
      </c>
      <c r="G305">
        <f>SUMIF('Isi Data'!B$1:B$65536,SNI!C$1:C$65536,'Isi Data'!E$1:E$65536)</f>
        <v>190000</v>
      </c>
      <c r="H305">
        <f>F305*G305</f>
        <v>4560</v>
      </c>
      <c r="M305" t="str">
        <f>IF(G305=0,"edit"," ")</f>
        <v xml:space="preserve"> </v>
      </c>
    </row>
    <row r="306">
      <c r="C306" t="str">
        <f>'Isi Data'!B168</f>
        <v>Pekerja</v>
      </c>
      <c r="E306" t="str">
        <v>org/hr</v>
      </c>
      <c r="F306">
        <v>0.3</v>
      </c>
      <c r="G306">
        <f>SUMIF('Isi Data'!B$1:B$65536,SNI!C$1:C$65536,'Isi Data'!E$1:E$65536)</f>
        <v>40000</v>
      </c>
      <c r="I306">
        <f>F306*G306</f>
        <v>12000</v>
      </c>
      <c r="M306" t="str">
        <f>IF(G306=0,"edit"," ")</f>
        <v xml:space="preserve"> </v>
      </c>
    </row>
    <row r="307">
      <c r="C307" t="str">
        <f>'Isi Data'!B161</f>
        <v>Tukang Batu Kasar</v>
      </c>
      <c r="E307" t="str">
        <v>org/hr</v>
      </c>
      <c r="F307">
        <v>0.15</v>
      </c>
      <c r="G307">
        <f>SUMIF('Isi Data'!B$1:B$65536,SNI!C$1:C$65536,'Isi Data'!E$1:E$65536)</f>
        <v>55000</v>
      </c>
      <c r="I307">
        <f>F307*G307</f>
        <v>8250</v>
      </c>
      <c r="M307" t="str">
        <f>IF(G307=0,"edit"," ")</f>
        <v xml:space="preserve"> </v>
      </c>
    </row>
    <row r="308">
      <c r="C308" t="str">
        <f>'Isi Data'!B163</f>
        <v>Kepala Tukang Batu</v>
      </c>
      <c r="E308" t="str">
        <v>org/hr</v>
      </c>
      <c r="F308">
        <v>0.015</v>
      </c>
      <c r="G308">
        <f>SUMIF('Isi Data'!B$1:B$65536,SNI!C$1:C$65536,'Isi Data'!E$1:E$65536)</f>
        <v>60000</v>
      </c>
      <c r="I308">
        <f>F308*G308</f>
        <v>900</v>
      </c>
      <c r="M308" t="str">
        <f>IF(G308=0,"edit"," ")</f>
        <v xml:space="preserve"> </v>
      </c>
    </row>
    <row r="309">
      <c r="C309" t="str">
        <f>'Isi Data'!B169</f>
        <v xml:space="preserve">Mandor </v>
      </c>
      <c r="E309" t="str">
        <v>org/hr</v>
      </c>
      <c r="F309">
        <v>0.015</v>
      </c>
      <c r="G309">
        <f>SUMIF('Isi Data'!B$1:B$65536,SNI!C$1:C$65536,'Isi Data'!E$1:E$65536)</f>
        <v>50000</v>
      </c>
      <c r="I309">
        <f>F309*G309</f>
        <v>750</v>
      </c>
      <c r="M309" t="str">
        <f>IF(G309=0,"edit"," ")</f>
        <v xml:space="preserve"> </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3965</v>
      </c>
      <c r="I311">
        <f>SUM(I312:I316)</f>
        <v>14600</v>
      </c>
      <c r="J311">
        <f>$J$3</f>
        <v>0.1</v>
      </c>
      <c r="K311">
        <f>SUM(H311:I311)*(1+J311)</f>
        <v>20421.5</v>
      </c>
      <c r="L311">
        <f>ROUND(K311,-2)</f>
        <v>20400</v>
      </c>
    </row>
    <row r="312">
      <c r="C312" t="str">
        <f>'Isi Data'!B25</f>
        <v>Semen (50 Kg)</v>
      </c>
      <c r="E312" t="str">
        <v>zak</v>
      </c>
      <c r="F312">
        <f>3.25/50</f>
        <v>0.065</v>
      </c>
      <c r="G312">
        <f>SUMIF('Isi Data'!B$1:B$65536,SNI!C$1:C$65536,'Isi Data'!E$1:E$65536)</f>
        <v>61000</v>
      </c>
      <c r="H312">
        <f>F312*G312</f>
        <v>3965</v>
      </c>
    </row>
    <row r="313">
      <c r="C313" t="str">
        <f>'Isi Data'!B168</f>
        <v>Pekerja</v>
      </c>
      <c r="E313" t="str">
        <v>org/hr</v>
      </c>
      <c r="F313">
        <v>0.2</v>
      </c>
      <c r="G313">
        <f>SUMIF('Isi Data'!B$1:B$65536,SNI!C$1:C$65536,'Isi Data'!E$1:E$65536)</f>
        <v>40000</v>
      </c>
      <c r="I313">
        <f>F313*G313</f>
        <v>8000</v>
      </c>
    </row>
    <row r="314">
      <c r="C314" t="str">
        <f>'Isi Data'!B161</f>
        <v>Tukang Batu Kasar</v>
      </c>
      <c r="E314" t="str">
        <v>org/hr</v>
      </c>
      <c r="F314">
        <v>0.1</v>
      </c>
      <c r="G314">
        <f>SUMIF('Isi Data'!B$1:B$65536,SNI!C$1:C$65536,'Isi Data'!E$1:E$65536)</f>
        <v>55000</v>
      </c>
      <c r="I314">
        <f>F314*G314</f>
        <v>5500</v>
      </c>
    </row>
    <row r="315">
      <c r="C315" t="str">
        <f>'Isi Data'!B163</f>
        <v>Kepala Tukang Batu</v>
      </c>
      <c r="E315" t="str">
        <v>org/hr</v>
      </c>
      <c r="F315">
        <v>0.01</v>
      </c>
      <c r="G315">
        <f>SUMIF('Isi Data'!B$1:B$65536,SNI!C$1:C$65536,'Isi Data'!E$1:E$65536)</f>
        <v>60000</v>
      </c>
      <c r="I315">
        <f>F315*G315</f>
        <v>600</v>
      </c>
    </row>
    <row r="316">
      <c r="C316" t="str">
        <f>'Isi Data'!B169</f>
        <v xml:space="preserve">Mandor </v>
      </c>
      <c r="E316" t="str">
        <v>org/hr</v>
      </c>
      <c r="F316">
        <v>0.01</v>
      </c>
      <c r="G316">
        <f>SUMIF('Isi Data'!B$1:B$65536,SNI!C$1:C$65536,'Isi Data'!E$1:E$65536)</f>
        <v>50000</v>
      </c>
      <c r="I316">
        <f>F316*G316</f>
        <v>500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408076</v>
      </c>
      <c r="I322">
        <f>SUM(I323:I330)</f>
        <v>66450</v>
      </c>
      <c r="J322">
        <f>$J$3</f>
        <v>0.1</v>
      </c>
      <c r="K322">
        <f>SUM(H322:I322)*(1+J322)</f>
        <v>521978.60000000003</v>
      </c>
      <c r="L322">
        <f>ROUND(K322,-2)</f>
        <v>522000</v>
      </c>
    </row>
    <row r="323">
      <c r="C323" t="str">
        <f>'Isi Data'!B64</f>
        <v xml:space="preserve">Granite Tile 40/40 </v>
      </c>
      <c r="E323" t="str">
        <v>m2</v>
      </c>
      <c r="F323">
        <v>1.06</v>
      </c>
      <c r="G323">
        <f>SUMIF('Isi Data'!B$1:B$65536,SNI!C$1:C$65536,'Isi Data'!E$1:E$65536)</f>
        <v>350000</v>
      </c>
      <c r="H323">
        <f>F323*G323</f>
        <v>371000</v>
      </c>
      <c r="M323" t="str">
        <f>IF(G323=0,"edit"," ")</f>
        <v xml:space="preserve"> </v>
      </c>
    </row>
    <row r="324">
      <c r="C324" t="str">
        <f>'Isi Data'!B25</f>
        <v>Semen (50 Kg)</v>
      </c>
      <c r="E324" t="str">
        <v>zak</v>
      </c>
      <c r="F324">
        <f>9.3/50</f>
        <v>0.18600000000000003</v>
      </c>
      <c r="G324">
        <f>SUMIF('Isi Data'!B$1:B$65536,SNI!C$1:C$65536,'Isi Data'!E$1:E$65536)</f>
        <v>61000</v>
      </c>
      <c r="H324">
        <f>F324*G324</f>
        <v>11346.000000000002</v>
      </c>
      <c r="M324" t="str">
        <f>IF(G324=0,"edit"," ")</f>
        <v xml:space="preserve"> </v>
      </c>
    </row>
    <row r="325">
      <c r="C325" t="str">
        <f>'Isi Data'!B20</f>
        <v>Pasir Pasang</v>
      </c>
      <c r="E325" t="str">
        <v>m3</v>
      </c>
      <c r="F325">
        <v>0.018</v>
      </c>
      <c r="G325">
        <f>SUMIF('Isi Data'!B$1:B$65536,SNI!C$1:C$65536,'Isi Data'!E$1:E$65536)</f>
        <v>190000</v>
      </c>
      <c r="H325">
        <f>F325*G325</f>
        <v>3419.9999999999995</v>
      </c>
      <c r="M325" t="str">
        <f>IF(G325=0,"edit"," ")</f>
        <v xml:space="preserve"> </v>
      </c>
    </row>
    <row r="326">
      <c r="C326" t="str">
        <f>'Isi Data'!B26</f>
        <v xml:space="preserve">Semen Warna </v>
      </c>
      <c r="E326" t="str">
        <v>kg</v>
      </c>
      <c r="F326">
        <v>1.94</v>
      </c>
      <c r="G326">
        <f>SUMIF('Isi Data'!B$1:B$65536,SNI!C$1:C$65536,'Isi Data'!E$1:E$65536)</f>
        <v>11500</v>
      </c>
      <c r="H326">
        <f>F326*G326</f>
        <v>22310</v>
      </c>
      <c r="M326" t="str">
        <f>IF(G326=0,"edit"," ")</f>
        <v xml:space="preserve"> </v>
      </c>
    </row>
    <row r="327">
      <c r="C327" t="str">
        <f>'Isi Data'!B168</f>
        <v>Pekerja</v>
      </c>
      <c r="E327" t="str">
        <v>org/hr</v>
      </c>
      <c r="F327">
        <v>0.6</v>
      </c>
      <c r="G327">
        <f>SUMIF('Isi Data'!B$1:B$65536,SNI!C$1:C$65536,'Isi Data'!E$1:E$65536)</f>
        <v>40000</v>
      </c>
      <c r="I327">
        <f>F327*G327</f>
        <v>24000</v>
      </c>
      <c r="M327" t="str">
        <f>IF(G327=0,"edit"," ")</f>
        <v xml:space="preserve"> </v>
      </c>
    </row>
    <row r="328">
      <c r="C328" t="str">
        <f>'Isi Data'!B161</f>
        <v>Tukang Batu Kasar</v>
      </c>
      <c r="E328" t="str">
        <v>org/hr</v>
      </c>
      <c r="F328">
        <v>0.45</v>
      </c>
      <c r="G328">
        <f>SUMIF('Isi Data'!B$1:B$65536,SNI!C$1:C$65536,'Isi Data'!E$1:E$65536)</f>
        <v>55000</v>
      </c>
      <c r="I328">
        <f>F328*G328</f>
        <v>24750</v>
      </c>
      <c r="M328" t="str">
        <f>IF(G328=0,"edit"," ")</f>
        <v xml:space="preserve"> </v>
      </c>
    </row>
    <row r="329">
      <c r="C329" t="str">
        <f>'Isi Data'!B163</f>
        <v>Kepala Tukang Batu</v>
      </c>
      <c r="E329" t="str">
        <v>org/hr</v>
      </c>
      <c r="F329">
        <v>0.045</v>
      </c>
      <c r="G329">
        <f>SUMIF('Isi Data'!B$1:B$65536,SNI!C$1:C$65536,'Isi Data'!E$1:E$65536)</f>
        <v>60000</v>
      </c>
      <c r="I329">
        <f>F329*G329</f>
        <v>2700</v>
      </c>
      <c r="M329" t="str">
        <f>IF(G329=0,"edit"," ")</f>
        <v xml:space="preserve"> </v>
      </c>
    </row>
    <row r="330">
      <c r="C330" t="str">
        <f>'Isi Data'!B169</f>
        <v xml:space="preserve">Mandor </v>
      </c>
      <c r="E330" t="str">
        <v>org/hr</v>
      </c>
      <c r="F330">
        <v>0.3</v>
      </c>
      <c r="G330">
        <f>SUMIF('Isi Data'!B$1:B$65536,SNI!C$1:C$65536,'Isi Data'!E$1:E$65536)</f>
        <v>50000</v>
      </c>
      <c r="I330">
        <f>F330*G330</f>
        <v>15000</v>
      </c>
      <c r="M330" t="str">
        <f>IF(G330=0,"edit"," ")</f>
        <v xml:space="preserve"> </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92196</v>
      </c>
      <c r="I332">
        <f>SUM(I333:I340)</f>
        <v>66450</v>
      </c>
      <c r="J332">
        <f>$J$3</f>
        <v>0.1</v>
      </c>
      <c r="K332">
        <f>SUM(H332:I332)*(1+J332)</f>
        <v>174510.6</v>
      </c>
      <c r="L332">
        <f>ROUND(K332,-2)</f>
        <v>174500</v>
      </c>
    </row>
    <row r="333">
      <c r="C333" t="str">
        <f>'Isi Data'!B63</f>
        <v xml:space="preserve">Keramik 30/30 </v>
      </c>
      <c r="E333" t="str">
        <v>m2</v>
      </c>
      <c r="F333">
        <v>1.06</v>
      </c>
      <c r="G333">
        <f>SUMIF('Isi Data'!B$1:B$65536,SNI!C$1:C$65536,'Isi Data'!E$1:E$65536)</f>
        <v>52000</v>
      </c>
      <c r="H333">
        <f>F333*G333</f>
        <v>55120</v>
      </c>
    </row>
    <row r="334">
      <c r="C334" t="str">
        <f>'Isi Data'!B25</f>
        <v>Semen (50 Kg)</v>
      </c>
      <c r="E334" t="str">
        <v>zak</v>
      </c>
      <c r="F334">
        <f>9.3/50</f>
        <v>0.18600000000000003</v>
      </c>
      <c r="G334">
        <f>SUMIF('Isi Data'!B$1:B$65536,SNI!C$1:C$65536,'Isi Data'!E$1:E$65536)</f>
        <v>61000</v>
      </c>
      <c r="H334">
        <f>F334*G334</f>
        <v>11346.000000000002</v>
      </c>
    </row>
    <row r="335">
      <c r="C335" t="str">
        <f>'Isi Data'!B20</f>
        <v>Pasir Pasang</v>
      </c>
      <c r="E335" t="str">
        <v>m3</v>
      </c>
      <c r="F335">
        <v>0.018</v>
      </c>
      <c r="G335">
        <f>SUMIF('Isi Data'!B$1:B$65536,SNI!C$1:C$65536,'Isi Data'!E$1:E$65536)</f>
        <v>190000</v>
      </c>
      <c r="H335">
        <f>F335*G335</f>
        <v>3419.9999999999995</v>
      </c>
    </row>
    <row r="336">
      <c r="C336" t="str">
        <f>'Isi Data'!B26</f>
        <v xml:space="preserve">Semen Warna </v>
      </c>
      <c r="E336" t="str">
        <v>kg</v>
      </c>
      <c r="F336">
        <v>1.94</v>
      </c>
      <c r="G336">
        <f>SUMIF('Isi Data'!B$1:B$65536,SNI!C$1:C$65536,'Isi Data'!E$1:E$65536)</f>
        <v>11500</v>
      </c>
      <c r="H336">
        <f>F336*G336</f>
        <v>22310</v>
      </c>
    </row>
    <row r="337">
      <c r="C337" t="str">
        <f>'Isi Data'!B168</f>
        <v>Pekerja</v>
      </c>
      <c r="E337" t="str">
        <v>org/hr</v>
      </c>
      <c r="F337">
        <v>0.6</v>
      </c>
      <c r="G337">
        <f>SUMIF('Isi Data'!B$1:B$65536,SNI!C$1:C$65536,'Isi Data'!E$1:E$65536)</f>
        <v>40000</v>
      </c>
      <c r="I337">
        <f>F337*G337</f>
        <v>24000</v>
      </c>
    </row>
    <row r="338">
      <c r="C338" t="str">
        <f>'Isi Data'!B161</f>
        <v>Tukang Batu Kasar</v>
      </c>
      <c r="E338" t="str">
        <v>org/hr</v>
      </c>
      <c r="F338">
        <v>0.45</v>
      </c>
      <c r="G338">
        <f>SUMIF('Isi Data'!B$1:B$65536,SNI!C$1:C$65536,'Isi Data'!E$1:E$65536)</f>
        <v>55000</v>
      </c>
      <c r="I338">
        <f>F338*G338</f>
        <v>24750</v>
      </c>
    </row>
    <row r="339">
      <c r="C339" t="str">
        <f>'Isi Data'!B163</f>
        <v>Kepala Tukang Batu</v>
      </c>
      <c r="E339" t="str">
        <v>org/hr</v>
      </c>
      <c r="F339">
        <v>0.045</v>
      </c>
      <c r="G339">
        <f>SUMIF('Isi Data'!B$1:B$65536,SNI!C$1:C$65536,'Isi Data'!E$1:E$65536)</f>
        <v>60000</v>
      </c>
      <c r="I339">
        <f>F339*G339</f>
        <v>2700</v>
      </c>
    </row>
    <row r="340">
      <c r="C340" t="str">
        <f>'Isi Data'!B169</f>
        <v xml:space="preserve">Mandor </v>
      </c>
      <c r="E340" t="str">
        <v>org/hr</v>
      </c>
      <c r="F340">
        <v>0.3</v>
      </c>
      <c r="G340">
        <f>SUMIF('Isi Data'!B$1:B$65536,SNI!C$1:C$65536,'Isi Data'!E$1:E$65536)</f>
        <v>50000</v>
      </c>
      <c r="I340">
        <f>F340*G340</f>
        <v>15000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253500</v>
      </c>
      <c r="I343">
        <f>SUM(I344:I349)</f>
        <v>11005</v>
      </c>
      <c r="J343">
        <f>$J$3</f>
        <v>0.1</v>
      </c>
      <c r="K343">
        <f>SUM(H343:I343)*(1+J343)</f>
        <v>290955.5</v>
      </c>
      <c r="L343">
        <f>ROUND(K343,-2)</f>
        <v>291000</v>
      </c>
    </row>
    <row r="344">
      <c r="C344" t="str">
        <f>'Isi Data'!B31</f>
        <v xml:space="preserve">Besi Plat rata2 </v>
      </c>
      <c r="E344" t="str">
        <v>kg</v>
      </c>
      <c r="F344">
        <v>15</v>
      </c>
      <c r="G344">
        <f>SUMIF('Isi Data'!B$1:B$65536,SNI!C$1:C$65536,'Isi Data'!E$1:E$65536)</f>
        <v>13700</v>
      </c>
      <c r="H344">
        <f>F344*G344</f>
        <v>205500</v>
      </c>
    </row>
    <row r="345">
      <c r="C345" t="str">
        <f>'Isi Data'!B87</f>
        <v xml:space="preserve">Cat kayu/Besi </v>
      </c>
      <c r="E345" t="str">
        <v>m</v>
      </c>
      <c r="F345">
        <v>1</v>
      </c>
      <c r="G345">
        <f>SUMIF('Isi Data'!B$1:B$65536,SNI!C$1:C$65536,'Isi Data'!E$1:E$65536)</f>
        <v>48000</v>
      </c>
      <c r="H345">
        <f>F345*G345</f>
        <v>48000</v>
      </c>
    </row>
    <row r="346">
      <c r="C346" t="str">
        <f>'Isi Data'!B168</f>
        <v>Pekerja</v>
      </c>
      <c r="E346" t="str">
        <v>org/hr</v>
      </c>
      <c r="F346">
        <v>0.15</v>
      </c>
      <c r="G346">
        <f>SUMIF('Isi Data'!B$1:B$65536,SNI!C$1:C$65536,'Isi Data'!E$1:E$65536)</f>
        <v>40000</v>
      </c>
      <c r="I346">
        <f>F346*G346</f>
        <v>6000</v>
      </c>
    </row>
    <row r="347">
      <c r="C347" t="str">
        <f>'Isi Data'!B161</f>
        <v>Tukang Batu Kasar</v>
      </c>
      <c r="E347" t="str">
        <v>org/hr</v>
      </c>
      <c r="F347">
        <v>0.075</v>
      </c>
      <c r="G347">
        <f>SUMIF('Isi Data'!B$1:B$65536,SNI!C$1:C$65536,'Isi Data'!E$1:E$65536)</f>
        <v>55000</v>
      </c>
      <c r="I347">
        <f>F347*G347</f>
        <v>4125</v>
      </c>
    </row>
    <row r="348">
      <c r="C348" t="str">
        <f>'Isi Data'!B163</f>
        <v>Kepala Tukang Batu</v>
      </c>
      <c r="E348" t="str">
        <v>org/hr</v>
      </c>
      <c r="F348">
        <v>0.008</v>
      </c>
      <c r="G348">
        <f>SUMIF('Isi Data'!B$1:B$65536,SNI!C$1:C$65536,'Isi Data'!E$1:E$65536)</f>
        <v>60000</v>
      </c>
      <c r="I348">
        <f>F348*G348</f>
        <v>480</v>
      </c>
    </row>
    <row r="349">
      <c r="C349" t="str">
        <f>'Isi Data'!B169</f>
        <v xml:space="preserve">Mandor </v>
      </c>
      <c r="E349" t="str">
        <v>org/hr</v>
      </c>
      <c r="F349">
        <v>0.008</v>
      </c>
      <c r="G349">
        <f>SUMIF('Isi Data'!B$1:B$65536,SNI!C$1:C$65536,'Isi Data'!E$1:E$65536)</f>
        <v>50000</v>
      </c>
      <c r="I349">
        <f>F349*G349</f>
        <v>400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58144</v>
      </c>
      <c r="I354">
        <f>SUM(I355:I361)</f>
        <v>18600</v>
      </c>
      <c r="J354">
        <f>$J$3</f>
        <v>0.1</v>
      </c>
      <c r="K354">
        <f>SUM(H354:I354)*(1+J354)</f>
        <v>84418.40000000001</v>
      </c>
      <c r="L354">
        <f>ROUND(K354,-2)</f>
        <v>84400</v>
      </c>
    </row>
    <row r="355">
      <c r="C355" t="str">
        <f>'Isi Data'!B25</f>
        <v>Semen (50 Kg)</v>
      </c>
      <c r="E355" t="str">
        <v>zak</v>
      </c>
      <c r="F355">
        <v>0.454</v>
      </c>
      <c r="G355">
        <f>SUMIF('Isi Data'!B$1:B$65536,SNI!C$1:C$65536,'Isi Data'!E$1:E$65536)</f>
        <v>61000</v>
      </c>
      <c r="H355">
        <f>F355*G355</f>
        <v>27694</v>
      </c>
      <c r="M355" t="str">
        <f>IF(G355=0,"edit"," ")</f>
        <v xml:space="preserve"> </v>
      </c>
    </row>
    <row r="356">
      <c r="C356" t="str">
        <f>'Isi Data'!B19</f>
        <v>Pasir Beton</v>
      </c>
      <c r="E356" t="str">
        <v>m3</v>
      </c>
      <c r="F356">
        <v>0.054000000000000006</v>
      </c>
      <c r="G356">
        <f>SUMIF('Isi Data'!B$1:B$65536,SNI!C$1:C$65536,'Isi Data'!E$1:E$65536)</f>
        <v>210000</v>
      </c>
      <c r="H356">
        <f>F356*G356</f>
        <v>11340.000000000002</v>
      </c>
      <c r="M356" t="str">
        <f>IF(G356=0,"edit"," ")</f>
        <v xml:space="preserve"> </v>
      </c>
    </row>
    <row r="357">
      <c r="C357" t="str">
        <f>'Isi Data'!B16</f>
        <v>Batu Split Pecah Mesin 1/2</v>
      </c>
      <c r="E357" t="str">
        <v>m3</v>
      </c>
      <c r="F357">
        <v>0.091</v>
      </c>
      <c r="G357">
        <f>SUMIF('Isi Data'!B$1:B$65536,SNI!C$1:C$65536,'Isi Data'!E$1:E$65536)</f>
        <v>210000</v>
      </c>
      <c r="H357">
        <f>F357*G357</f>
        <v>19110</v>
      </c>
      <c r="M357" t="str">
        <f>IF(G357=0,"edit"," ")</f>
        <v xml:space="preserve"> </v>
      </c>
    </row>
    <row r="358">
      <c r="C358" t="str">
        <f>'Isi Data'!B168</f>
        <v>Pekerja</v>
      </c>
      <c r="E358" t="str">
        <v>org/hr</v>
      </c>
      <c r="F358">
        <v>0.3</v>
      </c>
      <c r="G358">
        <f>SUMIF('Isi Data'!B$1:B$65536,SNI!C$1:C$65536,'Isi Data'!E$1:E$65536)</f>
        <v>40000</v>
      </c>
      <c r="I358">
        <f>F358*G358</f>
        <v>12000</v>
      </c>
      <c r="M358" t="str">
        <f>IF(G358=0,"edit"," ")</f>
        <v xml:space="preserve"> </v>
      </c>
    </row>
    <row r="359">
      <c r="C359" t="str">
        <f>'Isi Data'!B161</f>
        <v>Tukang Batu Kasar</v>
      </c>
      <c r="E359" t="str">
        <v>org/hr</v>
      </c>
      <c r="F359">
        <v>0.1</v>
      </c>
      <c r="G359">
        <f>SUMIF('Isi Data'!B$1:B$65536,SNI!C$1:C$65536,'Isi Data'!E$1:E$65536)</f>
        <v>55000</v>
      </c>
      <c r="I359">
        <f>F359*G359</f>
        <v>5500</v>
      </c>
      <c r="M359" t="str">
        <f>IF(G359=0,"edit"," ")</f>
        <v xml:space="preserve"> </v>
      </c>
    </row>
    <row r="360">
      <c r="C360" t="str">
        <f>'Isi Data'!B163</f>
        <v>Kepala Tukang Batu</v>
      </c>
      <c r="E360" t="str">
        <v>org/hr</v>
      </c>
      <c r="F360">
        <v>0.01</v>
      </c>
      <c r="G360">
        <f>SUMIF('Isi Data'!B$1:B$65536,SNI!C$1:C$65536,'Isi Data'!E$1:E$65536)</f>
        <v>60000</v>
      </c>
      <c r="I360">
        <f>F360*G360</f>
        <v>600</v>
      </c>
      <c r="M360" t="str">
        <f>IF(G360=0,"edit"," ")</f>
        <v xml:space="preserve"> </v>
      </c>
    </row>
    <row r="361">
      <c r="C361" t="str">
        <f>'Isi Data'!B169</f>
        <v xml:space="preserve">Mandor </v>
      </c>
      <c r="E361" t="str">
        <v>org/hr</v>
      </c>
      <c r="F361">
        <v>0.01</v>
      </c>
      <c r="G361">
        <f>SUMIF('Isi Data'!B$1:B$65536,SNI!C$1:C$65536,'Isi Data'!E$1:E$65536)</f>
        <v>50000</v>
      </c>
      <c r="I361">
        <f>F361*G361</f>
        <v>500</v>
      </c>
      <c r="M361" t="str">
        <f>IF(G361=0,"edit"," ")</f>
        <v xml:space="preserve"> </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406736.00000000006</v>
      </c>
      <c r="I363">
        <f>SUM(I364:I371)</f>
        <v>18305</v>
      </c>
      <c r="J363">
        <f>$J$3</f>
        <v>0.1</v>
      </c>
      <c r="K363">
        <f>SUM(H363:I363)*(1+J363)</f>
        <v>467545.1000000001</v>
      </c>
      <c r="L363">
        <f>ROUND(K363,-2)</f>
        <v>467500</v>
      </c>
    </row>
    <row r="364">
      <c r="C364" t="str">
        <f>'Isi Data'!B64</f>
        <v xml:space="preserve">Granite Tile 40/40 </v>
      </c>
      <c r="E364" t="str">
        <v>m2</v>
      </c>
      <c r="F364">
        <f>6.63*0.4*0.4</f>
        <v>1.0608000000000002</v>
      </c>
      <c r="G364">
        <f>SUMIF('Isi Data'!B$1:B$65536,SNI!C$1:C$65536,'Isi Data'!E$1:E$65536)</f>
        <v>350000</v>
      </c>
      <c r="H364">
        <f>F364*G364</f>
        <v>371280.00000000006</v>
      </c>
    </row>
    <row r="365">
      <c r="C365" t="str">
        <f>'Isi Data'!B25</f>
        <v>Semen (50 Kg)</v>
      </c>
      <c r="E365" t="str">
        <v>zak</v>
      </c>
      <c r="F365">
        <f>9.8/50</f>
        <v>0.196</v>
      </c>
      <c r="G365">
        <f>SUMIF('Isi Data'!B$1:B$65536,SNI!C$1:C$65536,'Isi Data'!E$1:E$65536)</f>
        <v>61000</v>
      </c>
      <c r="H365">
        <f>F365*G365</f>
        <v>11956</v>
      </c>
    </row>
    <row r="366">
      <c r="C366" t="str">
        <f>'Isi Data'!B20</f>
        <v>Pasir Pasang</v>
      </c>
      <c r="E366" t="str">
        <v>m3</v>
      </c>
      <c r="F366">
        <v>0.045</v>
      </c>
      <c r="G366">
        <f>SUMIF('Isi Data'!B$1:B$65536,SNI!C$1:C$65536,'Isi Data'!E$1:E$65536)</f>
        <v>190000</v>
      </c>
      <c r="H366">
        <f>F366*G366</f>
        <v>8550</v>
      </c>
    </row>
    <row r="367">
      <c r="C367" t="str">
        <f>'Isi Data'!B26</f>
        <v xml:space="preserve">Semen Warna </v>
      </c>
      <c r="E367" t="str">
        <v>kg</v>
      </c>
      <c r="F367">
        <v>1.3</v>
      </c>
      <c r="G367">
        <f>SUMIF('Isi Data'!B$1:B$65536,SNI!C$1:C$65536,'Isi Data'!E$1:E$65536)</f>
        <v>11500</v>
      </c>
      <c r="H367">
        <f>F367*G367</f>
        <v>14950</v>
      </c>
    </row>
    <row r="368">
      <c r="C368" t="str">
        <f>'Isi Data'!B168</f>
        <v>Pekerja</v>
      </c>
      <c r="E368" t="str">
        <v>org/hr</v>
      </c>
      <c r="F368">
        <v>0.25</v>
      </c>
      <c r="G368">
        <f>SUMIF('Isi Data'!B$1:B$65536,SNI!C$1:C$65536,'Isi Data'!E$1:E$65536)</f>
        <v>40000</v>
      </c>
      <c r="I368">
        <f>F368*G368</f>
        <v>10000</v>
      </c>
    </row>
    <row r="369">
      <c r="C369" t="str">
        <v>Tukang Batu Kasar</v>
      </c>
      <c r="E369" t="str">
        <v>org/hr</v>
      </c>
      <c r="F369">
        <v>0.125</v>
      </c>
      <c r="G369">
        <f>SUMIF('Isi Data'!B$1:B$65536,SNI!C$1:C$65536,'Isi Data'!E$1:E$65536)</f>
        <v>55000</v>
      </c>
      <c r="I369">
        <f>F369*G369</f>
        <v>6875</v>
      </c>
    </row>
    <row r="370">
      <c r="C370" t="str">
        <v>Kepala Tukang Batu</v>
      </c>
      <c r="E370" t="str">
        <v>org/hr</v>
      </c>
      <c r="F370">
        <v>0.013</v>
      </c>
      <c r="G370">
        <f>SUMIF('Isi Data'!B$1:B$65536,SNI!C$1:C$65536,'Isi Data'!E$1:E$65536)</f>
        <v>60000</v>
      </c>
      <c r="I370">
        <f>F370*G370</f>
        <v>780</v>
      </c>
    </row>
    <row r="371">
      <c r="C371" t="str">
        <v xml:space="preserve">Mandor </v>
      </c>
      <c r="E371" t="str">
        <v>org/hr</v>
      </c>
      <c r="F371">
        <v>0.013</v>
      </c>
      <c r="G371">
        <f>SUMIF('Isi Data'!B$1:B$65536,SNI!C$1:C$65536,'Isi Data'!E$1:E$65536)</f>
        <v>50000</v>
      </c>
      <c r="I371">
        <f>F371*G371</f>
        <v>650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93551.59999999999</v>
      </c>
      <c r="I375">
        <f>SUM(I376:I383)</f>
        <v>51100</v>
      </c>
      <c r="J375">
        <f>$J$3</f>
        <v>0.1</v>
      </c>
      <c r="K375">
        <f>SUM(H375:I375)*(1+J375)</f>
        <v>159116.75999999998</v>
      </c>
      <c r="L375">
        <f>ROUND(K375,-2)</f>
        <v>159100</v>
      </c>
    </row>
    <row r="376">
      <c r="C376" t="str">
        <f>'Isi Data'!B63</f>
        <v xml:space="preserve">Keramik 30/30 </v>
      </c>
      <c r="E376" t="str">
        <v>m2</v>
      </c>
      <c r="F376">
        <f>11.87*0.3*0.3</f>
        <v>1.0682999999999998</v>
      </c>
      <c r="G376">
        <f>SUMIF('Isi Data'!B$1:B$65536,SNI!C$1:C$65536,'Isi Data'!E$1:E$65536)</f>
        <v>52000</v>
      </c>
      <c r="H376">
        <f>F376*G376</f>
        <v>55551.59999999999</v>
      </c>
      <c r="M376" t="str">
        <f>IF(G376=0,"edit"," ")</f>
        <v xml:space="preserve"> </v>
      </c>
    </row>
    <row r="377">
      <c r="C377" t="str">
        <f>'Isi Data'!B25</f>
        <v>Semen (50 Kg)</v>
      </c>
      <c r="E377" t="str">
        <v>zak</v>
      </c>
      <c r="F377">
        <f>10/50</f>
        <v>0.2</v>
      </c>
      <c r="G377">
        <f>SUMIF('Isi Data'!B$1:B$65536,SNI!C$1:C$65536,'Isi Data'!E$1:E$65536)</f>
        <v>61000</v>
      </c>
      <c r="H377">
        <f>F377*G377</f>
        <v>12200</v>
      </c>
      <c r="M377" t="str">
        <f>IF(G377=0,"edit"," ")</f>
        <v xml:space="preserve"> </v>
      </c>
    </row>
    <row r="378">
      <c r="C378" t="str">
        <f>'Isi Data'!B20</f>
        <v>Pasir Pasang</v>
      </c>
      <c r="E378" t="str">
        <v>m3</v>
      </c>
      <c r="F378">
        <v>0.045</v>
      </c>
      <c r="G378">
        <f>SUMIF('Isi Data'!B$1:B$65536,SNI!C$1:C$65536,'Isi Data'!E$1:E$65536)</f>
        <v>190000</v>
      </c>
      <c r="H378">
        <f>F378*G378</f>
        <v>8550</v>
      </c>
      <c r="M378" t="str">
        <f>IF(G378=0,"edit"," ")</f>
        <v xml:space="preserve"> </v>
      </c>
    </row>
    <row r="379">
      <c r="C379" t="str">
        <f>'Isi Data'!B26</f>
        <v xml:space="preserve">Semen Warna </v>
      </c>
      <c r="E379" t="str">
        <v>kg</v>
      </c>
      <c r="F379">
        <v>1.5</v>
      </c>
      <c r="G379">
        <f>SUMIF('Isi Data'!B$1:B$65536,SNI!C$1:C$65536,'Isi Data'!E$1:E$65536)</f>
        <v>11500</v>
      </c>
      <c r="H379">
        <f>F379*G379</f>
        <v>17250</v>
      </c>
      <c r="M379" t="str">
        <f>IF(G379=0,"edit"," ")</f>
        <v xml:space="preserve"> </v>
      </c>
    </row>
    <row r="380">
      <c r="C380" t="str">
        <f>'Isi Data'!B168</f>
        <v>Pekerja</v>
      </c>
      <c r="E380" t="str">
        <v>org/hr</v>
      </c>
      <c r="F380">
        <v>0.7</v>
      </c>
      <c r="G380">
        <f>SUMIF('Isi Data'!B$1:B$65536,SNI!C$1:C$65536,'Isi Data'!E$1:E$65536)</f>
        <v>40000</v>
      </c>
      <c r="I380">
        <f>F380*G380</f>
        <v>28000</v>
      </c>
      <c r="M380" t="str">
        <f>IF(G380=0,"edit"," ")</f>
        <v xml:space="preserve"> </v>
      </c>
    </row>
    <row r="381">
      <c r="C381" t="str">
        <f>'Isi Data'!B161</f>
        <v>Tukang Batu Kasar</v>
      </c>
      <c r="E381" t="str">
        <v>org/hr</v>
      </c>
      <c r="F381">
        <v>0.35</v>
      </c>
      <c r="G381">
        <f>SUMIF('Isi Data'!B$1:B$65536,SNI!C$1:C$65536,'Isi Data'!E$1:E$65536)</f>
        <v>55000</v>
      </c>
      <c r="I381">
        <f>F381*G381</f>
        <v>19250</v>
      </c>
      <c r="M381" t="str">
        <f>IF(G381=0,"edit"," ")</f>
        <v xml:space="preserve"> </v>
      </c>
    </row>
    <row r="382">
      <c r="C382" t="str">
        <f>'Isi Data'!B163</f>
        <v>Kepala Tukang Batu</v>
      </c>
      <c r="E382" t="str">
        <v>org/hr</v>
      </c>
      <c r="F382">
        <v>0.035</v>
      </c>
      <c r="G382">
        <f>SUMIF('Isi Data'!B$1:B$65536,SNI!C$1:C$65536,'Isi Data'!E$1:E$65536)</f>
        <v>60000</v>
      </c>
      <c r="I382">
        <f>F382*G382</f>
        <v>2100</v>
      </c>
      <c r="M382" t="str">
        <f>IF(G382=0,"edit"," ")</f>
        <v xml:space="preserve"> </v>
      </c>
    </row>
    <row r="383">
      <c r="C383" t="str">
        <f>'Isi Data'!B169</f>
        <v xml:space="preserve">Mandor </v>
      </c>
      <c r="E383" t="str">
        <v>org/hr</v>
      </c>
      <c r="F383">
        <v>0.035</v>
      </c>
      <c r="G383">
        <f>SUMIF('Isi Data'!B$1:B$65536,SNI!C$1:C$65536,'Isi Data'!E$1:E$65536)</f>
        <v>50000</v>
      </c>
      <c r="I383">
        <f>F383*G383</f>
        <v>1750.0000000000002</v>
      </c>
      <c r="M383" t="str">
        <f>IF(G383=0,"edit"," ")</f>
        <v xml:space="preserve"> </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24044.966666666667</v>
      </c>
      <c r="I386">
        <f>SUM(I387:I394)</f>
        <v>14200</v>
      </c>
      <c r="J386">
        <f>$J$3</f>
        <v>0.1</v>
      </c>
      <c r="K386">
        <f>SUM(H386:I386)*(1+J386)</f>
        <v>42069.46333333334</v>
      </c>
      <c r="L386">
        <f>ROUND(K386,-2)</f>
        <v>42100</v>
      </c>
    </row>
    <row r="387">
      <c r="C387" t="str">
        <f>'Isi Data'!B65</f>
        <v xml:space="preserve">Plint Keramik 10/30 cm </v>
      </c>
      <c r="E387" t="str">
        <v>bh</v>
      </c>
      <c r="F387">
        <f>1/0.3</f>
        <v>3.3333333333333335</v>
      </c>
      <c r="G387">
        <f>SUMIF('Isi Data'!B$1:B$65536,SNI!C$1:C$65536,'Isi Data'!E$1:E$65536)</f>
        <v>5000</v>
      </c>
      <c r="H387">
        <f>F387*G387</f>
        <v>16666.666666666668</v>
      </c>
      <c r="M387" t="str">
        <f>IF(G387=0,"edit"," ")</f>
        <v xml:space="preserve"> </v>
      </c>
    </row>
    <row r="388">
      <c r="C388" t="str">
        <f>'Isi Data'!B25</f>
        <v>Semen (50 Kg)</v>
      </c>
      <c r="E388" t="str">
        <v>zak</v>
      </c>
      <c r="F388">
        <f>1.14/50</f>
        <v>0.022799999999999997</v>
      </c>
      <c r="G388">
        <f>SUMIF('Isi Data'!B$1:B$65536,SNI!C$1:C$65536,'Isi Data'!E$1:E$65536)</f>
        <v>61000</v>
      </c>
      <c r="H388">
        <f>F388*G388</f>
        <v>1390.7999999999997</v>
      </c>
      <c r="M388" t="str">
        <f>IF(G388=0,"edit"," ")</f>
        <v xml:space="preserve"> </v>
      </c>
    </row>
    <row r="389">
      <c r="C389" t="str">
        <f>'Isi Data'!B20</f>
        <v>Pasir Pasang</v>
      </c>
      <c r="E389" t="str">
        <v>m3</v>
      </c>
      <c r="F389">
        <v>0.03</v>
      </c>
      <c r="G389">
        <f>SUMIF('Isi Data'!B$1:B$65536,SNI!C$1:C$65536,'Isi Data'!E$1:E$65536)</f>
        <v>190000</v>
      </c>
      <c r="H389">
        <f>F389*G389</f>
        <v>5700</v>
      </c>
      <c r="M389" t="str">
        <f>IF(G389=0,"edit"," ")</f>
        <v xml:space="preserve"> </v>
      </c>
    </row>
    <row r="390">
      <c r="C390" t="str">
        <f>'Isi Data'!B26</f>
        <v xml:space="preserve">Semen Warna </v>
      </c>
      <c r="E390" t="str">
        <v>kg</v>
      </c>
      <c r="F390">
        <v>0.025</v>
      </c>
      <c r="G390">
        <f>SUMIF('Isi Data'!B$1:B$65536,SNI!C$1:C$65536,'Isi Data'!E$1:E$65536)</f>
        <v>11500</v>
      </c>
      <c r="H390">
        <f>F390*G390</f>
        <v>287.5</v>
      </c>
      <c r="M390" t="str">
        <f>IF(G390=0,"edit"," ")</f>
        <v xml:space="preserve"> </v>
      </c>
    </row>
    <row r="391">
      <c r="C391" t="str">
        <f>'Isi Data'!B168</f>
        <v>Pekerja</v>
      </c>
      <c r="E391" t="str">
        <v>org/hr</v>
      </c>
      <c r="F391">
        <v>0.09</v>
      </c>
      <c r="G391">
        <f>SUMIF('Isi Data'!B$1:B$65536,SNI!C$1:C$65536,'Isi Data'!E$1:E$65536)</f>
        <v>40000</v>
      </c>
      <c r="I391">
        <f>F391*G391</f>
        <v>3600</v>
      </c>
      <c r="M391" t="str">
        <f>IF(G391=0,"edit"," ")</f>
        <v xml:space="preserve"> </v>
      </c>
    </row>
    <row r="392">
      <c r="C392" t="str">
        <f>'Isi Data'!B161</f>
        <v>Tukang Batu Kasar</v>
      </c>
      <c r="E392" t="str">
        <v>org/hr</v>
      </c>
      <c r="F392">
        <v>0.09</v>
      </c>
      <c r="G392">
        <f>SUMIF('Isi Data'!B$1:B$65536,SNI!C$1:C$65536,'Isi Data'!E$1:E$65536)</f>
        <v>55000</v>
      </c>
      <c r="I392">
        <f>F392*G392</f>
        <v>4950</v>
      </c>
      <c r="M392" t="str">
        <f>IF(G392=0,"edit"," ")</f>
        <v xml:space="preserve"> </v>
      </c>
    </row>
    <row r="393">
      <c r="C393" t="str">
        <f>'Isi Data'!B163</f>
        <v>Kepala Tukang Batu</v>
      </c>
      <c r="E393" t="str">
        <v>org/hr</v>
      </c>
      <c r="F393">
        <v>0.09</v>
      </c>
      <c r="G393">
        <f>SUMIF('Isi Data'!B$1:B$65536,SNI!C$1:C$65536,'Isi Data'!E$1:E$65536)</f>
        <v>60000</v>
      </c>
      <c r="I393">
        <f>F393*G393</f>
        <v>5400</v>
      </c>
      <c r="M393" t="str">
        <f>IF(G393=0,"edit"," ")</f>
        <v xml:space="preserve"> </v>
      </c>
    </row>
    <row r="394">
      <c r="C394" t="str">
        <f>'Isi Data'!B169</f>
        <v xml:space="preserve">Mandor </v>
      </c>
      <c r="E394" t="str">
        <v>org/hr</v>
      </c>
      <c r="F394">
        <v>0.005</v>
      </c>
      <c r="G394">
        <f>SUMIF('Isi Data'!B$1:B$65536,SNI!C$1:C$65536,'Isi Data'!E$1:E$65536)</f>
        <v>50000</v>
      </c>
      <c r="I394">
        <f>F394*G394</f>
        <v>250</v>
      </c>
      <c r="M394" t="str">
        <f>IF(G394=0,"edit"," ")</f>
        <v xml:space="preserve"> </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56110.8</v>
      </c>
      <c r="I396">
        <f>SUM(I397:I404)</f>
        <v>14200</v>
      </c>
      <c r="J396">
        <f>$J$3</f>
        <v>0.1</v>
      </c>
      <c r="K396">
        <f>SUM(H396:I396)*(1+J396)</f>
        <v>77341.88</v>
      </c>
      <c r="L396">
        <f>ROUND(K396,-2)</f>
        <v>77300</v>
      </c>
    </row>
    <row r="397">
      <c r="C397" t="str">
        <f>'Isi Data'!B66</f>
        <v xml:space="preserve">Plint Granitetile 10/40 cm </v>
      </c>
      <c r="E397" t="str">
        <v>bh</v>
      </c>
      <c r="F397">
        <v>2.65</v>
      </c>
      <c r="G397">
        <f>SUMIF('Isi Data'!B$1:B$65536,SNI!C$1:C$65536,'Isi Data'!E$1:E$65536)</f>
        <v>20000</v>
      </c>
      <c r="H397">
        <f>F397*G397</f>
        <v>53000</v>
      </c>
      <c r="M397" t="str">
        <f>IF(G397=0,"edit"," ")</f>
        <v xml:space="preserve"> </v>
      </c>
    </row>
    <row r="398">
      <c r="C398" t="str">
        <f>'Isi Data'!B25</f>
        <v>Semen (50 Kg)</v>
      </c>
      <c r="E398" t="str">
        <v>zak</v>
      </c>
      <c r="F398">
        <f>1.14/50</f>
        <v>0.022799999999999997</v>
      </c>
      <c r="G398">
        <f>SUMIF('Isi Data'!B$1:B$65536,SNI!C$1:C$65536,'Isi Data'!E$1:E$65536)</f>
        <v>61000</v>
      </c>
      <c r="H398">
        <f>F398*G398</f>
        <v>1390.7999999999997</v>
      </c>
      <c r="M398" t="str">
        <f>IF(G398=0,"edit"," ")</f>
        <v xml:space="preserve"> </v>
      </c>
    </row>
    <row r="399">
      <c r="C399" t="str">
        <f>'Isi Data'!B20</f>
        <v>Pasir Pasang</v>
      </c>
      <c r="E399" t="str">
        <v>m3</v>
      </c>
      <c r="F399">
        <v>0.003</v>
      </c>
      <c r="G399">
        <f>SUMIF('Isi Data'!B$1:B$65536,SNI!C$1:C$65536,'Isi Data'!E$1:E$65536)</f>
        <v>190000</v>
      </c>
      <c r="H399">
        <f>F399*G399</f>
        <v>570</v>
      </c>
      <c r="M399" t="str">
        <f>IF(G399=0,"edit"," ")</f>
        <v xml:space="preserve"> </v>
      </c>
    </row>
    <row r="400">
      <c r="C400" t="str">
        <f>'Isi Data'!B26</f>
        <v xml:space="preserve">Semen Warna </v>
      </c>
      <c r="E400" t="str">
        <v>kg</v>
      </c>
      <c r="F400">
        <v>0.1</v>
      </c>
      <c r="G400">
        <f>SUMIF('Isi Data'!B$1:B$65536,SNI!C$1:C$65536,'Isi Data'!E$1:E$65536)</f>
        <v>11500</v>
      </c>
      <c r="H400">
        <f>F400*G400</f>
        <v>1150</v>
      </c>
      <c r="M400" t="str">
        <f>IF(G400=0,"edit"," ")</f>
        <v xml:space="preserve"> </v>
      </c>
    </row>
    <row r="401">
      <c r="C401" t="str">
        <f>'Isi Data'!B168</f>
        <v>Pekerja</v>
      </c>
      <c r="E401" t="str">
        <v>org/hr</v>
      </c>
      <c r="F401">
        <v>0.09</v>
      </c>
      <c r="G401">
        <f>SUMIF('Isi Data'!B$1:B$65536,SNI!C$1:C$65536,'Isi Data'!E$1:E$65536)</f>
        <v>40000</v>
      </c>
      <c r="I401">
        <f>F401*G401</f>
        <v>3600</v>
      </c>
      <c r="M401" t="str">
        <f>IF(G401=0,"edit"," ")</f>
        <v xml:space="preserve"> </v>
      </c>
    </row>
    <row r="402">
      <c r="C402" t="str">
        <f>'Isi Data'!B161</f>
        <v>Tukang Batu Kasar</v>
      </c>
      <c r="E402" t="str">
        <v>org/hr</v>
      </c>
      <c r="F402">
        <v>0.09</v>
      </c>
      <c r="G402">
        <f>SUMIF('Isi Data'!B$1:B$65536,SNI!C$1:C$65536,'Isi Data'!E$1:E$65536)</f>
        <v>55000</v>
      </c>
      <c r="I402">
        <f>F402*G402</f>
        <v>4950</v>
      </c>
      <c r="M402" t="str">
        <f>IF(G402=0,"edit"," ")</f>
        <v xml:space="preserve"> </v>
      </c>
    </row>
    <row r="403">
      <c r="C403" t="str">
        <f>'Isi Data'!B163</f>
        <v>Kepala Tukang Batu</v>
      </c>
      <c r="E403" t="str">
        <v>org/hr</v>
      </c>
      <c r="F403">
        <v>0.09</v>
      </c>
      <c r="G403">
        <f>SUMIF('Isi Data'!B$1:B$65536,SNI!C$1:C$65536,'Isi Data'!E$1:E$65536)</f>
        <v>60000</v>
      </c>
      <c r="I403">
        <f>F403*G403</f>
        <v>5400</v>
      </c>
      <c r="M403" t="str">
        <f>IF(G403=0,"edit"," ")</f>
        <v xml:space="preserve"> </v>
      </c>
    </row>
    <row r="404">
      <c r="C404" t="str">
        <f>'Isi Data'!B169</f>
        <v xml:space="preserve">Mandor </v>
      </c>
      <c r="E404" t="str">
        <v>org/hr</v>
      </c>
      <c r="F404">
        <v>0.005</v>
      </c>
      <c r="G404">
        <f>SUMIF('Isi Data'!B$1:B$65536,SNI!C$1:C$65536,'Isi Data'!E$1:E$65536)</f>
        <v>50000</v>
      </c>
      <c r="I404">
        <f>F404*G404</f>
        <v>250</v>
      </c>
      <c r="M404" t="str">
        <f>IF(G404=0,"edit"," ")</f>
        <v xml:space="preserve"> </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52500</v>
      </c>
      <c r="I409">
        <f>SUM(I410:I414)</f>
        <v>26800</v>
      </c>
      <c r="J409">
        <f>$J$3</f>
        <v>0.1</v>
      </c>
      <c r="K409">
        <f>SUM(H409:I409)*(1+J409)</f>
        <v>87230</v>
      </c>
      <c r="L409">
        <f>ROUND(K409,-2)</f>
        <v>87200</v>
      </c>
    </row>
    <row r="410">
      <c r="C410" t="str">
        <f>'Isi Data'!B118</f>
        <v>Rangka plafond Metal furing</v>
      </c>
      <c r="E410" t="str">
        <v>m2</v>
      </c>
      <c r="F410">
        <v>1.05</v>
      </c>
      <c r="G410">
        <f>SUMIF('Isi Data'!B$1:B$65536,SNI!C$1:C$65536,'Isi Data'!E$1:E$65536)</f>
        <v>50000</v>
      </c>
      <c r="H410">
        <f>F410*G410</f>
        <v>52500</v>
      </c>
    </row>
    <row r="411">
      <c r="C411" t="str">
        <f>'Isi Data'!B168</f>
        <v>Pekerja</v>
      </c>
      <c r="E411" t="str">
        <v>org/hr</v>
      </c>
      <c r="F411">
        <v>0.2</v>
      </c>
      <c r="G411">
        <f>SUMIF('Isi Data'!B$1:B$65536,SNI!C$1:C$65536,'Isi Data'!E$1:E$65536)</f>
        <v>40000</v>
      </c>
      <c r="I411">
        <f>F411*G411</f>
        <v>8000</v>
      </c>
    </row>
    <row r="412">
      <c r="C412" t="str">
        <f>'Isi Data'!B155</f>
        <v>Tukang Besi Konstruksi</v>
      </c>
      <c r="E412" t="str">
        <v>org/hr</v>
      </c>
      <c r="F412">
        <v>0.3</v>
      </c>
      <c r="G412">
        <f>SUMIF('Isi Data'!B$1:B$65536,SNI!C$1:C$65536,'Isi Data'!E$1:E$65536)</f>
        <v>55000</v>
      </c>
      <c r="I412">
        <f>F412*G412</f>
        <v>16500</v>
      </c>
    </row>
    <row r="413">
      <c r="C413" t="str">
        <f>'Isi Data'!B157</f>
        <v>Kepala Tukang Besi</v>
      </c>
      <c r="E413" t="str">
        <v>org/hr</v>
      </c>
      <c r="F413">
        <v>0.03</v>
      </c>
      <c r="G413">
        <f>SUMIF('Isi Data'!B$1:B$65536,SNI!C$1:C$65536,'Isi Data'!E$1:E$65536)</f>
        <v>60000</v>
      </c>
      <c r="I413">
        <f>F413*G413</f>
        <v>1800</v>
      </c>
    </row>
    <row r="414">
      <c r="C414" t="str">
        <f>'Isi Data'!B169</f>
        <v xml:space="preserve">Mandor </v>
      </c>
      <c r="E414" t="str">
        <v>org/hr</v>
      </c>
      <c r="F414">
        <v>0.01</v>
      </c>
      <c r="G414">
        <f>SUMIF('Isi Data'!B$1:B$65536,SNI!C$1:C$65536,'Isi Data'!E$1:E$65536)</f>
        <v>50000</v>
      </c>
      <c r="I414">
        <f>F414*G414</f>
        <v>500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108660</v>
      </c>
      <c r="I416">
        <f>SUM(I417:I422)</f>
        <v>30050</v>
      </c>
      <c r="J416">
        <f>$J$3</f>
        <v>0.1</v>
      </c>
      <c r="K416">
        <f>SUM(H416:I416)*(1+J416)</f>
        <v>152581</v>
      </c>
      <c r="L416">
        <f>ROUND(K416,-2)</f>
        <v>152600</v>
      </c>
    </row>
    <row r="417">
      <c r="C417" t="str">
        <f>'Isi Data'!B38</f>
        <v>Kayu Klas II</v>
      </c>
      <c r="D417" t="str">
        <v>kaso</v>
      </c>
      <c r="E417" t="str">
        <v>m3</v>
      </c>
      <c r="F417">
        <v>0.0154</v>
      </c>
      <c r="G417">
        <f>SUMIF('Isi Data'!B$1:B$65536,SNI!C$1:C$65536,'Isi Data'!E$1:E$65536)</f>
        <v>6900000</v>
      </c>
      <c r="H417">
        <f>F417*G417</f>
        <v>106260</v>
      </c>
      <c r="M417" t="str">
        <f>IF(G417=0,"edit"," ")</f>
        <v xml:space="preserve"> </v>
      </c>
    </row>
    <row r="418">
      <c r="C418" t="str">
        <f>'Isi Data'!B82</f>
        <v>Paku 5 s/d 10 cm</v>
      </c>
      <c r="E418" t="str">
        <v>kg</v>
      </c>
      <c r="F418">
        <v>0.2</v>
      </c>
      <c r="G418">
        <f>SUMIF('Isi Data'!B$1:B$65536,SNI!C$1:C$65536,'Isi Data'!E$1:E$65536)</f>
        <v>12000</v>
      </c>
      <c r="H418">
        <f>F418*G418</f>
        <v>2400</v>
      </c>
      <c r="M418" t="str">
        <f>IF(G418=0,"edit"," ")</f>
        <v xml:space="preserve"> </v>
      </c>
    </row>
    <row r="419">
      <c r="C419" t="str">
        <f>'Isi Data'!B168</f>
        <v>Pekerja</v>
      </c>
      <c r="E419" t="str">
        <v>org/hr</v>
      </c>
      <c r="F419">
        <v>0.2</v>
      </c>
      <c r="G419">
        <f>SUMIF('Isi Data'!B$1:B$65536,SNI!C$1:C$65536,'Isi Data'!E$1:E$65536)</f>
        <v>40000</v>
      </c>
      <c r="I419">
        <f>F419*G419</f>
        <v>8000</v>
      </c>
      <c r="M419" t="str">
        <f>IF(G419=0,"edit"," ")</f>
        <v xml:space="preserve"> </v>
      </c>
    </row>
    <row r="420">
      <c r="C420" t="str">
        <f>'Isi Data'!B158</f>
        <v xml:space="preserve">Tukang Kayu Kasar </v>
      </c>
      <c r="E420" t="str">
        <v>org/hr</v>
      </c>
      <c r="F420">
        <v>0.3</v>
      </c>
      <c r="G420">
        <f>SUMIF('Isi Data'!B$1:B$65536,SNI!C$1:C$65536,'Isi Data'!E$1:E$65536)</f>
        <v>55000</v>
      </c>
      <c r="I420">
        <f>F420*G420</f>
        <v>16500</v>
      </c>
      <c r="M420" t="str">
        <f>IF(G420=0,"edit"," ")</f>
        <v xml:space="preserve"> </v>
      </c>
    </row>
    <row r="421">
      <c r="C421" t="str">
        <f>'Isi Data'!B160</f>
        <v>Kepala Tukang Kayu</v>
      </c>
      <c r="E421" t="str">
        <v>org/hr</v>
      </c>
      <c r="F421">
        <v>0.03</v>
      </c>
      <c r="G421">
        <f>SUMIF('Isi Data'!B$1:B$65536,SNI!C$1:C$65536,'Isi Data'!E$1:E$65536)</f>
        <v>60000</v>
      </c>
      <c r="I421">
        <f>F421*G421</f>
        <v>1800</v>
      </c>
      <c r="M421" t="str">
        <f>IF(G421=0,"edit"," ")</f>
        <v xml:space="preserve"> </v>
      </c>
    </row>
    <row r="422">
      <c r="C422" t="str">
        <f>'Isi Data'!B169</f>
        <v xml:space="preserve">Mandor </v>
      </c>
      <c r="E422" t="str">
        <v>org/hr</v>
      </c>
      <c r="F422">
        <v>0.075</v>
      </c>
      <c r="G422">
        <f>SUMIF('Isi Data'!B$1:B$65536,SNI!C$1:C$65536,'Isi Data'!E$1:E$65536)</f>
        <v>50000</v>
      </c>
      <c r="I422">
        <f>F422*G422</f>
        <v>3750</v>
      </c>
      <c r="M422" t="str">
        <f>IF(G422=0,"edit"," ")</f>
        <v xml:space="preserve"> </v>
      </c>
    </row>
    <row r="423">
      <c r="G423">
        <f>SUMIF('Isi Data'!B$1:B$65536,SNI!C$1:C$65536,'Isi Data'!E$1:E$65536)</f>
        <v>0</v>
      </c>
    </row>
    <row r="424">
      <c r="A424" t="str">
        <v>SNI 3434:2008-6.19</v>
      </c>
      <c r="B424" t="str">
        <v>M2</v>
      </c>
      <c r="C424" t="str">
        <v>Pas. Rangka Plafond Kayu</v>
      </c>
      <c r="G424">
        <f>SUMIF('Isi Data'!B$1:B$65536,SNI!C$1:C$65536,'Isi Data'!E$1:E$65536)</f>
        <v>0</v>
      </c>
      <c r="H424">
        <f>SUM(H425:H430)</f>
        <v>71700</v>
      </c>
      <c r="I424">
        <f>SUM(I425:I430)</f>
        <v>30050</v>
      </c>
      <c r="J424">
        <f>$J$3</f>
        <v>0.1</v>
      </c>
      <c r="K424">
        <f>SUM(H424:I424)*(1+J424)</f>
        <v>111925.00000000001</v>
      </c>
      <c r="L424">
        <f>ROUND(K424,-2)</f>
        <v>111900</v>
      </c>
    </row>
    <row r="425">
      <c r="C425" t="str">
        <f>'Isi Data'!B39</f>
        <v>Kayu Klas III</v>
      </c>
      <c r="D425" t="str">
        <v>kaso</v>
      </c>
      <c r="E425" t="str">
        <v>m3</v>
      </c>
      <c r="F425">
        <v>0.0154</v>
      </c>
      <c r="G425">
        <f>SUMIF('Isi Data'!B$1:B$65536,SNI!C$1:C$65536,'Isi Data'!E$1:E$65536)</f>
        <v>4500000</v>
      </c>
      <c r="H425">
        <f>F425*G425</f>
        <v>69300</v>
      </c>
      <c r="M425" t="str">
        <f>IF(G425=0,"edit"," ")</f>
        <v xml:space="preserve"> </v>
      </c>
    </row>
    <row r="426">
      <c r="C426" t="str">
        <f>'Isi Data'!B82</f>
        <v>Paku 5 s/d 10 cm</v>
      </c>
      <c r="E426" t="str">
        <v>kg</v>
      </c>
      <c r="F426">
        <v>0.2</v>
      </c>
      <c r="G426">
        <f>SUMIF('Isi Data'!B$1:B$65536,SNI!C$1:C$65536,'Isi Data'!E$1:E$65536)</f>
        <v>12000</v>
      </c>
      <c r="H426">
        <f>F426*G426</f>
        <v>2400</v>
      </c>
      <c r="M426" t="str">
        <f>IF(G426=0,"edit"," ")</f>
        <v xml:space="preserve"> </v>
      </c>
    </row>
    <row r="427">
      <c r="C427" t="str">
        <f>'Isi Data'!B168</f>
        <v>Pekerja</v>
      </c>
      <c r="E427" t="str">
        <v>org/hr</v>
      </c>
      <c r="F427">
        <v>0.2</v>
      </c>
      <c r="G427">
        <f>SUMIF('Isi Data'!B$1:B$65536,SNI!C$1:C$65536,'Isi Data'!E$1:E$65536)</f>
        <v>40000</v>
      </c>
      <c r="I427">
        <f>F427*G427</f>
        <v>8000</v>
      </c>
      <c r="M427" t="str">
        <f>IF(G427=0,"edit"," ")</f>
        <v xml:space="preserve"> </v>
      </c>
    </row>
    <row r="428">
      <c r="C428" t="str">
        <f>'Isi Data'!B158</f>
        <v xml:space="preserve">Tukang Kayu Kasar </v>
      </c>
      <c r="E428" t="str">
        <v>org/hr</v>
      </c>
      <c r="F428">
        <v>0.3</v>
      </c>
      <c r="G428">
        <f>SUMIF('Isi Data'!B$1:B$65536,SNI!C$1:C$65536,'Isi Data'!E$1:E$65536)</f>
        <v>55000</v>
      </c>
      <c r="I428">
        <f>F428*G428</f>
        <v>16500</v>
      </c>
      <c r="M428" t="str">
        <f>IF(G428=0,"edit"," ")</f>
        <v xml:space="preserve"> </v>
      </c>
    </row>
    <row r="429">
      <c r="C429" t="str">
        <f>'Isi Data'!B160</f>
        <v>Kepala Tukang Kayu</v>
      </c>
      <c r="E429" t="str">
        <v>org/hr</v>
      </c>
      <c r="F429">
        <v>0.03</v>
      </c>
      <c r="G429">
        <f>SUMIF('Isi Data'!B$1:B$65536,SNI!C$1:C$65536,'Isi Data'!E$1:E$65536)</f>
        <v>60000</v>
      </c>
      <c r="I429">
        <f>F429*G429</f>
        <v>1800</v>
      </c>
      <c r="M429" t="str">
        <f>IF(G429=0,"edit"," ")</f>
        <v xml:space="preserve"> </v>
      </c>
    </row>
    <row r="430">
      <c r="C430" t="str">
        <f>'Isi Data'!B169</f>
        <v xml:space="preserve">Mandor </v>
      </c>
      <c r="E430" t="str">
        <v>org/hr</v>
      </c>
      <c r="F430">
        <v>0.075</v>
      </c>
      <c r="G430">
        <f>SUMIF('Isi Data'!B$1:B$65536,SNI!C$1:C$65536,'Isi Data'!E$1:E$65536)</f>
        <v>50000</v>
      </c>
      <c r="I430">
        <f>F430*G430</f>
        <v>3750</v>
      </c>
      <c r="M430" t="str">
        <f>IF(G430=0,"edit"," ")</f>
        <v xml:space="preserve"> </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21519</v>
      </c>
      <c r="I432">
        <f>SUM(I433:I438)</f>
        <v>7300</v>
      </c>
      <c r="J432">
        <f>$J$3</f>
        <v>0.1</v>
      </c>
      <c r="K432">
        <f>SUM(H432:I432)*(1+J432)</f>
        <v>31700.9</v>
      </c>
      <c r="L432">
        <f>ROUND(K432,-2)</f>
        <v>31700</v>
      </c>
    </row>
    <row r="433">
      <c r="C433" t="str">
        <f>'Isi Data'!B116</f>
        <v xml:space="preserve">Gypsumboard  t.9 mm </v>
      </c>
      <c r="E433" t="str">
        <v>lbr</v>
      </c>
      <c r="F433">
        <v>0.364</v>
      </c>
      <c r="G433">
        <f>SUMIF('Isi Data'!B$1:B$65536,SNI!C$1:C$65536,'Isi Data'!E$1:E$65536)</f>
        <v>58000</v>
      </c>
      <c r="H433">
        <f>F433*G433</f>
        <v>21112</v>
      </c>
      <c r="M433" t="str">
        <f>IF(G433=0,"edit"," ")</f>
        <v xml:space="preserve"> </v>
      </c>
    </row>
    <row r="434">
      <c r="C434" t="str">
        <f>'Isi Data'!B84</f>
        <v>Paku Skrup</v>
      </c>
      <c r="E434" t="str">
        <v>kg</v>
      </c>
      <c r="F434">
        <v>0.11</v>
      </c>
      <c r="G434">
        <f>SUMIF('Isi Data'!B$1:B$65536,SNI!C$1:C$65536,'Isi Data'!E$1:E$65536)</f>
        <v>3700</v>
      </c>
      <c r="H434">
        <f>F434*G434</f>
        <v>407</v>
      </c>
      <c r="M434" t="str">
        <f>IF(G434=0,"edit"," ")</f>
        <v xml:space="preserve"> </v>
      </c>
    </row>
    <row r="435">
      <c r="C435" t="str">
        <f>'Isi Data'!B168</f>
        <v>Pekerja</v>
      </c>
      <c r="E435" t="str">
        <v>org/hr</v>
      </c>
      <c r="F435">
        <v>0.1</v>
      </c>
      <c r="G435">
        <f>SUMIF('Isi Data'!B$1:B$65536,SNI!C$1:C$65536,'Isi Data'!E$1:E$65536)</f>
        <v>40000</v>
      </c>
      <c r="I435">
        <f>F435*G435</f>
        <v>4000</v>
      </c>
      <c r="M435" t="str">
        <f>IF(G435=0,"edit"," ")</f>
        <v xml:space="preserve"> </v>
      </c>
    </row>
    <row r="436">
      <c r="C436" t="str">
        <f>'Isi Data'!B158</f>
        <v xml:space="preserve">Tukang Kayu Kasar </v>
      </c>
      <c r="E436" t="str">
        <v>org/hr</v>
      </c>
      <c r="F436">
        <v>0.05</v>
      </c>
      <c r="G436">
        <f>SUMIF('Isi Data'!B$1:B$65536,SNI!C$1:C$65536,'Isi Data'!E$1:E$65536)</f>
        <v>55000</v>
      </c>
      <c r="I436">
        <f>F436*G436</f>
        <v>2750</v>
      </c>
      <c r="M436" t="str">
        <f>IF(G436=0,"edit"," ")</f>
        <v xml:space="preserve"> </v>
      </c>
    </row>
    <row r="437">
      <c r="C437" t="str">
        <f>'Isi Data'!B160</f>
        <v>Kepala Tukang Kayu</v>
      </c>
      <c r="E437" t="str">
        <v>org/hr</v>
      </c>
      <c r="F437">
        <v>0.005</v>
      </c>
      <c r="G437">
        <f>SUMIF('Isi Data'!B$1:B$65536,SNI!C$1:C$65536,'Isi Data'!E$1:E$65536)</f>
        <v>60000</v>
      </c>
      <c r="I437">
        <f>F437*G437</f>
        <v>300</v>
      </c>
      <c r="M437" t="str">
        <f>IF(G437=0,"edit"," ")</f>
        <v xml:space="preserve"> </v>
      </c>
    </row>
    <row r="438">
      <c r="C438" t="str">
        <f>'Isi Data'!B169</f>
        <v xml:space="preserve">Mandor </v>
      </c>
      <c r="E438" t="str">
        <v>org/hr</v>
      </c>
      <c r="F438">
        <v>0.005</v>
      </c>
      <c r="G438">
        <f>SUMIF('Isi Data'!B$1:B$65536,SNI!C$1:C$65536,'Isi Data'!E$1:E$65536)</f>
        <v>50000</v>
      </c>
      <c r="I438">
        <f>F438*G438</f>
        <v>250</v>
      </c>
      <c r="M438" t="str">
        <f>IF(G438=0,"edit"," ")</f>
        <v xml:space="preserve"> </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16986</v>
      </c>
      <c r="I440">
        <f>SUM(I441:I446)</f>
        <v>10350</v>
      </c>
      <c r="J440">
        <f>$J$3</f>
        <v>0.1</v>
      </c>
      <c r="K440">
        <f>SUM(H440:I440)*(1+J440)</f>
        <v>30069.600000000002</v>
      </c>
      <c r="L440">
        <f>ROUND(K440,-2)</f>
        <v>30100</v>
      </c>
    </row>
    <row r="441">
      <c r="C441" t="str">
        <f>'Isi Data'!B59</f>
        <v>Triplex  t. 4 mm</v>
      </c>
      <c r="E441" t="str">
        <v>lbr</v>
      </c>
      <c r="F441">
        <v>0.375</v>
      </c>
      <c r="G441">
        <f>SUMIF('Isi Data'!B$1:B$65536,SNI!C$1:C$65536,'Isi Data'!E$1:E$65536)</f>
        <v>45000</v>
      </c>
      <c r="H441">
        <f>F441*G441</f>
        <v>16875</v>
      </c>
    </row>
    <row r="442">
      <c r="C442" t="str">
        <f>'Isi Data'!B84</f>
        <v>Paku Skrup</v>
      </c>
      <c r="E442" t="str">
        <v>kg</v>
      </c>
      <c r="F442">
        <v>0.03</v>
      </c>
      <c r="G442">
        <f>SUMIF('Isi Data'!B$1:B$65536,SNI!C$1:C$65536,'Isi Data'!E$1:E$65536)</f>
        <v>3700</v>
      </c>
      <c r="H442">
        <f>F442*G442</f>
        <v>111</v>
      </c>
    </row>
    <row r="443">
      <c r="C443" t="str">
        <f>'Isi Data'!B168</f>
        <v>Pekerja</v>
      </c>
      <c r="E443" t="str">
        <v>org/hr</v>
      </c>
      <c r="F443">
        <v>0.1</v>
      </c>
      <c r="G443">
        <f>SUMIF('Isi Data'!B$1:B$65536,SNI!C$1:C$65536,'Isi Data'!E$1:E$65536)</f>
        <v>40000</v>
      </c>
      <c r="I443">
        <f>F443*G443</f>
        <v>4000</v>
      </c>
    </row>
    <row r="444">
      <c r="C444" t="str">
        <f>'Isi Data'!B158</f>
        <v xml:space="preserve">Tukang Kayu Kasar </v>
      </c>
      <c r="E444" t="str">
        <v>org/hr</v>
      </c>
      <c r="F444">
        <v>0.1</v>
      </c>
      <c r="G444">
        <f>SUMIF('Isi Data'!B$1:B$65536,SNI!C$1:C$65536,'Isi Data'!E$1:E$65536)</f>
        <v>55000</v>
      </c>
      <c r="I444">
        <f>F444*G444</f>
        <v>5500</v>
      </c>
    </row>
    <row r="445">
      <c r="C445" t="str">
        <f>'Isi Data'!B160</f>
        <v>Kepala Tukang Kayu</v>
      </c>
      <c r="E445" t="str">
        <v>org/hr</v>
      </c>
      <c r="F445">
        <v>0.01</v>
      </c>
      <c r="G445">
        <f>SUMIF('Isi Data'!B$1:B$65536,SNI!C$1:C$65536,'Isi Data'!E$1:E$65536)</f>
        <v>60000</v>
      </c>
      <c r="I445">
        <f>F445*G445</f>
        <v>600</v>
      </c>
    </row>
    <row r="446">
      <c r="C446" t="str">
        <f>'Isi Data'!B169</f>
        <v xml:space="preserve">Mandor </v>
      </c>
      <c r="E446" t="str">
        <v>org/hr</v>
      </c>
      <c r="F446">
        <v>0.005</v>
      </c>
      <c r="G446">
        <f>SUMIF('Isi Data'!B$1:B$65536,SNI!C$1:C$65536,'Isi Data'!E$1:E$65536)</f>
        <v>50000</v>
      </c>
      <c r="I446">
        <f>F446*G446</f>
        <v>250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5077</v>
      </c>
      <c r="I448">
        <f>SUM(I449:I454)</f>
        <v>6210</v>
      </c>
      <c r="J448">
        <f>$J$3</f>
        <v>0.1</v>
      </c>
      <c r="K448">
        <f>SUM(H448:I448)*(1+J448)</f>
        <v>12415.7</v>
      </c>
      <c r="L448">
        <f>ROUND(K448,-2)</f>
        <v>12400</v>
      </c>
    </row>
    <row r="449">
      <c r="C449" t="str">
        <f>'Isi Data'!B117</f>
        <v>List Profil 5 cm Gypsum</v>
      </c>
      <c r="E449" t="str">
        <v>m</v>
      </c>
      <c r="F449">
        <v>1.05</v>
      </c>
      <c r="G449">
        <f>SUMIF('Isi Data'!B$1:B$65536,SNI!C$1:C$65536,'Isi Data'!E$1:E$65536)</f>
        <v>4800</v>
      </c>
      <c r="H449">
        <f>F449*G449</f>
        <v>5040</v>
      </c>
    </row>
    <row r="450">
      <c r="C450" t="str">
        <f>'Isi Data'!B84</f>
        <v>Paku Skrup</v>
      </c>
      <c r="E450" t="str">
        <v>kg</v>
      </c>
      <c r="F450">
        <v>0.01</v>
      </c>
      <c r="G450">
        <f>SUMIF('Isi Data'!B$1:B$65536,SNI!C$1:C$65536,'Isi Data'!E$1:E$65536)</f>
        <v>3700</v>
      </c>
      <c r="H450">
        <f>F450*G450</f>
        <v>37</v>
      </c>
    </row>
    <row r="451">
      <c r="C451" t="str">
        <f>'Isi Data'!B168</f>
        <v>Pekerja</v>
      </c>
      <c r="E451" t="str">
        <v>org/hr</v>
      </c>
      <c r="F451">
        <v>0.06</v>
      </c>
      <c r="G451">
        <f>SUMIF('Isi Data'!B$1:B$65536,SNI!C$1:C$65536,'Isi Data'!E$1:E$65536)</f>
        <v>40000</v>
      </c>
      <c r="I451">
        <f>F451*G451</f>
        <v>2400</v>
      </c>
    </row>
    <row r="452">
      <c r="C452" t="str">
        <f>'Isi Data'!B158</f>
        <v xml:space="preserve">Tukang Kayu Kasar </v>
      </c>
      <c r="E452" t="str">
        <v>org/hr</v>
      </c>
      <c r="F452">
        <v>0.06</v>
      </c>
      <c r="G452">
        <f>SUMIF('Isi Data'!B$1:B$65536,SNI!C$1:C$65536,'Isi Data'!E$1:E$65536)</f>
        <v>55000</v>
      </c>
      <c r="I452">
        <f>F452*G452</f>
        <v>3300</v>
      </c>
    </row>
    <row r="453">
      <c r="C453" t="str">
        <f>'Isi Data'!B160</f>
        <v>Kepala Tukang Kayu</v>
      </c>
      <c r="E453" t="str">
        <v>org/hr</v>
      </c>
      <c r="F453">
        <v>0.006</v>
      </c>
      <c r="G453">
        <f>SUMIF('Isi Data'!B$1:B$65536,SNI!C$1:C$65536,'Isi Data'!E$1:E$65536)</f>
        <v>60000</v>
      </c>
      <c r="I453">
        <f>F453*G453</f>
        <v>360</v>
      </c>
    </row>
    <row r="454">
      <c r="C454" t="str">
        <f>'Isi Data'!B169</f>
        <v xml:space="preserve">Mandor </v>
      </c>
      <c r="E454" t="str">
        <v>org/hr</v>
      </c>
      <c r="F454">
        <v>0.003</v>
      </c>
      <c r="G454">
        <f>SUMIF('Isi Data'!B$1:B$65536,SNI!C$1:C$65536,'Isi Data'!E$1:E$65536)</f>
        <v>50000</v>
      </c>
      <c r="I454">
        <f>F454*G454</f>
        <v>150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120000</v>
      </c>
      <c r="H459">
        <f>SUM(H460:H464)</f>
        <v>120000</v>
      </c>
      <c r="I459">
        <f>SUM(I460:I464)</f>
        <v>18040</v>
      </c>
      <c r="J459">
        <f>$J$3</f>
        <v>0.1</v>
      </c>
      <c r="K459">
        <f>SUM(H459:I459)*(1+J459)</f>
        <v>151844</v>
      </c>
      <c r="L459">
        <f>ROUND(K459,-2)</f>
        <v>151800</v>
      </c>
    </row>
    <row r="460">
      <c r="C460" t="str">
        <v>Rangka atap baja ringan</v>
      </c>
      <c r="E460" t="str">
        <v>m2</v>
      </c>
      <c r="F460">
        <v>1</v>
      </c>
      <c r="G460">
        <f>SUMIF('Isi Data'!B$1:B$65536,SNI!C$1:C$65536,'Isi Data'!E$1:E$65536)</f>
        <v>120000</v>
      </c>
      <c r="H460">
        <f>F460*G460</f>
        <v>120000</v>
      </c>
    </row>
    <row r="461">
      <c r="C461" t="str">
        <f>'Isi Data'!B168</f>
        <v>Pekerja</v>
      </c>
      <c r="E461" t="str">
        <v>org/hr</v>
      </c>
      <c r="F461">
        <f>4/50</f>
        <v>0.08</v>
      </c>
      <c r="G461">
        <f>SUMIF('Isi Data'!B$1:B$65536,SNI!C$1:C$65536,'Isi Data'!E$1:E$65536)</f>
        <v>40000</v>
      </c>
      <c r="I461">
        <f>F461*G461</f>
        <v>3200</v>
      </c>
    </row>
    <row r="462">
      <c r="C462" t="str">
        <f>'Isi Data'!B158</f>
        <v xml:space="preserve">Tukang Kayu Kasar </v>
      </c>
      <c r="E462" t="str">
        <v>org/hr</v>
      </c>
      <c r="F462">
        <f>12/50</f>
        <v>0.24</v>
      </c>
      <c r="G462">
        <f>SUMIF('Isi Data'!B$1:B$65536,SNI!C$1:C$65536,'Isi Data'!E$1:E$65536)</f>
        <v>55000</v>
      </c>
      <c r="I462">
        <f>F462*G462</f>
        <v>13200</v>
      </c>
    </row>
    <row r="463">
      <c r="C463" t="str">
        <f>'Isi Data'!B160</f>
        <v>Kepala Tukang Kayu</v>
      </c>
      <c r="E463" t="str">
        <v>org/hr</v>
      </c>
      <c r="F463">
        <f>1.2/50</f>
        <v>0.024</v>
      </c>
      <c r="G463">
        <f>SUMIF('Isi Data'!B$1:B$65536,SNI!C$1:C$65536,'Isi Data'!E$1:E$65536)</f>
        <v>60000</v>
      </c>
      <c r="I463">
        <f>F463*G463</f>
        <v>1440</v>
      </c>
    </row>
    <row r="464">
      <c r="C464" t="str">
        <f>'Isi Data'!B169</f>
        <v xml:space="preserve">Mandor </v>
      </c>
      <c r="E464" t="str">
        <v>org/hr</v>
      </c>
      <c r="F464">
        <f>0.2/50</f>
        <v>0.004</v>
      </c>
      <c r="G464">
        <f>SUMIF('Isi Data'!B$1:B$65536,SNI!C$1:C$65536,'Isi Data'!E$1:E$65536)</f>
        <v>50000</v>
      </c>
      <c r="I464">
        <f>F464*G464</f>
        <v>200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7862700.000000001</v>
      </c>
      <c r="I466">
        <f>SUM(I467:I473)</f>
        <v>902000</v>
      </c>
      <c r="J466">
        <f>$J$3</f>
        <v>0.1</v>
      </c>
      <c r="K466">
        <f>SUM(H466:I466)*(1+J466)</f>
        <v>9641170</v>
      </c>
      <c r="L466">
        <f>ROUND(K466,-2)</f>
        <v>9641200</v>
      </c>
    </row>
    <row r="467">
      <c r="C467" t="str">
        <f>'Isi Data'!B38</f>
        <v>Kayu Klas II</v>
      </c>
      <c r="D467" t="str">
        <v>balok</v>
      </c>
      <c r="E467" t="str">
        <v>m3</v>
      </c>
      <c r="F467">
        <v>1.1</v>
      </c>
      <c r="G467">
        <f>SUMIF('Isi Data'!B$1:B$65536,SNI!C$1:C$65536,'Isi Data'!E$1:E$65536)</f>
        <v>6900000</v>
      </c>
      <c r="H467">
        <f>F467*G467</f>
        <v>7590000.000000001</v>
      </c>
    </row>
    <row r="468">
      <c r="C468" t="str">
        <f>'Isi Data'!B31</f>
        <v xml:space="preserve">Besi Plat rata2 </v>
      </c>
      <c r="E468" t="str">
        <v>kg</v>
      </c>
      <c r="F468">
        <v>15</v>
      </c>
      <c r="G468">
        <f>SUMIF('Isi Data'!B$1:B$65536,SNI!C$1:C$65536,'Isi Data'!E$1:E$65536)</f>
        <v>13700</v>
      </c>
      <c r="H468">
        <f>F468*G468</f>
        <v>205500</v>
      </c>
    </row>
    <row r="469">
      <c r="C469" t="str">
        <f>'Isi Data'!B83</f>
        <v>Paku 8 s/d 12 cm</v>
      </c>
      <c r="E469" t="str">
        <v>kg</v>
      </c>
      <c r="F469">
        <v>5.6</v>
      </c>
      <c r="G469">
        <f>SUMIF('Isi Data'!B$1:B$65536,SNI!C$1:C$65536,'Isi Data'!E$1:E$65536)</f>
        <v>12000</v>
      </c>
      <c r="H469">
        <f>F469*G469</f>
        <v>67200</v>
      </c>
    </row>
    <row r="470">
      <c r="C470" t="str">
        <f>'Isi Data'!B168</f>
        <v>Pekerja</v>
      </c>
      <c r="E470" t="str">
        <v>org/hr</v>
      </c>
      <c r="F470">
        <v>4</v>
      </c>
      <c r="G470">
        <f>SUMIF('Isi Data'!B$1:B$65536,SNI!C$1:C$65536,'Isi Data'!E$1:E$65536)</f>
        <v>40000</v>
      </c>
      <c r="I470">
        <f>F470*G470</f>
        <v>160000</v>
      </c>
    </row>
    <row r="471">
      <c r="C471" t="str">
        <f>'Isi Data'!B158</f>
        <v xml:space="preserve">Tukang Kayu Kasar </v>
      </c>
      <c r="E471" t="str">
        <v>org/hr</v>
      </c>
      <c r="F471">
        <v>12</v>
      </c>
      <c r="G471">
        <f>SUMIF('Isi Data'!B$1:B$65536,SNI!C$1:C$65536,'Isi Data'!E$1:E$65536)</f>
        <v>55000</v>
      </c>
      <c r="I471">
        <f>F471*G471</f>
        <v>660000</v>
      </c>
    </row>
    <row r="472">
      <c r="C472" t="str">
        <f>'Isi Data'!B160</f>
        <v>Kepala Tukang Kayu</v>
      </c>
      <c r="E472" t="str">
        <v>org/hr</v>
      </c>
      <c r="F472">
        <v>1.2</v>
      </c>
      <c r="G472">
        <f>SUMIF('Isi Data'!B$1:B$65536,SNI!C$1:C$65536,'Isi Data'!E$1:E$65536)</f>
        <v>60000</v>
      </c>
      <c r="I472">
        <f>F472*G472</f>
        <v>72000</v>
      </c>
    </row>
    <row r="473">
      <c r="C473" t="str">
        <f>'Isi Data'!B169</f>
        <v xml:space="preserve">Mandor </v>
      </c>
      <c r="E473" t="str">
        <v>org/hr</v>
      </c>
      <c r="F473">
        <v>0.2</v>
      </c>
      <c r="G473">
        <f>SUMIF('Isi Data'!B$1:B$65536,SNI!C$1:C$65536,'Isi Data'!E$1:E$65536)</f>
        <v>50000</v>
      </c>
      <c r="I473">
        <f>F473*G473</f>
        <v>10000</v>
      </c>
    </row>
    <row r="474">
      <c r="G474">
        <f>SUMIF('Isi Data'!B$1:B$65536,SNI!C$1:C$65536,'Isi Data'!E$1:E$65536)</f>
        <v>0</v>
      </c>
    </row>
    <row r="475">
      <c r="A475" t="str">
        <v>SNI 3434:2008-6.15</v>
      </c>
      <c r="B475" t="str">
        <v>M3</v>
      </c>
      <c r="C475" t="str">
        <v>Gording Kayu</v>
      </c>
      <c r="G475">
        <f>SUMIF('Isi Data'!B$1:B$65536,SNI!C$1:C$65536,'Isi Data'!E$1:E$65536)</f>
        <v>0</v>
      </c>
      <c r="H475">
        <f>SUM(H476:H482)</f>
        <v>7831500.000000001</v>
      </c>
      <c r="I475">
        <f>SUM(I476:I482)</f>
        <v>541200</v>
      </c>
      <c r="J475">
        <f>$J$3</f>
        <v>0.1</v>
      </c>
      <c r="K475">
        <f>SUM(H475:I475)*(1+J475)</f>
        <v>9209970.000000002</v>
      </c>
      <c r="L475">
        <f>ROUND(K475,-2)</f>
        <v>9210000</v>
      </c>
    </row>
    <row r="476">
      <c r="C476" t="str">
        <f>'Isi Data'!B38</f>
        <v>Kayu Klas II</v>
      </c>
      <c r="D476" t="str">
        <v>Balok</v>
      </c>
      <c r="E476" t="str">
        <v>m3</v>
      </c>
      <c r="F476">
        <v>1.1</v>
      </c>
      <c r="G476">
        <f>SUMIF('Isi Data'!B$1:B$65536,SNI!C$1:C$65536,'Isi Data'!E$1:E$65536)</f>
        <v>6900000</v>
      </c>
      <c r="H476">
        <f>F476*G476</f>
        <v>7590000.000000001</v>
      </c>
      <c r="M476" t="str">
        <f>IF(G476=0,"edit"," ")</f>
        <v xml:space="preserve"> </v>
      </c>
    </row>
    <row r="477">
      <c r="C477" t="str">
        <f>'Isi Data'!B31</f>
        <v xml:space="preserve">Besi Plat rata2 </v>
      </c>
      <c r="E477" t="str">
        <v>kg</v>
      </c>
      <c r="F477">
        <v>15</v>
      </c>
      <c r="G477">
        <f>SUMIF('Isi Data'!B$1:B$65536,SNI!C$1:C$65536,'Isi Data'!E$1:E$65536)</f>
        <v>13700</v>
      </c>
      <c r="H477">
        <f>F477*G477</f>
        <v>205500</v>
      </c>
      <c r="M477" t="str">
        <f>IF(G477=0,"edit"," ")</f>
        <v xml:space="preserve"> </v>
      </c>
    </row>
    <row r="478">
      <c r="C478" t="str">
        <f>'Isi Data'!B83</f>
        <v>Paku 8 s/d 12 cm</v>
      </c>
      <c r="E478" t="str">
        <v>kg</v>
      </c>
      <c r="F478">
        <v>3</v>
      </c>
      <c r="G478">
        <f>SUMIF('Isi Data'!B$1:B$65536,SNI!C$1:C$65536,'Isi Data'!E$1:E$65536)</f>
        <v>12000</v>
      </c>
      <c r="H478">
        <f>F478*G478</f>
        <v>36000</v>
      </c>
      <c r="M478" t="str">
        <f>IF(G478=0,"edit"," ")</f>
        <v xml:space="preserve"> </v>
      </c>
    </row>
    <row r="479">
      <c r="C479" t="str">
        <f>'Isi Data'!B168</f>
        <v>Pekerja</v>
      </c>
      <c r="E479" t="str">
        <v>org/hr</v>
      </c>
      <c r="F479">
        <v>2.4</v>
      </c>
      <c r="G479">
        <f>SUMIF('Isi Data'!B$1:B$65536,SNI!C$1:C$65536,'Isi Data'!E$1:E$65536)</f>
        <v>40000</v>
      </c>
      <c r="I479">
        <f>F479*G479</f>
        <v>96000</v>
      </c>
      <c r="M479" t="str">
        <f>IF(G479=0,"edit"," ")</f>
        <v xml:space="preserve"> </v>
      </c>
    </row>
    <row r="480">
      <c r="C480" t="str">
        <v xml:space="preserve">Tukang Kayu Kasar </v>
      </c>
      <c r="E480" t="str">
        <v>org/hr</v>
      </c>
      <c r="F480">
        <v>7.2</v>
      </c>
      <c r="G480">
        <f>SUMIF('Isi Data'!B$1:B$65536,SNI!C$1:C$65536,'Isi Data'!E$1:E$65536)</f>
        <v>55000</v>
      </c>
      <c r="I480">
        <f>F480*G480</f>
        <v>396000</v>
      </c>
      <c r="M480" t="str">
        <f>IF(G480=0,"edit"," ")</f>
        <v xml:space="preserve"> </v>
      </c>
    </row>
    <row r="481">
      <c r="C481" t="str">
        <f>'Isi Data'!B160</f>
        <v>Kepala Tukang Kayu</v>
      </c>
      <c r="E481" t="str">
        <v>org/hr</v>
      </c>
      <c r="F481">
        <v>0.72</v>
      </c>
      <c r="G481">
        <f>SUMIF('Isi Data'!B$1:B$65536,SNI!C$1:C$65536,'Isi Data'!E$1:E$65536)</f>
        <v>60000</v>
      </c>
      <c r="I481">
        <f>F481*G481</f>
        <v>43200</v>
      </c>
      <c r="M481" t="str">
        <f>IF(G481=0,"edit"," ")</f>
        <v xml:space="preserve"> </v>
      </c>
    </row>
    <row r="482">
      <c r="C482" t="str">
        <f>'Isi Data'!B169</f>
        <v xml:space="preserve">Mandor </v>
      </c>
      <c r="E482" t="str">
        <v>org/hr</v>
      </c>
      <c r="F482">
        <v>0.12</v>
      </c>
      <c r="G482">
        <f>SUMIF('Isi Data'!B$1:B$65536,SNI!C$1:C$65536,'Isi Data'!E$1:E$65536)</f>
        <v>50000</v>
      </c>
      <c r="I482">
        <f>F482*G482</f>
        <v>6000</v>
      </c>
      <c r="M482" t="str">
        <f>IF(G482=0,"edit"," ")</f>
        <v xml:space="preserve"> </v>
      </c>
    </row>
    <row r="483">
      <c r="G483">
        <f>SUMIF('Isi Data'!B$1:B$65536,SNI!C$1:C$65536,'Isi Data'!E$1:E$65536)</f>
        <v>0</v>
      </c>
    </row>
    <row r="484">
      <c r="A484" t="str">
        <v>SNI 3434:2008-6.16</v>
      </c>
      <c r="B484" t="str">
        <v>M2</v>
      </c>
      <c r="C484" t="str">
        <v>Rangka Atap kayu</v>
      </c>
      <c r="G484">
        <f>SUMIF('Isi Data'!B$1:B$65536,SNI!C$1:C$65536,'Isi Data'!E$1:E$65536)</f>
        <v>0</v>
      </c>
      <c r="H484">
        <f>SUM(H485:H491)</f>
        <v>348000</v>
      </c>
      <c r="I484">
        <f>SUM(I485:I491)</f>
        <v>10350</v>
      </c>
      <c r="J484">
        <f>$J$3</f>
        <v>0.1</v>
      </c>
      <c r="K484">
        <f>SUM(H484:I484)*(1+J484)</f>
        <v>394185.00000000006</v>
      </c>
      <c r="L484">
        <f>ROUND(K484,-2)</f>
        <v>394200</v>
      </c>
    </row>
    <row r="485">
      <c r="C485" t="str">
        <f>'Isi Data'!B38</f>
        <v>Kayu Klas II</v>
      </c>
      <c r="D485" t="str">
        <v>kaso</v>
      </c>
      <c r="E485" t="str">
        <v>m3</v>
      </c>
      <c r="F485">
        <v>0.014</v>
      </c>
      <c r="G485">
        <f>SUMIF('Isi Data'!B$1:B$65536,SNI!C$1:C$65536,'Isi Data'!E$1:E$65536)</f>
        <v>6900000</v>
      </c>
      <c r="H485">
        <f>F485*G485</f>
        <v>96600</v>
      </c>
    </row>
    <row r="486">
      <c r="C486" t="str">
        <f>'Isi Data'!B38</f>
        <v>Kayu Klas II</v>
      </c>
      <c r="D486" t="str">
        <v>reng (0,036 m3)</v>
      </c>
      <c r="E486" t="str">
        <v>m3</v>
      </c>
      <c r="F486">
        <v>0.036</v>
      </c>
      <c r="G486">
        <f>SUMIF('Isi Data'!B$1:B$65536,SNI!C$1:C$65536,'Isi Data'!E$1:E$65536)</f>
        <v>6900000</v>
      </c>
      <c r="H486">
        <f>F486*G486</f>
        <v>248399.99999999997</v>
      </c>
    </row>
    <row r="487">
      <c r="C487" t="str">
        <f>'Isi Data'!B82</f>
        <v>Paku 5 s/d 10 cm</v>
      </c>
      <c r="E487" t="str">
        <v>kg</v>
      </c>
      <c r="F487">
        <v>0.25</v>
      </c>
      <c r="G487">
        <f>SUMIF('Isi Data'!B$1:B$65536,SNI!C$1:C$65536,'Isi Data'!E$1:E$65536)</f>
        <v>12000</v>
      </c>
      <c r="H487">
        <f>F487*G487</f>
        <v>3000</v>
      </c>
    </row>
    <row r="488">
      <c r="C488" t="str">
        <v>Pekerja</v>
      </c>
      <c r="E488" t="str">
        <v>org/hr</v>
      </c>
      <c r="F488">
        <v>0.1</v>
      </c>
      <c r="G488">
        <f>SUMIF('Isi Data'!B$1:B$65536,SNI!C$1:C$65536,'Isi Data'!E$1:E$65536)</f>
        <v>40000</v>
      </c>
      <c r="I488">
        <f>F488*G488</f>
        <v>4000</v>
      </c>
    </row>
    <row r="489">
      <c r="C489" t="str">
        <v xml:space="preserve">Tukang Kayu Kasar </v>
      </c>
      <c r="E489" t="str">
        <v>org/hr</v>
      </c>
      <c r="F489">
        <v>0.1</v>
      </c>
      <c r="G489">
        <f>SUMIF('Isi Data'!B$1:B$65536,SNI!C$1:C$65536,'Isi Data'!E$1:E$65536)</f>
        <v>55000</v>
      </c>
      <c r="I489">
        <f>F489*G489</f>
        <v>5500</v>
      </c>
    </row>
    <row r="490">
      <c r="C490" t="str">
        <v>Kepala Tukang Kayu</v>
      </c>
      <c r="E490" t="str">
        <v>org/hr</v>
      </c>
      <c r="F490">
        <v>0.01</v>
      </c>
      <c r="G490">
        <f>SUMIF('Isi Data'!B$1:B$65536,SNI!C$1:C$65536,'Isi Data'!E$1:E$65536)</f>
        <v>60000</v>
      </c>
      <c r="I490">
        <f>F490*G490</f>
        <v>600</v>
      </c>
    </row>
    <row r="491">
      <c r="C491" t="str">
        <v xml:space="preserve">Mandor </v>
      </c>
      <c r="E491" t="str">
        <v>org/hr</v>
      </c>
      <c r="F491">
        <v>0.005</v>
      </c>
      <c r="G491">
        <f>SUMIF('Isi Data'!B$1:B$65536,SNI!C$1:C$65536,'Isi Data'!E$1:E$65536)</f>
        <v>50000</v>
      </c>
      <c r="I491">
        <f>F491*G491</f>
        <v>250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62500</v>
      </c>
      <c r="I493">
        <f>SUM(I494:I498)</f>
        <v>11005</v>
      </c>
      <c r="J493">
        <f>$J$3</f>
        <v>0.1</v>
      </c>
      <c r="K493">
        <f>SUM(H493:I493)*(1+J493)</f>
        <v>80855.5</v>
      </c>
      <c r="L493">
        <f>ROUND(K493,-2)</f>
        <v>80900</v>
      </c>
    </row>
    <row r="494">
      <c r="C494" t="str">
        <f>'Isi Data'!B69</f>
        <v xml:space="preserve">Genteng Keramik </v>
      </c>
      <c r="E494" t="str">
        <v>bh</v>
      </c>
      <c r="F494">
        <v>25</v>
      </c>
      <c r="G494">
        <f>SUMIF('Isi Data'!B$1:B$65536,SNI!C$1:C$65536,'Isi Data'!E$1:E$65536)</f>
        <v>2500</v>
      </c>
      <c r="H494">
        <f>F494*G494</f>
        <v>62500</v>
      </c>
      <c r="M494" t="str">
        <f>IF(G494=0,"edit"," ")</f>
        <v xml:space="preserve"> </v>
      </c>
    </row>
    <row r="495">
      <c r="C495" t="str">
        <f>'Isi Data'!B168</f>
        <v>Pekerja</v>
      </c>
      <c r="E495" t="str">
        <v>org/hr</v>
      </c>
      <c r="F495">
        <v>0.15</v>
      </c>
      <c r="G495">
        <f>SUMIF('Isi Data'!B$1:B$65536,SNI!C$1:C$65536,'Isi Data'!E$1:E$65536)</f>
        <v>40000</v>
      </c>
      <c r="I495">
        <f>F495*G495</f>
        <v>6000</v>
      </c>
      <c r="M495" t="str">
        <f>IF(G495=0,"edit"," ")</f>
        <v xml:space="preserve"> </v>
      </c>
    </row>
    <row r="496">
      <c r="C496" t="str">
        <f>'Isi Data'!B161</f>
        <v>Tukang Batu Kasar</v>
      </c>
      <c r="E496" t="str">
        <v>org/hr</v>
      </c>
      <c r="F496">
        <v>0.075</v>
      </c>
      <c r="G496">
        <f>SUMIF('Isi Data'!B$1:B$65536,SNI!C$1:C$65536,'Isi Data'!E$1:E$65536)</f>
        <v>55000</v>
      </c>
      <c r="I496">
        <f>F496*G496</f>
        <v>4125</v>
      </c>
      <c r="M496" t="str">
        <f>IF(G496=0,"edit"," ")</f>
        <v xml:space="preserve"> </v>
      </c>
    </row>
    <row r="497">
      <c r="C497" t="str">
        <f>'Isi Data'!B163</f>
        <v>Kepala Tukang Batu</v>
      </c>
      <c r="E497" t="str">
        <v>org/hr</v>
      </c>
      <c r="F497">
        <v>0.008</v>
      </c>
      <c r="G497">
        <f>SUMIF('Isi Data'!B$1:B$65536,SNI!C$1:C$65536,'Isi Data'!E$1:E$65536)</f>
        <v>60000</v>
      </c>
      <c r="I497">
        <f>F497*G497</f>
        <v>480</v>
      </c>
      <c r="M497" t="str">
        <f>IF(G497=0,"edit"," ")</f>
        <v xml:space="preserve"> </v>
      </c>
    </row>
    <row r="498">
      <c r="C498" t="str">
        <f>'Isi Data'!B169</f>
        <v xml:space="preserve">Mandor </v>
      </c>
      <c r="E498" t="str">
        <v>org/hr</v>
      </c>
      <c r="F498">
        <v>0.008</v>
      </c>
      <c r="G498">
        <f>SUMIF('Isi Data'!B$1:B$65536,SNI!C$1:C$65536,'Isi Data'!E$1:E$65536)</f>
        <v>50000</v>
      </c>
      <c r="I498">
        <f>F498*G498</f>
        <v>400</v>
      </c>
      <c r="M498" t="str">
        <f>IF(G498=0,"edit"," ")</f>
        <v xml:space="preserve"> </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84100</v>
      </c>
      <c r="I500">
        <f>SUM(I501:I505)</f>
        <v>11005</v>
      </c>
      <c r="J500">
        <f>$J$3</f>
        <v>0.1</v>
      </c>
      <c r="K500">
        <f>SUM(H500:I500)*(1+J500)</f>
        <v>104615.50000000001</v>
      </c>
      <c r="L500">
        <f>ROUND(K500,-2)</f>
        <v>104600</v>
      </c>
    </row>
    <row r="501">
      <c r="C501" t="str">
        <f>'Isi Data'!B70</f>
        <v>Genteng Keramik Glazur</v>
      </c>
      <c r="E501" t="str">
        <v>bh</v>
      </c>
      <c r="F501">
        <v>14.5</v>
      </c>
      <c r="G501">
        <f>SUMIF('Isi Data'!B$1:B$65536,SNI!C$1:C$65536,'Isi Data'!E$1:E$65536)</f>
        <v>5800</v>
      </c>
      <c r="H501">
        <f>F501*G501</f>
        <v>84100</v>
      </c>
    </row>
    <row r="502">
      <c r="C502" t="str">
        <f>'Isi Data'!B168</f>
        <v>Pekerja</v>
      </c>
      <c r="E502" t="str">
        <v>org/hr</v>
      </c>
      <c r="F502">
        <v>0.15</v>
      </c>
      <c r="G502">
        <f>SUMIF('Isi Data'!B$1:B$65536,SNI!C$1:C$65536,'Isi Data'!E$1:E$65536)</f>
        <v>40000</v>
      </c>
      <c r="I502">
        <f>F502*G502</f>
        <v>6000</v>
      </c>
    </row>
    <row r="503">
      <c r="C503" t="str">
        <f>'Isi Data'!B161</f>
        <v>Tukang Batu Kasar</v>
      </c>
      <c r="E503" t="str">
        <v>org/hr</v>
      </c>
      <c r="F503">
        <v>0.075</v>
      </c>
      <c r="G503">
        <f>SUMIF('Isi Data'!B$1:B$65536,SNI!C$1:C$65536,'Isi Data'!E$1:E$65536)</f>
        <v>55000</v>
      </c>
      <c r="I503">
        <f>F503*G503</f>
        <v>4125</v>
      </c>
    </row>
    <row r="504">
      <c r="C504" t="str">
        <f>'Isi Data'!B163</f>
        <v>Kepala Tukang Batu</v>
      </c>
      <c r="E504" t="str">
        <v>org/hr</v>
      </c>
      <c r="F504">
        <v>0.008</v>
      </c>
      <c r="G504">
        <f>SUMIF('Isi Data'!B$1:B$65536,SNI!C$1:C$65536,'Isi Data'!E$1:E$65536)</f>
        <v>60000</v>
      </c>
      <c r="I504">
        <f>F504*G504</f>
        <v>480</v>
      </c>
    </row>
    <row r="505">
      <c r="C505" t="str">
        <f>'Isi Data'!B169</f>
        <v xml:space="preserve">Mandor </v>
      </c>
      <c r="E505" t="str">
        <v>org/hr</v>
      </c>
      <c r="F505">
        <v>0.008</v>
      </c>
      <c r="G505">
        <f>SUMIF('Isi Data'!B$1:B$65536,SNI!C$1:C$65536,'Isi Data'!E$1:E$65536)</f>
        <v>50000</v>
      </c>
      <c r="I505">
        <f>F505*G505</f>
        <v>400</v>
      </c>
    </row>
    <row r="506">
      <c r="G506">
        <f>SUMIF('Isi Data'!B$1:B$65536,SNI!C$1:C$65536,'Isi Data'!E$1:E$65536)</f>
        <v>0</v>
      </c>
    </row>
    <row r="507">
      <c r="A507" t="str">
        <v>SNI 02-3436-1994</v>
      </c>
      <c r="B507" t="str">
        <v>M2</v>
      </c>
      <c r="C507" t="str">
        <v>Bubungan Genteng Keramik</v>
      </c>
      <c r="G507">
        <f>SUMIF('Isi Data'!B$1:B$65536,SNI!C$1:C$65536,'Isi Data'!E$1:E$65536)</f>
        <v>0</v>
      </c>
      <c r="H507">
        <f>SUM(H508:H514)</f>
        <v>49756</v>
      </c>
      <c r="I507">
        <f>SUM(I508:I514)</f>
        <v>28300</v>
      </c>
      <c r="J507">
        <f>$J$3</f>
        <v>0.1</v>
      </c>
      <c r="K507">
        <f>SUM(H507:I507)*(1+J507)</f>
        <v>85861.6</v>
      </c>
      <c r="L507">
        <f>ROUND(K507,-2)</f>
        <v>85900</v>
      </c>
    </row>
    <row r="508">
      <c r="C508" t="str">
        <f>'Isi Data'!B71</f>
        <v>Nok Genteng Keramik</v>
      </c>
      <c r="E508" t="str">
        <v>bh</v>
      </c>
      <c r="F508">
        <v>5</v>
      </c>
      <c r="G508">
        <f>SUMIF('Isi Data'!B$1:B$65536,SNI!C$1:C$65536,'Isi Data'!E$1:E$65536)</f>
        <v>6100</v>
      </c>
      <c r="H508">
        <f>F508*G508</f>
        <v>30500</v>
      </c>
    </row>
    <row r="509">
      <c r="C509" t="str">
        <f>'Isi Data'!B25</f>
        <v>Semen (50 Kg)</v>
      </c>
      <c r="E509" t="str">
        <v>zak</v>
      </c>
      <c r="F509">
        <v>0.216</v>
      </c>
      <c r="G509">
        <f>SUMIF('Isi Data'!B$1:B$65536,SNI!C$1:C$65536,'Isi Data'!E$1:E$65536)</f>
        <v>61000</v>
      </c>
      <c r="H509">
        <f>F509*G509</f>
        <v>13176</v>
      </c>
    </row>
    <row r="510">
      <c r="C510" t="str">
        <f>'Isi Data'!B20</f>
        <v>Pasir Pasang</v>
      </c>
      <c r="E510" t="str">
        <v>m3</v>
      </c>
      <c r="F510">
        <v>0.032</v>
      </c>
      <c r="G510">
        <f>SUMIF('Isi Data'!B$1:B$65536,SNI!C$1:C$65536,'Isi Data'!E$1:E$65536)</f>
        <v>190000</v>
      </c>
      <c r="H510">
        <f>F510*G510</f>
        <v>6080</v>
      </c>
    </row>
    <row r="511">
      <c r="C511" t="str">
        <f>'Isi Data'!B168</f>
        <v>Pekerja</v>
      </c>
      <c r="E511" t="str">
        <v>org/hr</v>
      </c>
      <c r="F511">
        <v>0.4</v>
      </c>
      <c r="G511">
        <f>SUMIF('Isi Data'!B$1:B$65536,SNI!C$1:C$65536,'Isi Data'!E$1:E$65536)</f>
        <v>40000</v>
      </c>
      <c r="I511">
        <f>F511*G511</f>
        <v>16000</v>
      </c>
    </row>
    <row r="512">
      <c r="C512" t="str">
        <f>'Isi Data'!B161</f>
        <v>Tukang Batu Kasar</v>
      </c>
      <c r="E512" t="str">
        <v>org/hr</v>
      </c>
      <c r="F512">
        <v>0.2</v>
      </c>
      <c r="G512">
        <f>SUMIF('Isi Data'!B$1:B$65536,SNI!C$1:C$65536,'Isi Data'!E$1:E$65536)</f>
        <v>55000</v>
      </c>
      <c r="I512">
        <f>F512*G512</f>
        <v>11000</v>
      </c>
    </row>
    <row r="513">
      <c r="C513" t="str">
        <f>'Isi Data'!B163</f>
        <v>Kepala Tukang Batu</v>
      </c>
      <c r="E513" t="str">
        <v>org/hr</v>
      </c>
      <c r="F513">
        <v>0.02</v>
      </c>
      <c r="G513">
        <f>SUMIF('Isi Data'!B$1:B$65536,SNI!C$1:C$65536,'Isi Data'!E$1:E$65536)</f>
        <v>60000</v>
      </c>
      <c r="I513">
        <f>F513*G513</f>
        <v>1200</v>
      </c>
    </row>
    <row r="514">
      <c r="C514" t="str">
        <f>'Isi Data'!B169</f>
        <v xml:space="preserve">Mandor </v>
      </c>
      <c r="E514" t="str">
        <v>org/hr</v>
      </c>
      <c r="F514">
        <v>0.002</v>
      </c>
      <c r="G514">
        <f>SUMIF('Isi Data'!B$1:B$65536,SNI!C$1:C$65536,'Isi Data'!E$1:E$65536)</f>
        <v>50000</v>
      </c>
      <c r="I514">
        <f>F514*G514</f>
        <v>100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58256</v>
      </c>
      <c r="I516">
        <f>SUM(I517:I523)</f>
        <v>28300</v>
      </c>
      <c r="J516">
        <f>$J$3</f>
        <v>0.1</v>
      </c>
      <c r="K516">
        <f>SUM(H516:I516)*(1+J516)</f>
        <v>95211.6</v>
      </c>
      <c r="L516">
        <f>ROUND(K516,-2)</f>
        <v>95200</v>
      </c>
    </row>
    <row r="517">
      <c r="C517" t="str">
        <f>'Isi Data'!B72</f>
        <v>Nok Genteng Keramik Glasur</v>
      </c>
      <c r="E517" t="str">
        <v>bh</v>
      </c>
      <c r="F517">
        <v>5</v>
      </c>
      <c r="G517">
        <f>SUMIF('Isi Data'!B$1:B$65536,SNI!C$1:C$65536,'Isi Data'!E$1:E$65536)</f>
        <v>7800</v>
      </c>
      <c r="H517">
        <f>F517*G517</f>
        <v>39000</v>
      </c>
      <c r="M517" t="str">
        <f>IF(G517=0,"edit"," ")</f>
        <v xml:space="preserve"> </v>
      </c>
    </row>
    <row r="518">
      <c r="C518" t="str">
        <f>'Isi Data'!B25</f>
        <v>Semen (50 Kg)</v>
      </c>
      <c r="E518" t="str">
        <v>zak</v>
      </c>
      <c r="F518">
        <v>0.216</v>
      </c>
      <c r="G518">
        <f>SUMIF('Isi Data'!B$1:B$65536,SNI!C$1:C$65536,'Isi Data'!E$1:E$65536)</f>
        <v>61000</v>
      </c>
      <c r="H518">
        <f>F518*G518</f>
        <v>13176</v>
      </c>
      <c r="M518" t="str">
        <f>IF(G518=0,"edit"," ")</f>
        <v xml:space="preserve"> </v>
      </c>
    </row>
    <row r="519">
      <c r="C519" t="str">
        <f>'Isi Data'!B20</f>
        <v>Pasir Pasang</v>
      </c>
      <c r="E519" t="str">
        <v>m3</v>
      </c>
      <c r="F519">
        <v>0.032</v>
      </c>
      <c r="G519">
        <f>SUMIF('Isi Data'!B$1:B$65536,SNI!C$1:C$65536,'Isi Data'!E$1:E$65536)</f>
        <v>190000</v>
      </c>
      <c r="H519">
        <f>F519*G519</f>
        <v>6080</v>
      </c>
      <c r="M519" t="str">
        <f>IF(G519=0,"edit"," ")</f>
        <v xml:space="preserve"> </v>
      </c>
    </row>
    <row r="520">
      <c r="C520" t="str">
        <f>'Isi Data'!B168</f>
        <v>Pekerja</v>
      </c>
      <c r="E520" t="str">
        <v>org/hr</v>
      </c>
      <c r="F520">
        <v>0.4</v>
      </c>
      <c r="G520">
        <f>SUMIF('Isi Data'!B$1:B$65536,SNI!C$1:C$65536,'Isi Data'!E$1:E$65536)</f>
        <v>40000</v>
      </c>
      <c r="I520">
        <f>F520*G520</f>
        <v>16000</v>
      </c>
      <c r="M520" t="str">
        <f>IF(G520=0,"edit"," ")</f>
        <v xml:space="preserve"> </v>
      </c>
    </row>
    <row r="521">
      <c r="C521" t="str">
        <f>'Isi Data'!B161</f>
        <v>Tukang Batu Kasar</v>
      </c>
      <c r="E521" t="str">
        <v>org/hr</v>
      </c>
      <c r="F521">
        <v>0.2</v>
      </c>
      <c r="G521">
        <f>SUMIF('Isi Data'!B$1:B$65536,SNI!C$1:C$65536,'Isi Data'!E$1:E$65536)</f>
        <v>55000</v>
      </c>
      <c r="I521">
        <f>F521*G521</f>
        <v>11000</v>
      </c>
      <c r="M521" t="str">
        <f>IF(G521=0,"edit"," ")</f>
        <v xml:space="preserve"> </v>
      </c>
    </row>
    <row r="522">
      <c r="C522" t="str">
        <f>'Isi Data'!B163</f>
        <v>Kepala Tukang Batu</v>
      </c>
      <c r="E522" t="str">
        <v>org/hr</v>
      </c>
      <c r="F522">
        <v>0.02</v>
      </c>
      <c r="G522">
        <f>SUMIF('Isi Data'!B$1:B$65536,SNI!C$1:C$65536,'Isi Data'!E$1:E$65536)</f>
        <v>60000</v>
      </c>
      <c r="I522">
        <f>F522*G522</f>
        <v>1200</v>
      </c>
      <c r="M522" t="str">
        <f>IF(G522=0,"edit"," ")</f>
        <v xml:space="preserve"> </v>
      </c>
    </row>
    <row r="523">
      <c r="C523" t="str">
        <f>'Isi Data'!B169</f>
        <v xml:space="preserve">Mandor </v>
      </c>
      <c r="E523" t="str">
        <v>org/hr</v>
      </c>
      <c r="F523">
        <v>0.002</v>
      </c>
      <c r="G523">
        <f>SUMIF('Isi Data'!B$1:B$65536,SNI!C$1:C$65536,'Isi Data'!E$1:E$65536)</f>
        <v>50000</v>
      </c>
      <c r="I523">
        <f>F523*G523</f>
        <v>100</v>
      </c>
      <c r="M523" t="str">
        <f>IF(G523=0,"edit"," ")</f>
        <v xml:space="preserve"> </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75720</v>
      </c>
      <c r="I525">
        <f>SUM(I526:I531)</f>
        <v>16450</v>
      </c>
      <c r="J525">
        <f>$J$3</f>
        <v>0.1</v>
      </c>
      <c r="K525">
        <f>SUM(H525:I525)*(1+J525)</f>
        <v>101387.00000000001</v>
      </c>
      <c r="L525">
        <f>ROUND(K525,-2)</f>
        <v>101400</v>
      </c>
    </row>
    <row r="526">
      <c r="C526" t="str">
        <f>'Isi Data'!B38</f>
        <v>Kayu Klas II</v>
      </c>
      <c r="D526" t="str">
        <v xml:space="preserve">papan uk. 3/20 </v>
      </c>
      <c r="E526" t="str">
        <v>m3</v>
      </c>
      <c r="F526">
        <v>0.0108</v>
      </c>
      <c r="G526">
        <f>SUMIF('Isi Data'!B$1:B$65536,SNI!C$1:C$65536,'Isi Data'!E$1:E$65536)</f>
        <v>6900000</v>
      </c>
      <c r="H526">
        <f>F526*G526</f>
        <v>74520</v>
      </c>
    </row>
    <row r="527">
      <c r="C527" t="str">
        <f>'Isi Data'!B82</f>
        <v>Paku 5 s/d 10 cm</v>
      </c>
      <c r="E527" t="str">
        <v>kg</v>
      </c>
      <c r="F527">
        <v>0.1</v>
      </c>
      <c r="G527">
        <f>SUMIF('Isi Data'!B$1:B$65536,SNI!C$1:C$65536,'Isi Data'!E$1:E$65536)</f>
        <v>12000</v>
      </c>
      <c r="H527">
        <f>F527*G527</f>
        <v>1200</v>
      </c>
    </row>
    <row r="528">
      <c r="C528" t="str">
        <v>Pekerja</v>
      </c>
      <c r="E528" t="str">
        <v>org/hr</v>
      </c>
      <c r="F528">
        <v>0.1</v>
      </c>
      <c r="G528">
        <f>SUMIF('Isi Data'!B$1:B$65536,SNI!C$1:C$65536,'Isi Data'!E$1:E$65536)</f>
        <v>40000</v>
      </c>
      <c r="I528">
        <f>F528*G528</f>
        <v>4000</v>
      </c>
    </row>
    <row r="529">
      <c r="C529" t="str">
        <v xml:space="preserve">Tukang Kayu Kasar </v>
      </c>
      <c r="E529" t="str">
        <v>org/hr</v>
      </c>
      <c r="F529">
        <v>0.2</v>
      </c>
      <c r="G529">
        <f>SUMIF('Isi Data'!B$1:B$65536,SNI!C$1:C$65536,'Isi Data'!E$1:E$65536)</f>
        <v>55000</v>
      </c>
      <c r="I529">
        <f>F529*G529</f>
        <v>11000</v>
      </c>
    </row>
    <row r="530">
      <c r="C530" t="str">
        <v>Kepala Tukang Kayu</v>
      </c>
      <c r="E530" t="str">
        <v>org/hr</v>
      </c>
      <c r="F530">
        <v>0.02</v>
      </c>
      <c r="G530">
        <f>SUMIF('Isi Data'!B$1:B$65536,SNI!C$1:C$65536,'Isi Data'!E$1:E$65536)</f>
        <v>60000</v>
      </c>
      <c r="I530">
        <f>F530*G530</f>
        <v>1200</v>
      </c>
    </row>
    <row r="531">
      <c r="C531" t="str">
        <v xml:space="preserve">Mandor </v>
      </c>
      <c r="E531" t="str">
        <v>org/hr</v>
      </c>
      <c r="F531">
        <v>0.005</v>
      </c>
      <c r="G531">
        <f>SUMIF('Isi Data'!B$1:B$65536,SNI!C$1:C$65536,'Isi Data'!E$1:E$65536)</f>
        <v>50000</v>
      </c>
      <c r="I531">
        <f>F531*G531</f>
        <v>250</v>
      </c>
    </row>
    <row r="532">
      <c r="G532">
        <f>SUMIF('Isi Data'!B$1:B$65536,SNI!C$1:C$65536,'Isi Data'!E$1:E$65536)</f>
        <v>0</v>
      </c>
    </row>
    <row r="533">
      <c r="B533" t="str">
        <v>M1</v>
      </c>
      <c r="C533" t="str">
        <v>Pas. Fleshing seng plat</v>
      </c>
      <c r="G533">
        <f>SUMIF('Isi Data'!B$1:B$65536,SNI!C$1:C$65536,'Isi Data'!E$1:E$65536)</f>
        <v>0</v>
      </c>
      <c r="H533">
        <f>SUM(H534:H539)</f>
        <v>30450</v>
      </c>
      <c r="I533">
        <f>SUM(I534:I539)</f>
        <v>16450</v>
      </c>
      <c r="J533">
        <f>$J$3</f>
        <v>0.1</v>
      </c>
      <c r="K533">
        <f>SUM(H533:I533)*(1+J533)</f>
        <v>51590.00000000001</v>
      </c>
      <c r="L533">
        <f>ROUND(K533,-2)</f>
        <v>51600</v>
      </c>
    </row>
    <row r="534">
      <c r="C534" t="str">
        <f>'Isi Data'!B73</f>
        <v>Seng Plat BJLS 30</v>
      </c>
      <c r="D534" t="str">
        <v xml:space="preserve">uk. 3/20 </v>
      </c>
      <c r="E534" t="str">
        <v>m2</v>
      </c>
      <c r="F534">
        <v>0.45</v>
      </c>
      <c r="G534">
        <f>SUMIF('Isi Data'!B$1:B$65536,SNI!C$1:C$65536,'Isi Data'!E$1:E$65536)</f>
        <v>65000</v>
      </c>
      <c r="H534">
        <f>F534*G534</f>
        <v>29250</v>
      </c>
    </row>
    <row r="535">
      <c r="C535" t="str">
        <f>'Isi Data'!B82</f>
        <v>Paku 5 s/d 10 cm</v>
      </c>
      <c r="E535" t="str">
        <v>kg</v>
      </c>
      <c r="F535">
        <v>0.1</v>
      </c>
      <c r="G535">
        <f>SUMIF('Isi Data'!B$1:B$65536,SNI!C$1:C$65536,'Isi Data'!E$1:E$65536)</f>
        <v>12000</v>
      </c>
      <c r="H535">
        <f>F535*G535</f>
        <v>1200</v>
      </c>
    </row>
    <row r="536">
      <c r="C536" t="str">
        <f>'Isi Data'!B168</f>
        <v>Pekerja</v>
      </c>
      <c r="E536" t="str">
        <v>org/hr</v>
      </c>
      <c r="F536">
        <v>0.1</v>
      </c>
      <c r="G536">
        <f>SUMIF('Isi Data'!B$1:B$65536,SNI!C$1:C$65536,'Isi Data'!E$1:E$65536)</f>
        <v>40000</v>
      </c>
      <c r="I536">
        <f>F536*G536</f>
        <v>4000</v>
      </c>
    </row>
    <row r="537">
      <c r="C537" t="str">
        <f>'Isi Data'!B158</f>
        <v xml:space="preserve">Tukang Kayu Kasar </v>
      </c>
      <c r="E537" t="str">
        <v>org/hr</v>
      </c>
      <c r="F537">
        <v>0.2</v>
      </c>
      <c r="G537">
        <f>SUMIF('Isi Data'!B$1:B$65536,SNI!C$1:C$65536,'Isi Data'!E$1:E$65536)</f>
        <v>55000</v>
      </c>
      <c r="I537">
        <f>F537*G537</f>
        <v>11000</v>
      </c>
    </row>
    <row r="538">
      <c r="C538" t="str">
        <f>'Isi Data'!B160</f>
        <v>Kepala Tukang Kayu</v>
      </c>
      <c r="E538" t="str">
        <v>org/hr</v>
      </c>
      <c r="F538">
        <v>0.02</v>
      </c>
      <c r="G538">
        <f>SUMIF('Isi Data'!B$1:B$65536,SNI!C$1:C$65536,'Isi Data'!E$1:E$65536)</f>
        <v>60000</v>
      </c>
      <c r="I538">
        <f>F538*G538</f>
        <v>1200</v>
      </c>
    </row>
    <row r="539">
      <c r="C539" t="str">
        <f>'Isi Data'!B169</f>
        <v xml:space="preserve">Mandor </v>
      </c>
      <c r="E539" t="str">
        <v>org/hr</v>
      </c>
      <c r="F539">
        <v>0.005</v>
      </c>
      <c r="G539">
        <f>SUMIF('Isi Data'!B$1:B$65536,SNI!C$1:C$65536,'Isi Data'!E$1:E$65536)</f>
        <v>50000</v>
      </c>
      <c r="I539">
        <f>F539*G539</f>
        <v>250</v>
      </c>
    </row>
    <row r="540">
      <c r="G540">
        <f>SUMIF('Isi Data'!B$1:B$65536,SNI!C$1:C$65536,'Isi Data'!E$1:E$65536)</f>
        <v>0</v>
      </c>
    </row>
    <row r="541">
      <c r="A541" t="str">
        <v>SNI 7393:2008-6.19</v>
      </c>
      <c r="B541" t="str">
        <v>M1</v>
      </c>
      <c r="C541" t="str">
        <v>Pas. Talang seng plat</v>
      </c>
      <c r="G541">
        <f>SUMIF('Isi Data'!B$1:B$65536,SNI!C$1:C$65536,'Isi Data'!E$1:E$65536)</f>
        <v>0</v>
      </c>
      <c r="H541">
        <f>SUM(H542:H548)</f>
        <v>75220</v>
      </c>
      <c r="I541">
        <f>SUM(I542:I548)</f>
        <v>24700</v>
      </c>
      <c r="J541">
        <f>$J$3</f>
        <v>0.1</v>
      </c>
      <c r="K541">
        <f>SUM(H541:I541)*(1+J541)</f>
        <v>109912.00000000001</v>
      </c>
      <c r="L541">
        <f>ROUND(K541,-2)</f>
        <v>109900</v>
      </c>
    </row>
    <row r="542">
      <c r="C542" t="str">
        <f>'Isi Data'!B73</f>
        <v>Seng Plat BJLS 30</v>
      </c>
      <c r="D542" t="str">
        <v xml:space="preserve">uk. 3/20 </v>
      </c>
      <c r="E542" t="str">
        <v>m2</v>
      </c>
      <c r="F542">
        <v>1.05</v>
      </c>
      <c r="G542">
        <f>SUMIF('Isi Data'!B$1:B$65536,SNI!C$1:C$65536,'Isi Data'!E$1:E$65536)</f>
        <v>65000</v>
      </c>
      <c r="H542">
        <f>F542*G542</f>
        <v>68250</v>
      </c>
      <c r="M542" t="str">
        <f>IF(G542=0,"edit"," ")</f>
        <v xml:space="preserve"> </v>
      </c>
    </row>
    <row r="543">
      <c r="C543" t="str">
        <f>'Isi Data'!B81</f>
        <v>Paku 1 s/d 3 cm</v>
      </c>
      <c r="E543" t="str">
        <v>kg</v>
      </c>
      <c r="F543">
        <v>0.01</v>
      </c>
      <c r="G543">
        <f>SUMIF('Isi Data'!B$1:B$65536,SNI!C$1:C$65536,'Isi Data'!E$1:E$65536)</f>
        <v>12000</v>
      </c>
      <c r="H543">
        <f>F543*G543</f>
        <v>120</v>
      </c>
      <c r="M543" t="str">
        <f>IF(G543=0,"edit"," ")</f>
        <v xml:space="preserve"> </v>
      </c>
    </row>
    <row r="544">
      <c r="C544" t="str">
        <f>'Isi Data'!B31</f>
        <v xml:space="preserve">Besi Plat rata2 </v>
      </c>
      <c r="E544" t="str">
        <v>kg</v>
      </c>
      <c r="F544">
        <v>0.5</v>
      </c>
      <c r="G544">
        <f>SUMIF('Isi Data'!B$1:B$65536,SNI!C$1:C$65536,'Isi Data'!E$1:E$65536)</f>
        <v>13700</v>
      </c>
      <c r="H544">
        <f>F544*G544</f>
        <v>6850</v>
      </c>
    </row>
    <row r="545">
      <c r="C545" t="str">
        <f>'Isi Data'!B168</f>
        <v>Pekerja</v>
      </c>
      <c r="E545" t="str">
        <v>org/hr</v>
      </c>
      <c r="F545">
        <v>0.15</v>
      </c>
      <c r="G545">
        <f>SUMIF('Isi Data'!B$1:B$65536,SNI!C$1:C$65536,'Isi Data'!E$1:E$65536)</f>
        <v>40000</v>
      </c>
      <c r="I545">
        <f>F545*G545</f>
        <v>6000</v>
      </c>
      <c r="M545" t="str">
        <f>IF(G545=0,"edit"," ")</f>
        <v xml:space="preserve"> </v>
      </c>
    </row>
    <row r="546">
      <c r="C546" t="str">
        <f>'Isi Data'!B158</f>
        <v xml:space="preserve">Tukang Kayu Kasar </v>
      </c>
      <c r="E546" t="str">
        <v>org/hr</v>
      </c>
      <c r="F546">
        <v>0.3</v>
      </c>
      <c r="G546">
        <f>SUMIF('Isi Data'!B$1:B$65536,SNI!C$1:C$65536,'Isi Data'!E$1:E$65536)</f>
        <v>55000</v>
      </c>
      <c r="I546">
        <f>F546*G546</f>
        <v>16500</v>
      </c>
      <c r="M546" t="str">
        <f>IF(G546=0,"edit"," ")</f>
        <v xml:space="preserve"> </v>
      </c>
    </row>
    <row r="547">
      <c r="C547" t="str">
        <f>'Isi Data'!B160</f>
        <v>Kepala Tukang Kayu</v>
      </c>
      <c r="E547" t="str">
        <v>org/hr</v>
      </c>
      <c r="F547">
        <v>0.03</v>
      </c>
      <c r="G547">
        <f>SUMIF('Isi Data'!B$1:B$65536,SNI!C$1:C$65536,'Isi Data'!E$1:E$65536)</f>
        <v>60000</v>
      </c>
      <c r="I547">
        <f>F547*G547</f>
        <v>1800</v>
      </c>
      <c r="M547" t="str">
        <f>IF(G547=0,"edit"," ")</f>
        <v xml:space="preserve"> </v>
      </c>
    </row>
    <row r="548">
      <c r="C548" t="str">
        <f>'Isi Data'!B169</f>
        <v xml:space="preserve">Mandor </v>
      </c>
      <c r="E548" t="str">
        <v>org/hr</v>
      </c>
      <c r="F548">
        <v>0.008</v>
      </c>
      <c r="G548">
        <f>SUMIF('Isi Data'!B$1:B$65536,SNI!C$1:C$65536,'Isi Data'!E$1:E$65536)</f>
        <v>50000</v>
      </c>
      <c r="I548">
        <f>F548*G548</f>
        <v>400</v>
      </c>
      <c r="M548" t="str">
        <f>IF(G548=0,"edit"," ")</f>
        <v xml:space="preserve"> </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17250</v>
      </c>
      <c r="I552">
        <f>SUM(I553:I559)</f>
        <v>4768</v>
      </c>
      <c r="J552">
        <f>$J$3</f>
        <v>0.1</v>
      </c>
      <c r="K552">
        <f>SUM(H552:I552)*(1+J552)</f>
        <v>24219.800000000003</v>
      </c>
      <c r="L552">
        <f>ROUND(K552,-2)</f>
        <v>24200</v>
      </c>
    </row>
    <row r="553">
      <c r="C553" t="str">
        <f>'Isi Data'!B96</f>
        <v xml:space="preserve">Plamir Tembok </v>
      </c>
      <c r="D553" t="str">
        <v>( 1 Lapis Plamir + 1 Lapis Cat Dasar + 2 Lapis + 2 Lapis Cat Penutup )</v>
      </c>
      <c r="E553" t="str">
        <v>kg</v>
      </c>
      <c r="F553">
        <v>0.1</v>
      </c>
      <c r="G553">
        <f>SUMIF('Isi Data'!B$1:B$65536,SNI!C$1:C$65536,'Isi Data'!E$1:E$65536)</f>
        <v>10500</v>
      </c>
      <c r="H553">
        <f>F553*G553</f>
        <v>1050</v>
      </c>
      <c r="M553" t="str">
        <f>IF(G553=0,"edit"," ")</f>
        <v xml:space="preserve"> </v>
      </c>
    </row>
    <row r="554">
      <c r="C554" t="str">
        <f>'Isi Data'!B94</f>
        <v>Cat Tembok kw1</v>
      </c>
      <c r="E554" t="str">
        <v>kg</v>
      </c>
      <c r="F554">
        <v>0.1</v>
      </c>
      <c r="G554">
        <f>SUMIF('Isi Data'!B$1:B$65536,SNI!C$1:C$65536,'Isi Data'!E$1:E$65536)</f>
        <v>45000</v>
      </c>
      <c r="H554">
        <f>F554*G554</f>
        <v>4500</v>
      </c>
      <c r="M554" t="str">
        <f>IF(G554=0,"edit"," ")</f>
        <v xml:space="preserve"> </v>
      </c>
    </row>
    <row r="555">
      <c r="C555" t="str">
        <f>'Isi Data'!B94</f>
        <v>Cat Tembok kw1</v>
      </c>
      <c r="E555" t="str">
        <v>kg</v>
      </c>
      <c r="F555">
        <v>0.26</v>
      </c>
      <c r="G555">
        <f>SUMIF('Isi Data'!B$1:B$65536,SNI!C$1:C$65536,'Isi Data'!E$1:E$65536)</f>
        <v>45000</v>
      </c>
      <c r="H555">
        <f>F555*G555</f>
        <v>11700</v>
      </c>
      <c r="M555" t="str">
        <f>IF(G555=0,"edit"," ")</f>
        <v xml:space="preserve"> </v>
      </c>
    </row>
    <row r="556">
      <c r="C556" t="str">
        <f>'Isi Data'!B168</f>
        <v>Pekerja</v>
      </c>
      <c r="E556" t="str">
        <v>org/hr</v>
      </c>
      <c r="F556">
        <v>0.02</v>
      </c>
      <c r="G556">
        <f>SUMIF('Isi Data'!B$1:B$65536,SNI!C$1:C$65536,'Isi Data'!E$1:E$65536)</f>
        <v>40000</v>
      </c>
      <c r="I556">
        <f>F556*G556</f>
        <v>800</v>
      </c>
      <c r="M556" t="str">
        <f>IF(G556=0,"edit"," ")</f>
        <v xml:space="preserve"> </v>
      </c>
    </row>
    <row r="557">
      <c r="C557" t="str">
        <f>'Isi Data'!B164</f>
        <v>Tukang Cat Biasa</v>
      </c>
      <c r="E557" t="str">
        <v>org/hr</v>
      </c>
      <c r="F557">
        <v>0.063</v>
      </c>
      <c r="G557">
        <f>SUMIF('Isi Data'!B$1:B$65536,SNI!C$1:C$65536,'Isi Data'!E$1:E$65536)</f>
        <v>55000</v>
      </c>
      <c r="I557">
        <f>F557*G557</f>
        <v>3465</v>
      </c>
      <c r="M557" t="str">
        <f>IF(G557=0,"edit"," ")</f>
        <v xml:space="preserve"> </v>
      </c>
    </row>
    <row r="558">
      <c r="C558" t="str">
        <f>'Isi Data'!B165</f>
        <v>Kepala Tukang Cat</v>
      </c>
      <c r="E558" t="str">
        <v>org/hr</v>
      </c>
      <c r="F558">
        <v>0.0063</v>
      </c>
      <c r="G558">
        <f>SUMIF('Isi Data'!B$1:B$65536,SNI!C$1:C$65536,'Isi Data'!E$1:E$65536)</f>
        <v>60000</v>
      </c>
      <c r="I558">
        <f>F558*G558</f>
        <v>378</v>
      </c>
      <c r="M558" t="str">
        <f>IF(G558=0,"edit"," ")</f>
        <v xml:space="preserve"> </v>
      </c>
    </row>
    <row r="559">
      <c r="C559" t="str">
        <f>'Isi Data'!B169</f>
        <v xml:space="preserve">Mandor </v>
      </c>
      <c r="E559" t="str">
        <v>org/hr</v>
      </c>
      <c r="F559">
        <v>0.0025</v>
      </c>
      <c r="G559">
        <f>SUMIF('Isi Data'!B$1:B$65536,SNI!C$1:C$65536,'Isi Data'!E$1:E$65536)</f>
        <v>50000</v>
      </c>
      <c r="I559">
        <f>F559*G559</f>
        <v>125</v>
      </c>
      <c r="M559" t="str">
        <f>IF(G559=0,"edit"," ")</f>
        <v xml:space="preserve"> </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7890</v>
      </c>
      <c r="I561">
        <f>SUM(I562:I568)</f>
        <v>4768</v>
      </c>
      <c r="J561">
        <f>$J$3</f>
        <v>0.1</v>
      </c>
      <c r="K561">
        <f>SUM(H561:I561)*(1+J561)</f>
        <v>13923.800000000001</v>
      </c>
      <c r="L561">
        <f>ROUND(K561,-2)</f>
        <v>13900</v>
      </c>
    </row>
    <row r="562">
      <c r="C562" t="str">
        <f>'Isi Data'!B96</f>
        <v xml:space="preserve">Plamir Tembok </v>
      </c>
      <c r="D562" t="str">
        <v>( 1 Lapis Plamir + 1 Lapis Cat Dasar + 2 Lapis + 2 Lapis Cat Penutup )</v>
      </c>
      <c r="E562" t="str">
        <v>kg</v>
      </c>
      <c r="F562">
        <v>0.1</v>
      </c>
      <c r="G562">
        <f>SUMIF('Isi Data'!B$1:B$65536,SNI!C$1:C$65536,'Isi Data'!E$1:E$65536)</f>
        <v>10500</v>
      </c>
      <c r="H562">
        <f>F562*G562</f>
        <v>1050</v>
      </c>
    </row>
    <row r="563">
      <c r="C563" t="str">
        <f>'Isi Data'!B95</f>
        <v>Cat Tembok kw2</v>
      </c>
      <c r="E563" t="str">
        <v>kg</v>
      </c>
      <c r="F563">
        <v>0.1</v>
      </c>
      <c r="G563">
        <f>SUMIF('Isi Data'!B$1:B$65536,SNI!C$1:C$65536,'Isi Data'!E$1:E$65536)</f>
        <v>19000</v>
      </c>
      <c r="H563">
        <f>F563*G563</f>
        <v>1900</v>
      </c>
    </row>
    <row r="564">
      <c r="C564" t="str">
        <f>'Isi Data'!B95</f>
        <v>Cat Tembok kw2</v>
      </c>
      <c r="E564" t="str">
        <v>kg</v>
      </c>
      <c r="F564">
        <v>0.26</v>
      </c>
      <c r="G564">
        <f>SUMIF('Isi Data'!B$1:B$65536,SNI!C$1:C$65536,'Isi Data'!E$1:E$65536)</f>
        <v>19000</v>
      </c>
      <c r="H564">
        <f>F564*G564</f>
        <v>4940</v>
      </c>
    </row>
    <row r="565">
      <c r="C565" t="str">
        <f>'Isi Data'!B168</f>
        <v>Pekerja</v>
      </c>
      <c r="E565" t="str">
        <v>org/hr</v>
      </c>
      <c r="F565">
        <v>0.02</v>
      </c>
      <c r="G565">
        <f>SUMIF('Isi Data'!B$1:B$65536,SNI!C$1:C$65536,'Isi Data'!E$1:E$65536)</f>
        <v>40000</v>
      </c>
      <c r="I565">
        <f>F565*G565</f>
        <v>800</v>
      </c>
    </row>
    <row r="566">
      <c r="C566" t="str">
        <f>'Isi Data'!B164</f>
        <v>Tukang Cat Biasa</v>
      </c>
      <c r="E566" t="str">
        <v>org/hr</v>
      </c>
      <c r="F566">
        <v>0.063</v>
      </c>
      <c r="G566">
        <f>SUMIF('Isi Data'!B$1:B$65536,SNI!C$1:C$65536,'Isi Data'!E$1:E$65536)</f>
        <v>55000</v>
      </c>
      <c r="I566">
        <f>F566*G566</f>
        <v>3465</v>
      </c>
    </row>
    <row r="567">
      <c r="C567" t="str">
        <f>'Isi Data'!B165</f>
        <v>Kepala Tukang Cat</v>
      </c>
      <c r="E567" t="str">
        <v>org/hr</v>
      </c>
      <c r="F567">
        <v>0.0063</v>
      </c>
      <c r="G567">
        <f>SUMIF('Isi Data'!B$1:B$65536,SNI!C$1:C$65536,'Isi Data'!E$1:E$65536)</f>
        <v>60000</v>
      </c>
      <c r="I567">
        <f>F567*G567</f>
        <v>378</v>
      </c>
    </row>
    <row r="568">
      <c r="C568" t="str">
        <f>'Isi Data'!B169</f>
        <v xml:space="preserve">Mandor </v>
      </c>
      <c r="E568" t="str">
        <v>org/hr</v>
      </c>
      <c r="F568">
        <v>0.0025</v>
      </c>
      <c r="G568">
        <f>SUMIF('Isi Data'!B$1:B$65536,SNI!C$1:C$65536,'Isi Data'!E$1:E$65536)</f>
        <v>50000</v>
      </c>
      <c r="I568">
        <f>F568*G568</f>
        <v>125</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17250</v>
      </c>
      <c r="I571">
        <f>SUM(I572:I578)</f>
        <v>4768</v>
      </c>
      <c r="J571">
        <f>$J$3</f>
        <v>0.1</v>
      </c>
      <c r="K571">
        <f>SUM(H571:I571)*(1+J571)</f>
        <v>24219.800000000003</v>
      </c>
      <c r="L571">
        <f>ROUND(K571,-2)</f>
        <v>24200</v>
      </c>
    </row>
    <row r="572">
      <c r="C572" t="str">
        <f>'Isi Data'!B96</f>
        <v xml:space="preserve">Plamir Tembok </v>
      </c>
      <c r="D572" t="str">
        <v>( 1 Lapis Plamir + 1 Lapis Cat Dasar + 2 Lapis + 2 Lapis Cat Penutup )</v>
      </c>
      <c r="E572" t="str">
        <v>kg</v>
      </c>
      <c r="F572">
        <v>0.1</v>
      </c>
      <c r="G572">
        <f>SUMIF('Isi Data'!B$1:B$65536,SNI!C$1:C$65536,'Isi Data'!E$1:E$65536)</f>
        <v>10500</v>
      </c>
      <c r="H572">
        <f>F572*G572</f>
        <v>1050</v>
      </c>
    </row>
    <row r="573">
      <c r="C573" t="str">
        <f>'Isi Data'!B94</f>
        <v>Cat Tembok kw1</v>
      </c>
      <c r="E573" t="str">
        <v>kg</v>
      </c>
      <c r="F573">
        <v>0.1</v>
      </c>
      <c r="G573">
        <f>SUMIF('Isi Data'!B$1:B$65536,SNI!C$1:C$65536,'Isi Data'!E$1:E$65536)</f>
        <v>45000</v>
      </c>
      <c r="H573">
        <f>F573*G573</f>
        <v>4500</v>
      </c>
    </row>
    <row r="574">
      <c r="C574" t="str">
        <f>'Isi Data'!B94</f>
        <v>Cat Tembok kw1</v>
      </c>
      <c r="E574" t="str">
        <v>kg</v>
      </c>
      <c r="F574">
        <v>0.26</v>
      </c>
      <c r="G574">
        <f>SUMIF('Isi Data'!B$1:B$65536,SNI!C$1:C$65536,'Isi Data'!E$1:E$65536)</f>
        <v>45000</v>
      </c>
      <c r="H574">
        <f>F574*G574</f>
        <v>11700</v>
      </c>
    </row>
    <row r="575">
      <c r="C575" t="str">
        <f>'Isi Data'!B168</f>
        <v>Pekerja</v>
      </c>
      <c r="E575" t="str">
        <v>org/hr</v>
      </c>
      <c r="F575">
        <v>0.02</v>
      </c>
      <c r="G575">
        <f>SUMIF('Isi Data'!B$1:B$65536,SNI!C$1:C$65536,'Isi Data'!E$1:E$65536)</f>
        <v>40000</v>
      </c>
      <c r="I575">
        <f>F575*G575</f>
        <v>800</v>
      </c>
    </row>
    <row r="576">
      <c r="C576" t="str">
        <f>'Isi Data'!B164</f>
        <v>Tukang Cat Biasa</v>
      </c>
      <c r="E576" t="str">
        <v>org/hr</v>
      </c>
      <c r="F576">
        <v>0.063</v>
      </c>
      <c r="G576">
        <f>SUMIF('Isi Data'!B$1:B$65536,SNI!C$1:C$65536,'Isi Data'!E$1:E$65536)</f>
        <v>55000</v>
      </c>
      <c r="I576">
        <f>F576*G576</f>
        <v>3465</v>
      </c>
    </row>
    <row r="577">
      <c r="C577" t="str">
        <f>'Isi Data'!B165</f>
        <v>Kepala Tukang Cat</v>
      </c>
      <c r="E577" t="str">
        <v>org/hr</v>
      </c>
      <c r="F577">
        <v>0.0063</v>
      </c>
      <c r="G577">
        <f>SUMIF('Isi Data'!B$1:B$65536,SNI!C$1:C$65536,'Isi Data'!E$1:E$65536)</f>
        <v>60000</v>
      </c>
      <c r="I577">
        <f>F577*G577</f>
        <v>378</v>
      </c>
    </row>
    <row r="578">
      <c r="C578" t="str">
        <f>'Isi Data'!B169</f>
        <v xml:space="preserve">Mandor </v>
      </c>
      <c r="E578" t="str">
        <v>org/hr</v>
      </c>
      <c r="F578">
        <v>0.0025</v>
      </c>
      <c r="G578">
        <f>SUMIF('Isi Data'!B$1:B$65536,SNI!C$1:C$65536,'Isi Data'!E$1:E$65536)</f>
        <v>50000</v>
      </c>
      <c r="I578">
        <f>F578*G578</f>
        <v>125</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7890</v>
      </c>
      <c r="I580">
        <f>SUM(I581:I587)</f>
        <v>4768</v>
      </c>
      <c r="J580">
        <f>$J$3</f>
        <v>0.1</v>
      </c>
      <c r="K580">
        <f>SUM(H580:I580)*(1+J580)</f>
        <v>13923.800000000001</v>
      </c>
      <c r="L580">
        <f>ROUND(K580,-2)</f>
        <v>13900</v>
      </c>
    </row>
    <row r="581">
      <c r="C581" t="str">
        <f>'Isi Data'!B96</f>
        <v xml:space="preserve">Plamir Tembok </v>
      </c>
      <c r="D581" t="str">
        <v>( 1 Lapis Plamir + 1 Lapis Cat Dasar + 2 Lapis + 2 Lapis Cat Penutup )</v>
      </c>
      <c r="E581" t="str">
        <v>kg</v>
      </c>
      <c r="F581">
        <v>0.1</v>
      </c>
      <c r="G581">
        <f>SUMIF('Isi Data'!B$1:B$65536,SNI!C$1:C$65536,'Isi Data'!E$1:E$65536)</f>
        <v>10500</v>
      </c>
      <c r="H581">
        <f>F581*G581</f>
        <v>1050</v>
      </c>
    </row>
    <row r="582">
      <c r="C582" t="str">
        <f>'Isi Data'!B95</f>
        <v>Cat Tembok kw2</v>
      </c>
      <c r="E582" t="str">
        <v>kg</v>
      </c>
      <c r="F582">
        <v>0.1</v>
      </c>
      <c r="G582">
        <f>SUMIF('Isi Data'!B$1:B$65536,SNI!C$1:C$65536,'Isi Data'!E$1:E$65536)</f>
        <v>19000</v>
      </c>
      <c r="H582">
        <f>F582*G582</f>
        <v>1900</v>
      </c>
    </row>
    <row r="583">
      <c r="C583" t="str">
        <f>'Isi Data'!B95</f>
        <v>Cat Tembok kw2</v>
      </c>
      <c r="E583" t="str">
        <v>kg</v>
      </c>
      <c r="F583">
        <v>0.26</v>
      </c>
      <c r="G583">
        <f>SUMIF('Isi Data'!B$1:B$65536,SNI!C$1:C$65536,'Isi Data'!E$1:E$65536)</f>
        <v>19000</v>
      </c>
      <c r="H583">
        <f>F583*G583</f>
        <v>4940</v>
      </c>
    </row>
    <row r="584">
      <c r="C584" t="str">
        <f>'Isi Data'!B168</f>
        <v>Pekerja</v>
      </c>
      <c r="E584" t="str">
        <v>org/hr</v>
      </c>
      <c r="F584">
        <v>0.02</v>
      </c>
      <c r="G584">
        <f>SUMIF('Isi Data'!B$1:B$65536,SNI!C$1:C$65536,'Isi Data'!E$1:E$65536)</f>
        <v>40000</v>
      </c>
      <c r="I584">
        <f>F584*G584</f>
        <v>800</v>
      </c>
    </row>
    <row r="585">
      <c r="C585" t="str">
        <f>'Isi Data'!B164</f>
        <v>Tukang Cat Biasa</v>
      </c>
      <c r="E585" t="str">
        <v>org/hr</v>
      </c>
      <c r="F585">
        <v>0.063</v>
      </c>
      <c r="G585">
        <f>SUMIF('Isi Data'!B$1:B$65536,SNI!C$1:C$65536,'Isi Data'!E$1:E$65536)</f>
        <v>55000</v>
      </c>
      <c r="I585">
        <f>F585*G585</f>
        <v>3465</v>
      </c>
    </row>
    <row r="586">
      <c r="C586" t="str">
        <f>'Isi Data'!B167</f>
        <v>Kepala Tukang Listrik</v>
      </c>
      <c r="E586" t="str">
        <v>org/hr</v>
      </c>
      <c r="F586">
        <v>0.0063</v>
      </c>
      <c r="G586">
        <f>SUMIF('Isi Data'!B$1:B$65536,SNI!C$1:C$65536,'Isi Data'!E$1:E$65536)</f>
        <v>60000</v>
      </c>
      <c r="I586">
        <f>F586*G586</f>
        <v>378</v>
      </c>
    </row>
    <row r="587">
      <c r="C587" t="str">
        <f>'Isi Data'!B169</f>
        <v xml:space="preserve">Mandor </v>
      </c>
      <c r="E587" t="str">
        <v>org/hr</v>
      </c>
      <c r="F587">
        <v>0.0025</v>
      </c>
      <c r="G587">
        <f>SUMIF('Isi Data'!B$1:B$65536,SNI!C$1:C$65536,'Isi Data'!E$1:E$65536)</f>
        <v>50000</v>
      </c>
      <c r="I587">
        <f>F587*G587</f>
        <v>125</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17250</v>
      </c>
      <c r="I590">
        <f>SUM(I591:I597)</f>
        <v>4768</v>
      </c>
      <c r="J590">
        <f>$J$3</f>
        <v>0.1</v>
      </c>
      <c r="K590">
        <f>SUM(H590:I590)*(1+J590)</f>
        <v>24219.800000000003</v>
      </c>
      <c r="L590">
        <f>ROUND(K590,-2)</f>
        <v>24200</v>
      </c>
    </row>
    <row r="591">
      <c r="C591" t="str">
        <f>'Isi Data'!B96</f>
        <v xml:space="preserve">Plamir Tembok </v>
      </c>
      <c r="D591" t="str">
        <v>( 1 Lapis Plamir + 1 Lapis Cat Dasar + 2 Lapis + 2 Lapis Cat Penutup )</v>
      </c>
      <c r="E591" t="str">
        <v>kg</v>
      </c>
      <c r="F591">
        <v>0.1</v>
      </c>
      <c r="G591">
        <f>SUMIF('Isi Data'!B$1:B$65536,SNI!C$1:C$65536,'Isi Data'!E$1:E$65536)</f>
        <v>10500</v>
      </c>
      <c r="H591">
        <f>F591*G591</f>
        <v>1050</v>
      </c>
    </row>
    <row r="592">
      <c r="C592" t="str">
        <f>'Isi Data'!B94</f>
        <v>Cat Tembok kw1</v>
      </c>
      <c r="E592" t="str">
        <v>kg</v>
      </c>
      <c r="F592">
        <v>0.1</v>
      </c>
      <c r="G592">
        <f>SUMIF('Isi Data'!B$1:B$65536,SNI!C$1:C$65536,'Isi Data'!E$1:E$65536)</f>
        <v>45000</v>
      </c>
      <c r="H592">
        <f>F592*G592</f>
        <v>4500</v>
      </c>
    </row>
    <row r="593">
      <c r="C593" t="str">
        <f>'Isi Data'!B94</f>
        <v>Cat Tembok kw1</v>
      </c>
      <c r="E593" t="str">
        <v>kg</v>
      </c>
      <c r="F593">
        <v>0.26</v>
      </c>
      <c r="G593">
        <f>SUMIF('Isi Data'!B$1:B$65536,SNI!C$1:C$65536,'Isi Data'!E$1:E$65536)</f>
        <v>45000</v>
      </c>
      <c r="H593">
        <f>F593*G593</f>
        <v>11700</v>
      </c>
    </row>
    <row r="594">
      <c r="C594" t="str">
        <f>'Isi Data'!B168</f>
        <v>Pekerja</v>
      </c>
      <c r="E594" t="str">
        <v>org/hr</v>
      </c>
      <c r="F594">
        <v>0.02</v>
      </c>
      <c r="G594">
        <f>SUMIF('Isi Data'!B$1:B$65536,SNI!C$1:C$65536,'Isi Data'!E$1:E$65536)</f>
        <v>40000</v>
      </c>
      <c r="I594">
        <f>F594*G594</f>
        <v>800</v>
      </c>
    </row>
    <row r="595">
      <c r="C595" t="str">
        <f>'Isi Data'!B164</f>
        <v>Tukang Cat Biasa</v>
      </c>
      <c r="E595" t="str">
        <v>org/hr</v>
      </c>
      <c r="F595">
        <v>0.063</v>
      </c>
      <c r="G595">
        <f>SUMIF('Isi Data'!B$1:B$65536,SNI!C$1:C$65536,'Isi Data'!E$1:E$65536)</f>
        <v>55000</v>
      </c>
      <c r="I595">
        <f>F595*G595</f>
        <v>3465</v>
      </c>
    </row>
    <row r="596">
      <c r="C596" t="str">
        <f>'Isi Data'!B165</f>
        <v>Kepala Tukang Cat</v>
      </c>
      <c r="E596" t="str">
        <v>org/hr</v>
      </c>
      <c r="F596">
        <v>0.0063</v>
      </c>
      <c r="G596">
        <f>SUMIF('Isi Data'!B$1:B$65536,SNI!C$1:C$65536,'Isi Data'!E$1:E$65536)</f>
        <v>60000</v>
      </c>
      <c r="I596">
        <f>F596*G596</f>
        <v>378</v>
      </c>
    </row>
    <row r="597">
      <c r="C597" t="str">
        <f>'Isi Data'!B169</f>
        <v xml:space="preserve">Mandor </v>
      </c>
      <c r="E597" t="str">
        <v>org/hr</v>
      </c>
      <c r="F597">
        <v>0.0025</v>
      </c>
      <c r="G597">
        <f>SUMIF('Isi Data'!B$1:B$65536,SNI!C$1:C$65536,'Isi Data'!E$1:E$65536)</f>
        <v>50000</v>
      </c>
      <c r="I597">
        <f>F597*G597</f>
        <v>125</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7890</v>
      </c>
      <c r="I599">
        <f>SUM(I600:I606)</f>
        <v>4768</v>
      </c>
      <c r="J599">
        <f>$J$3</f>
        <v>0.1</v>
      </c>
      <c r="K599">
        <f>SUM(H599:I599)*(1+J599)</f>
        <v>13923.800000000001</v>
      </c>
      <c r="L599">
        <f>ROUND(K599,-2)</f>
        <v>13900</v>
      </c>
    </row>
    <row r="600">
      <c r="C600" t="str">
        <f>'Isi Data'!B96</f>
        <v xml:space="preserve">Plamir Tembok </v>
      </c>
      <c r="D600" t="str">
        <v>( 1 Lapis Plamir + 1 Lapis Cat Dasar + 2 Lapis + 2 Lapis Cat Penutup )</v>
      </c>
      <c r="E600" t="str">
        <v>kg</v>
      </c>
      <c r="F600">
        <v>0.1</v>
      </c>
      <c r="G600">
        <f>SUMIF('Isi Data'!B$1:B$65536,SNI!C$1:C$65536,'Isi Data'!E$1:E$65536)</f>
        <v>10500</v>
      </c>
      <c r="H600">
        <f>F600*G600</f>
        <v>1050</v>
      </c>
    </row>
    <row r="601">
      <c r="C601" t="str">
        <f>'Isi Data'!B95</f>
        <v>Cat Tembok kw2</v>
      </c>
      <c r="E601" t="str">
        <v>kg</v>
      </c>
      <c r="F601">
        <v>0.1</v>
      </c>
      <c r="G601">
        <f>SUMIF('Isi Data'!B$1:B$65536,SNI!C$1:C$65536,'Isi Data'!E$1:E$65536)</f>
        <v>19000</v>
      </c>
      <c r="H601">
        <f>F601*G601</f>
        <v>1900</v>
      </c>
    </row>
    <row r="602">
      <c r="C602" t="str">
        <f>'Isi Data'!B95</f>
        <v>Cat Tembok kw2</v>
      </c>
      <c r="E602" t="str">
        <v>kg</v>
      </c>
      <c r="F602">
        <v>0.26</v>
      </c>
      <c r="G602">
        <f>SUMIF('Isi Data'!B$1:B$65536,SNI!C$1:C$65536,'Isi Data'!E$1:E$65536)</f>
        <v>19000</v>
      </c>
      <c r="H602">
        <f>F602*G602</f>
        <v>4940</v>
      </c>
    </row>
    <row r="603">
      <c r="C603" t="str">
        <f>'Isi Data'!B168</f>
        <v>Pekerja</v>
      </c>
      <c r="E603" t="str">
        <v>org/hr</v>
      </c>
      <c r="F603">
        <v>0.02</v>
      </c>
      <c r="G603">
        <f>SUMIF('Isi Data'!B$1:B$65536,SNI!C$1:C$65536,'Isi Data'!E$1:E$65536)</f>
        <v>40000</v>
      </c>
      <c r="I603">
        <f>F603*G603</f>
        <v>800</v>
      </c>
    </row>
    <row r="604">
      <c r="C604" t="str">
        <f>'Isi Data'!B164</f>
        <v>Tukang Cat Biasa</v>
      </c>
      <c r="E604" t="str">
        <v>org/hr</v>
      </c>
      <c r="F604">
        <v>0.063</v>
      </c>
      <c r="G604">
        <f>SUMIF('Isi Data'!B$1:B$65536,SNI!C$1:C$65536,'Isi Data'!E$1:E$65536)</f>
        <v>55000</v>
      </c>
      <c r="I604">
        <f>F604*G604</f>
        <v>3465</v>
      </c>
    </row>
    <row r="605">
      <c r="C605" t="str">
        <f>'Isi Data'!B165</f>
        <v>Kepala Tukang Cat</v>
      </c>
      <c r="E605" t="str">
        <v>org/hr</v>
      </c>
      <c r="F605">
        <v>0.0063</v>
      </c>
      <c r="G605">
        <f>SUMIF('Isi Data'!B$1:B$65536,SNI!C$1:C$65536,'Isi Data'!E$1:E$65536)</f>
        <v>60000</v>
      </c>
      <c r="I605">
        <f>F605*G605</f>
        <v>378</v>
      </c>
    </row>
    <row r="606">
      <c r="C606" t="str">
        <f>'Isi Data'!B169</f>
        <v xml:space="preserve">Mandor </v>
      </c>
      <c r="E606" t="str">
        <v>org/hr</v>
      </c>
      <c r="F606">
        <v>0.0025</v>
      </c>
      <c r="G606">
        <f>SUMIF('Isi Data'!B$1:B$65536,SNI!C$1:C$65536,'Isi Data'!E$1:E$65536)</f>
        <v>50000</v>
      </c>
      <c r="I606">
        <f>F606*G606</f>
        <v>125</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25890</v>
      </c>
      <c r="I609">
        <f>SUM(I610:I617)</f>
        <v>12600</v>
      </c>
      <c r="J609">
        <f>$J$3</f>
        <v>0.1</v>
      </c>
      <c r="K609">
        <f>SUM(H609:I609)*(1+J609)</f>
        <v>42339</v>
      </c>
      <c r="L609">
        <f>ROUND(K609,-2)</f>
        <v>42300</v>
      </c>
    </row>
    <row r="610">
      <c r="C610" t="str">
        <f>'Isi Data'!B88</f>
        <v>Plamir Kayu</v>
      </c>
      <c r="E610" t="str">
        <v>kg</v>
      </c>
      <c r="F610">
        <v>0.15</v>
      </c>
      <c r="G610">
        <f>SUMIF('Isi Data'!B$1:B$65536,SNI!C$1:C$65536,'Isi Data'!E$1:E$65536)</f>
        <v>15000</v>
      </c>
      <c r="H610">
        <f>F610*G610</f>
        <v>2250</v>
      </c>
    </row>
    <row r="611">
      <c r="C611" t="str">
        <f>'Isi Data'!B89</f>
        <v xml:space="preserve">Meni kayu </v>
      </c>
      <c r="E611" t="str">
        <v>kg</v>
      </c>
      <c r="F611">
        <v>0.2</v>
      </c>
      <c r="G611">
        <f>SUMIF('Isi Data'!B$1:B$65536,SNI!C$1:C$65536,'Isi Data'!E$1:E$65536)</f>
        <v>15000</v>
      </c>
      <c r="H611">
        <f>F611*G611</f>
        <v>3000</v>
      </c>
    </row>
    <row r="612">
      <c r="C612" t="str">
        <f>'Isi Data'!B87</f>
        <v xml:space="preserve">Cat kayu/Besi </v>
      </c>
      <c r="D612" t="str">
        <v>Cat dasar 1x</v>
      </c>
      <c r="E612" t="str">
        <v>kg</v>
      </c>
      <c r="F612">
        <v>0.17</v>
      </c>
      <c r="G612">
        <f>SUMIF('Isi Data'!B$1:B$65536,SNI!C$1:C$65536,'Isi Data'!E$1:E$65536)</f>
        <v>48000</v>
      </c>
      <c r="H612">
        <f>F612*G612</f>
        <v>8160.000000000001</v>
      </c>
    </row>
    <row r="613">
      <c r="C613" t="str">
        <f>'Isi Data'!B87</f>
        <v xml:space="preserve">Cat kayu/Besi </v>
      </c>
      <c r="D613" t="str">
        <v>Cat akhir 2x</v>
      </c>
      <c r="E613" t="str">
        <v>kg</v>
      </c>
      <c r="F613">
        <v>0.26</v>
      </c>
      <c r="G613">
        <f>SUMIF('Isi Data'!B$1:B$65536,SNI!C$1:C$65536,'Isi Data'!E$1:E$65536)</f>
        <v>48000</v>
      </c>
      <c r="H613">
        <f>F613*G613</f>
        <v>12480</v>
      </c>
    </row>
    <row r="614">
      <c r="C614" t="str">
        <f>'Isi Data'!B168</f>
        <v>Pekerja</v>
      </c>
      <c r="E614" t="str">
        <v>org/hr</v>
      </c>
      <c r="F614">
        <v>0.07</v>
      </c>
      <c r="G614">
        <f>SUMIF('Isi Data'!B$1:B$65536,SNI!C$1:C$65536,'Isi Data'!E$1:E$65536)</f>
        <v>40000</v>
      </c>
      <c r="I614">
        <f>F614*G614</f>
        <v>2800.0000000000005</v>
      </c>
    </row>
    <row r="615">
      <c r="C615" t="str">
        <f>'Isi Data'!B164</f>
        <v>Tukang Cat Biasa</v>
      </c>
      <c r="E615" t="str">
        <v>org/hr</v>
      </c>
      <c r="F615">
        <v>0.09</v>
      </c>
      <c r="G615">
        <f>SUMIF('Isi Data'!B$1:B$65536,SNI!C$1:C$65536,'Isi Data'!E$1:E$65536)</f>
        <v>55000</v>
      </c>
      <c r="I615">
        <f>F615*G615</f>
        <v>4950</v>
      </c>
    </row>
    <row r="616">
      <c r="C616" t="str">
        <f>'Isi Data'!B165</f>
        <v>Kepala Tukang Cat</v>
      </c>
      <c r="E616" t="str">
        <v>org/hr</v>
      </c>
      <c r="F616">
        <v>0.06</v>
      </c>
      <c r="G616">
        <f>SUMIF('Isi Data'!B$1:B$65536,SNI!C$1:C$65536,'Isi Data'!E$1:E$65536)</f>
        <v>60000</v>
      </c>
      <c r="I616">
        <f>F616*G616</f>
        <v>3600</v>
      </c>
    </row>
    <row r="617">
      <c r="C617" t="str">
        <f>'Isi Data'!B169</f>
        <v xml:space="preserve">Mandor </v>
      </c>
      <c r="E617" t="str">
        <v>org/hr</v>
      </c>
      <c r="F617">
        <v>0.025</v>
      </c>
      <c r="G617">
        <f>SUMIF('Isi Data'!B$1:B$65536,SNI!C$1:C$65536,'Isi Data'!E$1:E$65536)</f>
        <v>50000</v>
      </c>
      <c r="I617">
        <f>F617*G617</f>
        <v>1250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25890</v>
      </c>
      <c r="I619">
        <f>SUM(I620:I627)</f>
        <v>12600</v>
      </c>
      <c r="J619">
        <f>$J$3</f>
        <v>0.1</v>
      </c>
      <c r="K619">
        <f>SUM(H619:I619)*(1+J619)</f>
        <v>42339</v>
      </c>
      <c r="L619">
        <f>ROUND(K619,-2)</f>
        <v>42300</v>
      </c>
    </row>
    <row r="620">
      <c r="C620" t="str">
        <f>'Isi Data'!B88</f>
        <v>Plamir Kayu</v>
      </c>
      <c r="E620" t="str">
        <v>kg</v>
      </c>
      <c r="F620">
        <v>0.15</v>
      </c>
      <c r="G620">
        <f>SUMIF('Isi Data'!B$1:B$65536,SNI!C$1:C$65536,'Isi Data'!E$1:E$65536)</f>
        <v>15000</v>
      </c>
      <c r="H620">
        <f>F620*G620</f>
        <v>2250</v>
      </c>
    </row>
    <row r="621">
      <c r="C621" t="str">
        <f>'Isi Data'!B89</f>
        <v xml:space="preserve">Meni kayu </v>
      </c>
      <c r="E621" t="str">
        <v>kg</v>
      </c>
      <c r="F621">
        <v>0.2</v>
      </c>
      <c r="G621">
        <f>SUMIF('Isi Data'!B$1:B$65536,SNI!C$1:C$65536,'Isi Data'!E$1:E$65536)</f>
        <v>15000</v>
      </c>
      <c r="H621">
        <f>F621*G621</f>
        <v>3000</v>
      </c>
      <c r="M621" t="str">
        <f>IF(G621=0,"edit"," ")</f>
        <v xml:space="preserve"> </v>
      </c>
    </row>
    <row r="622">
      <c r="C622" t="str">
        <f>'Isi Data'!B87</f>
        <v xml:space="preserve">Cat kayu/Besi </v>
      </c>
      <c r="D622" t="str">
        <v>Cat dasar 1x</v>
      </c>
      <c r="E622" t="str">
        <v>kg</v>
      </c>
      <c r="F622">
        <v>0.17</v>
      </c>
      <c r="G622">
        <f>SUMIF('Isi Data'!B$1:B$65536,SNI!C$1:C$65536,'Isi Data'!E$1:E$65536)</f>
        <v>48000</v>
      </c>
      <c r="H622">
        <f>F622*G622</f>
        <v>8160.000000000001</v>
      </c>
      <c r="M622" t="str">
        <f>IF(G622=0,"edit"," ")</f>
        <v xml:space="preserve"> </v>
      </c>
    </row>
    <row r="623">
      <c r="C623" t="str">
        <f>'Isi Data'!B87</f>
        <v xml:space="preserve">Cat kayu/Besi </v>
      </c>
      <c r="D623" t="str">
        <v>Cat akhir 2x</v>
      </c>
      <c r="E623" t="str">
        <v>kg</v>
      </c>
      <c r="F623">
        <v>0.26</v>
      </c>
      <c r="G623">
        <f>SUMIF('Isi Data'!B$1:B$65536,SNI!C$1:C$65536,'Isi Data'!E$1:E$65536)</f>
        <v>48000</v>
      </c>
      <c r="H623">
        <f>F623*G623</f>
        <v>12480</v>
      </c>
      <c r="M623" t="str">
        <f>IF(G623=0,"edit"," ")</f>
        <v xml:space="preserve"> </v>
      </c>
    </row>
    <row r="624">
      <c r="C624" t="str">
        <f>'Isi Data'!B168</f>
        <v>Pekerja</v>
      </c>
      <c r="E624" t="str">
        <v>org/hr</v>
      </c>
      <c r="F624">
        <v>0.07</v>
      </c>
      <c r="G624">
        <f>SUMIF('Isi Data'!B$1:B$65536,SNI!C$1:C$65536,'Isi Data'!E$1:E$65536)</f>
        <v>40000</v>
      </c>
      <c r="I624">
        <f>F624*G624</f>
        <v>2800.0000000000005</v>
      </c>
      <c r="M624" t="str">
        <f>IF(G624=0,"edit"," ")</f>
        <v xml:space="preserve"> </v>
      </c>
    </row>
    <row r="625">
      <c r="C625" t="str">
        <f>'Isi Data'!B164</f>
        <v>Tukang Cat Biasa</v>
      </c>
      <c r="E625" t="str">
        <v>org/hr</v>
      </c>
      <c r="F625">
        <v>0.09</v>
      </c>
      <c r="G625">
        <f>SUMIF('Isi Data'!B$1:B$65536,SNI!C$1:C$65536,'Isi Data'!E$1:E$65536)</f>
        <v>55000</v>
      </c>
      <c r="I625">
        <f>F625*G625</f>
        <v>4950</v>
      </c>
      <c r="M625" t="str">
        <f>IF(G625=0,"edit"," ")</f>
        <v xml:space="preserve"> </v>
      </c>
    </row>
    <row r="626">
      <c r="C626" t="str">
        <f>'Isi Data'!B165</f>
        <v>Kepala Tukang Cat</v>
      </c>
      <c r="E626" t="str">
        <v>org/hr</v>
      </c>
      <c r="F626">
        <v>0.06</v>
      </c>
      <c r="G626">
        <f>SUMIF('Isi Data'!B$1:B$65536,SNI!C$1:C$65536,'Isi Data'!E$1:E$65536)</f>
        <v>60000</v>
      </c>
      <c r="I626">
        <f>F626*G626</f>
        <v>3600</v>
      </c>
      <c r="M626" t="str">
        <f>IF(G626=0,"edit"," ")</f>
        <v xml:space="preserve"> </v>
      </c>
    </row>
    <row r="627">
      <c r="C627" t="str">
        <f>'Isi Data'!B169</f>
        <v xml:space="preserve">Mandor </v>
      </c>
      <c r="E627" t="str">
        <v>org/hr</v>
      </c>
      <c r="F627">
        <v>0.025</v>
      </c>
      <c r="G627">
        <f>SUMIF('Isi Data'!B$1:B$65536,SNI!C$1:C$65536,'Isi Data'!E$1:E$65536)</f>
        <v>50000</v>
      </c>
      <c r="I627">
        <f>F627*G627</f>
        <v>1250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84400</v>
      </c>
      <c r="I632">
        <f>SUM(I633:I638)</f>
        <v>4448</v>
      </c>
      <c r="J632">
        <f>$J$3</f>
        <v>0.1</v>
      </c>
      <c r="K632">
        <f>SUM(H632:I632)*(1+J632)</f>
        <v>97732.8</v>
      </c>
      <c r="L632">
        <f>ROUND(SUM(K632:K632),-2)</f>
        <v>97700</v>
      </c>
    </row>
    <row r="633">
      <c r="C633" t="str">
        <f>'Isi Data'!B44</f>
        <v>Kusen Almunium</v>
      </c>
      <c r="E633" t="str">
        <v>m</v>
      </c>
      <c r="F633">
        <v>1.1</v>
      </c>
      <c r="G633">
        <f>SUMIF('Isi Data'!B$1:B$65536,SNI!C$1:C$65536,'Isi Data'!E$1:E$65536)</f>
        <v>70000</v>
      </c>
      <c r="H633">
        <f>F633*G633</f>
        <v>77000</v>
      </c>
    </row>
    <row r="634">
      <c r="C634" t="str">
        <f>'Isi Data'!B84</f>
        <v>Paku Skrup</v>
      </c>
      <c r="E634" t="str">
        <v>bh</v>
      </c>
      <c r="F634">
        <v>2</v>
      </c>
      <c r="G634">
        <f>SUMIF('Isi Data'!B$1:B$65536,SNI!C$1:C$65536,'Isi Data'!E$1:E$65536)</f>
        <v>3700</v>
      </c>
      <c r="H634">
        <f>F634*G634</f>
        <v>7400</v>
      </c>
    </row>
    <row r="635">
      <c r="C635" t="str">
        <f>'Isi Data'!B168</f>
        <v>Pekerja</v>
      </c>
      <c r="E635" t="str">
        <v>org/hr</v>
      </c>
      <c r="F635">
        <v>0.043</v>
      </c>
      <c r="G635">
        <f>SUMIF('Isi Data'!B$1:B$65536,SNI!C$1:C$65536,'Isi Data'!E$1:E$65536)</f>
        <v>40000</v>
      </c>
      <c r="I635">
        <f>F635*G635</f>
        <v>1719.9999999999998</v>
      </c>
    </row>
    <row r="636">
      <c r="C636" t="str">
        <f>'Isi Data'!B159</f>
        <v>Tukang Kayu Halus</v>
      </c>
      <c r="E636" t="str">
        <v>org/hr</v>
      </c>
      <c r="F636">
        <v>0.043</v>
      </c>
      <c r="G636">
        <f>SUMIF('Isi Data'!B$1:B$65536,SNI!C$1:C$65536,'Isi Data'!E$1:E$65536)</f>
        <v>55000</v>
      </c>
      <c r="I636">
        <f>F636*G636</f>
        <v>2365</v>
      </c>
    </row>
    <row r="637">
      <c r="C637" t="str">
        <f>'Isi Data'!B160</f>
        <v>Kepala Tukang Kayu</v>
      </c>
      <c r="E637" t="str">
        <v>org/hr</v>
      </c>
      <c r="F637">
        <v>0.0043</v>
      </c>
      <c r="G637">
        <f>SUMIF('Isi Data'!B$1:B$65536,SNI!C$1:C$65536,'Isi Data'!E$1:E$65536)</f>
        <v>60000</v>
      </c>
      <c r="I637">
        <f>F637*G637</f>
        <v>258</v>
      </c>
    </row>
    <row r="638">
      <c r="C638" t="str">
        <f>'Isi Data'!B169</f>
        <v xml:space="preserve">Mandor </v>
      </c>
      <c r="E638" t="str">
        <v>org/hr</v>
      </c>
      <c r="F638">
        <v>0.0021</v>
      </c>
      <c r="G638">
        <f>SUMIF('Isi Data'!B$1:B$65536,SNI!C$1:C$65536,'Isi Data'!E$1:E$65536)</f>
        <v>50000</v>
      </c>
      <c r="I638">
        <f>F638*G638</f>
        <v>105</v>
      </c>
    </row>
    <row r="639">
      <c r="G639">
        <f>SUMIF('Isi Data'!B$1:B$65536,SNI!C$1:C$65536,'Isi Data'!E$1:E$65536)</f>
        <v>0</v>
      </c>
    </row>
    <row r="640">
      <c r="A640" t="str">
        <v>SNI 7393:2008-6.11</v>
      </c>
      <c r="B640" t="str">
        <v>M</v>
      </c>
      <c r="C640" t="str">
        <v>Kusen Pintu dan Jendela Alumunium PC</v>
      </c>
      <c r="F640">
        <f>1/0.05/0.15</f>
        <v>133.33333333333334</v>
      </c>
      <c r="H640">
        <f>SUM(H641:H646)</f>
        <v>84400</v>
      </c>
      <c r="I640">
        <f>SUM(I641:I646)</f>
        <v>4448</v>
      </c>
      <c r="J640">
        <f>$J$3</f>
        <v>0.1</v>
      </c>
      <c r="K640">
        <f>SUM(H640:I640)*(1+J640)</f>
        <v>97732.8</v>
      </c>
      <c r="L640">
        <f>ROUND(SUM(K640:K640),-2)</f>
        <v>97700</v>
      </c>
    </row>
    <row r="641">
      <c r="C641" t="str">
        <f>'Isi Data'!B44</f>
        <v>Kusen Almunium</v>
      </c>
      <c r="E641" t="str">
        <v>m</v>
      </c>
      <c r="F641">
        <v>1.1</v>
      </c>
      <c r="G641">
        <f>SUMIF('Isi Data'!B$1:B$65536,SNI!C$1:C$65536,'Isi Data'!E$1:E$65536)</f>
        <v>70000</v>
      </c>
      <c r="H641">
        <f>F641*G641</f>
        <v>77000</v>
      </c>
    </row>
    <row r="642">
      <c r="C642" t="str">
        <f>'Isi Data'!B84</f>
        <v>Paku Skrup</v>
      </c>
      <c r="E642" t="str">
        <v>bh</v>
      </c>
      <c r="F642">
        <v>2</v>
      </c>
      <c r="G642">
        <f>SUMIF('Isi Data'!B$1:B$65536,SNI!C$1:C$65536,'Isi Data'!E$1:E$65536)</f>
        <v>3700</v>
      </c>
      <c r="H642">
        <f>F642*G642</f>
        <v>7400</v>
      </c>
    </row>
    <row r="643">
      <c r="C643" t="str">
        <f>'Isi Data'!B168</f>
        <v>Pekerja</v>
      </c>
      <c r="E643" t="str">
        <v>org/hr</v>
      </c>
      <c r="F643">
        <v>0.043</v>
      </c>
      <c r="G643">
        <f>SUMIF('Isi Data'!B$1:B$65536,SNI!C$1:C$65536,'Isi Data'!E$1:E$65536)</f>
        <v>40000</v>
      </c>
      <c r="I643">
        <f>F643*G643</f>
        <v>1719.9999999999998</v>
      </c>
    </row>
    <row r="644">
      <c r="C644" t="str">
        <f>'Isi Data'!B159</f>
        <v>Tukang Kayu Halus</v>
      </c>
      <c r="E644" t="str">
        <v>org/hr</v>
      </c>
      <c r="F644">
        <v>0.043</v>
      </c>
      <c r="G644">
        <f>SUMIF('Isi Data'!B$1:B$65536,SNI!C$1:C$65536,'Isi Data'!E$1:E$65536)</f>
        <v>55000</v>
      </c>
      <c r="I644">
        <f>F644*G644</f>
        <v>2365</v>
      </c>
    </row>
    <row r="645">
      <c r="C645" t="str">
        <f>'Isi Data'!B160</f>
        <v>Kepala Tukang Kayu</v>
      </c>
      <c r="E645" t="str">
        <v>org/hr</v>
      </c>
      <c r="F645">
        <v>0.0043</v>
      </c>
      <c r="G645">
        <f>SUMIF('Isi Data'!B$1:B$65536,SNI!C$1:C$65536,'Isi Data'!E$1:E$65536)</f>
        <v>60000</v>
      </c>
      <c r="I645">
        <f>F645*G645</f>
        <v>258</v>
      </c>
    </row>
    <row r="646">
      <c r="C646" t="str">
        <f>'Isi Data'!B169</f>
        <v xml:space="preserve">Mandor </v>
      </c>
      <c r="E646" t="str">
        <v>org/hr</v>
      </c>
      <c r="F646">
        <v>0.0021</v>
      </c>
      <c r="G646">
        <f>SUMIF('Isi Data'!B$1:B$65536,SNI!C$1:C$65536,'Isi Data'!E$1:E$65536)</f>
        <v>50000</v>
      </c>
      <c r="I646">
        <f>F646*G646</f>
        <v>105</v>
      </c>
    </row>
    <row r="647">
      <c r="G647">
        <f>SUMIF('Isi Data'!B$1:B$65536,SNI!C$1:C$65536,'Isi Data'!E$1:E$65536)</f>
        <v>0</v>
      </c>
    </row>
    <row r="648">
      <c r="B648" t="str">
        <v>unt</v>
      </c>
      <c r="C648" t="str">
        <v>Kusen &amp; Pintu PVC toilet</v>
      </c>
      <c r="F648">
        <f>1/0.05/0.15</f>
        <v>133.33333333333334</v>
      </c>
      <c r="H648">
        <f>SUM(H649:H654)</f>
        <v>872200</v>
      </c>
      <c r="I648">
        <f>SUM(I649:I654)</f>
        <v>10147.5</v>
      </c>
      <c r="J648">
        <f>$J$3</f>
        <v>0.1</v>
      </c>
      <c r="K648">
        <f>SUM(H648:I648)*(1+J648)</f>
        <v>970582.2500000001</v>
      </c>
      <c r="L648">
        <f>ROUND(SUM(K648:K648),-2)</f>
        <v>970600</v>
      </c>
    </row>
    <row r="649">
      <c r="C649" t="str">
        <f>'Isi Data'!B47</f>
        <v>Kusen &amp; Pintu PVC toilet</v>
      </c>
      <c r="E649" t="str">
        <v>m</v>
      </c>
      <c r="F649">
        <v>1</v>
      </c>
      <c r="G649">
        <f>SUMIF('Isi Data'!B$1:B$65536,SNI!C$1:C$65536,'Isi Data'!E$1:E$65536)</f>
        <v>850000</v>
      </c>
      <c r="H649">
        <f>F649*G649</f>
        <v>850000</v>
      </c>
    </row>
    <row r="650">
      <c r="C650" t="str">
        <f>'Isi Data'!B84</f>
        <v>Paku Skrup</v>
      </c>
      <c r="E650" t="str">
        <v>bh</v>
      </c>
      <c r="F650">
        <v>6</v>
      </c>
      <c r="G650">
        <f>SUMIF('Isi Data'!B$1:B$65536,SNI!C$1:C$65536,'Isi Data'!E$1:E$65536)</f>
        <v>3700</v>
      </c>
      <c r="H650">
        <f>F650*G650</f>
        <v>22200</v>
      </c>
    </row>
    <row r="651">
      <c r="C651" t="str">
        <f>'Isi Data'!B168</f>
        <v>Pekerja</v>
      </c>
      <c r="E651" t="str">
        <v>org/hr</v>
      </c>
      <c r="F651">
        <f>6/F648</f>
        <v>0.045</v>
      </c>
      <c r="G651">
        <f>SUMIF('Isi Data'!B$1:B$65536,SNI!C$1:C$65536,'Isi Data'!E$1:E$65536)</f>
        <v>40000</v>
      </c>
      <c r="I651">
        <f>F651*G651</f>
        <v>1800</v>
      </c>
    </row>
    <row r="652">
      <c r="C652" t="str">
        <f>'Isi Data'!B159</f>
        <v>Tukang Kayu Halus</v>
      </c>
      <c r="E652" t="str">
        <v>org/hr</v>
      </c>
      <c r="F652">
        <f>18/F648</f>
        <v>0.13499999999999998</v>
      </c>
      <c r="G652">
        <f>SUMIF('Isi Data'!B$1:B$65536,SNI!C$1:C$65536,'Isi Data'!E$1:E$65536)</f>
        <v>55000</v>
      </c>
      <c r="I652">
        <f>F652*G652</f>
        <v>7424.999999999999</v>
      </c>
    </row>
    <row r="653">
      <c r="C653" t="str">
        <f>'Isi Data'!B160</f>
        <v>Kepala Tukang Kayu</v>
      </c>
      <c r="E653" t="str">
        <v>org/hr</v>
      </c>
      <c r="F653">
        <f>1.8/F648</f>
        <v>0.0135</v>
      </c>
      <c r="G653">
        <f>SUMIF('Isi Data'!B$1:B$65536,SNI!C$1:C$65536,'Isi Data'!E$1:E$65536)</f>
        <v>60000</v>
      </c>
      <c r="I653">
        <f>F653*G653</f>
        <v>810</v>
      </c>
    </row>
    <row r="654">
      <c r="C654" t="str">
        <f>'Isi Data'!B169</f>
        <v xml:space="preserve">Mandor </v>
      </c>
      <c r="E654" t="str">
        <v>org/hr</v>
      </c>
      <c r="F654">
        <f>0.3/F648</f>
        <v>0.00225</v>
      </c>
      <c r="G654">
        <f>SUMIF('Isi Data'!B$1:B$65536,SNI!C$1:C$65536,'Isi Data'!E$1:E$65536)</f>
        <v>50000</v>
      </c>
      <c r="I654">
        <f>F654*G654</f>
        <v>112.49999999999999</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84400</v>
      </c>
      <c r="I656">
        <f>SUM(I657:I662)</f>
        <v>4448</v>
      </c>
      <c r="J656">
        <f>$J$3</f>
        <v>0.1</v>
      </c>
      <c r="K656">
        <f>SUM(H656:I656)*(1+J656)</f>
        <v>97732.8</v>
      </c>
      <c r="L656">
        <f>ROUND(SUM(K656:K656),-2)</f>
        <v>97700</v>
      </c>
    </row>
    <row r="657">
      <c r="C657" t="str">
        <f>'Isi Data'!B46</f>
        <v>Rangka Pintu Almunium</v>
      </c>
      <c r="E657" t="str">
        <v>m</v>
      </c>
      <c r="F657">
        <v>1.1</v>
      </c>
      <c r="G657">
        <f>SUMIF('Isi Data'!B$1:B$65536,SNI!C$1:C$65536,'Isi Data'!E$1:E$65536)</f>
        <v>70000</v>
      </c>
      <c r="H657">
        <f>F657*G657</f>
        <v>77000</v>
      </c>
    </row>
    <row r="658">
      <c r="C658" t="str">
        <f>'Isi Data'!B84</f>
        <v>Paku Skrup</v>
      </c>
      <c r="E658" t="str">
        <v>bh</v>
      </c>
      <c r="F658">
        <v>2</v>
      </c>
      <c r="G658">
        <f>SUMIF('Isi Data'!B$1:B$65536,SNI!C$1:C$65536,'Isi Data'!E$1:E$65536)</f>
        <v>3700</v>
      </c>
      <c r="H658">
        <f>F658*G658</f>
        <v>7400</v>
      </c>
    </row>
    <row r="659">
      <c r="C659" t="str">
        <f>'Isi Data'!B168</f>
        <v>Pekerja</v>
      </c>
      <c r="E659" t="str">
        <v>org/hr</v>
      </c>
      <c r="F659">
        <v>0.043</v>
      </c>
      <c r="G659">
        <f>SUMIF('Isi Data'!B$1:B$65536,SNI!C$1:C$65536,'Isi Data'!E$1:E$65536)</f>
        <v>40000</v>
      </c>
      <c r="I659">
        <f>F659*G659</f>
        <v>1719.9999999999998</v>
      </c>
    </row>
    <row r="660">
      <c r="C660" t="str">
        <f>'Isi Data'!B159</f>
        <v>Tukang Kayu Halus</v>
      </c>
      <c r="E660" t="str">
        <v>org/hr</v>
      </c>
      <c r="F660">
        <v>0.043</v>
      </c>
      <c r="G660">
        <f>SUMIF('Isi Data'!B$1:B$65536,SNI!C$1:C$65536,'Isi Data'!E$1:E$65536)</f>
        <v>55000</v>
      </c>
      <c r="I660">
        <f>F660*G660</f>
        <v>2365</v>
      </c>
    </row>
    <row r="661">
      <c r="C661" t="str">
        <f>'Isi Data'!B160</f>
        <v>Kepala Tukang Kayu</v>
      </c>
      <c r="E661" t="str">
        <v>org/hr</v>
      </c>
      <c r="F661">
        <v>0.0043</v>
      </c>
      <c r="G661">
        <f>SUMIF('Isi Data'!B$1:B$65536,SNI!C$1:C$65536,'Isi Data'!E$1:E$65536)</f>
        <v>60000</v>
      </c>
      <c r="I661">
        <f>F661*G661</f>
        <v>258</v>
      </c>
    </row>
    <row r="662">
      <c r="C662" t="str">
        <f>'Isi Data'!B169</f>
        <v xml:space="preserve">Mandor </v>
      </c>
      <c r="E662" t="str">
        <v>org/hr</v>
      </c>
      <c r="F662">
        <v>0.0021</v>
      </c>
      <c r="G662">
        <f>SUMIF('Isi Data'!B$1:B$65536,SNI!C$1:C$65536,'Isi Data'!E$1:E$65536)</f>
        <v>50000</v>
      </c>
      <c r="I662">
        <f>F662*G662</f>
        <v>105</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84400</v>
      </c>
      <c r="I664">
        <f>SUM(I665:I670)</f>
        <v>4448</v>
      </c>
      <c r="J664">
        <f>$J$3</f>
        <v>0.1</v>
      </c>
      <c r="K664">
        <f>SUM(H664:I664)*(1+J664)</f>
        <v>97732.8</v>
      </c>
      <c r="L664">
        <f>ROUND(SUM(K664:K664),-2)</f>
        <v>97700</v>
      </c>
    </row>
    <row r="665">
      <c r="C665" t="str">
        <f>'Isi Data'!B46</f>
        <v>Rangka Pintu Almunium</v>
      </c>
      <c r="E665" t="str">
        <v>m</v>
      </c>
      <c r="F665">
        <v>1.1</v>
      </c>
      <c r="G665">
        <f>SUMIF('Isi Data'!B$1:B$65536,SNI!C$1:C$65536,'Isi Data'!E$1:E$65536)</f>
        <v>70000</v>
      </c>
      <c r="H665">
        <f>F665*G665</f>
        <v>77000</v>
      </c>
      <c r="M665" t="str">
        <f>IF(G665=0,"edit"," ")</f>
        <v xml:space="preserve"> </v>
      </c>
    </row>
    <row r="666">
      <c r="C666" t="str">
        <f>'Isi Data'!B84</f>
        <v>Paku Skrup</v>
      </c>
      <c r="E666" t="str">
        <v>bh</v>
      </c>
      <c r="F666">
        <v>2</v>
      </c>
      <c r="G666">
        <f>SUMIF('Isi Data'!B$1:B$65536,SNI!C$1:C$65536,'Isi Data'!E$1:E$65536)</f>
        <v>3700</v>
      </c>
      <c r="H666">
        <f>F666*G666</f>
        <v>7400</v>
      </c>
      <c r="M666" t="str">
        <f>IF(G666=0,"edit"," ")</f>
        <v xml:space="preserve"> </v>
      </c>
    </row>
    <row r="667">
      <c r="C667" t="str">
        <f>'Isi Data'!B168</f>
        <v>Pekerja</v>
      </c>
      <c r="E667" t="str">
        <v>org/hr</v>
      </c>
      <c r="F667">
        <v>0.043</v>
      </c>
      <c r="G667">
        <f>SUMIF('Isi Data'!B$1:B$65536,SNI!C$1:C$65536,'Isi Data'!E$1:E$65536)</f>
        <v>40000</v>
      </c>
      <c r="I667">
        <f>F667*G667</f>
        <v>1719.9999999999998</v>
      </c>
      <c r="M667" t="str">
        <f>IF(G667=0,"edit"," ")</f>
        <v xml:space="preserve"> </v>
      </c>
    </row>
    <row r="668">
      <c r="C668" t="str">
        <f>'Isi Data'!B162</f>
        <v>Tukang Batu Halus</v>
      </c>
      <c r="E668" t="str">
        <v>org/hr</v>
      </c>
      <c r="F668">
        <v>0.043</v>
      </c>
      <c r="G668">
        <f>SUMIF('Isi Data'!B$1:B$65536,SNI!C$1:C$65536,'Isi Data'!E$1:E$65536)</f>
        <v>55000</v>
      </c>
      <c r="I668">
        <f>F668*G668</f>
        <v>2365</v>
      </c>
      <c r="M668" t="str">
        <f>IF(G668=0,"edit"," ")</f>
        <v xml:space="preserve"> </v>
      </c>
    </row>
    <row r="669">
      <c r="C669" t="str">
        <f>'Isi Data'!B160</f>
        <v>Kepala Tukang Kayu</v>
      </c>
      <c r="E669" t="str">
        <v>org/hr</v>
      </c>
      <c r="F669">
        <v>0.0043</v>
      </c>
      <c r="G669">
        <f>SUMIF('Isi Data'!B$1:B$65536,SNI!C$1:C$65536,'Isi Data'!E$1:E$65536)</f>
        <v>60000</v>
      </c>
      <c r="I669">
        <f>F669*G669</f>
        <v>258</v>
      </c>
      <c r="M669" t="str">
        <f>IF(G669=0,"edit"," ")</f>
        <v xml:space="preserve"> </v>
      </c>
    </row>
    <row r="670">
      <c r="C670" t="str">
        <f>'Isi Data'!B169</f>
        <v xml:space="preserve">Mandor </v>
      </c>
      <c r="E670" t="str">
        <v>org/hr</v>
      </c>
      <c r="F670">
        <v>0.0021</v>
      </c>
      <c r="G670">
        <f>SUMIF('Isi Data'!B$1:B$65536,SNI!C$1:C$65536,'Isi Data'!E$1:E$65536)</f>
        <v>50000</v>
      </c>
      <c r="I670">
        <f>F670*G670</f>
        <v>105</v>
      </c>
      <c r="M670" t="str">
        <f>IF(G670=0,"edit"," ")</f>
        <v xml:space="preserve"> </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77200</v>
      </c>
      <c r="I673">
        <f>SUM(I674:I679)</f>
        <v>10147.5</v>
      </c>
      <c r="J673">
        <f>$J$3</f>
        <v>0.1</v>
      </c>
      <c r="K673">
        <f>SUM(H673:I673)*(1+J673)</f>
        <v>96082.25000000001</v>
      </c>
      <c r="L673">
        <f>ROUND(SUM(K673:K673),-2)</f>
        <v>96100</v>
      </c>
    </row>
    <row r="674">
      <c r="C674" t="str">
        <f>'Isi Data'!B45</f>
        <v>Rangka Jendela Almunium</v>
      </c>
      <c r="E674" t="str">
        <v>m</v>
      </c>
      <c r="F674">
        <v>1.05</v>
      </c>
      <c r="G674">
        <f>SUMIF('Isi Data'!B$1:B$65536,SNI!C$1:C$65536,'Isi Data'!E$1:E$65536)</f>
        <v>70000</v>
      </c>
      <c r="H674">
        <f>F674*G674</f>
        <v>73500</v>
      </c>
      <c r="M674" t="str">
        <f>IF(G674=0,"edit"," ")</f>
        <v xml:space="preserve"> </v>
      </c>
    </row>
    <row r="675">
      <c r="C675" t="str">
        <f>'Isi Data'!B84</f>
        <v>Paku Skrup</v>
      </c>
      <c r="E675" t="str">
        <v>bh</v>
      </c>
      <c r="F675">
        <v>1</v>
      </c>
      <c r="G675">
        <f>SUMIF('Isi Data'!B$1:B$65536,SNI!C$1:C$65536,'Isi Data'!E$1:E$65536)</f>
        <v>3700</v>
      </c>
      <c r="H675">
        <f>F675*G675</f>
        <v>3700</v>
      </c>
      <c r="M675" t="str">
        <f>IF(G675=0,"edit"," ")</f>
        <v xml:space="preserve"> </v>
      </c>
    </row>
    <row r="676">
      <c r="C676" t="str">
        <f>'Isi Data'!B168</f>
        <v>Pekerja</v>
      </c>
      <c r="E676" t="str">
        <v>org/hr</v>
      </c>
      <c r="F676">
        <f>6/F673</f>
        <v>0.045</v>
      </c>
      <c r="G676">
        <f>SUMIF('Isi Data'!B$1:B$65536,SNI!C$1:C$65536,'Isi Data'!E$1:E$65536)</f>
        <v>40000</v>
      </c>
      <c r="I676">
        <f>F676*G676</f>
        <v>1800</v>
      </c>
      <c r="M676" t="str">
        <f>IF(G676=0,"edit"," ")</f>
        <v xml:space="preserve"> </v>
      </c>
    </row>
    <row r="677">
      <c r="C677" t="str">
        <f>'Isi Data'!B159</f>
        <v>Tukang Kayu Halus</v>
      </c>
      <c r="E677" t="str">
        <v>org/hr</v>
      </c>
      <c r="F677">
        <f>18/F673</f>
        <v>0.13499999999999998</v>
      </c>
      <c r="G677">
        <f>SUMIF('Isi Data'!B$1:B$65536,SNI!C$1:C$65536,'Isi Data'!E$1:E$65536)</f>
        <v>55000</v>
      </c>
      <c r="I677">
        <f>F677*G677</f>
        <v>7424.999999999999</v>
      </c>
      <c r="M677" t="str">
        <f>IF(G677=0,"edit"," ")</f>
        <v xml:space="preserve"> </v>
      </c>
    </row>
    <row r="678">
      <c r="C678" t="str">
        <f>'Isi Data'!B160</f>
        <v>Kepala Tukang Kayu</v>
      </c>
      <c r="E678" t="str">
        <v>org/hr</v>
      </c>
      <c r="F678">
        <f>1.8/F673</f>
        <v>0.0135</v>
      </c>
      <c r="G678">
        <f>SUMIF('Isi Data'!B$1:B$65536,SNI!C$1:C$65536,'Isi Data'!E$1:E$65536)</f>
        <v>60000</v>
      </c>
      <c r="I678">
        <f>F678*G678</f>
        <v>810</v>
      </c>
      <c r="M678" t="str">
        <f>IF(G678=0,"edit"," ")</f>
        <v xml:space="preserve"> </v>
      </c>
    </row>
    <row r="679">
      <c r="C679" t="str">
        <f>'Isi Data'!B169</f>
        <v xml:space="preserve">Mandor </v>
      </c>
      <c r="E679" t="str">
        <v>org/hr</v>
      </c>
      <c r="F679">
        <f>0.3/F673</f>
        <v>0.00225</v>
      </c>
      <c r="G679">
        <f>SUMIF('Isi Data'!B$1:B$65536,SNI!C$1:C$65536,'Isi Data'!E$1:E$65536)</f>
        <v>50000</v>
      </c>
      <c r="I679">
        <f>F679*G679</f>
        <v>112.49999999999999</v>
      </c>
      <c r="M679" t="str">
        <f>IF(G679=0,"edit"," ")</f>
        <v xml:space="preserve"> </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77200</v>
      </c>
      <c r="I681">
        <f>SUM(I682:I687)</f>
        <v>10147.5</v>
      </c>
      <c r="J681">
        <f>$J$3</f>
        <v>0.1</v>
      </c>
      <c r="K681">
        <f>SUM(H681:I681)*(1+J681)</f>
        <v>96082.25000000001</v>
      </c>
      <c r="L681">
        <f>ROUND(SUM(K681:K681),-2)</f>
        <v>96100</v>
      </c>
    </row>
    <row r="682">
      <c r="C682" t="str">
        <f>'Isi Data'!B46</f>
        <v>Rangka Pintu Almunium</v>
      </c>
      <c r="E682" t="str">
        <v>m</v>
      </c>
      <c r="F682">
        <v>1.05</v>
      </c>
      <c r="G682">
        <f>SUMIF('Isi Data'!B$1:B$65536,SNI!C$1:C$65536,'Isi Data'!E$1:E$65536)</f>
        <v>70000</v>
      </c>
      <c r="H682">
        <f>F682*G682</f>
        <v>73500</v>
      </c>
    </row>
    <row r="683">
      <c r="C683" t="str">
        <f>'Isi Data'!B84</f>
        <v>Paku Skrup</v>
      </c>
      <c r="E683" t="str">
        <v>bh</v>
      </c>
      <c r="F683">
        <v>1</v>
      </c>
      <c r="G683">
        <f>SUMIF('Isi Data'!B$1:B$65536,SNI!C$1:C$65536,'Isi Data'!E$1:E$65536)</f>
        <v>3700</v>
      </c>
      <c r="H683">
        <f>F683*G683</f>
        <v>3700</v>
      </c>
    </row>
    <row r="684">
      <c r="C684" t="str">
        <f>'Isi Data'!B168</f>
        <v>Pekerja</v>
      </c>
      <c r="E684" t="str">
        <v>org/hr</v>
      </c>
      <c r="F684">
        <f>6/F681</f>
        <v>0.045</v>
      </c>
      <c r="G684">
        <f>SUMIF('Isi Data'!B$1:B$65536,SNI!C$1:C$65536,'Isi Data'!E$1:E$65536)</f>
        <v>40000</v>
      </c>
      <c r="I684">
        <f>F684*G684</f>
        <v>1800</v>
      </c>
    </row>
    <row r="685">
      <c r="C685" t="str">
        <f>'Isi Data'!B159</f>
        <v>Tukang Kayu Halus</v>
      </c>
      <c r="E685" t="str">
        <v>org/hr</v>
      </c>
      <c r="F685">
        <f>18/F681</f>
        <v>0.13499999999999998</v>
      </c>
      <c r="G685">
        <f>SUMIF('Isi Data'!B$1:B$65536,SNI!C$1:C$65536,'Isi Data'!E$1:E$65536)</f>
        <v>55000</v>
      </c>
      <c r="I685">
        <f>F685*G685</f>
        <v>7424.999999999999</v>
      </c>
    </row>
    <row r="686">
      <c r="C686" t="str">
        <f>'Isi Data'!B160</f>
        <v>Kepala Tukang Kayu</v>
      </c>
      <c r="E686" t="str">
        <v>org/hr</v>
      </c>
      <c r="F686">
        <f>1.8/F681</f>
        <v>0.0135</v>
      </c>
      <c r="G686">
        <f>SUMIF('Isi Data'!B$1:B$65536,SNI!C$1:C$65536,'Isi Data'!E$1:E$65536)</f>
        <v>60000</v>
      </c>
      <c r="I686">
        <f>F686*G686</f>
        <v>810</v>
      </c>
    </row>
    <row r="687">
      <c r="C687" t="str">
        <f>'Isi Data'!B169</f>
        <v xml:space="preserve">Mandor </v>
      </c>
      <c r="E687" t="str">
        <v>org/hr</v>
      </c>
      <c r="F687">
        <f>0.3/F681</f>
        <v>0.00225</v>
      </c>
      <c r="G687">
        <f>SUMIF('Isi Data'!B$1:B$65536,SNI!C$1:C$65536,'Isi Data'!E$1:E$65536)</f>
        <v>50000</v>
      </c>
      <c r="I687">
        <f>F687*G687</f>
        <v>112.49999999999999</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21483000</v>
      </c>
      <c r="I690">
        <f>SUM(I691:I697)</f>
        <v>1578500</v>
      </c>
      <c r="J690">
        <f>$J$3</f>
        <v>0.1</v>
      </c>
      <c r="K690">
        <f>SUM(H690:I690)*(1+J690)</f>
        <v>25367650.000000004</v>
      </c>
      <c r="L690">
        <f>ROUND(K690,-2)</f>
        <v>25367700</v>
      </c>
    </row>
    <row r="691">
      <c r="C691" t="str">
        <f>'Isi Data'!B37</f>
        <v>Kayu Klas I</v>
      </c>
      <c r="D691" t="str">
        <v>Balok</v>
      </c>
      <c r="E691" t="str">
        <v>m3</v>
      </c>
      <c r="F691">
        <v>1.1</v>
      </c>
      <c r="G691">
        <f>SUMIF('Isi Data'!B$1:B$65536,SNI!C$1:C$65536,'Isi Data'!E$1:E$65536)</f>
        <v>19500000</v>
      </c>
      <c r="H691">
        <f>F691*G691</f>
        <v>21450000</v>
      </c>
      <c r="M691" t="str">
        <f>IF(G691=0,"edit"," ")</f>
        <v xml:space="preserve"> </v>
      </c>
    </row>
    <row r="692">
      <c r="C692" t="str">
        <f>'Isi Data'!B82</f>
        <v>Paku 5 s/d 10 cm</v>
      </c>
      <c r="E692" t="str">
        <v>kg</v>
      </c>
      <c r="F692">
        <v>1.25</v>
      </c>
      <c r="G692">
        <f>SUMIF('Isi Data'!B$1:B$65536,SNI!C$1:C$65536,'Isi Data'!E$1:E$65536)</f>
        <v>12000</v>
      </c>
      <c r="H692">
        <f>F692*G692</f>
        <v>15000</v>
      </c>
      <c r="M692" t="str">
        <f>IF(G692=0,"edit"," ")</f>
        <v xml:space="preserve"> </v>
      </c>
    </row>
    <row r="693">
      <c r="C693" t="str">
        <f>'Isi Data'!B97</f>
        <v>Lem Kayu</v>
      </c>
      <c r="E693" t="str">
        <v>kg</v>
      </c>
      <c r="F693">
        <v>1</v>
      </c>
      <c r="G693">
        <f>SUMIF('Isi Data'!B$1:B$65536,SNI!C$1:C$65536,'Isi Data'!E$1:E$65536)</f>
        <v>18000</v>
      </c>
      <c r="H693">
        <f>F693*G693</f>
        <v>18000</v>
      </c>
      <c r="M693" t="str">
        <f>IF(G693=0,"edit"," ")</f>
        <v xml:space="preserve"> </v>
      </c>
    </row>
    <row r="694">
      <c r="C694" t="str">
        <f>'Isi Data'!B168</f>
        <v>Pekerja</v>
      </c>
      <c r="E694" t="str">
        <v>org/hr</v>
      </c>
      <c r="F694">
        <v>7</v>
      </c>
      <c r="G694">
        <f>SUMIF('Isi Data'!B$1:B$65536,SNI!C$1:C$65536,'Isi Data'!E$1:E$65536)</f>
        <v>40000</v>
      </c>
      <c r="I694">
        <f>F694*G694</f>
        <v>280000</v>
      </c>
      <c r="M694" t="str">
        <f>IF(G694=0,"edit"," ")</f>
        <v xml:space="preserve"> </v>
      </c>
    </row>
    <row r="695">
      <c r="C695" t="str">
        <f>'Isi Data'!B159</f>
        <v>Tukang Kayu Halus</v>
      </c>
      <c r="E695" t="str">
        <v>org/hr</v>
      </c>
      <c r="F695">
        <v>21</v>
      </c>
      <c r="G695">
        <f>SUMIF('Isi Data'!B$1:B$65536,SNI!C$1:C$65536,'Isi Data'!E$1:E$65536)</f>
        <v>55000</v>
      </c>
      <c r="I695">
        <f>F695*G695</f>
        <v>1155000</v>
      </c>
      <c r="M695" t="str">
        <f>IF(G695=0,"edit"," ")</f>
        <v xml:space="preserve"> </v>
      </c>
    </row>
    <row r="696">
      <c r="C696" t="str">
        <f>'Isi Data'!B160</f>
        <v>Kepala Tukang Kayu</v>
      </c>
      <c r="E696" t="str">
        <v>org/hr</v>
      </c>
      <c r="F696">
        <v>2.1</v>
      </c>
      <c r="G696">
        <f>SUMIF('Isi Data'!B$1:B$65536,SNI!C$1:C$65536,'Isi Data'!E$1:E$65536)</f>
        <v>60000</v>
      </c>
      <c r="I696">
        <f>F696*G696</f>
        <v>126000</v>
      </c>
      <c r="M696" t="str">
        <f>IF(G696=0,"edit"," ")</f>
        <v xml:space="preserve"> </v>
      </c>
    </row>
    <row r="697">
      <c r="C697" t="str">
        <f>'Isi Data'!B169</f>
        <v xml:space="preserve">Mandor </v>
      </c>
      <c r="E697" t="str">
        <v>org/hr</v>
      </c>
      <c r="F697">
        <v>0.35</v>
      </c>
      <c r="G697">
        <f>SUMIF('Isi Data'!B$1:B$65536,SNI!C$1:C$65536,'Isi Data'!E$1:E$65536)</f>
        <v>50000</v>
      </c>
      <c r="I697">
        <f>F697*G697</f>
        <v>17500</v>
      </c>
      <c r="M697" t="str">
        <f>IF(G697=0,"edit"," ")</f>
        <v xml:space="preserve"> </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8313000</v>
      </c>
      <c r="I699">
        <f>SUM(I700:I706)</f>
        <v>1353000</v>
      </c>
      <c r="J699">
        <f>$J$3</f>
        <v>0.1</v>
      </c>
      <c r="K699">
        <f>SUM(H699:I699)*(1+J699)</f>
        <v>10632600</v>
      </c>
      <c r="L699">
        <f>ROUND(K699,-2)</f>
        <v>10632600</v>
      </c>
    </row>
    <row r="700">
      <c r="C700" t="str">
        <f>'Isi Data'!B38</f>
        <v>Kayu Klas II</v>
      </c>
      <c r="D700" t="str">
        <v>balok</v>
      </c>
      <c r="E700" t="str">
        <v>m3</v>
      </c>
      <c r="F700">
        <v>1.2</v>
      </c>
      <c r="G700">
        <f>SUMIF('Isi Data'!B$1:B$65536,SNI!C$1:C$65536,'Isi Data'!E$1:E$65536)</f>
        <v>6900000</v>
      </c>
      <c r="H700">
        <f>F700*G700</f>
        <v>8280000</v>
      </c>
      <c r="M700" t="str">
        <f>IF(G700=0,"edit"," ")</f>
        <v xml:space="preserve"> </v>
      </c>
    </row>
    <row r="701">
      <c r="C701" t="str">
        <f>'Isi Data'!B82</f>
        <v>Paku 5 s/d 10 cm</v>
      </c>
      <c r="E701" t="str">
        <v>kg</v>
      </c>
      <c r="F701">
        <v>1.25</v>
      </c>
      <c r="G701">
        <f>SUMIF('Isi Data'!B$1:B$65536,SNI!C$1:C$65536,'Isi Data'!E$1:E$65536)</f>
        <v>12000</v>
      </c>
      <c r="H701">
        <f>F701*G701</f>
        <v>15000</v>
      </c>
      <c r="M701" t="str">
        <f>IF(G701=0,"edit"," ")</f>
        <v xml:space="preserve"> </v>
      </c>
    </row>
    <row r="702">
      <c r="C702" t="str">
        <f>'Isi Data'!B97</f>
        <v>Lem Kayu</v>
      </c>
      <c r="E702" t="str">
        <v>kg</v>
      </c>
      <c r="F702">
        <v>1</v>
      </c>
      <c r="G702">
        <f>SUMIF('Isi Data'!B$1:B$65536,SNI!C$1:C$65536,'Isi Data'!E$1:E$65536)</f>
        <v>18000</v>
      </c>
      <c r="H702">
        <f>F702*G702</f>
        <v>18000</v>
      </c>
      <c r="M702" t="str">
        <f>IF(G702=0,"edit"," ")</f>
        <v xml:space="preserve"> </v>
      </c>
    </row>
    <row r="703">
      <c r="C703" t="str">
        <f>'Isi Data'!B168</f>
        <v>Pekerja</v>
      </c>
      <c r="E703" t="str">
        <v>org/hr</v>
      </c>
      <c r="F703">
        <v>6</v>
      </c>
      <c r="G703">
        <f>SUMIF('Isi Data'!B$1:B$65536,SNI!C$1:C$65536,'Isi Data'!E$1:E$65536)</f>
        <v>40000</v>
      </c>
      <c r="I703">
        <f>F703*G703</f>
        <v>240000</v>
      </c>
      <c r="M703" t="str">
        <f>IF(G703=0,"edit"," ")</f>
        <v xml:space="preserve"> </v>
      </c>
    </row>
    <row r="704">
      <c r="C704" t="str">
        <f>'Isi Data'!B159</f>
        <v>Tukang Kayu Halus</v>
      </c>
      <c r="E704" t="str">
        <v>org/hr</v>
      </c>
      <c r="F704">
        <v>18</v>
      </c>
      <c r="G704">
        <f>SUMIF('Isi Data'!B$1:B$65536,SNI!C$1:C$65536,'Isi Data'!E$1:E$65536)</f>
        <v>55000</v>
      </c>
      <c r="I704">
        <f>F704*G704</f>
        <v>990000</v>
      </c>
      <c r="M704" t="str">
        <f>IF(G704=0,"edit"," ")</f>
        <v xml:space="preserve"> </v>
      </c>
    </row>
    <row r="705">
      <c r="C705" t="str">
        <f>'Isi Data'!B160</f>
        <v>Kepala Tukang Kayu</v>
      </c>
      <c r="E705" t="str">
        <v>org/hr</v>
      </c>
      <c r="F705">
        <v>1.8</v>
      </c>
      <c r="G705">
        <f>SUMIF('Isi Data'!B$1:B$65536,SNI!C$1:C$65536,'Isi Data'!E$1:E$65536)</f>
        <v>60000</v>
      </c>
      <c r="I705">
        <f>F705*G705</f>
        <v>108000</v>
      </c>
      <c r="M705" t="str">
        <f>IF(G705=0,"edit"," ")</f>
        <v xml:space="preserve"> </v>
      </c>
    </row>
    <row r="706">
      <c r="C706" t="str">
        <f>'Isi Data'!B169</f>
        <v xml:space="preserve">Mandor </v>
      </c>
      <c r="E706" t="str">
        <v>org/hr</v>
      </c>
      <c r="F706">
        <v>0.3</v>
      </c>
      <c r="G706">
        <f>SUMIF('Isi Data'!B$1:B$65536,SNI!C$1:C$65536,'Isi Data'!E$1:E$65536)</f>
        <v>50000</v>
      </c>
      <c r="I706">
        <f>F706*G706</f>
        <v>15000</v>
      </c>
      <c r="M706" t="str">
        <f>IF(G706=0,"edit"," ")</f>
        <v xml:space="preserve"> </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5433000</v>
      </c>
      <c r="I708">
        <f>SUM(I709:I715)</f>
        <v>1353000</v>
      </c>
      <c r="J708">
        <f>$J$3</f>
        <v>0.1</v>
      </c>
      <c r="K708">
        <f>SUM(H708:I708)*(1+J708)</f>
        <v>7464600.000000001</v>
      </c>
      <c r="L708">
        <f>ROUND(K708,-2)</f>
        <v>7464600</v>
      </c>
    </row>
    <row r="709">
      <c r="C709" t="str">
        <f>'Isi Data'!B39</f>
        <v>Kayu Klas III</v>
      </c>
      <c r="D709" t="str">
        <v>balok</v>
      </c>
      <c r="E709" t="str">
        <v>m3</v>
      </c>
      <c r="F709">
        <v>1.2</v>
      </c>
      <c r="G709">
        <f>SUMIF('Isi Data'!B$1:B$65536,SNI!C$1:C$65536,'Isi Data'!E$1:E$65536)</f>
        <v>4500000</v>
      </c>
      <c r="H709">
        <f>F709*G709</f>
        <v>5400000</v>
      </c>
      <c r="M709" t="str">
        <f>IF(G709=0,"edit"," ")</f>
        <v xml:space="preserve"> </v>
      </c>
    </row>
    <row r="710">
      <c r="C710" t="str">
        <f>'Isi Data'!B82</f>
        <v>Paku 5 s/d 10 cm</v>
      </c>
      <c r="E710" t="str">
        <v>kg</v>
      </c>
      <c r="F710">
        <v>1.25</v>
      </c>
      <c r="G710">
        <f>SUMIF('Isi Data'!B$1:B$65536,SNI!C$1:C$65536,'Isi Data'!E$1:E$65536)</f>
        <v>12000</v>
      </c>
      <c r="H710">
        <f>F710*G710</f>
        <v>15000</v>
      </c>
      <c r="M710" t="str">
        <f>IF(G710=0,"edit"," ")</f>
        <v xml:space="preserve"> </v>
      </c>
    </row>
    <row r="711">
      <c r="C711" t="str">
        <f>'Isi Data'!B97</f>
        <v>Lem Kayu</v>
      </c>
      <c r="E711" t="str">
        <v>kg</v>
      </c>
      <c r="F711">
        <v>1</v>
      </c>
      <c r="G711">
        <f>SUMIF('Isi Data'!B$1:B$65536,SNI!C$1:C$65536,'Isi Data'!E$1:E$65536)</f>
        <v>18000</v>
      </c>
      <c r="H711">
        <f>F711*G711</f>
        <v>18000</v>
      </c>
      <c r="M711" t="str">
        <f>IF(G711=0,"edit"," ")</f>
        <v xml:space="preserve"> </v>
      </c>
    </row>
    <row r="712">
      <c r="C712" t="str">
        <f>'Isi Data'!B168</f>
        <v>Pekerja</v>
      </c>
      <c r="E712" t="str">
        <v>org/hr</v>
      </c>
      <c r="F712">
        <v>6</v>
      </c>
      <c r="G712">
        <f>SUMIF('Isi Data'!B$1:B$65536,SNI!C$1:C$65536,'Isi Data'!E$1:E$65536)</f>
        <v>40000</v>
      </c>
      <c r="I712">
        <f>F712*G712</f>
        <v>240000</v>
      </c>
      <c r="M712" t="str">
        <f>IF(G712=0,"edit"," ")</f>
        <v xml:space="preserve"> </v>
      </c>
    </row>
    <row r="713">
      <c r="C713" t="str">
        <f>'Isi Data'!B159</f>
        <v>Tukang Kayu Halus</v>
      </c>
      <c r="E713" t="str">
        <v>org/hr</v>
      </c>
      <c r="F713">
        <v>18</v>
      </c>
      <c r="G713">
        <f>SUMIF('Isi Data'!B$1:B$65536,SNI!C$1:C$65536,'Isi Data'!E$1:E$65536)</f>
        <v>55000</v>
      </c>
      <c r="I713">
        <f>F713*G713</f>
        <v>990000</v>
      </c>
      <c r="M713" t="str">
        <f>IF(G713=0,"edit"," ")</f>
        <v xml:space="preserve"> </v>
      </c>
    </row>
    <row r="714">
      <c r="C714" t="str">
        <f>'Isi Data'!B160</f>
        <v>Kepala Tukang Kayu</v>
      </c>
      <c r="E714" t="str">
        <v>org/hr</v>
      </c>
      <c r="F714">
        <v>1.8</v>
      </c>
      <c r="G714">
        <f>SUMIF('Isi Data'!B$1:B$65536,SNI!C$1:C$65536,'Isi Data'!E$1:E$65536)</f>
        <v>60000</v>
      </c>
      <c r="I714">
        <f>F714*G714</f>
        <v>108000</v>
      </c>
      <c r="M714" t="str">
        <f>IF(G714=0,"edit"," ")</f>
        <v xml:space="preserve"> </v>
      </c>
    </row>
    <row r="715">
      <c r="C715" t="str">
        <f>'Isi Data'!B169</f>
        <v xml:space="preserve">Mandor </v>
      </c>
      <c r="E715" t="str">
        <v>org/hr</v>
      </c>
      <c r="F715">
        <v>0.3</v>
      </c>
      <c r="G715">
        <f>SUMIF('Isi Data'!B$1:B$65536,SNI!C$1:C$65536,'Isi Data'!E$1:E$65536)</f>
        <v>50000</v>
      </c>
      <c r="I715">
        <f>F715*G715</f>
        <v>15000</v>
      </c>
      <c r="M715" t="str">
        <f>IF(G715=0,"edit"," ")</f>
        <v xml:space="preserve"> </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473400</v>
      </c>
      <c r="I717">
        <f>SUM(I718:I723)</f>
        <v>180400</v>
      </c>
      <c r="J717">
        <f>$J$3</f>
        <v>0.1</v>
      </c>
      <c r="K717">
        <f>SUM(H717:I717)*(1+J717)</f>
        <v>719180</v>
      </c>
      <c r="L717">
        <f>ROUND(K717,-2)</f>
        <v>719200</v>
      </c>
    </row>
    <row r="718">
      <c r="C718" t="str">
        <f>'Isi Data'!B37</f>
        <v>Kayu Klas I</v>
      </c>
      <c r="D718" t="str">
        <v>Papan</v>
      </c>
      <c r="E718" t="str">
        <v>m3</v>
      </c>
      <c r="F718">
        <v>0.024</v>
      </c>
      <c r="G718">
        <f>SUMIF('Isi Data'!B$1:B$65536,SNI!C$1:C$65536,'Isi Data'!E$1:E$65536)</f>
        <v>19500000</v>
      </c>
      <c r="H718">
        <f>F718*G718</f>
        <v>468000</v>
      </c>
      <c r="M718" t="str">
        <f>IF(G718=0,"edit"," ")</f>
        <v xml:space="preserve"> </v>
      </c>
    </row>
    <row r="719">
      <c r="C719" t="str">
        <f>'Isi Data'!B97</f>
        <v>Lem Kayu</v>
      </c>
      <c r="E719" t="str">
        <v>kg</v>
      </c>
      <c r="F719">
        <v>0.3</v>
      </c>
      <c r="G719">
        <f>SUMIF('Isi Data'!B$1:B$65536,SNI!C$1:C$65536,'Isi Data'!E$1:E$65536)</f>
        <v>18000</v>
      </c>
      <c r="H719">
        <f>F719*G719</f>
        <v>5400</v>
      </c>
      <c r="M719" t="str">
        <f>IF(G719=0,"edit"," ")</f>
        <v xml:space="preserve"> </v>
      </c>
    </row>
    <row r="720">
      <c r="C720" t="str">
        <f>'Isi Data'!B168</f>
        <v>Pekerja</v>
      </c>
      <c r="E720" t="str">
        <v>org/hr</v>
      </c>
      <c r="F720">
        <v>0.8</v>
      </c>
      <c r="G720">
        <f>SUMIF('Isi Data'!B$1:B$65536,SNI!C$1:C$65536,'Isi Data'!E$1:E$65536)</f>
        <v>40000</v>
      </c>
      <c r="I720">
        <f>F720*G720</f>
        <v>32000</v>
      </c>
      <c r="M720" t="str">
        <f>IF(G720=0,"edit"," ")</f>
        <v xml:space="preserve"> </v>
      </c>
    </row>
    <row r="721">
      <c r="C721" t="str">
        <f>'Isi Data'!B159</f>
        <v>Tukang Kayu Halus</v>
      </c>
      <c r="E721" t="str">
        <v>org/hr</v>
      </c>
      <c r="F721">
        <v>2.4</v>
      </c>
      <c r="G721">
        <f>SUMIF('Isi Data'!B$1:B$65536,SNI!C$1:C$65536,'Isi Data'!E$1:E$65536)</f>
        <v>55000</v>
      </c>
      <c r="I721">
        <f>F721*G721</f>
        <v>132000</v>
      </c>
      <c r="M721" t="str">
        <f>IF(G721=0,"edit"," ")</f>
        <v xml:space="preserve"> </v>
      </c>
    </row>
    <row r="722">
      <c r="C722" t="str">
        <f>'Isi Data'!B160</f>
        <v>Kepala Tukang Kayu</v>
      </c>
      <c r="E722" t="str">
        <v>org/hr</v>
      </c>
      <c r="F722">
        <v>0.24</v>
      </c>
      <c r="G722">
        <f>SUMIF('Isi Data'!B$1:B$65536,SNI!C$1:C$65536,'Isi Data'!E$1:E$65536)</f>
        <v>60000</v>
      </c>
      <c r="I722">
        <f>F722*G722</f>
        <v>14400</v>
      </c>
      <c r="M722" t="str">
        <f>IF(G722=0,"edit"," ")</f>
        <v xml:space="preserve"> </v>
      </c>
    </row>
    <row r="723">
      <c r="C723" t="str">
        <f>'Isi Data'!B169</f>
        <v xml:space="preserve">Mandor </v>
      </c>
      <c r="E723" t="str">
        <v>org/hr</v>
      </c>
      <c r="F723">
        <v>0.04</v>
      </c>
      <c r="G723">
        <f>SUMIF('Isi Data'!B$1:B$65536,SNI!C$1:C$65536,'Isi Data'!E$1:E$65536)</f>
        <v>50000</v>
      </c>
      <c r="I723">
        <f>F723*G723</f>
        <v>2000</v>
      </c>
      <c r="M723" t="str">
        <f>IF(G723=0,"edit"," ")</f>
        <v xml:space="preserve"> </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171000</v>
      </c>
      <c r="I725">
        <f>SUM(I726:I731)</f>
        <v>180400</v>
      </c>
      <c r="J725">
        <f>$J$3</f>
        <v>0.1</v>
      </c>
      <c r="K725">
        <f>SUM(H725:I725)*(1+J725)</f>
        <v>386540.00000000006</v>
      </c>
      <c r="L725">
        <f>ROUND(K725,-2)</f>
        <v>386500</v>
      </c>
    </row>
    <row r="726">
      <c r="C726" t="str">
        <f>'Isi Data'!B38</f>
        <v>Kayu Klas II</v>
      </c>
      <c r="D726" t="str">
        <v>Papan</v>
      </c>
      <c r="E726" t="str">
        <v>m3</v>
      </c>
      <c r="F726">
        <v>0.024</v>
      </c>
      <c r="G726">
        <f>SUMIF('Isi Data'!B$1:B$65536,SNI!C$1:C$65536,'Isi Data'!E$1:E$65536)</f>
        <v>6900000</v>
      </c>
      <c r="H726">
        <f>F726*G726</f>
        <v>165600</v>
      </c>
      <c r="M726" t="str">
        <f>IF(G726=0,"edit"," ")</f>
        <v xml:space="preserve"> </v>
      </c>
    </row>
    <row r="727">
      <c r="C727" t="str">
        <f>'Isi Data'!B97</f>
        <v>Lem Kayu</v>
      </c>
      <c r="E727" t="str">
        <v>kg</v>
      </c>
      <c r="F727">
        <v>0.3</v>
      </c>
      <c r="G727">
        <f>SUMIF('Isi Data'!B$1:B$65536,SNI!C$1:C$65536,'Isi Data'!E$1:E$65536)</f>
        <v>18000</v>
      </c>
      <c r="H727">
        <f>F727*G727</f>
        <v>5400</v>
      </c>
      <c r="M727" t="str">
        <f>IF(G727=0,"edit"," ")</f>
        <v xml:space="preserve"> </v>
      </c>
    </row>
    <row r="728">
      <c r="C728" t="str">
        <f>'Isi Data'!B168</f>
        <v>Pekerja</v>
      </c>
      <c r="E728" t="str">
        <v>org/hr</v>
      </c>
      <c r="F728">
        <v>0.8</v>
      </c>
      <c r="G728">
        <f>SUMIF('Isi Data'!B$1:B$65536,SNI!C$1:C$65536,'Isi Data'!E$1:E$65536)</f>
        <v>40000</v>
      </c>
      <c r="I728">
        <f>F728*G728</f>
        <v>32000</v>
      </c>
      <c r="M728" t="str">
        <f>IF(G728=0,"edit"," ")</f>
        <v xml:space="preserve"> </v>
      </c>
    </row>
    <row r="729">
      <c r="C729" t="str">
        <f>'Isi Data'!B159</f>
        <v>Tukang Kayu Halus</v>
      </c>
      <c r="E729" t="str">
        <v>org/hr</v>
      </c>
      <c r="F729">
        <v>2.4</v>
      </c>
      <c r="G729">
        <f>SUMIF('Isi Data'!B$1:B$65536,SNI!C$1:C$65536,'Isi Data'!E$1:E$65536)</f>
        <v>55000</v>
      </c>
      <c r="I729">
        <f>F729*G729</f>
        <v>132000</v>
      </c>
      <c r="M729" t="str">
        <f>IF(G729=0,"edit"," ")</f>
        <v xml:space="preserve"> </v>
      </c>
    </row>
    <row r="730">
      <c r="C730" t="str">
        <f>'Isi Data'!B160</f>
        <v>Kepala Tukang Kayu</v>
      </c>
      <c r="E730" t="str">
        <v>org/hr</v>
      </c>
      <c r="F730">
        <v>0.24</v>
      </c>
      <c r="G730">
        <f>SUMIF('Isi Data'!B$1:B$65536,SNI!C$1:C$65536,'Isi Data'!E$1:E$65536)</f>
        <v>60000</v>
      </c>
      <c r="I730">
        <f>F730*G730</f>
        <v>14400</v>
      </c>
      <c r="M730" t="str">
        <f>IF(G730=0,"edit"," ")</f>
        <v xml:space="preserve"> </v>
      </c>
    </row>
    <row r="731">
      <c r="C731" t="str">
        <f>'Isi Data'!B169</f>
        <v xml:space="preserve">Mandor </v>
      </c>
      <c r="E731" t="str">
        <v>org/hr</v>
      </c>
      <c r="F731">
        <v>0.04</v>
      </c>
      <c r="G731">
        <f>SUMIF('Isi Data'!B$1:B$65536,SNI!C$1:C$65536,'Isi Data'!E$1:E$65536)</f>
        <v>50000</v>
      </c>
      <c r="I731">
        <f>F731*G731</f>
        <v>2000</v>
      </c>
      <c r="M731" t="str">
        <f>IF(G731=0,"edit"," ")</f>
        <v xml:space="preserve"> </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186000</v>
      </c>
      <c r="I733">
        <f>SUM(I734:I739)</f>
        <v>73280</v>
      </c>
      <c r="J733">
        <f>$J$3</f>
        <v>0.1</v>
      </c>
      <c r="K733">
        <f>SUM(H733:I733)*(1+J733)</f>
        <v>285208</v>
      </c>
      <c r="L733">
        <f>ROUND(K733,-2)</f>
        <v>285200</v>
      </c>
    </row>
    <row r="734">
      <c r="C734" t="str">
        <f>'Isi Data'!B39</f>
        <v>Kayu Klas III</v>
      </c>
      <c r="D734" t="str">
        <v>Papan</v>
      </c>
      <c r="E734" t="str">
        <v>m3</v>
      </c>
      <c r="F734">
        <v>0.04</v>
      </c>
      <c r="G734">
        <f>SUMIF('Isi Data'!B$1:B$65536,SNI!C$1:C$65536,'Isi Data'!E$1:E$65536)</f>
        <v>4500000</v>
      </c>
      <c r="H734">
        <f>F734*G734</f>
        <v>180000</v>
      </c>
      <c r="M734" t="str">
        <f>IF(G734=0,"edit"," ")</f>
        <v xml:space="preserve"> </v>
      </c>
    </row>
    <row r="735">
      <c r="C735" t="str">
        <f>'Isi Data'!B82</f>
        <v>Paku 5 s/d 10 cm</v>
      </c>
      <c r="E735" t="str">
        <v>kg</v>
      </c>
      <c r="F735">
        <v>0.5</v>
      </c>
      <c r="G735">
        <f>SUMIF('Isi Data'!B$1:B$65536,SNI!C$1:C$65536,'Isi Data'!E$1:E$65536)</f>
        <v>12000</v>
      </c>
      <c r="H735">
        <f>F735*G735</f>
        <v>6000</v>
      </c>
      <c r="M735" t="str">
        <f>IF(G735=0,"edit"," ")</f>
        <v xml:space="preserve"> </v>
      </c>
    </row>
    <row r="736">
      <c r="C736" t="str">
        <f>'Isi Data'!B168</f>
        <v>Pekerja</v>
      </c>
      <c r="E736" t="str">
        <v>org/hr</v>
      </c>
      <c r="F736">
        <v>0.35</v>
      </c>
      <c r="G736">
        <f>SUMIF('Isi Data'!B$1:B$65536,SNI!C$1:C$65536,'Isi Data'!E$1:E$65536)</f>
        <v>40000</v>
      </c>
      <c r="I736">
        <f>F736*G736</f>
        <v>14000</v>
      </c>
      <c r="M736" t="str">
        <f>IF(G736=0,"edit"," ")</f>
        <v xml:space="preserve"> </v>
      </c>
    </row>
    <row r="737">
      <c r="C737" t="str">
        <f>'Isi Data'!B159</f>
        <v>Tukang Kayu Halus</v>
      </c>
      <c r="E737" t="str">
        <v>org/hr</v>
      </c>
      <c r="F737">
        <v>1.05</v>
      </c>
      <c r="G737">
        <f>SUMIF('Isi Data'!B$1:B$65536,SNI!C$1:C$65536,'Isi Data'!E$1:E$65536)</f>
        <v>55000</v>
      </c>
      <c r="I737">
        <f>F737*G737</f>
        <v>57750</v>
      </c>
      <c r="M737" t="str">
        <f>IF(G737=0,"edit"," ")</f>
        <v xml:space="preserve"> </v>
      </c>
    </row>
    <row r="738">
      <c r="C738" t="str">
        <f>'Isi Data'!B160</f>
        <v>Kepala Tukang Kayu</v>
      </c>
      <c r="E738" t="str">
        <v>org/hr</v>
      </c>
      <c r="F738">
        <v>0.0105</v>
      </c>
      <c r="G738">
        <f>SUMIF('Isi Data'!B$1:B$65536,SNI!C$1:C$65536,'Isi Data'!E$1:E$65536)</f>
        <v>60000</v>
      </c>
      <c r="I738">
        <f>F738*G738</f>
        <v>630</v>
      </c>
      <c r="M738" t="str">
        <f>IF(G738=0,"edit"," ")</f>
        <v xml:space="preserve"> </v>
      </c>
    </row>
    <row r="739">
      <c r="C739" t="str">
        <f>'Isi Data'!B169</f>
        <v xml:space="preserve">Mandor </v>
      </c>
      <c r="E739" t="str">
        <v>org/hr</v>
      </c>
      <c r="F739">
        <v>0.018</v>
      </c>
      <c r="G739">
        <f>SUMIF('Isi Data'!B$1:B$65536,SNI!C$1:C$65536,'Isi Data'!E$1:E$65536)</f>
        <v>50000</v>
      </c>
      <c r="I739">
        <f>F739*G739</f>
        <v>899.9999999999999</v>
      </c>
      <c r="M739" t="str">
        <f>IF(G739=0,"edit"," ")</f>
        <v xml:space="preserve"> </v>
      </c>
    </row>
    <row r="740">
      <c r="G740">
        <f>SUMIF('Isi Data'!B$1:B$65536,SNI!C$1:C$65536,'Isi Data'!E$1:E$65536)</f>
        <v>0</v>
      </c>
    </row>
    <row r="741">
      <c r="A741" t="str">
        <v>SNI 3434:2008-6.5</v>
      </c>
      <c r="B741" t="str">
        <v>M2</v>
      </c>
      <c r="C741" t="str">
        <v>Daun Pintu Panel KW.I</v>
      </c>
      <c r="G741">
        <f>SUMIF('Isi Data'!B$1:B$65536,SNI!C$1:C$65536,'Isi Data'!E$1:E$65536)</f>
        <v>0</v>
      </c>
      <c r="H741">
        <f>SUM(H742:H747)</f>
        <v>789000</v>
      </c>
      <c r="I741">
        <f>SUM(I742:I747)</f>
        <v>225500</v>
      </c>
      <c r="J741">
        <f>$J$3</f>
        <v>0.1</v>
      </c>
      <c r="K741">
        <f>SUM(H741:I741)*(1+J741)</f>
        <v>1115950</v>
      </c>
      <c r="L741">
        <f>ROUND(K741,-2)</f>
        <v>1116000</v>
      </c>
    </row>
    <row r="742">
      <c r="C742" t="str">
        <f>'Isi Data'!B37</f>
        <v>Kayu Klas I</v>
      </c>
      <c r="D742" t="str">
        <v>papan</v>
      </c>
      <c r="E742" t="str">
        <v>m3</v>
      </c>
      <c r="F742">
        <v>0.04</v>
      </c>
      <c r="G742">
        <f>SUMIF('Isi Data'!B$1:B$65536,SNI!C$1:C$65536,'Isi Data'!E$1:E$65536)</f>
        <v>19500000</v>
      </c>
      <c r="H742">
        <f>F742*G742</f>
        <v>780000</v>
      </c>
      <c r="M742" t="str">
        <f>IF(G742=0,"edit"," ")</f>
        <v xml:space="preserve"> </v>
      </c>
    </row>
    <row r="743">
      <c r="C743" t="str">
        <f>'Isi Data'!B97</f>
        <v>Lem Kayu</v>
      </c>
      <c r="E743" t="str">
        <v>kg</v>
      </c>
      <c r="F743">
        <v>0.5</v>
      </c>
      <c r="G743">
        <f>SUMIF('Isi Data'!B$1:B$65536,SNI!C$1:C$65536,'Isi Data'!E$1:E$65536)</f>
        <v>18000</v>
      </c>
      <c r="H743">
        <f>F743*G743</f>
        <v>9000</v>
      </c>
      <c r="M743" t="str">
        <f>IF(G743=0,"edit"," ")</f>
        <v xml:space="preserve"> </v>
      </c>
    </row>
    <row r="744">
      <c r="C744" t="str">
        <f>'Isi Data'!B168</f>
        <v>Pekerja</v>
      </c>
      <c r="E744" t="str">
        <v>org/hr</v>
      </c>
      <c r="F744">
        <v>1</v>
      </c>
      <c r="G744">
        <f>SUMIF('Isi Data'!B$1:B$65536,SNI!C$1:C$65536,'Isi Data'!E$1:E$65536)</f>
        <v>40000</v>
      </c>
      <c r="I744">
        <f>F744*G744</f>
        <v>40000</v>
      </c>
      <c r="M744" t="str">
        <f>IF(G744=0,"edit"," ")</f>
        <v xml:space="preserve"> </v>
      </c>
    </row>
    <row r="745">
      <c r="C745" t="str">
        <f>'Isi Data'!B159</f>
        <v>Tukang Kayu Halus</v>
      </c>
      <c r="E745" t="str">
        <v>org/hr</v>
      </c>
      <c r="F745">
        <v>3</v>
      </c>
      <c r="G745">
        <f>SUMIF('Isi Data'!B$1:B$65536,SNI!C$1:C$65536,'Isi Data'!E$1:E$65536)</f>
        <v>55000</v>
      </c>
      <c r="I745">
        <f>F745*G745</f>
        <v>165000</v>
      </c>
      <c r="M745" t="str">
        <f>IF(G745=0,"edit"," ")</f>
        <v xml:space="preserve"> </v>
      </c>
    </row>
    <row r="746">
      <c r="C746" t="str">
        <f>'Isi Data'!B160</f>
        <v>Kepala Tukang Kayu</v>
      </c>
      <c r="E746" t="str">
        <v>org/hr</v>
      </c>
      <c r="F746">
        <v>0.3</v>
      </c>
      <c r="G746">
        <f>SUMIF('Isi Data'!B$1:B$65536,SNI!C$1:C$65536,'Isi Data'!E$1:E$65536)</f>
        <v>60000</v>
      </c>
      <c r="I746">
        <f>F746*G746</f>
        <v>18000</v>
      </c>
      <c r="M746" t="str">
        <f>IF(G746=0,"edit"," ")</f>
        <v xml:space="preserve"> </v>
      </c>
    </row>
    <row r="747">
      <c r="C747" t="str">
        <f>'Isi Data'!B169</f>
        <v xml:space="preserve">Mandor </v>
      </c>
      <c r="E747" t="str">
        <v>org/hr</v>
      </c>
      <c r="F747">
        <v>0.05</v>
      </c>
      <c r="G747">
        <f>SUMIF('Isi Data'!B$1:B$65536,SNI!C$1:C$65536,'Isi Data'!E$1:E$65536)</f>
        <v>50000</v>
      </c>
      <c r="I747">
        <f>F747*G747</f>
        <v>2500</v>
      </c>
      <c r="M747" t="str">
        <f>IF(G747=0,"edit"," ")</f>
        <v xml:space="preserve"> </v>
      </c>
    </row>
    <row r="748">
      <c r="G748">
        <f>SUMIF('Isi Data'!B$1:B$65536,SNI!C$1:C$65536,'Isi Data'!E$1:E$65536)</f>
        <v>0</v>
      </c>
    </row>
    <row r="749">
      <c r="A749" t="str">
        <v>SNI 3434:2008-6.5</v>
      </c>
      <c r="B749" t="str">
        <v>M2</v>
      </c>
      <c r="C749" t="str">
        <v>Daun Pintu Panel KW.II</v>
      </c>
      <c r="G749">
        <f>SUMIF('Isi Data'!B$1:B$65536,SNI!C$1:C$65536,'Isi Data'!E$1:E$65536)</f>
        <v>0</v>
      </c>
      <c r="H749">
        <f>SUM(H750:H755)</f>
        <v>285000</v>
      </c>
      <c r="I749">
        <f>SUM(I750:I755)</f>
        <v>225500</v>
      </c>
      <c r="J749">
        <f>$J$3</f>
        <v>0.1</v>
      </c>
      <c r="K749">
        <f>SUM(H749:I749)*(1+J749)</f>
        <v>561550</v>
      </c>
      <c r="L749">
        <f>ROUND(K749,-2)</f>
        <v>561600</v>
      </c>
    </row>
    <row r="750">
      <c r="C750" t="str">
        <f>'Isi Data'!B38</f>
        <v>Kayu Klas II</v>
      </c>
      <c r="D750" t="str">
        <v>papan</v>
      </c>
      <c r="E750" t="str">
        <v>m3</v>
      </c>
      <c r="F750">
        <v>0.04</v>
      </c>
      <c r="G750">
        <f>SUMIF('Isi Data'!B$1:B$65536,SNI!C$1:C$65536,'Isi Data'!E$1:E$65536)</f>
        <v>6900000</v>
      </c>
      <c r="H750">
        <f>F750*G750</f>
        <v>276000</v>
      </c>
    </row>
    <row r="751">
      <c r="C751" t="str">
        <f>'Isi Data'!B97</f>
        <v>Lem Kayu</v>
      </c>
      <c r="E751" t="str">
        <v>kg</v>
      </c>
      <c r="F751">
        <v>0.5</v>
      </c>
      <c r="G751">
        <f>SUMIF('Isi Data'!B$1:B$65536,SNI!C$1:C$65536,'Isi Data'!E$1:E$65536)</f>
        <v>18000</v>
      </c>
      <c r="H751">
        <f>F751*G751</f>
        <v>9000</v>
      </c>
    </row>
    <row r="752">
      <c r="C752" t="str">
        <f>'Isi Data'!B168</f>
        <v>Pekerja</v>
      </c>
      <c r="E752" t="str">
        <v>org/hr</v>
      </c>
      <c r="F752">
        <v>1</v>
      </c>
      <c r="G752">
        <f>SUMIF('Isi Data'!B$1:B$65536,SNI!C$1:C$65536,'Isi Data'!E$1:E$65536)</f>
        <v>40000</v>
      </c>
      <c r="I752">
        <f>F752*G752</f>
        <v>40000</v>
      </c>
    </row>
    <row r="753">
      <c r="C753" t="str">
        <f>'Isi Data'!B159</f>
        <v>Tukang Kayu Halus</v>
      </c>
      <c r="E753" t="str">
        <v>org/hr</v>
      </c>
      <c r="F753">
        <v>3</v>
      </c>
      <c r="G753">
        <f>SUMIF('Isi Data'!B$1:B$65536,SNI!C$1:C$65536,'Isi Data'!E$1:E$65536)</f>
        <v>55000</v>
      </c>
      <c r="I753">
        <f>F753*G753</f>
        <v>165000</v>
      </c>
    </row>
    <row r="754">
      <c r="C754" t="str">
        <f>'Isi Data'!B160</f>
        <v>Kepala Tukang Kayu</v>
      </c>
      <c r="E754" t="str">
        <v>org/hr</v>
      </c>
      <c r="F754">
        <v>0.3</v>
      </c>
      <c r="G754">
        <f>SUMIF('Isi Data'!B$1:B$65536,SNI!C$1:C$65536,'Isi Data'!E$1:E$65536)</f>
        <v>60000</v>
      </c>
      <c r="I754">
        <f>F754*G754</f>
        <v>18000</v>
      </c>
    </row>
    <row r="755">
      <c r="C755" t="str">
        <f>'Isi Data'!B169</f>
        <v xml:space="preserve">Mandor </v>
      </c>
      <c r="E755" t="str">
        <v>org/hr</v>
      </c>
      <c r="F755">
        <v>0.05</v>
      </c>
      <c r="G755">
        <f>SUMIF('Isi Data'!B$1:B$65536,SNI!C$1:C$65536,'Isi Data'!E$1:E$65536)</f>
        <v>50000</v>
      </c>
      <c r="I755">
        <f>F755*G755</f>
        <v>2500</v>
      </c>
    </row>
    <row r="756">
      <c r="G756">
        <f>SUMIF('Isi Data'!B$1:B$65536,SNI!C$1:C$65536,'Isi Data'!E$1:E$65536)</f>
        <v>0</v>
      </c>
    </row>
    <row r="757">
      <c r="A757" t="str">
        <v>SNI DT 91-0011-2007</v>
      </c>
      <c r="B757" t="str">
        <v>M2</v>
      </c>
      <c r="C757" t="str">
        <v>Daun Pintu Panel KW.III</v>
      </c>
      <c r="G757">
        <f>SUMIF('Isi Data'!B$1:B$65536,SNI!C$1:C$65536,'Isi Data'!E$1:E$65536)</f>
        <v>0</v>
      </c>
      <c r="H757">
        <f>SUM(H758:H763)</f>
        <v>189000</v>
      </c>
      <c r="I757">
        <f>SUM(I758:I763)</f>
        <v>225500</v>
      </c>
      <c r="J757">
        <f>$J$3</f>
        <v>0.1</v>
      </c>
      <c r="K757">
        <f>SUM(H757:I757)*(1+J757)</f>
        <v>455950.00000000006</v>
      </c>
      <c r="L757">
        <f>ROUND(K757,-2)</f>
        <v>456000</v>
      </c>
    </row>
    <row r="758">
      <c r="C758" t="str">
        <f>'Isi Data'!B39</f>
        <v>Kayu Klas III</v>
      </c>
      <c r="D758" t="str">
        <v>papan</v>
      </c>
      <c r="E758" t="str">
        <v>m3</v>
      </c>
      <c r="F758">
        <v>0.04</v>
      </c>
      <c r="G758">
        <f>SUMIF('Isi Data'!B$1:B$65536,SNI!C$1:C$65536,'Isi Data'!E$1:E$65536)</f>
        <v>4500000</v>
      </c>
      <c r="H758">
        <f>F758*G758</f>
        <v>180000</v>
      </c>
    </row>
    <row r="759">
      <c r="C759" t="str">
        <f>'Isi Data'!B97</f>
        <v>Lem Kayu</v>
      </c>
      <c r="E759" t="str">
        <v>kg</v>
      </c>
      <c r="F759">
        <v>0.5</v>
      </c>
      <c r="G759">
        <f>SUMIF('Isi Data'!B$1:B$65536,SNI!C$1:C$65536,'Isi Data'!E$1:E$65536)</f>
        <v>18000</v>
      </c>
      <c r="H759">
        <f>F759*G759</f>
        <v>9000</v>
      </c>
    </row>
    <row r="760">
      <c r="C760" t="str">
        <f>'Isi Data'!B168</f>
        <v>Pekerja</v>
      </c>
      <c r="E760" t="str">
        <v>org/hr</v>
      </c>
      <c r="F760">
        <v>1</v>
      </c>
      <c r="G760">
        <f>SUMIF('Isi Data'!B$1:B$65536,SNI!C$1:C$65536,'Isi Data'!E$1:E$65536)</f>
        <v>40000</v>
      </c>
      <c r="I760">
        <f>F760*G760</f>
        <v>40000</v>
      </c>
    </row>
    <row r="761">
      <c r="C761" t="str">
        <f>'Isi Data'!B159</f>
        <v>Tukang Kayu Halus</v>
      </c>
      <c r="E761" t="str">
        <v>org/hr</v>
      </c>
      <c r="F761">
        <v>3</v>
      </c>
      <c r="G761">
        <f>SUMIF('Isi Data'!B$1:B$65536,SNI!C$1:C$65536,'Isi Data'!E$1:E$65536)</f>
        <v>55000</v>
      </c>
      <c r="I761">
        <f>F761*G761</f>
        <v>165000</v>
      </c>
    </row>
    <row r="762">
      <c r="C762" t="str">
        <f>'Isi Data'!B160</f>
        <v>Kepala Tukang Kayu</v>
      </c>
      <c r="E762" t="str">
        <v>org/hr</v>
      </c>
      <c r="F762">
        <v>0.3</v>
      </c>
      <c r="G762">
        <f>SUMIF('Isi Data'!B$1:B$65536,SNI!C$1:C$65536,'Isi Data'!E$1:E$65536)</f>
        <v>60000</v>
      </c>
      <c r="I762">
        <f>F762*G762</f>
        <v>18000</v>
      </c>
    </row>
    <row r="763">
      <c r="C763" t="str">
        <f>'Isi Data'!B169</f>
        <v xml:space="preserve">Mandor </v>
      </c>
      <c r="E763" t="str">
        <v>org/hr</v>
      </c>
      <c r="F763">
        <v>0.05</v>
      </c>
      <c r="G763">
        <f>SUMIF('Isi Data'!B$1:B$65536,SNI!C$1:C$65536,'Isi Data'!E$1:E$65536)</f>
        <v>50000</v>
      </c>
      <c r="I763">
        <f>F763*G763</f>
        <v>2500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216860</v>
      </c>
      <c r="I765">
        <f>SUM(I766:I773)</f>
        <v>173600</v>
      </c>
      <c r="J765">
        <f>$J$3</f>
        <v>0.1</v>
      </c>
      <c r="K765">
        <f>SUM(H765:I765)*(1+J765)</f>
        <v>429506.00000000006</v>
      </c>
      <c r="L765">
        <f>ROUND(K765,-2)</f>
        <v>429500</v>
      </c>
    </row>
    <row r="766">
      <c r="C766" t="str">
        <f>'Isi Data'!B38</f>
        <v>Kayu Klas II</v>
      </c>
      <c r="D766" t="str">
        <v>papan</v>
      </c>
      <c r="E766" t="str">
        <v>m3</v>
      </c>
      <c r="F766">
        <v>0.025</v>
      </c>
      <c r="G766">
        <f>SUMIF('Isi Data'!B$1:B$65536,SNI!C$1:C$65536,'Isi Data'!E$1:E$65536)</f>
        <v>6900000</v>
      </c>
      <c r="H766">
        <f>F766*G766</f>
        <v>172500</v>
      </c>
      <c r="M766" t="str">
        <f>IF(G766=0,"edit"," ")</f>
        <v xml:space="preserve"> </v>
      </c>
    </row>
    <row r="767">
      <c r="C767" t="str">
        <f>'Isi Data'!B97</f>
        <v>Lem Kayu</v>
      </c>
      <c r="E767" t="str">
        <v>kg</v>
      </c>
      <c r="F767">
        <v>0.5</v>
      </c>
      <c r="G767">
        <f>SUMIF('Isi Data'!B$1:B$65536,SNI!C$1:C$65536,'Isi Data'!E$1:E$65536)</f>
        <v>18000</v>
      </c>
      <c r="H767">
        <f>F767*G767</f>
        <v>9000</v>
      </c>
      <c r="M767" t="str">
        <f>IF(G767=0,"edit"," ")</f>
        <v xml:space="preserve"> </v>
      </c>
    </row>
    <row r="768">
      <c r="C768" t="str">
        <f>'Isi Data'!B81</f>
        <v>Paku 1 s/d 3 cm</v>
      </c>
      <c r="E768" t="str">
        <v>kg</v>
      </c>
      <c r="F768">
        <v>0.03</v>
      </c>
      <c r="G768">
        <f>SUMIF('Isi Data'!B$1:B$65536,SNI!C$1:C$65536,'Isi Data'!E$1:E$65536)</f>
        <v>12000</v>
      </c>
      <c r="H768">
        <f>F768*G768</f>
        <v>360</v>
      </c>
      <c r="M768" t="str">
        <f>IF(G768=0,"edit"," ")</f>
        <v xml:space="preserve"> </v>
      </c>
    </row>
    <row r="769">
      <c r="C769" t="str">
        <f>'Isi Data'!B58</f>
        <v>Triplek  t. 3 mm</v>
      </c>
      <c r="D769" t="str">
        <v>uk. 90x220</v>
      </c>
      <c r="E769" t="str">
        <v>lbr</v>
      </c>
      <c r="F769">
        <v>1</v>
      </c>
      <c r="G769">
        <f>SUMIF('Isi Data'!B$1:B$65536,SNI!C$1:C$65536,'Isi Data'!E$1:E$65536)</f>
        <v>35000</v>
      </c>
      <c r="H769">
        <f>F769*G769</f>
        <v>35000</v>
      </c>
      <c r="M769" t="str">
        <f>IF(G769=0,"edit"," ")</f>
        <v xml:space="preserve"> </v>
      </c>
    </row>
    <row r="770">
      <c r="C770" t="str">
        <f>'Isi Data'!B168</f>
        <v>Pekerja</v>
      </c>
      <c r="E770" t="str">
        <v>org/hr</v>
      </c>
      <c r="F770">
        <v>0.7</v>
      </c>
      <c r="G770">
        <f>SUMIF('Isi Data'!B$1:B$65536,SNI!C$1:C$65536,'Isi Data'!E$1:E$65536)</f>
        <v>40000</v>
      </c>
      <c r="I770">
        <f>F770*G770</f>
        <v>28000</v>
      </c>
      <c r="M770" t="str">
        <f>IF(G770=0,"edit"," ")</f>
        <v xml:space="preserve"> </v>
      </c>
    </row>
    <row r="771">
      <c r="C771" t="str">
        <f>'Isi Data'!B159</f>
        <v>Tukang Kayu Halus</v>
      </c>
      <c r="E771" t="str">
        <v>org/hr</v>
      </c>
      <c r="F771">
        <v>2.1</v>
      </c>
      <c r="G771">
        <f>SUMIF('Isi Data'!B$1:B$65536,SNI!C$1:C$65536,'Isi Data'!E$1:E$65536)</f>
        <v>55000</v>
      </c>
      <c r="I771">
        <f>F771*G771</f>
        <v>115500</v>
      </c>
      <c r="M771" t="str">
        <f>IF(G771=0,"edit"," ")</f>
        <v xml:space="preserve"> </v>
      </c>
    </row>
    <row r="772">
      <c r="C772" t="str">
        <f>'Isi Data'!B160</f>
        <v>Kepala Tukang Kayu</v>
      </c>
      <c r="E772" t="str">
        <v>org/hr</v>
      </c>
      <c r="F772">
        <v>0.21</v>
      </c>
      <c r="G772">
        <f>SUMIF('Isi Data'!B$1:B$65536,SNI!C$1:C$65536,'Isi Data'!E$1:E$65536)</f>
        <v>60000</v>
      </c>
      <c r="I772">
        <f>F772*G772</f>
        <v>12600</v>
      </c>
      <c r="M772" t="str">
        <f>IF(G772=0,"edit"," ")</f>
        <v xml:space="preserve"> </v>
      </c>
    </row>
    <row r="773">
      <c r="C773" t="str">
        <f>'Isi Data'!B169</f>
        <v xml:space="preserve">Mandor </v>
      </c>
      <c r="E773" t="str">
        <v>org/hr</v>
      </c>
      <c r="F773">
        <v>0.35</v>
      </c>
      <c r="G773">
        <f>SUMIF('Isi Data'!B$1:B$65536,SNI!C$1:C$65536,'Isi Data'!E$1:E$65536)</f>
        <v>50000</v>
      </c>
      <c r="I773">
        <f>F773*G773</f>
        <v>17500</v>
      </c>
      <c r="M773" t="str">
        <f>IF(G773=0,"edit"," ")</f>
        <v xml:space="preserve"> </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211860</v>
      </c>
      <c r="I775">
        <f>SUM(I776:I783)</f>
        <v>180400</v>
      </c>
      <c r="J775">
        <f>$J$3</f>
        <v>0.1</v>
      </c>
      <c r="K775">
        <f>SUM(H775:I775)*(1+J775)</f>
        <v>431486.00000000006</v>
      </c>
      <c r="L775">
        <f>ROUND(K775,-2)</f>
        <v>431500</v>
      </c>
    </row>
    <row r="776">
      <c r="C776" t="str">
        <f>'Isi Data'!B39</f>
        <v>Kayu Klas III</v>
      </c>
      <c r="D776" t="str">
        <v>papan</v>
      </c>
      <c r="E776" t="str">
        <v>m3</v>
      </c>
      <c r="F776">
        <v>0.025</v>
      </c>
      <c r="G776">
        <f>SUMIF('Isi Data'!B$1:B$65536,SNI!C$1:C$65536,'Isi Data'!E$1:E$65536)</f>
        <v>4500000</v>
      </c>
      <c r="H776">
        <f>F776*G776</f>
        <v>112500</v>
      </c>
      <c r="M776" t="str">
        <f>IF(G776=0,"edit"," ")</f>
        <v xml:space="preserve"> </v>
      </c>
    </row>
    <row r="777">
      <c r="C777" t="str">
        <f>'Isi Data'!B97</f>
        <v>Lem Kayu</v>
      </c>
      <c r="E777" t="str">
        <v>kg</v>
      </c>
      <c r="F777">
        <v>0.5</v>
      </c>
      <c r="G777">
        <f>SUMIF('Isi Data'!B$1:B$65536,SNI!C$1:C$65536,'Isi Data'!E$1:E$65536)</f>
        <v>18000</v>
      </c>
      <c r="H777">
        <f>F777*G777</f>
        <v>9000</v>
      </c>
      <c r="M777" t="str">
        <f>IF(G777=0,"edit"," ")</f>
        <v xml:space="preserve"> </v>
      </c>
    </row>
    <row r="778">
      <c r="C778" t="str">
        <f>'Isi Data'!B81</f>
        <v>Paku 1 s/d 3 cm</v>
      </c>
      <c r="E778" t="str">
        <v>kg</v>
      </c>
      <c r="F778">
        <v>0.03</v>
      </c>
      <c r="G778">
        <f>SUMIF('Isi Data'!B$1:B$65536,SNI!C$1:C$65536,'Isi Data'!E$1:E$65536)</f>
        <v>12000</v>
      </c>
      <c r="H778">
        <f>F778*G778</f>
        <v>360</v>
      </c>
      <c r="M778" t="str">
        <f>IF(G778=0,"edit"," ")</f>
        <v xml:space="preserve"> </v>
      </c>
    </row>
    <row r="779">
      <c r="C779" t="str">
        <f>'Isi Data'!B59</f>
        <v>Triplex  t. 4 mm</v>
      </c>
      <c r="D779" t="str">
        <v>uk. 90x220</v>
      </c>
      <c r="E779" t="str">
        <v>lbr</v>
      </c>
      <c r="F779">
        <v>2</v>
      </c>
      <c r="G779">
        <f>SUMIF('Isi Data'!B$1:B$65536,SNI!C$1:C$65536,'Isi Data'!E$1:E$65536)</f>
        <v>45000</v>
      </c>
      <c r="H779">
        <f>F779*G779</f>
        <v>90000</v>
      </c>
      <c r="M779" t="str">
        <f>IF(G779=0,"edit"," ")</f>
        <v xml:space="preserve"> </v>
      </c>
    </row>
    <row r="780">
      <c r="C780" t="str">
        <f>'Isi Data'!B168</f>
        <v>Pekerja</v>
      </c>
      <c r="E780" t="str">
        <v>org/hr</v>
      </c>
      <c r="F780">
        <v>0.8</v>
      </c>
      <c r="G780">
        <f>SUMIF('Isi Data'!B$1:B$65536,SNI!C$1:C$65536,'Isi Data'!E$1:E$65536)</f>
        <v>40000</v>
      </c>
      <c r="I780">
        <f>F780*G780</f>
        <v>32000</v>
      </c>
      <c r="M780" t="str">
        <f>IF(G780=0,"edit"," ")</f>
        <v xml:space="preserve"> </v>
      </c>
    </row>
    <row r="781">
      <c r="C781" t="str">
        <f>'Isi Data'!B159</f>
        <v>Tukang Kayu Halus</v>
      </c>
      <c r="E781" t="str">
        <v>org/hr</v>
      </c>
      <c r="F781">
        <v>2.4</v>
      </c>
      <c r="G781">
        <f>SUMIF('Isi Data'!B$1:B$65536,SNI!C$1:C$65536,'Isi Data'!E$1:E$65536)</f>
        <v>55000</v>
      </c>
      <c r="I781">
        <f>F781*G781</f>
        <v>132000</v>
      </c>
      <c r="M781" t="str">
        <f>IF(G781=0,"edit"," ")</f>
        <v xml:space="preserve"> </v>
      </c>
    </row>
    <row r="782">
      <c r="C782" t="str">
        <f>'Isi Data'!B160</f>
        <v>Kepala Tukang Kayu</v>
      </c>
      <c r="E782" t="str">
        <v>org/hr</v>
      </c>
      <c r="F782">
        <v>0.24</v>
      </c>
      <c r="G782">
        <f>SUMIF('Isi Data'!B$1:B$65536,SNI!C$1:C$65536,'Isi Data'!E$1:E$65536)</f>
        <v>60000</v>
      </c>
      <c r="I782">
        <f>F782*G782</f>
        <v>14400</v>
      </c>
      <c r="M782" t="str">
        <f>IF(G782=0,"edit"," ")</f>
        <v xml:space="preserve"> </v>
      </c>
    </row>
    <row r="783">
      <c r="C783" t="str">
        <f>'Isi Data'!B169</f>
        <v xml:space="preserve">Mandor </v>
      </c>
      <c r="E783" t="str">
        <v>org/hr</v>
      </c>
      <c r="F783">
        <v>0.04</v>
      </c>
      <c r="G783">
        <f>SUMIF('Isi Data'!B$1:B$65536,SNI!C$1:C$65536,'Isi Data'!E$1:E$65536)</f>
        <v>50000</v>
      </c>
      <c r="I783">
        <f>F783*G783</f>
        <v>2000</v>
      </c>
      <c r="M783" t="str">
        <f>IF(G783=0,"edit"," ")</f>
        <v xml:space="preserve"> </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655610</v>
      </c>
      <c r="I785">
        <f>SUM(I786:I792)</f>
        <v>108650</v>
      </c>
      <c r="J785">
        <f>$J$3</f>
        <v>0.1</v>
      </c>
      <c r="K785">
        <f>SUM(H785:I785)*(1+J785)</f>
        <v>840686.0000000001</v>
      </c>
      <c r="L785">
        <f>ROUND(K785,-2)</f>
        <v>840700</v>
      </c>
    </row>
    <row r="786">
      <c r="C786" t="str">
        <f>'Isi Data'!B31</f>
        <v xml:space="preserve">Besi Plat rata2 </v>
      </c>
      <c r="D786" t="str">
        <v>besi siku 30.30.3 mm</v>
      </c>
      <c r="E786" t="str">
        <v>kg</v>
      </c>
      <c r="F786">
        <v>15</v>
      </c>
      <c r="G786">
        <f>SUMIF('Isi Data'!B$1:B$65536,SNI!C$1:C$65536,'Isi Data'!E$1:E$65536)</f>
        <v>13700</v>
      </c>
      <c r="H786">
        <f>F786*G786</f>
        <v>205500</v>
      </c>
      <c r="M786" t="str">
        <f>IF(G786=0,"edit"," ")</f>
        <v xml:space="preserve"> </v>
      </c>
    </row>
    <row r="787">
      <c r="C787" t="str">
        <f>'Isi Data'!B31</f>
        <v xml:space="preserve">Besi Plat rata2 </v>
      </c>
      <c r="D787" t="str">
        <v>besi plat</v>
      </c>
      <c r="E787" t="str">
        <v>kg</v>
      </c>
      <c r="F787">
        <v>32.8</v>
      </c>
      <c r="G787">
        <f>SUMIF('Isi Data'!B$1:B$65536,SNI!C$1:C$65536,'Isi Data'!E$1:E$65536)</f>
        <v>13700</v>
      </c>
      <c r="H787">
        <f>F787*G787</f>
        <v>449359.99999999994</v>
      </c>
      <c r="M787" t="str">
        <f>IF(G787=0,"edit"," ")</f>
        <v xml:space="preserve"> </v>
      </c>
    </row>
    <row r="788">
      <c r="C788" t="str">
        <f>'Isi Data'!B34</f>
        <v>Kawat beton</v>
      </c>
      <c r="E788" t="str">
        <v>kg</v>
      </c>
      <c r="F788">
        <v>0.05</v>
      </c>
      <c r="G788">
        <f>SUMIF('Isi Data'!B$1:B$65536,SNI!C$1:C$65536,'Isi Data'!E$1:E$65536)</f>
        <v>15000</v>
      </c>
      <c r="H788">
        <f>F788*G788</f>
        <v>750</v>
      </c>
      <c r="M788" t="str">
        <f>IF(G788=0,"edit"," ")</f>
        <v xml:space="preserve"> </v>
      </c>
    </row>
    <row r="789">
      <c r="C789" t="str">
        <f>'Isi Data'!B168</f>
        <v>Pekerja</v>
      </c>
      <c r="E789" t="str">
        <v>org/hr</v>
      </c>
      <c r="F789">
        <v>1.05</v>
      </c>
      <c r="G789">
        <f>SUMIF('Isi Data'!B$1:B$65536,SNI!C$1:C$65536,'Isi Data'!E$1:E$65536)</f>
        <v>40000</v>
      </c>
      <c r="I789">
        <f>F789*G789</f>
        <v>42000</v>
      </c>
      <c r="M789" t="str">
        <f>IF(G789=0,"edit"," ")</f>
        <v xml:space="preserve"> </v>
      </c>
    </row>
    <row r="790">
      <c r="C790" t="str">
        <f>'Isi Data'!B155</f>
        <v>Tukang Besi Konstruksi</v>
      </c>
      <c r="E790" t="str">
        <v>org/hr</v>
      </c>
      <c r="F790">
        <v>1.05</v>
      </c>
      <c r="G790">
        <f>SUMIF('Isi Data'!B$1:B$65536,SNI!C$1:C$65536,'Isi Data'!E$1:E$65536)</f>
        <v>55000</v>
      </c>
      <c r="I790">
        <f>F790*G790</f>
        <v>57750</v>
      </c>
      <c r="M790" t="str">
        <f>IF(G790=0,"edit"," ")</f>
        <v xml:space="preserve"> </v>
      </c>
    </row>
    <row r="791">
      <c r="C791" t="str">
        <f>'Isi Data'!B157</f>
        <v>Kepala Tukang Besi</v>
      </c>
      <c r="E791" t="str">
        <v>org/hr</v>
      </c>
      <c r="F791">
        <v>0.105</v>
      </c>
      <c r="G791">
        <f>SUMIF('Isi Data'!B$1:B$65536,SNI!C$1:C$65536,'Isi Data'!E$1:E$65536)</f>
        <v>60000</v>
      </c>
      <c r="I791">
        <f>F791*G791</f>
        <v>6300</v>
      </c>
      <c r="M791" t="str">
        <f>IF(G791=0,"edit"," ")</f>
        <v xml:space="preserve"> </v>
      </c>
    </row>
    <row r="792">
      <c r="C792" t="str">
        <f>'Isi Data'!B169</f>
        <v xml:space="preserve">Mandor </v>
      </c>
      <c r="E792" t="str">
        <v>org/hr</v>
      </c>
      <c r="F792">
        <v>0.052</v>
      </c>
      <c r="G792">
        <f>SUMIF('Isi Data'!B$1:B$65536,SNI!C$1:C$65536,'Isi Data'!E$1:E$65536)</f>
        <v>50000</v>
      </c>
      <c r="I792">
        <f>F792*G792</f>
        <v>2600</v>
      </c>
      <c r="M792" t="str">
        <f>IF(G792=0,"edit"," ")</f>
        <v xml:space="preserve"> </v>
      </c>
    </row>
    <row r="795">
      <c r="B795" t="str">
        <v>M2</v>
      </c>
      <c r="C795" t="str">
        <v xml:space="preserve">Pagar Besi </v>
      </c>
      <c r="H795">
        <f>SUM(H796:H801)</f>
        <v>343250</v>
      </c>
      <c r="I795">
        <f>SUM(I796:I801)</f>
        <v>108650</v>
      </c>
      <c r="J795">
        <f>$J$3</f>
        <v>0.1</v>
      </c>
      <c r="K795">
        <f>SUM(H795:I795)*(1+J795)</f>
        <v>497090.00000000006</v>
      </c>
      <c r="L795">
        <f>ROUND(K795,-2)</f>
        <v>497100</v>
      </c>
    </row>
    <row r="796">
      <c r="C796" t="str">
        <f>'Isi Data'!B31</f>
        <v xml:space="preserve">Besi Plat rata2 </v>
      </c>
      <c r="E796" t="str">
        <v>kg</v>
      </c>
      <c r="F796">
        <f>20*1.25</f>
        <v>25</v>
      </c>
      <c r="G796">
        <f>SUMIF('Isi Data'!B$1:B$65536,SNI!C$1:C$65536,'Isi Data'!E$1:E$65536)</f>
        <v>13700</v>
      </c>
      <c r="H796">
        <f>F796*G796</f>
        <v>342500</v>
      </c>
      <c r="M796" t="str">
        <f>IF(G796=0,"edit"," ")</f>
        <v xml:space="preserve"> </v>
      </c>
    </row>
    <row r="797">
      <c r="C797" t="str">
        <f>'Isi Data'!B34</f>
        <v>Kawat beton</v>
      </c>
      <c r="E797" t="str">
        <v>kg</v>
      </c>
      <c r="F797">
        <v>0.05</v>
      </c>
      <c r="G797">
        <f>SUMIF('Isi Data'!B$1:B$65536,SNI!C$1:C$65536,'Isi Data'!E$1:E$65536)</f>
        <v>15000</v>
      </c>
      <c r="H797">
        <f>F797*G797</f>
        <v>750</v>
      </c>
      <c r="M797" t="str">
        <f>IF(G797=0,"edit"," ")</f>
        <v xml:space="preserve"> </v>
      </c>
    </row>
    <row r="798">
      <c r="C798" t="str">
        <f>'Isi Data'!B168</f>
        <v>Pekerja</v>
      </c>
      <c r="E798" t="str">
        <v>org/hr</v>
      </c>
      <c r="F798">
        <v>1.05</v>
      </c>
      <c r="G798">
        <f>SUMIF('Isi Data'!B$1:B$65536,SNI!C$1:C$65536,'Isi Data'!E$1:E$65536)</f>
        <v>40000</v>
      </c>
      <c r="I798">
        <f>F798*G798</f>
        <v>42000</v>
      </c>
      <c r="M798" t="str">
        <f>IF(G798=0,"edit"," ")</f>
        <v xml:space="preserve"> </v>
      </c>
    </row>
    <row r="799">
      <c r="C799" t="str">
        <f>'Isi Data'!B155</f>
        <v>Tukang Besi Konstruksi</v>
      </c>
      <c r="E799" t="str">
        <v>org/hr</v>
      </c>
      <c r="F799">
        <v>1.05</v>
      </c>
      <c r="G799">
        <f>SUMIF('Isi Data'!B$1:B$65536,SNI!C$1:C$65536,'Isi Data'!E$1:E$65536)</f>
        <v>55000</v>
      </c>
      <c r="I799">
        <f>F799*G799</f>
        <v>57750</v>
      </c>
      <c r="M799" t="str">
        <f>IF(G799=0,"edit"," ")</f>
        <v xml:space="preserve"> </v>
      </c>
    </row>
    <row r="800">
      <c r="C800" t="str">
        <f>'Isi Data'!B157</f>
        <v>Kepala Tukang Besi</v>
      </c>
      <c r="E800" t="str">
        <v>org/hr</v>
      </c>
      <c r="F800">
        <v>0.105</v>
      </c>
      <c r="G800">
        <f>SUMIF('Isi Data'!B$1:B$65536,SNI!C$1:C$65536,'Isi Data'!E$1:E$65536)</f>
        <v>60000</v>
      </c>
      <c r="I800">
        <f>F800*G800</f>
        <v>6300</v>
      </c>
      <c r="M800" t="str">
        <f>IF(G800=0,"edit"," ")</f>
        <v xml:space="preserve"> </v>
      </c>
    </row>
    <row r="801">
      <c r="C801" t="str">
        <f>'Isi Data'!B169</f>
        <v xml:space="preserve">Mandor </v>
      </c>
      <c r="E801" t="str">
        <v>org/hr</v>
      </c>
      <c r="F801">
        <v>0.052</v>
      </c>
      <c r="G801">
        <f>SUMIF('Isi Data'!B$1:B$65536,SNI!C$1:C$65536,'Isi Data'!E$1:E$65536)</f>
        <v>50000</v>
      </c>
      <c r="I801">
        <f>F801*G801</f>
        <v>2600</v>
      </c>
      <c r="M801" t="str">
        <f>IF(G801=0,"edit"," ")</f>
        <v xml:space="preserve"> </v>
      </c>
    </row>
    <row r="802">
      <c r="I802">
        <f>F802*G802</f>
        <v>0</v>
      </c>
    </row>
    <row r="803">
      <c r="B803" t="str">
        <v>M2</v>
      </c>
      <c r="C803" t="str">
        <v>Pagar Besi Tempa</v>
      </c>
      <c r="H803">
        <f>SUM(H804:H809)</f>
        <v>270750</v>
      </c>
      <c r="I803">
        <f>SUM(I804:I809)</f>
        <v>108650</v>
      </c>
      <c r="J803">
        <f>$J$3</f>
        <v>0.1</v>
      </c>
      <c r="K803">
        <f>SUM(H803:I803)*(1+J803)</f>
        <v>417340.00000000006</v>
      </c>
      <c r="L803">
        <f>ROUND(K803,-2)</f>
        <v>417300</v>
      </c>
    </row>
    <row r="804">
      <c r="C804" t="str">
        <f>'Isi Data'!B32</f>
        <v>Besi Tempa</v>
      </c>
      <c r="E804" t="str">
        <v>m2</v>
      </c>
      <c r="F804">
        <v>1.2</v>
      </c>
      <c r="G804">
        <f>SUMIF('Isi Data'!B$1:B$65536,SNI!C$1:C$65536,'Isi Data'!E$1:E$65536)</f>
        <v>225000</v>
      </c>
      <c r="H804">
        <f>F804*G804</f>
        <v>270000</v>
      </c>
    </row>
    <row r="805">
      <c r="C805" t="str">
        <f>'Isi Data'!B34</f>
        <v>Kawat beton</v>
      </c>
      <c r="E805" t="str">
        <v>kg</v>
      </c>
      <c r="F805">
        <v>0.05</v>
      </c>
      <c r="G805">
        <f>SUMIF('Isi Data'!B$1:B$65536,SNI!C$1:C$65536,'Isi Data'!E$1:E$65536)</f>
        <v>15000</v>
      </c>
      <c r="H805">
        <f>F805*G805</f>
        <v>750</v>
      </c>
    </row>
    <row r="806">
      <c r="C806" t="str">
        <f>'Isi Data'!B168</f>
        <v>Pekerja</v>
      </c>
      <c r="E806" t="str">
        <v>org/hr</v>
      </c>
      <c r="F806">
        <v>1.05</v>
      </c>
      <c r="G806">
        <f>SUMIF('Isi Data'!B$1:B$65536,SNI!C$1:C$65536,'Isi Data'!E$1:E$65536)</f>
        <v>40000</v>
      </c>
      <c r="I806">
        <f>F806*G806</f>
        <v>42000</v>
      </c>
    </row>
    <row r="807">
      <c r="C807" t="str">
        <f>'Isi Data'!B155</f>
        <v>Tukang Besi Konstruksi</v>
      </c>
      <c r="E807" t="str">
        <v>org/hr</v>
      </c>
      <c r="F807">
        <v>1.05</v>
      </c>
      <c r="G807">
        <f>SUMIF('Isi Data'!B$1:B$65536,SNI!C$1:C$65536,'Isi Data'!E$1:E$65536)</f>
        <v>55000</v>
      </c>
      <c r="I807">
        <f>F807*G807</f>
        <v>57750</v>
      </c>
    </row>
    <row r="808">
      <c r="C808" t="str">
        <f>'Isi Data'!B157</f>
        <v>Kepala Tukang Besi</v>
      </c>
      <c r="E808" t="str">
        <v>org/hr</v>
      </c>
      <c r="F808">
        <v>0.105</v>
      </c>
      <c r="G808">
        <f>SUMIF('Isi Data'!B$1:B$65536,SNI!C$1:C$65536,'Isi Data'!E$1:E$65536)</f>
        <v>60000</v>
      </c>
      <c r="I808">
        <f>F808*G808</f>
        <v>6300</v>
      </c>
    </row>
    <row r="809">
      <c r="C809" t="str">
        <f>'Isi Data'!B169</f>
        <v xml:space="preserve">Mandor </v>
      </c>
      <c r="E809" t="str">
        <v>org/hr</v>
      </c>
      <c r="F809">
        <v>0.052</v>
      </c>
      <c r="G809">
        <f>SUMIF('Isi Data'!B$1:B$65536,SNI!C$1:C$65536,'Isi Data'!E$1:E$65536)</f>
        <v>50000</v>
      </c>
      <c r="I809">
        <f>F809*G809</f>
        <v>2600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253000</v>
      </c>
      <c r="I813">
        <f>SUM(I814:I818)</f>
        <v>30500</v>
      </c>
      <c r="J813">
        <f>$J$3</f>
        <v>0.1</v>
      </c>
      <c r="K813">
        <f>SUM(H813:I813)*(1+J813)</f>
        <v>311850</v>
      </c>
      <c r="L813">
        <f>ROUND(K813,-2)</f>
        <v>311900</v>
      </c>
    </row>
    <row r="814">
      <c r="C814" t="str">
        <f>'Isi Data'!B49</f>
        <v xml:space="preserve">Handle pintu </v>
      </c>
      <c r="E814" t="str">
        <v>bh</v>
      </c>
      <c r="F814">
        <v>1</v>
      </c>
      <c r="G814">
        <f>SUMIF('Isi Data'!B$1:B$65536,SNI!C$1:C$65536,'Isi Data'!E$1:E$65536)</f>
        <v>253000</v>
      </c>
      <c r="H814">
        <f>F814*G814</f>
        <v>253000</v>
      </c>
      <c r="M814" t="str">
        <f>IF(G814=0,"edit"," ")</f>
        <v xml:space="preserve"> </v>
      </c>
    </row>
    <row r="815">
      <c r="C815" t="str">
        <f>'Isi Data'!B168</f>
        <v>Pekerja</v>
      </c>
      <c r="E815" t="str">
        <v>org/hr</v>
      </c>
      <c r="F815">
        <v>0</v>
      </c>
      <c r="G815">
        <f>SUMIF('Isi Data'!B$1:B$65536,SNI!C$1:C$65536,'Isi Data'!E$1:E$65536)</f>
        <v>40000</v>
      </c>
      <c r="I815">
        <f>F815*G815</f>
        <v>0</v>
      </c>
      <c r="M815" t="str">
        <f>IF(G815=0,"edit"," ")</f>
        <v xml:space="preserve"> </v>
      </c>
    </row>
    <row r="816">
      <c r="C816" t="str">
        <f>'Isi Data'!B159</f>
        <v>Tukang Kayu Halus</v>
      </c>
      <c r="E816" t="str">
        <v>org/hr</v>
      </c>
      <c r="F816">
        <v>0.5</v>
      </c>
      <c r="G816">
        <f>SUMIF('Isi Data'!B$1:B$65536,SNI!C$1:C$65536,'Isi Data'!E$1:E$65536)</f>
        <v>55000</v>
      </c>
      <c r="I816">
        <f>F816*G816</f>
        <v>27500</v>
      </c>
      <c r="M816" t="str">
        <f>IF(G816=0,"edit"," ")</f>
        <v xml:space="preserve"> </v>
      </c>
    </row>
    <row r="817">
      <c r="C817" t="str">
        <f>'Isi Data'!B160</f>
        <v>Kepala Tukang Kayu</v>
      </c>
      <c r="E817" t="str">
        <v>org/hr</v>
      </c>
      <c r="F817">
        <v>0.05</v>
      </c>
      <c r="G817">
        <f>SUMIF('Isi Data'!B$1:B$65536,SNI!C$1:C$65536,'Isi Data'!E$1:E$65536)</f>
        <v>60000</v>
      </c>
      <c r="I817">
        <f>F817*G817</f>
        <v>3000</v>
      </c>
      <c r="M817" t="str">
        <f>IF(G817=0,"edit"," ")</f>
        <v xml:space="preserve"> </v>
      </c>
    </row>
    <row r="818">
      <c r="C818" t="str">
        <f>'Isi Data'!B169</f>
        <v xml:space="preserve">Mandor </v>
      </c>
      <c r="E818" t="str">
        <v>org/hr</v>
      </c>
      <c r="F818">
        <v>0</v>
      </c>
      <c r="G818">
        <f>SUMIF('Isi Data'!B$1:B$65536,SNI!C$1:C$65536,'Isi Data'!E$1:E$65536)</f>
        <v>50000</v>
      </c>
      <c r="I818">
        <f>F818*G818</f>
        <v>0</v>
      </c>
      <c r="M818" t="str">
        <f>IF(G818=0,"edit"," ")</f>
        <v xml:space="preserve"> </v>
      </c>
    </row>
    <row r="819">
      <c r="G819">
        <f>SUMIF('Isi Data'!B$1:B$65536,SNI!C$1:C$65536,'Isi Data'!E$1:E$65536)</f>
        <v>0</v>
      </c>
    </row>
    <row r="820">
      <c r="A820" t="str">
        <v>PT T-30-2000-C</v>
      </c>
      <c r="B820" t="str">
        <v>BH</v>
      </c>
      <c r="C820" t="str">
        <v>Pas. Kunci tanam biasa</v>
      </c>
      <c r="G820">
        <f>SUMIF('Isi Data'!B$1:B$65536,SNI!C$1:C$65536,'Isi Data'!E$1:E$65536)</f>
        <v>0</v>
      </c>
      <c r="H820">
        <f>SUM(H821:H825)</f>
        <v>253000</v>
      </c>
      <c r="I820">
        <f>SUM(I821:I825)</f>
        <v>30500</v>
      </c>
      <c r="J820">
        <f>$J$3</f>
        <v>0.1</v>
      </c>
      <c r="K820">
        <f>SUM(H820:I820)*(1+J820)</f>
        <v>311850</v>
      </c>
      <c r="L820">
        <f>ROUND(K820,-2)</f>
        <v>311900</v>
      </c>
    </row>
    <row r="821">
      <c r="C821" t="str">
        <f>'Isi Data'!B49</f>
        <v xml:space="preserve">Handle pintu </v>
      </c>
      <c r="E821" t="str">
        <v>bh</v>
      </c>
      <c r="F821">
        <v>1</v>
      </c>
      <c r="G821">
        <f>SUMIF('Isi Data'!B$1:B$65536,SNI!C$1:C$65536,'Isi Data'!E$1:E$65536)</f>
        <v>253000</v>
      </c>
      <c r="H821">
        <f>F821*G821</f>
        <v>253000</v>
      </c>
    </row>
    <row r="822">
      <c r="C822" t="str">
        <f>'Isi Data'!B168</f>
        <v>Pekerja</v>
      </c>
      <c r="E822" t="str">
        <v>org/hr</v>
      </c>
      <c r="F822">
        <v>0</v>
      </c>
      <c r="G822">
        <f>SUMIF('Isi Data'!B$1:B$65536,SNI!C$1:C$65536,'Isi Data'!E$1:E$65536)</f>
        <v>40000</v>
      </c>
      <c r="I822">
        <f>F822*G822</f>
        <v>0</v>
      </c>
    </row>
    <row r="823">
      <c r="C823" t="str">
        <f>'Isi Data'!B159</f>
        <v>Tukang Kayu Halus</v>
      </c>
      <c r="E823" t="str">
        <v>org/hr</v>
      </c>
      <c r="F823">
        <v>0.5</v>
      </c>
      <c r="G823">
        <f>SUMIF('Isi Data'!B$1:B$65536,SNI!C$1:C$65536,'Isi Data'!E$1:E$65536)</f>
        <v>55000</v>
      </c>
      <c r="I823">
        <f>F823*G823</f>
        <v>27500</v>
      </c>
    </row>
    <row r="824">
      <c r="C824" t="str">
        <f>'Isi Data'!B160</f>
        <v>Kepala Tukang Kayu</v>
      </c>
      <c r="E824" t="str">
        <v>org/hr</v>
      </c>
      <c r="F824">
        <v>0.05</v>
      </c>
      <c r="G824">
        <f>SUMIF('Isi Data'!B$1:B$65536,SNI!C$1:C$65536,'Isi Data'!E$1:E$65536)</f>
        <v>60000</v>
      </c>
      <c r="I824">
        <f>F824*G824</f>
        <v>3000</v>
      </c>
    </row>
    <row r="825">
      <c r="C825" t="str">
        <f>'Isi Data'!B169</f>
        <v xml:space="preserve">Mandor </v>
      </c>
      <c r="E825" t="str">
        <v>org/hr</v>
      </c>
      <c r="F825">
        <v>0</v>
      </c>
      <c r="G825">
        <f>SUMIF('Isi Data'!B$1:B$65536,SNI!C$1:C$65536,'Isi Data'!E$1:E$65536)</f>
        <v>50000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253000</v>
      </c>
      <c r="I827">
        <f>SUM(I828:I832)</f>
        <v>30500</v>
      </c>
      <c r="J827">
        <f>$J$3</f>
        <v>0.1</v>
      </c>
      <c r="K827">
        <f>SUM(H827:I827)*(1+J827)</f>
        <v>311850</v>
      </c>
      <c r="L827">
        <f>ROUND(K827,-2)</f>
        <v>311900</v>
      </c>
    </row>
    <row r="828">
      <c r="C828" t="str">
        <f>'Isi Data'!B49</f>
        <v xml:space="preserve">Handle pintu </v>
      </c>
      <c r="E828" t="str">
        <v>bh</v>
      </c>
      <c r="F828">
        <v>1</v>
      </c>
      <c r="G828">
        <f>SUMIF('Isi Data'!B$1:B$65536,SNI!C$1:C$65536,'Isi Data'!E$1:E$65536)</f>
        <v>253000</v>
      </c>
      <c r="H828">
        <f>F828*G828</f>
        <v>253000</v>
      </c>
    </row>
    <row r="829">
      <c r="C829" t="str">
        <f>'Isi Data'!B168</f>
        <v>Pekerja</v>
      </c>
      <c r="E829" t="str">
        <v>org/hr</v>
      </c>
      <c r="F829">
        <v>0</v>
      </c>
      <c r="G829">
        <f>SUMIF('Isi Data'!B$1:B$65536,SNI!C$1:C$65536,'Isi Data'!E$1:E$65536)</f>
        <v>40000</v>
      </c>
      <c r="I829">
        <f>F829*G829</f>
        <v>0</v>
      </c>
    </row>
    <row r="830">
      <c r="C830" t="str">
        <f>'Isi Data'!B159</f>
        <v>Tukang Kayu Halus</v>
      </c>
      <c r="E830" t="str">
        <v>org/hr</v>
      </c>
      <c r="F830">
        <v>0.5</v>
      </c>
      <c r="G830">
        <f>SUMIF('Isi Data'!B$1:B$65536,SNI!C$1:C$65536,'Isi Data'!E$1:E$65536)</f>
        <v>55000</v>
      </c>
      <c r="I830">
        <f>F830*G830</f>
        <v>27500</v>
      </c>
    </row>
    <row r="831">
      <c r="C831" t="str">
        <f>'Isi Data'!B160</f>
        <v>Kepala Tukang Kayu</v>
      </c>
      <c r="E831" t="str">
        <v>org/hr</v>
      </c>
      <c r="F831">
        <v>0.05</v>
      </c>
      <c r="G831">
        <f>SUMIF('Isi Data'!B$1:B$65536,SNI!C$1:C$65536,'Isi Data'!E$1:E$65536)</f>
        <v>60000</v>
      </c>
      <c r="I831">
        <f>F831*G831</f>
        <v>3000</v>
      </c>
    </row>
    <row r="832">
      <c r="C832" t="str">
        <f>'Isi Data'!B169</f>
        <v xml:space="preserve">Mandor </v>
      </c>
      <c r="E832" t="str">
        <v>org/hr</v>
      </c>
      <c r="F832">
        <v>0</v>
      </c>
      <c r="G832">
        <f>SUMIF('Isi Data'!B$1:B$65536,SNI!C$1:C$65536,'Isi Data'!E$1:E$65536)</f>
        <v>50000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242000</v>
      </c>
      <c r="I834">
        <f>SUM(I835:I839)</f>
        <v>30500</v>
      </c>
      <c r="J834">
        <f>$J$3</f>
        <v>0.1</v>
      </c>
      <c r="K834">
        <f>SUM(H834:I834)*(1+J834)</f>
        <v>299750</v>
      </c>
      <c r="L834">
        <f>ROUND(K834,-2)</f>
        <v>299800</v>
      </c>
    </row>
    <row r="835">
      <c r="C835" t="str">
        <f>'Isi Data'!B50</f>
        <v xml:space="preserve">Selinder </v>
      </c>
      <c r="E835" t="str">
        <v>bh</v>
      </c>
      <c r="F835">
        <v>1</v>
      </c>
      <c r="G835">
        <f>SUMIF('Isi Data'!B$1:B$65536,SNI!C$1:C$65536,'Isi Data'!E$1:E$65536)</f>
        <v>242000</v>
      </c>
      <c r="H835">
        <f>F835*G835</f>
        <v>242000</v>
      </c>
      <c r="M835" t="str">
        <f>IF(G835=0,"edit"," ")</f>
        <v xml:space="preserve"> </v>
      </c>
    </row>
    <row r="836">
      <c r="C836" t="str">
        <f>'Isi Data'!B168</f>
        <v>Pekerja</v>
      </c>
      <c r="E836" t="str">
        <v>org/hr</v>
      </c>
      <c r="F836">
        <v>0</v>
      </c>
      <c r="G836">
        <f>SUMIF('Isi Data'!B$1:B$65536,SNI!C$1:C$65536,'Isi Data'!E$1:E$65536)</f>
        <v>40000</v>
      </c>
      <c r="I836">
        <f>F836*G836</f>
        <v>0</v>
      </c>
      <c r="M836" t="str">
        <f>IF(G836=0,"edit"," ")</f>
        <v xml:space="preserve"> </v>
      </c>
    </row>
    <row r="837">
      <c r="C837" t="str">
        <f>'Isi Data'!B159</f>
        <v>Tukang Kayu Halus</v>
      </c>
      <c r="E837" t="str">
        <v>org/hr</v>
      </c>
      <c r="F837">
        <v>0.5</v>
      </c>
      <c r="G837">
        <f>SUMIF('Isi Data'!B$1:B$65536,SNI!C$1:C$65536,'Isi Data'!E$1:E$65536)</f>
        <v>55000</v>
      </c>
      <c r="I837">
        <f>F837*G837</f>
        <v>27500</v>
      </c>
      <c r="M837" t="str">
        <f>IF(G837=0,"edit"," ")</f>
        <v xml:space="preserve"> </v>
      </c>
    </row>
    <row r="838">
      <c r="C838" t="str">
        <f>'Isi Data'!B160</f>
        <v>Kepala Tukang Kayu</v>
      </c>
      <c r="E838" t="str">
        <v>org/hr</v>
      </c>
      <c r="F838">
        <v>0.05</v>
      </c>
      <c r="G838">
        <f>SUMIF('Isi Data'!B$1:B$65536,SNI!C$1:C$65536,'Isi Data'!E$1:E$65536)</f>
        <v>60000</v>
      </c>
      <c r="I838">
        <f>F838*G838</f>
        <v>3000</v>
      </c>
      <c r="M838" t="str">
        <f>IF(G838=0,"edit"," ")</f>
        <v xml:space="preserve"> </v>
      </c>
    </row>
    <row r="839">
      <c r="C839" t="str">
        <f>'Isi Data'!B169</f>
        <v xml:space="preserve">Mandor </v>
      </c>
      <c r="E839" t="str">
        <v>org/hr</v>
      </c>
      <c r="F839">
        <v>0</v>
      </c>
      <c r="G839">
        <f>SUMIF('Isi Data'!B$1:B$65536,SNI!C$1:C$65536,'Isi Data'!E$1:E$65536)</f>
        <v>50000</v>
      </c>
      <c r="I839">
        <f>F839*G839</f>
        <v>0</v>
      </c>
      <c r="M839" t="str">
        <f>IF(G839=0,"edit"," ")</f>
        <v xml:space="preserve"> </v>
      </c>
    </row>
    <row r="840">
      <c r="G840">
        <f>SUMIF('Isi Data'!B$1:B$65536,SNI!C$1:C$65536,'Isi Data'!E$1:E$65536)</f>
        <v>0</v>
      </c>
    </row>
    <row r="841">
      <c r="B841" t="str">
        <v>BH</v>
      </c>
      <c r="C841" t="str">
        <v>Pas. Kunci knob pintu kamar mandi</v>
      </c>
      <c r="G841">
        <f>SUMIF('Isi Data'!B$1:B$65536,SNI!C$1:C$65536,'Isi Data'!E$1:E$65536)</f>
        <v>0</v>
      </c>
      <c r="H841">
        <f>SUM(H842:H846)</f>
        <v>253000</v>
      </c>
      <c r="I841">
        <f>SUM(I842:I846)</f>
        <v>36600</v>
      </c>
      <c r="J841">
        <f>$J$3</f>
        <v>0.1</v>
      </c>
      <c r="K841">
        <f>SUM(H841:I841)*(1+J841)</f>
        <v>318560</v>
      </c>
      <c r="L841">
        <f>ROUND(K841,-2)</f>
        <v>318600</v>
      </c>
    </row>
    <row r="842">
      <c r="C842" t="str">
        <f>'Isi Data'!B49</f>
        <v xml:space="preserve">Handle pintu </v>
      </c>
      <c r="E842" t="str">
        <v>bh</v>
      </c>
      <c r="F842">
        <v>1</v>
      </c>
      <c r="G842">
        <f>SUMIF('Isi Data'!B$1:B$65536,SNI!C$1:C$65536,'Isi Data'!E$1:E$65536)</f>
        <v>253000</v>
      </c>
      <c r="H842">
        <f>F842*G842</f>
        <v>253000</v>
      </c>
    </row>
    <row r="843">
      <c r="C843" t="str">
        <f>'Isi Data'!B168</f>
        <v>Pekerja</v>
      </c>
      <c r="E843" t="str">
        <v>org/hr</v>
      </c>
      <c r="F843">
        <v>0</v>
      </c>
      <c r="G843">
        <f>SUMIF('Isi Data'!B$1:B$65536,SNI!C$1:C$65536,'Isi Data'!E$1:E$65536)</f>
        <v>40000</v>
      </c>
      <c r="I843">
        <f>F843*G843</f>
        <v>0</v>
      </c>
    </row>
    <row r="844">
      <c r="C844" t="str">
        <f>'Isi Data'!B159</f>
        <v>Tukang Kayu Halus</v>
      </c>
      <c r="E844" t="str">
        <v>org/hr</v>
      </c>
      <c r="F844">
        <v>0.6</v>
      </c>
      <c r="G844">
        <f>SUMIF('Isi Data'!B$1:B$65536,SNI!C$1:C$65536,'Isi Data'!E$1:E$65536)</f>
        <v>55000</v>
      </c>
      <c r="I844">
        <f>F844*G844</f>
        <v>33000</v>
      </c>
    </row>
    <row r="845">
      <c r="C845" t="str">
        <f>'Isi Data'!B160</f>
        <v>Kepala Tukang Kayu</v>
      </c>
      <c r="E845" t="str">
        <v>org/hr</v>
      </c>
      <c r="F845">
        <v>0.06</v>
      </c>
      <c r="G845">
        <f>SUMIF('Isi Data'!B$1:B$65536,SNI!C$1:C$65536,'Isi Data'!E$1:E$65536)</f>
        <v>60000</v>
      </c>
      <c r="I845">
        <f>F845*G845</f>
        <v>3600</v>
      </c>
    </row>
    <row r="846">
      <c r="C846" t="str">
        <f>'Isi Data'!B169</f>
        <v xml:space="preserve">Mandor </v>
      </c>
      <c r="E846" t="str">
        <v>org/hr</v>
      </c>
      <c r="F846">
        <v>0</v>
      </c>
      <c r="G846">
        <f>SUMIF('Isi Data'!B$1:B$65536,SNI!C$1:C$65536,'Isi Data'!E$1:E$65536)</f>
        <v>50000</v>
      </c>
      <c r="I846">
        <f>F846*G846</f>
        <v>0</v>
      </c>
    </row>
    <row r="847">
      <c r="G847">
        <f>SUMIF('Isi Data'!B$1:B$65536,SNI!C$1:C$65536,'Isi Data'!E$1:E$65536)</f>
        <v>0</v>
      </c>
    </row>
    <row r="848">
      <c r="B848" t="str">
        <v>BH</v>
      </c>
      <c r="C848" t="str">
        <v>Pas. Door Stoper</v>
      </c>
      <c r="G848">
        <f>SUMIF('Isi Data'!B$1:B$65536,SNI!C$1:C$65536,'Isi Data'!E$1:E$65536)</f>
        <v>0</v>
      </c>
      <c r="H848">
        <f>SUM(H849:H853)</f>
        <v>250000</v>
      </c>
      <c r="I848">
        <f>SUM(I849:I853)</f>
        <v>36600</v>
      </c>
      <c r="J848">
        <f>$J$3</f>
        <v>0.1</v>
      </c>
      <c r="K848">
        <f>SUM(H848:I848)*(1+J848)</f>
        <v>315260</v>
      </c>
      <c r="L848">
        <f>ROUND(K848,-2)</f>
        <v>315300</v>
      </c>
    </row>
    <row r="849">
      <c r="C849" t="str">
        <f>'Isi Data'!B51</f>
        <v>Door Stoper</v>
      </c>
      <c r="E849" t="str">
        <v>bh</v>
      </c>
      <c r="F849">
        <v>1</v>
      </c>
      <c r="G849">
        <f>SUMIF('Isi Data'!B$1:B$65536,SNI!C$1:C$65536,'Isi Data'!E$1:E$65536)</f>
        <v>250000</v>
      </c>
      <c r="H849">
        <f>F849*G849</f>
        <v>250000</v>
      </c>
    </row>
    <row r="850">
      <c r="C850" t="str">
        <f>'Isi Data'!B168</f>
        <v>Pekerja</v>
      </c>
      <c r="E850" t="str">
        <v>org/hr</v>
      </c>
      <c r="F850">
        <v>0</v>
      </c>
      <c r="G850">
        <f>SUMIF('Isi Data'!B$1:B$65536,SNI!C$1:C$65536,'Isi Data'!E$1:E$65536)</f>
        <v>40000</v>
      </c>
      <c r="I850">
        <f>F850*G850</f>
        <v>0</v>
      </c>
    </row>
    <row r="851">
      <c r="C851" t="str">
        <f>'Isi Data'!B159</f>
        <v>Tukang Kayu Halus</v>
      </c>
      <c r="E851" t="str">
        <v>org/hr</v>
      </c>
      <c r="F851">
        <v>0.6</v>
      </c>
      <c r="G851">
        <f>SUMIF('Isi Data'!B$1:B$65536,SNI!C$1:C$65536,'Isi Data'!E$1:E$65536)</f>
        <v>55000</v>
      </c>
      <c r="I851">
        <f>F851*G851</f>
        <v>33000</v>
      </c>
    </row>
    <row r="852">
      <c r="C852" t="str">
        <f>'Isi Data'!B160</f>
        <v>Kepala Tukang Kayu</v>
      </c>
      <c r="E852" t="str">
        <v>org/hr</v>
      </c>
      <c r="F852">
        <v>0.06</v>
      </c>
      <c r="G852">
        <f>SUMIF('Isi Data'!B$1:B$65536,SNI!C$1:C$65536,'Isi Data'!E$1:E$65536)</f>
        <v>60000</v>
      </c>
      <c r="I852">
        <f>F852*G852</f>
        <v>3600</v>
      </c>
    </row>
    <row r="853">
      <c r="C853" t="str">
        <f>'Isi Data'!B169</f>
        <v xml:space="preserve">Mandor </v>
      </c>
      <c r="E853" t="str">
        <v>org/hr</v>
      </c>
      <c r="F853">
        <v>0</v>
      </c>
      <c r="G853">
        <f>SUMIF('Isi Data'!B$1:B$65536,SNI!C$1:C$65536,'Isi Data'!E$1:E$65536)</f>
        <v>50000</v>
      </c>
      <c r="I853">
        <f>F853*G853</f>
        <v>0</v>
      </c>
    </row>
    <row r="854">
      <c r="G854">
        <f>SUMIF('Isi Data'!B$1:B$65536,SNI!C$1:C$65536,'Isi Data'!E$1:E$65536)</f>
        <v>0</v>
      </c>
    </row>
    <row r="855">
      <c r="B855" t="str">
        <v>BH</v>
      </c>
      <c r="C855" t="str">
        <v>Pas. Door Closer</v>
      </c>
      <c r="G855">
        <f>SUMIF('Isi Data'!B$1:B$65536,SNI!C$1:C$65536,'Isi Data'!E$1:E$65536)</f>
        <v>0</v>
      </c>
      <c r="H855">
        <f>SUM(H856:H860)</f>
        <v>450000</v>
      </c>
      <c r="I855">
        <f>SUM(I856:I860)</f>
        <v>36600</v>
      </c>
      <c r="J855">
        <f>$J$3</f>
        <v>0.1</v>
      </c>
      <c r="K855">
        <f>SUM(H855:I855)*(1+J855)</f>
        <v>535260</v>
      </c>
      <c r="L855">
        <f>ROUND(K855,-2)</f>
        <v>535300</v>
      </c>
    </row>
    <row r="856">
      <c r="C856" t="str">
        <f>'Isi Data'!B52</f>
        <v>Door closer</v>
      </c>
      <c r="E856" t="str">
        <v>bh</v>
      </c>
      <c r="F856">
        <v>1</v>
      </c>
      <c r="G856">
        <f>SUMIF('Isi Data'!B$1:B$65536,SNI!C$1:C$65536,'Isi Data'!E$1:E$65536)</f>
        <v>450000</v>
      </c>
      <c r="H856">
        <f>F856*G856</f>
        <v>450000</v>
      </c>
      <c r="M856" t="str">
        <f>IF(G856=0,"edit"," ")</f>
        <v xml:space="preserve"> </v>
      </c>
    </row>
    <row r="857">
      <c r="C857" t="str">
        <f>'Isi Data'!B168</f>
        <v>Pekerja</v>
      </c>
      <c r="E857" t="str">
        <v>org/hr</v>
      </c>
      <c r="F857">
        <v>0</v>
      </c>
      <c r="G857">
        <f>SUMIF('Isi Data'!B$1:B$65536,SNI!C$1:C$65536,'Isi Data'!E$1:E$65536)</f>
        <v>40000</v>
      </c>
      <c r="I857">
        <f>F857*G857</f>
        <v>0</v>
      </c>
      <c r="M857" t="str">
        <f>IF(G857=0,"edit"," ")</f>
        <v xml:space="preserve"> </v>
      </c>
    </row>
    <row r="858">
      <c r="C858" t="str">
        <f>'Isi Data'!B159</f>
        <v>Tukang Kayu Halus</v>
      </c>
      <c r="E858" t="str">
        <v>org/hr</v>
      </c>
      <c r="F858">
        <v>0.6</v>
      </c>
      <c r="G858">
        <f>SUMIF('Isi Data'!B$1:B$65536,SNI!C$1:C$65536,'Isi Data'!E$1:E$65536)</f>
        <v>55000</v>
      </c>
      <c r="I858">
        <f>F858*G858</f>
        <v>33000</v>
      </c>
      <c r="M858" t="str">
        <f>IF(G858=0,"edit"," ")</f>
        <v xml:space="preserve"> </v>
      </c>
    </row>
    <row r="859">
      <c r="C859" t="str">
        <f>'Isi Data'!B160</f>
        <v>Kepala Tukang Kayu</v>
      </c>
      <c r="E859" t="str">
        <v>org/hr</v>
      </c>
      <c r="F859">
        <v>0.06</v>
      </c>
      <c r="G859">
        <f>SUMIF('Isi Data'!B$1:B$65536,SNI!C$1:C$65536,'Isi Data'!E$1:E$65536)</f>
        <v>60000</v>
      </c>
      <c r="I859">
        <f>F859*G859</f>
        <v>3600</v>
      </c>
      <c r="M859" t="str">
        <f>IF(G859=0,"edit"," ")</f>
        <v xml:space="preserve"> </v>
      </c>
    </row>
    <row r="860">
      <c r="C860" t="str">
        <f>'Isi Data'!B169</f>
        <v xml:space="preserve">Mandor </v>
      </c>
      <c r="E860" t="str">
        <v>org/hr</v>
      </c>
      <c r="F860">
        <v>0</v>
      </c>
      <c r="G860">
        <f>SUMIF('Isi Data'!B$1:B$65536,SNI!C$1:C$65536,'Isi Data'!E$1:E$65536)</f>
        <v>50000</v>
      </c>
      <c r="I860">
        <f>F860*G860</f>
        <v>0</v>
      </c>
      <c r="M860" t="str">
        <f>IF(G860=0,"edit"," ")</f>
        <v xml:space="preserve"> </v>
      </c>
    </row>
    <row r="861">
      <c r="G861">
        <f>SUMIF('Isi Data'!B$1:B$65536,SNI!C$1:C$65536,'Isi Data'!E$1:E$65536)</f>
        <v>0</v>
      </c>
    </row>
    <row r="862">
      <c r="B862" t="str">
        <v>M</v>
      </c>
      <c r="C862" t="str">
        <v>Rel pintu gantung</v>
      </c>
      <c r="G862">
        <f>SUMIF('Isi Data'!B$1:B$65536,SNI!C$1:C$65536,'Isi Data'!E$1:E$65536)</f>
        <v>0</v>
      </c>
      <c r="H862">
        <f>SUM(H863:H867)</f>
        <v>2750000</v>
      </c>
      <c r="I862">
        <f>SUM(I863:I867)</f>
        <v>183000</v>
      </c>
      <c r="J862">
        <f>$J$3</f>
        <v>0.1</v>
      </c>
      <c r="K862">
        <f>SUM(H862:I862)*(1+J862)</f>
        <v>3226300.0000000005</v>
      </c>
      <c r="L862">
        <f>ROUND(K862,-2)</f>
        <v>3226300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40000</v>
      </c>
      <c r="I864">
        <f>F864*G864</f>
        <v>0</v>
      </c>
    </row>
    <row r="865">
      <c r="C865" t="str">
        <f>'Isi Data'!B159</f>
        <v>Tukang Kayu Halus</v>
      </c>
      <c r="E865" t="str">
        <v>org/hr</v>
      </c>
      <c r="F865">
        <f>0.6*5</f>
        <v>3</v>
      </c>
      <c r="G865">
        <f>SUMIF('Isi Data'!B$1:B$65536,SNI!C$1:C$65536,'Isi Data'!E$1:E$65536)</f>
        <v>55000</v>
      </c>
      <c r="I865">
        <f>F865*G865</f>
        <v>165000</v>
      </c>
    </row>
    <row r="866">
      <c r="C866" t="str">
        <f>'Isi Data'!B160</f>
        <v>Kepala Tukang Kayu</v>
      </c>
      <c r="E866" t="str">
        <v>org/hr</v>
      </c>
      <c r="F866">
        <f>0.06*5</f>
        <v>0.3</v>
      </c>
      <c r="G866">
        <f>SUMIF('Isi Data'!B$1:B$65536,SNI!C$1:C$65536,'Isi Data'!E$1:E$65536)</f>
        <v>60000</v>
      </c>
      <c r="I866">
        <f>F866*G866</f>
        <v>18000</v>
      </c>
    </row>
    <row r="867">
      <c r="C867" t="str">
        <f>'Isi Data'!B169</f>
        <v xml:space="preserve">Mandor </v>
      </c>
      <c r="E867" t="str">
        <v>org/hr</v>
      </c>
      <c r="F867">
        <v>0</v>
      </c>
      <c r="G867">
        <f>SUMIF('Isi Data'!B$1:B$65536,SNI!C$1:C$65536,'Isi Data'!E$1:E$65536)</f>
        <v>50000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7500</v>
      </c>
      <c r="I869">
        <f>SUM(I870:I874)</f>
        <v>15250</v>
      </c>
      <c r="J869">
        <f>$J$3</f>
        <v>0.1</v>
      </c>
      <c r="K869">
        <f>SUM(H869:I869)*(1+J869)</f>
        <v>25025.000000000004</v>
      </c>
      <c r="L869">
        <f>ROUND(K869,-2)</f>
        <v>25000</v>
      </c>
    </row>
    <row r="870">
      <c r="C870" t="str">
        <f>'Isi Data'!B55</f>
        <v>Grendel</v>
      </c>
      <c r="E870" t="str">
        <v>bh</v>
      </c>
      <c r="F870">
        <v>1</v>
      </c>
      <c r="G870">
        <f>SUMIF('Isi Data'!B$1:B$65536,SNI!C$1:C$65536,'Isi Data'!E$1:E$65536)</f>
        <v>7500</v>
      </c>
      <c r="H870">
        <f>F870*G870</f>
        <v>7500</v>
      </c>
    </row>
    <row r="871">
      <c r="C871" t="str">
        <f>'Isi Data'!B168</f>
        <v>Pekerja</v>
      </c>
      <c r="E871" t="str">
        <v>org/hr</v>
      </c>
      <c r="F871">
        <v>0</v>
      </c>
      <c r="G871">
        <f>SUMIF('Isi Data'!B$1:B$65536,SNI!C$1:C$65536,'Isi Data'!E$1:E$65536)</f>
        <v>40000</v>
      </c>
      <c r="I871">
        <f>F871*G871</f>
        <v>0</v>
      </c>
    </row>
    <row r="872">
      <c r="C872" t="str">
        <f>'Isi Data'!B159</f>
        <v>Tukang Kayu Halus</v>
      </c>
      <c r="E872" t="str">
        <v>org/hr</v>
      </c>
      <c r="F872">
        <v>0.25</v>
      </c>
      <c r="G872">
        <f>SUMIF('Isi Data'!B$1:B$65536,SNI!C$1:C$65536,'Isi Data'!E$1:E$65536)</f>
        <v>55000</v>
      </c>
      <c r="I872">
        <f>F872*G872</f>
        <v>13750</v>
      </c>
    </row>
    <row r="873">
      <c r="C873" t="str">
        <f>'Isi Data'!B160</f>
        <v>Kepala Tukang Kayu</v>
      </c>
      <c r="E873" t="str">
        <v>org/hr</v>
      </c>
      <c r="F873">
        <v>0.025</v>
      </c>
      <c r="G873">
        <f>SUMIF('Isi Data'!B$1:B$65536,SNI!C$1:C$65536,'Isi Data'!E$1:E$65536)</f>
        <v>60000</v>
      </c>
      <c r="I873">
        <f>F873*G873</f>
        <v>1500</v>
      </c>
    </row>
    <row r="874">
      <c r="C874" t="str">
        <f>'Isi Data'!B169</f>
        <v xml:space="preserve">Mandor </v>
      </c>
      <c r="E874" t="str">
        <v>org/hr</v>
      </c>
      <c r="F874">
        <v>0</v>
      </c>
      <c r="G874">
        <f>SUMIF('Isi Data'!B$1:B$65536,SNI!C$1:C$65536,'Isi Data'!E$1:E$65536)</f>
        <v>50000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7500</v>
      </c>
      <c r="I876">
        <f>SUM(I877:I881)</f>
        <v>15250</v>
      </c>
      <c r="J876">
        <f>$J$3</f>
        <v>0.1</v>
      </c>
      <c r="K876">
        <f>SUM(H876:I876)*(1+J876)</f>
        <v>25025.000000000004</v>
      </c>
      <c r="L876">
        <f>ROUND(K876,-2)</f>
        <v>25000</v>
      </c>
    </row>
    <row r="877">
      <c r="C877" t="str">
        <f>'Isi Data'!B55</f>
        <v>Grendel</v>
      </c>
      <c r="E877" t="str">
        <v>bh</v>
      </c>
      <c r="F877">
        <v>1</v>
      </c>
      <c r="G877">
        <f>SUMIF('Isi Data'!B$1:B$65536,SNI!C$1:C$65536,'Isi Data'!E$1:E$65536)</f>
        <v>7500</v>
      </c>
      <c r="H877">
        <f>F877*G877</f>
        <v>7500</v>
      </c>
      <c r="M877" t="str">
        <f>IF(G877=0,"edit"," ")</f>
        <v xml:space="preserve"> </v>
      </c>
    </row>
    <row r="878">
      <c r="C878" t="str">
        <f>'Isi Data'!B168</f>
        <v>Pekerja</v>
      </c>
      <c r="E878" t="str">
        <v>org/hr</v>
      </c>
      <c r="F878">
        <v>0</v>
      </c>
      <c r="G878">
        <f>SUMIF('Isi Data'!B$1:B$65536,SNI!C$1:C$65536,'Isi Data'!E$1:E$65536)</f>
        <v>40000</v>
      </c>
      <c r="I878">
        <f>F878*G878</f>
        <v>0</v>
      </c>
      <c r="M878" t="str">
        <f>IF(G878=0,"edit"," ")</f>
        <v xml:space="preserve"> </v>
      </c>
    </row>
    <row r="879">
      <c r="C879" t="str">
        <f>'Isi Data'!B159</f>
        <v>Tukang Kayu Halus</v>
      </c>
      <c r="E879" t="str">
        <v>org/hr</v>
      </c>
      <c r="F879">
        <v>0.25</v>
      </c>
      <c r="G879">
        <f>SUMIF('Isi Data'!B$1:B$65536,SNI!C$1:C$65536,'Isi Data'!E$1:E$65536)</f>
        <v>55000</v>
      </c>
      <c r="I879">
        <f>F879*G879</f>
        <v>13750</v>
      </c>
      <c r="M879" t="str">
        <f>IF(G879=0,"edit"," ")</f>
        <v xml:space="preserve"> </v>
      </c>
    </row>
    <row r="880">
      <c r="C880" t="str">
        <f>'Isi Data'!B160</f>
        <v>Kepala Tukang Kayu</v>
      </c>
      <c r="E880" t="str">
        <v>org/hr</v>
      </c>
      <c r="F880">
        <v>0.025</v>
      </c>
      <c r="G880">
        <f>SUMIF('Isi Data'!B$1:B$65536,SNI!C$1:C$65536,'Isi Data'!E$1:E$65536)</f>
        <v>60000</v>
      </c>
      <c r="I880">
        <f>F880*G880</f>
        <v>1500</v>
      </c>
      <c r="M880" t="str">
        <f>IF(G880=0,"edit"," ")</f>
        <v xml:space="preserve"> </v>
      </c>
    </row>
    <row r="881">
      <c r="C881" t="str">
        <f>'Isi Data'!B169</f>
        <v xml:space="preserve">Mandor </v>
      </c>
      <c r="E881" t="str">
        <v>org/hr</v>
      </c>
      <c r="F881">
        <v>0</v>
      </c>
      <c r="G881">
        <f>SUMIF('Isi Data'!B$1:B$65536,SNI!C$1:C$65536,'Isi Data'!E$1:E$65536)</f>
        <v>50000</v>
      </c>
      <c r="I881">
        <f>F881*G881</f>
        <v>0</v>
      </c>
      <c r="M881" t="str">
        <f>IF(G881=0,"edit"," ")</f>
        <v xml:space="preserve"> </v>
      </c>
    </row>
    <row r="882">
      <c r="G882">
        <f>SUMIF('Isi Data'!B$1:B$65536,SNI!C$1:C$65536,'Isi Data'!E$1:E$65536)</f>
        <v>0</v>
      </c>
    </row>
    <row r="883">
      <c r="A883" t="str">
        <v>PT T-30-2000-C</v>
      </c>
      <c r="B883" t="str">
        <v>BH</v>
      </c>
      <c r="C883" t="str">
        <v>Pas. Slot tanam pintu doble</v>
      </c>
      <c r="G883">
        <f>SUMIF('Isi Data'!B$1:B$65536,SNI!C$1:C$65536,'Isi Data'!E$1:E$65536)</f>
        <v>0</v>
      </c>
      <c r="H883">
        <f>SUM(H884:H888)</f>
        <v>75000</v>
      </c>
      <c r="I883">
        <f>SUM(I884:I888)</f>
        <v>15250</v>
      </c>
      <c r="J883">
        <f>$J$3</f>
        <v>0.1</v>
      </c>
      <c r="K883">
        <f>SUM(H883:I883)*(1+J883)</f>
        <v>99275.00000000001</v>
      </c>
      <c r="L883">
        <f>ROUND(K883,-2)</f>
        <v>99300</v>
      </c>
    </row>
    <row r="884">
      <c r="C884" t="str">
        <f>'Isi Data'!B53</f>
        <v>Slot Tanam</v>
      </c>
      <c r="E884" t="str">
        <v>bh</v>
      </c>
      <c r="F884">
        <v>1</v>
      </c>
      <c r="G884">
        <f>SUMIF('Isi Data'!B$1:B$65536,SNI!C$1:C$65536,'Isi Data'!E$1:E$65536)</f>
        <v>75000</v>
      </c>
      <c r="H884">
        <f>F884*G884</f>
        <v>75000</v>
      </c>
    </row>
    <row r="885">
      <c r="C885" t="str">
        <f>'Isi Data'!B168</f>
        <v>Pekerja</v>
      </c>
      <c r="E885" t="str">
        <v>org/hr</v>
      </c>
      <c r="F885">
        <v>0</v>
      </c>
      <c r="G885">
        <f>SUMIF('Isi Data'!B$1:B$65536,SNI!C$1:C$65536,'Isi Data'!E$1:E$65536)</f>
        <v>40000</v>
      </c>
      <c r="I885">
        <f>F885*G885</f>
        <v>0</v>
      </c>
    </row>
    <row r="886">
      <c r="C886" t="str">
        <f>'Isi Data'!B159</f>
        <v>Tukang Kayu Halus</v>
      </c>
      <c r="E886" t="str">
        <v>org/hr</v>
      </c>
      <c r="F886">
        <v>0.25</v>
      </c>
      <c r="G886">
        <f>SUMIF('Isi Data'!B$1:B$65536,SNI!C$1:C$65536,'Isi Data'!E$1:E$65536)</f>
        <v>55000</v>
      </c>
      <c r="I886">
        <f>F886*G886</f>
        <v>13750</v>
      </c>
    </row>
    <row r="887">
      <c r="C887" t="str">
        <f>'Isi Data'!B160</f>
        <v>Kepala Tukang Kayu</v>
      </c>
      <c r="E887" t="str">
        <v>org/hr</v>
      </c>
      <c r="F887">
        <v>0.025</v>
      </c>
      <c r="G887">
        <f>SUMIF('Isi Data'!B$1:B$65536,SNI!C$1:C$65536,'Isi Data'!E$1:E$65536)</f>
        <v>60000</v>
      </c>
      <c r="I887">
        <f>F887*G887</f>
        <v>1500</v>
      </c>
    </row>
    <row r="888">
      <c r="C888" t="str">
        <f>'Isi Data'!B169</f>
        <v xml:space="preserve">Mandor </v>
      </c>
      <c r="E888" t="str">
        <v>org/hr</v>
      </c>
      <c r="F888">
        <v>0</v>
      </c>
      <c r="G888">
        <f>SUMIF('Isi Data'!B$1:B$65536,SNI!C$1:C$65536,'Isi Data'!E$1:E$65536)</f>
        <v>50000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7655</v>
      </c>
      <c r="J890">
        <f>$J$3</f>
        <v>0.1</v>
      </c>
      <c r="K890">
        <f>SUM(H890:I890)*(1+J890)</f>
        <v>8420.5</v>
      </c>
      <c r="L890">
        <f>ROUND(K890,-2)</f>
        <v>8400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40000</v>
      </c>
      <c r="I892">
        <f>F892*G892</f>
        <v>0</v>
      </c>
    </row>
    <row r="893">
      <c r="C893" t="str">
        <f>'Isi Data'!B159</f>
        <v>Tukang Kayu Halus</v>
      </c>
      <c r="E893" t="str">
        <v>org/hr</v>
      </c>
      <c r="F893">
        <v>0.125</v>
      </c>
      <c r="G893">
        <f>SUMIF('Isi Data'!B$1:B$65536,SNI!C$1:C$65536,'Isi Data'!E$1:E$65536)</f>
        <v>55000</v>
      </c>
      <c r="I893">
        <f>F893*G893</f>
        <v>6875</v>
      </c>
    </row>
    <row r="894">
      <c r="C894" t="str">
        <f>'Isi Data'!B160</f>
        <v>Kepala Tukang Kayu</v>
      </c>
      <c r="E894" t="str">
        <v>org/hr</v>
      </c>
      <c r="F894">
        <v>0.013</v>
      </c>
      <c r="G894">
        <f>SUMIF('Isi Data'!B$1:B$65536,SNI!C$1:C$65536,'Isi Data'!E$1:E$65536)</f>
        <v>60000</v>
      </c>
      <c r="I894">
        <f>F894*G894</f>
        <v>780</v>
      </c>
    </row>
    <row r="895">
      <c r="C895" t="str">
        <f>'Isi Data'!B169</f>
        <v xml:space="preserve">Mandor </v>
      </c>
      <c r="E895" t="str">
        <v>org/hr</v>
      </c>
      <c r="F895">
        <v>0</v>
      </c>
      <c r="G895">
        <f>SUMIF('Isi Data'!B$1:B$65536,SNI!C$1:C$65536,'Isi Data'!E$1:E$65536)</f>
        <v>50000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15000</v>
      </c>
      <c r="I897">
        <f>SUM(I898:I902)</f>
        <v>7655</v>
      </c>
      <c r="J897">
        <f>$J$3</f>
        <v>0.1</v>
      </c>
      <c r="K897">
        <f>SUM(H897:I897)*(1+J897)</f>
        <v>24920.500000000004</v>
      </c>
      <c r="L897">
        <f>ROUND(K897,-2)</f>
        <v>24900</v>
      </c>
    </row>
    <row r="898">
      <c r="C898" t="str">
        <f>'Isi Data'!B48</f>
        <v xml:space="preserve">Engsel </v>
      </c>
      <c r="E898" t="str">
        <v>bh</v>
      </c>
      <c r="F898">
        <v>1</v>
      </c>
      <c r="G898">
        <f>SUMIF('Isi Data'!B$1:B$65536,SNI!C$1:C$65536,'Isi Data'!E$1:E$65536)</f>
        <v>15000</v>
      </c>
      <c r="H898">
        <f>F898*G898</f>
        <v>15000</v>
      </c>
    </row>
    <row r="899">
      <c r="C899" t="str">
        <f>'Isi Data'!B168</f>
        <v>Pekerja</v>
      </c>
      <c r="E899" t="str">
        <v>org/hr</v>
      </c>
      <c r="F899">
        <v>0</v>
      </c>
      <c r="G899">
        <f>SUMIF('Isi Data'!B$1:B$65536,SNI!C$1:C$65536,'Isi Data'!E$1:E$65536)</f>
        <v>40000</v>
      </c>
      <c r="I899">
        <f>F899*G899</f>
        <v>0</v>
      </c>
    </row>
    <row r="900">
      <c r="C900" t="str">
        <f>'Isi Data'!B159</f>
        <v>Tukang Kayu Halus</v>
      </c>
      <c r="E900" t="str">
        <v>org/hr</v>
      </c>
      <c r="F900">
        <v>0.125</v>
      </c>
      <c r="G900">
        <f>SUMIF('Isi Data'!B$1:B$65536,SNI!C$1:C$65536,'Isi Data'!E$1:E$65536)</f>
        <v>55000</v>
      </c>
      <c r="I900">
        <f>F900*G900</f>
        <v>6875</v>
      </c>
    </row>
    <row r="901">
      <c r="C901" t="str">
        <f>'Isi Data'!B160</f>
        <v>Kepala Tukang Kayu</v>
      </c>
      <c r="E901" t="str">
        <v>org/hr</v>
      </c>
      <c r="F901">
        <v>0.013</v>
      </c>
      <c r="G901">
        <f>SUMIF('Isi Data'!B$1:B$65536,SNI!C$1:C$65536,'Isi Data'!E$1:E$65536)</f>
        <v>60000</v>
      </c>
      <c r="I901">
        <f>F901*G901</f>
        <v>780</v>
      </c>
    </row>
    <row r="902">
      <c r="C902" t="str">
        <f>'Isi Data'!B169</f>
        <v xml:space="preserve">Mandor </v>
      </c>
      <c r="E902" t="str">
        <v>org/hr</v>
      </c>
      <c r="F902">
        <v>0</v>
      </c>
      <c r="G902">
        <f>SUMIF('Isi Data'!B$1:B$65536,SNI!C$1:C$65536,'Isi Data'!E$1:E$65536)</f>
        <v>50000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15000</v>
      </c>
      <c r="I904">
        <f>SUM(I905:I909)</f>
        <v>6100</v>
      </c>
      <c r="J904">
        <f>$J$3</f>
        <v>0.1</v>
      </c>
      <c r="K904">
        <f>SUM(H904:I904)*(1+J904)</f>
        <v>23210.000000000004</v>
      </c>
      <c r="L904">
        <f>ROUND(K904,-2)</f>
        <v>23200</v>
      </c>
    </row>
    <row r="905">
      <c r="C905" t="str">
        <f>'Isi Data'!B48</f>
        <v xml:space="preserve">Engsel </v>
      </c>
      <c r="E905" t="str">
        <v>bh</v>
      </c>
      <c r="F905">
        <v>1</v>
      </c>
      <c r="G905">
        <f>SUMIF('Isi Data'!B$1:B$65536,SNI!C$1:C$65536,'Isi Data'!E$1:E$65536)</f>
        <v>15000</v>
      </c>
      <c r="H905">
        <f>F905*G905</f>
        <v>15000</v>
      </c>
      <c r="M905" t="str">
        <f>IF(G905=0,"edit"," ")</f>
        <v xml:space="preserve"> </v>
      </c>
    </row>
    <row r="906">
      <c r="C906" t="str">
        <f>'Isi Data'!B168</f>
        <v>Pekerja</v>
      </c>
      <c r="E906" t="str">
        <v>org/hr</v>
      </c>
      <c r="F906">
        <v>0</v>
      </c>
      <c r="G906">
        <f>SUMIF('Isi Data'!B$1:B$65536,SNI!C$1:C$65536,'Isi Data'!E$1:E$65536)</f>
        <v>40000</v>
      </c>
      <c r="I906">
        <f>F906*G906</f>
        <v>0</v>
      </c>
      <c r="M906" t="str">
        <f>IF(G906=0,"edit"," ")</f>
        <v xml:space="preserve"> </v>
      </c>
    </row>
    <row r="907">
      <c r="C907" t="str">
        <f>'Isi Data'!B159</f>
        <v>Tukang Kayu Halus</v>
      </c>
      <c r="E907" t="str">
        <v>org/hr</v>
      </c>
      <c r="F907">
        <v>0.1</v>
      </c>
      <c r="G907">
        <f>SUMIF('Isi Data'!B$1:B$65536,SNI!C$1:C$65536,'Isi Data'!E$1:E$65536)</f>
        <v>55000</v>
      </c>
      <c r="I907">
        <f>F907*G907</f>
        <v>5500</v>
      </c>
      <c r="M907" t="str">
        <f>IF(G907=0,"edit"," ")</f>
        <v xml:space="preserve"> </v>
      </c>
    </row>
    <row r="908">
      <c r="C908" t="str">
        <f>'Isi Data'!B160</f>
        <v>Kepala Tukang Kayu</v>
      </c>
      <c r="E908" t="str">
        <v>org/hr</v>
      </c>
      <c r="F908">
        <v>0.01</v>
      </c>
      <c r="G908">
        <f>SUMIF('Isi Data'!B$1:B$65536,SNI!C$1:C$65536,'Isi Data'!E$1:E$65536)</f>
        <v>60000</v>
      </c>
      <c r="I908">
        <f>F908*G908</f>
        <v>600</v>
      </c>
      <c r="M908" t="str">
        <f>IF(G908=0,"edit"," ")</f>
        <v xml:space="preserve"> </v>
      </c>
    </row>
    <row r="909">
      <c r="C909" t="str">
        <f>'Isi Data'!B169</f>
        <v xml:space="preserve">Mandor </v>
      </c>
      <c r="E909" t="str">
        <v>org/hr</v>
      </c>
      <c r="F909">
        <v>0</v>
      </c>
      <c r="G909">
        <f>SUMIF('Isi Data'!B$1:B$65536,SNI!C$1:C$65536,'Isi Data'!E$1:E$65536)</f>
        <v>50000</v>
      </c>
      <c r="I909">
        <f>F909*G909</f>
        <v>0</v>
      </c>
      <c r="M909" t="str">
        <f>IF(G909=0,"edit"," ")</f>
        <v xml:space="preserve"> </v>
      </c>
    </row>
    <row r="910">
      <c r="G910">
        <f>SUMIF('Isi Data'!B$1:B$65536,SNI!C$1:C$65536,'Isi Data'!E$1:E$65536)</f>
        <v>0</v>
      </c>
    </row>
    <row r="911">
      <c r="A911" t="str">
        <v>PT T-30-2000-C</v>
      </c>
      <c r="B911" t="str">
        <v>BH</v>
      </c>
      <c r="C911" t="str">
        <v>Pas. Kait angin jendela</v>
      </c>
      <c r="G911">
        <f>SUMIF('Isi Data'!B$1:B$65536,SNI!C$1:C$65536,'Isi Data'!E$1:E$65536)</f>
        <v>0</v>
      </c>
      <c r="H911">
        <f>SUM(H912:H916)</f>
        <v>5000</v>
      </c>
      <c r="I911">
        <f>SUM(I912:I916)</f>
        <v>6100</v>
      </c>
      <c r="J911">
        <f>$J$3</f>
        <v>0.1</v>
      </c>
      <c r="K911">
        <f>SUM(H911:I911)*(1+J911)</f>
        <v>12210.000000000002</v>
      </c>
      <c r="L911">
        <f>ROUND(K911,-2)</f>
        <v>12200</v>
      </c>
    </row>
    <row r="912">
      <c r="C912" t="str">
        <f>'Isi Data'!B54</f>
        <v>Kait Angin</v>
      </c>
      <c r="E912" t="str">
        <v>bh</v>
      </c>
      <c r="F912">
        <v>1</v>
      </c>
      <c r="G912">
        <f>SUMIF('Isi Data'!B$1:B$65536,SNI!C$1:C$65536,'Isi Data'!E$1:E$65536)</f>
        <v>5000</v>
      </c>
      <c r="H912">
        <f>F912*G912</f>
        <v>5000</v>
      </c>
    </row>
    <row r="913">
      <c r="C913" t="str">
        <f>'Isi Data'!B168</f>
        <v>Pekerja</v>
      </c>
      <c r="E913" t="str">
        <v>org/hr</v>
      </c>
      <c r="F913">
        <v>0</v>
      </c>
      <c r="G913">
        <f>SUMIF('Isi Data'!B$1:B$65536,SNI!C$1:C$65536,'Isi Data'!E$1:E$65536)</f>
        <v>40000</v>
      </c>
      <c r="I913">
        <f>F913*G913</f>
        <v>0</v>
      </c>
    </row>
    <row r="914">
      <c r="C914" t="str">
        <f>'Isi Data'!B159</f>
        <v>Tukang Kayu Halus</v>
      </c>
      <c r="E914" t="str">
        <v>org/hr</v>
      </c>
      <c r="F914">
        <v>0.1</v>
      </c>
      <c r="G914">
        <f>SUMIF('Isi Data'!B$1:B$65536,SNI!C$1:C$65536,'Isi Data'!E$1:E$65536)</f>
        <v>55000</v>
      </c>
      <c r="I914">
        <f>F914*G914</f>
        <v>5500</v>
      </c>
    </row>
    <row r="915">
      <c r="C915" t="str">
        <f>'Isi Data'!B160</f>
        <v>Kepala Tukang Kayu</v>
      </c>
      <c r="E915" t="str">
        <v>org/hr</v>
      </c>
      <c r="F915">
        <v>0.01</v>
      </c>
      <c r="G915">
        <f>SUMIF('Isi Data'!B$1:B$65536,SNI!C$1:C$65536,'Isi Data'!E$1:E$65536)</f>
        <v>60000</v>
      </c>
      <c r="I915">
        <f>F915*G915</f>
        <v>600</v>
      </c>
    </row>
    <row r="916">
      <c r="C916" t="str">
        <f>'Isi Data'!B169</f>
        <v xml:space="preserve">Mandor </v>
      </c>
      <c r="E916" t="str">
        <v>org/hr</v>
      </c>
      <c r="F916">
        <v>0</v>
      </c>
      <c r="G916">
        <f>SUMIF('Isi Data'!B$1:B$65536,SNI!C$1:C$65536,'Isi Data'!E$1:E$65536)</f>
        <v>50000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65100</v>
      </c>
      <c r="I918">
        <f>SUM(I919:I923)</f>
        <v>16560</v>
      </c>
      <c r="J918">
        <f>$J$3</f>
        <v>0.1</v>
      </c>
      <c r="K918">
        <f>SUM(H918:I918)*(1+J918)</f>
        <v>89826</v>
      </c>
      <c r="L918">
        <f>ROUND(K918,-2)</f>
        <v>89800</v>
      </c>
    </row>
    <row r="919">
      <c r="C919" t="str">
        <f>'Isi Data'!B76</f>
        <v>Kaca Polos 3 mm</v>
      </c>
      <c r="E919" t="str">
        <v>m2</v>
      </c>
      <c r="F919">
        <v>1.05</v>
      </c>
      <c r="G919">
        <f>SUMIF('Isi Data'!B$1:B$65536,SNI!C$1:C$65536,'Isi Data'!E$1:E$65536)</f>
        <v>62000</v>
      </c>
      <c r="H919">
        <f>F919*G919</f>
        <v>65100</v>
      </c>
    </row>
    <row r="920">
      <c r="C920" t="str">
        <f>'Isi Data'!B168</f>
        <v>Pekerja</v>
      </c>
      <c r="E920" t="str">
        <v>org/hr</v>
      </c>
      <c r="F920">
        <v>0.16</v>
      </c>
      <c r="G920">
        <f>SUMIF('Isi Data'!B$1:B$65536,SNI!C$1:C$65536,'Isi Data'!E$1:E$65536)</f>
        <v>40000</v>
      </c>
      <c r="I920">
        <f>F920*G920</f>
        <v>6400</v>
      </c>
    </row>
    <row r="921">
      <c r="C921" t="str">
        <f>'Isi Data'!B159</f>
        <v>Tukang Kayu Halus</v>
      </c>
      <c r="E921" t="str">
        <v>org/hr</v>
      </c>
      <c r="F921">
        <v>0.16</v>
      </c>
      <c r="G921">
        <f>SUMIF('Isi Data'!B$1:B$65536,SNI!C$1:C$65536,'Isi Data'!E$1:E$65536)</f>
        <v>55000</v>
      </c>
      <c r="I921">
        <f>F921*G921</f>
        <v>8800</v>
      </c>
    </row>
    <row r="922">
      <c r="C922" t="str">
        <f>'Isi Data'!B160</f>
        <v>Kepala Tukang Kayu</v>
      </c>
      <c r="E922" t="str">
        <v>org/hr</v>
      </c>
      <c r="F922">
        <v>0.016</v>
      </c>
      <c r="G922">
        <f>SUMIF('Isi Data'!B$1:B$65536,SNI!C$1:C$65536,'Isi Data'!E$1:E$65536)</f>
        <v>60000</v>
      </c>
      <c r="I922">
        <f>F922*G922</f>
        <v>960</v>
      </c>
    </row>
    <row r="923">
      <c r="C923" t="str">
        <f>'Isi Data'!B169</f>
        <v xml:space="preserve">Mandor </v>
      </c>
      <c r="E923" t="str">
        <v>org/hr</v>
      </c>
      <c r="F923">
        <v>0.008</v>
      </c>
      <c r="G923">
        <f>SUMIF('Isi Data'!B$1:B$65536,SNI!C$1:C$65536,'Isi Data'!E$1:E$65536)</f>
        <v>50000</v>
      </c>
      <c r="I923">
        <f>F923*G923</f>
        <v>400</v>
      </c>
    </row>
    <row r="924">
      <c r="G924">
        <f>SUMIF('Isi Data'!B$1:B$65536,SNI!C$1:C$65536,'Isi Data'!E$1:E$65536)</f>
        <v>0</v>
      </c>
    </row>
    <row r="925">
      <c r="A925" t="str">
        <v>PT T-30-2000-C</v>
      </c>
      <c r="B925" t="str">
        <v>BH</v>
      </c>
      <c r="C925" t="str">
        <v>Pas. Kaca polos 5 mm</v>
      </c>
      <c r="H925">
        <f>SUM(H926:H930)</f>
        <v>73500</v>
      </c>
      <c r="I925">
        <f>SUM(I926:I930)</f>
        <v>16560</v>
      </c>
      <c r="J925">
        <f>$J$3</f>
        <v>0.1</v>
      </c>
      <c r="K925">
        <f>SUM(H925:I925)*(1+J925)</f>
        <v>99066.00000000001</v>
      </c>
      <c r="L925">
        <f>ROUND(K925,-2)</f>
        <v>99100</v>
      </c>
    </row>
    <row r="926">
      <c r="C926" t="str">
        <f>'Isi Data'!B77</f>
        <v>Kaca Polos 5 mm</v>
      </c>
      <c r="E926" t="str">
        <v>m2</v>
      </c>
      <c r="F926">
        <v>1.05</v>
      </c>
      <c r="G926">
        <f>SUMIF('Isi Data'!B$1:B$65536,SNI!C$1:C$65536,'Isi Data'!E$1:E$65536)</f>
        <v>70000</v>
      </c>
      <c r="H926">
        <f>F926*G926</f>
        <v>73500</v>
      </c>
      <c r="M926" t="str">
        <f>IF(G926=0,"edit"," ")</f>
        <v xml:space="preserve"> </v>
      </c>
    </row>
    <row r="927">
      <c r="C927" t="str">
        <f>'Isi Data'!B168</f>
        <v>Pekerja</v>
      </c>
      <c r="E927" t="str">
        <v>org/hr</v>
      </c>
      <c r="F927">
        <v>0.16</v>
      </c>
      <c r="G927">
        <f>SUMIF('Isi Data'!B$1:B$65536,SNI!C$1:C$65536,'Isi Data'!E$1:E$65536)</f>
        <v>40000</v>
      </c>
      <c r="I927">
        <f>F927*G927</f>
        <v>6400</v>
      </c>
      <c r="M927" t="str">
        <f>IF(G927=0,"edit"," ")</f>
        <v xml:space="preserve"> </v>
      </c>
    </row>
    <row r="928">
      <c r="C928" t="str">
        <f>'Isi Data'!B159</f>
        <v>Tukang Kayu Halus</v>
      </c>
      <c r="E928" t="str">
        <v>org/hr</v>
      </c>
      <c r="F928">
        <v>0.16</v>
      </c>
      <c r="G928">
        <f>SUMIF('Isi Data'!B$1:B$65536,SNI!C$1:C$65536,'Isi Data'!E$1:E$65536)</f>
        <v>55000</v>
      </c>
      <c r="I928">
        <f>F928*G928</f>
        <v>8800</v>
      </c>
      <c r="M928" t="str">
        <f>IF(G928=0,"edit"," ")</f>
        <v xml:space="preserve"> </v>
      </c>
    </row>
    <row r="929">
      <c r="C929" t="str">
        <f>'Isi Data'!B160</f>
        <v>Kepala Tukang Kayu</v>
      </c>
      <c r="E929" t="str">
        <v>org/hr</v>
      </c>
      <c r="F929">
        <v>0.016</v>
      </c>
      <c r="G929">
        <f>SUMIF('Isi Data'!B$1:B$65536,SNI!C$1:C$65536,'Isi Data'!E$1:E$65536)</f>
        <v>60000</v>
      </c>
      <c r="I929">
        <f>F929*G929</f>
        <v>960</v>
      </c>
      <c r="M929" t="str">
        <f>IF(G929=0,"edit"," ")</f>
        <v xml:space="preserve"> </v>
      </c>
    </row>
    <row r="930">
      <c r="C930" t="str">
        <f>'Isi Data'!B169</f>
        <v xml:space="preserve">Mandor </v>
      </c>
      <c r="E930" t="str">
        <v>org/hr</v>
      </c>
      <c r="F930">
        <v>0.008</v>
      </c>
      <c r="G930">
        <f>SUMIF('Isi Data'!B$1:B$65536,SNI!C$1:C$65536,'Isi Data'!E$1:E$65536)</f>
        <v>50000</v>
      </c>
      <c r="I930">
        <f>F930*G930</f>
        <v>400</v>
      </c>
      <c r="M930" t="str">
        <f>IF(G930=0,"edit"," ")</f>
        <v xml:space="preserve"> </v>
      </c>
    </row>
    <row r="931">
      <c r="G931">
        <f>SUMIF('Isi Data'!B$1:B$65536,SNI!C$1:C$65536,'Isi Data'!E$1:E$65536)</f>
        <v>0</v>
      </c>
    </row>
    <row r="932">
      <c r="A932" t="str">
        <v>PT T-30-2000-C</v>
      </c>
      <c r="B932" t="str">
        <v>BH</v>
      </c>
      <c r="C932" t="str">
        <v>Pas. Kaca 8 mm</v>
      </c>
      <c r="H932">
        <f>SUM(H933:H937)</f>
        <v>131250</v>
      </c>
      <c r="I932">
        <f>SUM(I933:I937)</f>
        <v>16560</v>
      </c>
      <c r="J932">
        <f>$J$3</f>
        <v>0.1</v>
      </c>
      <c r="K932">
        <f>SUM(H932:I932)*(1+J932)</f>
        <v>162591</v>
      </c>
      <c r="L932">
        <f>ROUND(K932,-2)</f>
        <v>162600</v>
      </c>
    </row>
    <row r="933">
      <c r="C933" t="str">
        <f>'Isi Data'!B78</f>
        <v>Kaca Polos 8 mm</v>
      </c>
      <c r="E933" t="str">
        <v>m2</v>
      </c>
      <c r="F933">
        <v>1.05</v>
      </c>
      <c r="G933">
        <f>SUMIF('Isi Data'!B$1:B$65536,SNI!C$1:C$65536,'Isi Data'!E$1:E$65536)</f>
        <v>125000</v>
      </c>
      <c r="H933">
        <f>F933*G933</f>
        <v>131250</v>
      </c>
    </row>
    <row r="934">
      <c r="C934" t="str">
        <f>'Isi Data'!B168</f>
        <v>Pekerja</v>
      </c>
      <c r="E934" t="str">
        <v>org/hr</v>
      </c>
      <c r="F934">
        <v>0.16</v>
      </c>
      <c r="G934">
        <f>SUMIF('Isi Data'!B$1:B$65536,SNI!C$1:C$65536,'Isi Data'!E$1:E$65536)</f>
        <v>40000</v>
      </c>
      <c r="I934">
        <f>F934*G934</f>
        <v>6400</v>
      </c>
    </row>
    <row r="935">
      <c r="C935" t="str">
        <f>'Isi Data'!B159</f>
        <v>Tukang Kayu Halus</v>
      </c>
      <c r="E935" t="str">
        <v>org/hr</v>
      </c>
      <c r="F935">
        <v>0.16</v>
      </c>
      <c r="G935">
        <f>SUMIF('Isi Data'!B$1:B$65536,SNI!C$1:C$65536,'Isi Data'!E$1:E$65536)</f>
        <v>55000</v>
      </c>
      <c r="I935">
        <f>F935*G935</f>
        <v>8800</v>
      </c>
    </row>
    <row r="936">
      <c r="C936" t="str">
        <f>'Isi Data'!B160</f>
        <v>Kepala Tukang Kayu</v>
      </c>
      <c r="E936" t="str">
        <v>org/hr</v>
      </c>
      <c r="F936">
        <v>0.016</v>
      </c>
      <c r="G936">
        <f>SUMIF('Isi Data'!B$1:B$65536,SNI!C$1:C$65536,'Isi Data'!E$1:E$65536)</f>
        <v>60000</v>
      </c>
      <c r="I936">
        <f>F936*G936</f>
        <v>960</v>
      </c>
    </row>
    <row r="937">
      <c r="C937" t="str">
        <f>'Isi Data'!B169</f>
        <v xml:space="preserve">Mandor </v>
      </c>
      <c r="E937" t="str">
        <v>org/hr</v>
      </c>
      <c r="F937">
        <v>0.008</v>
      </c>
      <c r="G937">
        <f>SUMIF('Isi Data'!B$1:B$65536,SNI!C$1:C$65536,'Isi Data'!E$1:E$65536)</f>
        <v>50000</v>
      </c>
      <c r="I937">
        <f>F937*G937</f>
        <v>400</v>
      </c>
    </row>
    <row r="941">
      <c r="C941" t="str">
        <v>PEKERJAAN SANITER</v>
      </c>
    </row>
    <row r="942">
      <c r="A942" t="str">
        <v>RSNI T-15-2002</v>
      </c>
      <c r="B942" t="str">
        <v>BH</v>
      </c>
      <c r="C942" t="str">
        <v>Pas. Washtafel keramik</v>
      </c>
      <c r="G942">
        <f>SUMIF('Isi Data'!B$1:B$65536,SNI!C$1:C$65536,'Isi Data'!E$1:E$65536)</f>
        <v>0</v>
      </c>
      <c r="H942">
        <f>SUM(H943:H948)</f>
        <v>852000</v>
      </c>
      <c r="I942">
        <f>SUM(I943:I948)</f>
        <v>141750</v>
      </c>
      <c r="J942">
        <f>$J$3</f>
        <v>0.1</v>
      </c>
      <c r="K942">
        <f>SUM(H942:I942)*(1+J942)</f>
        <v>1093125</v>
      </c>
      <c r="L942">
        <f>ROUND(K942,-2)</f>
        <v>1093100</v>
      </c>
    </row>
    <row r="943">
      <c r="C943" t="str">
        <f>'Isi Data'!B102</f>
        <v xml:space="preserve">Wastafel </v>
      </c>
      <c r="E943" t="str">
        <v>bh</v>
      </c>
      <c r="F943">
        <v>1</v>
      </c>
      <c r="G943">
        <f>SUMIF('Isi Data'!B$1:B$65536,SNI!C$1:C$65536,'Isi Data'!E$1:E$65536)</f>
        <v>850000</v>
      </c>
      <c r="H943">
        <f>F943*G943</f>
        <v>850000</v>
      </c>
      <c r="M943" t="str">
        <f>IF(G943=0,"edit"," ")</f>
        <v xml:space="preserve"> </v>
      </c>
    </row>
    <row r="944">
      <c r="C944" t="str">
        <f>'Isi Data'!B98</f>
        <v>Seal tape</v>
      </c>
      <c r="E944" t="str">
        <v>bh</v>
      </c>
      <c r="F944">
        <v>1</v>
      </c>
      <c r="G944">
        <f>SUMIF('Isi Data'!B$1:B$65536,SNI!C$1:C$65536,'Isi Data'!E$1:E$65536)</f>
        <v>2000</v>
      </c>
      <c r="H944">
        <f>F944*G944</f>
        <v>2000</v>
      </c>
      <c r="M944" t="str">
        <f>IF(G944=0,"edit"," ")</f>
        <v xml:space="preserve"> </v>
      </c>
    </row>
    <row r="945">
      <c r="C945" t="str">
        <f>'Isi Data'!B168</f>
        <v>Pekerja</v>
      </c>
      <c r="E945" t="str">
        <v>org/hr</v>
      </c>
      <c r="F945">
        <v>1.2</v>
      </c>
      <c r="G945">
        <f>SUMIF('Isi Data'!B$1:B$65536,SNI!C$1:C$65536,'Isi Data'!E$1:E$65536)</f>
        <v>40000</v>
      </c>
      <c r="I945">
        <f>F945*G945</f>
        <v>48000</v>
      </c>
      <c r="M945" t="str">
        <f>IF(G945=0,"edit"," ")</f>
        <v xml:space="preserve"> </v>
      </c>
    </row>
    <row r="946">
      <c r="C946" t="str">
        <f>'Isi Data'!B162</f>
        <v>Tukang Batu Halus</v>
      </c>
      <c r="E946" t="str">
        <v>org/hr</v>
      </c>
      <c r="F946">
        <v>1.45</v>
      </c>
      <c r="G946">
        <f>SUMIF('Isi Data'!B$1:B$65536,SNI!C$1:C$65536,'Isi Data'!E$1:E$65536)</f>
        <v>55000</v>
      </c>
      <c r="I946">
        <f>F946*G946</f>
        <v>79750</v>
      </c>
      <c r="M946" t="str">
        <f>IF(G946=0,"edit"," ")</f>
        <v xml:space="preserve"> </v>
      </c>
    </row>
    <row r="947">
      <c r="C947" t="str">
        <f>'Isi Data'!B163</f>
        <v>Kepala Tukang Batu</v>
      </c>
      <c r="E947" t="str">
        <v>org/hr</v>
      </c>
      <c r="F947">
        <v>0.15</v>
      </c>
      <c r="G947">
        <f>SUMIF('Isi Data'!B$1:B$65536,SNI!C$1:C$65536,'Isi Data'!E$1:E$65536)</f>
        <v>60000</v>
      </c>
      <c r="I947">
        <f>F947*G947</f>
        <v>9000</v>
      </c>
      <c r="M947" t="str">
        <f>IF(G947=0,"edit"," ")</f>
        <v xml:space="preserve"> </v>
      </c>
    </row>
    <row r="948">
      <c r="C948" t="str">
        <f>'Isi Data'!B169</f>
        <v xml:space="preserve">Mandor </v>
      </c>
      <c r="E948" t="str">
        <v>org/hr</v>
      </c>
      <c r="F948">
        <v>0.1</v>
      </c>
      <c r="G948">
        <f>SUMIF('Isi Data'!B$1:B$65536,SNI!C$1:C$65536,'Isi Data'!E$1:E$65536)</f>
        <v>50000</v>
      </c>
      <c r="I948">
        <f>F948*G948</f>
        <v>5000</v>
      </c>
      <c r="M948" t="str">
        <f>IF(G948=0,"edit"," ")</f>
        <v xml:space="preserve"> </v>
      </c>
    </row>
    <row r="950">
      <c r="A950" t="str">
        <v>RSNI T-15-2002</v>
      </c>
      <c r="B950" t="str">
        <v>BH</v>
      </c>
      <c r="C950" t="str">
        <v>Pas. Kloset Duduk Keramik</v>
      </c>
      <c r="H950">
        <f>SUM(H951:H956)</f>
        <v>950000</v>
      </c>
      <c r="I950">
        <f>SUM(I951:I956)</f>
        <v>199900</v>
      </c>
      <c r="J950">
        <f>$J$3</f>
        <v>0.1</v>
      </c>
      <c r="K950">
        <f>SUM(H950:I950)*(1+J950)</f>
        <v>1264890</v>
      </c>
      <c r="L950">
        <f>ROUND(K950,-2)</f>
        <v>1264900</v>
      </c>
    </row>
    <row r="951">
      <c r="C951" t="str">
        <f>'Isi Data'!B103</f>
        <v xml:space="preserve">Kloset duduk </v>
      </c>
      <c r="E951" t="str">
        <v>bh</v>
      </c>
      <c r="F951">
        <v>1</v>
      </c>
      <c r="G951">
        <f>SUMIF('Isi Data'!B$1:B$65536,SNI!C$1:C$65536,'Isi Data'!E$1:E$65536)</f>
        <v>950000</v>
      </c>
      <c r="H951">
        <f>F951*G951</f>
        <v>950000</v>
      </c>
    </row>
    <row r="952">
      <c r="C952" t="str">
        <f>'Isi Data'!B168</f>
        <v>Pekerja</v>
      </c>
      <c r="E952" t="str">
        <v>org/hr</v>
      </c>
      <c r="F952">
        <v>3.3</v>
      </c>
      <c r="G952">
        <f>SUMIF('Isi Data'!B$1:B$65536,SNI!C$1:C$65536,'Isi Data'!E$1:E$65536)</f>
        <v>40000</v>
      </c>
      <c r="I952">
        <f>F952*G952</f>
        <v>132000</v>
      </c>
    </row>
    <row r="953">
      <c r="C953" t="str">
        <f>'Isi Data'!B162</f>
        <v>Tukang Batu Halus</v>
      </c>
      <c r="E953" t="str">
        <v>org/hr</v>
      </c>
      <c r="F953">
        <v>1.1</v>
      </c>
      <c r="G953">
        <f>SUMIF('Isi Data'!B$1:B$65536,SNI!C$1:C$65536,'Isi Data'!E$1:E$65536)</f>
        <v>55000</v>
      </c>
      <c r="I953">
        <f>F953*G953</f>
        <v>60500.00000000001</v>
      </c>
    </row>
    <row r="954">
      <c r="C954" t="str">
        <f>'Isi Data'!B163</f>
        <v>Kepala Tukang Batu</v>
      </c>
      <c r="E954" t="str">
        <v>org/hr</v>
      </c>
      <c r="F954">
        <v>0.11</v>
      </c>
      <c r="G954">
        <f>SUMIF('Isi Data'!B$1:B$65536,SNI!C$1:C$65536,'Isi Data'!E$1:E$65536)</f>
        <v>60000</v>
      </c>
      <c r="I954">
        <f>F954*G954</f>
        <v>6600</v>
      </c>
    </row>
    <row r="955">
      <c r="C955" t="str">
        <f>'Isi Data'!B169</f>
        <v xml:space="preserve">Mandor </v>
      </c>
      <c r="E955" t="str">
        <v>org/hr</v>
      </c>
      <c r="F955">
        <v>0.016</v>
      </c>
      <c r="G955">
        <f>SUMIF('Isi Data'!B$1:B$65536,SNI!C$1:C$65536,'Isi Data'!E$1:E$65536)</f>
        <v>50000</v>
      </c>
      <c r="I955">
        <f>F955*G955</f>
        <v>800</v>
      </c>
    </row>
    <row r="956">
      <c r="G956">
        <f>SUMIF('Isi Data'!B$1:B$65536,SNI!C$1:C$65536,'Isi Data'!E$1:E$65536)</f>
        <v>0</v>
      </c>
    </row>
    <row r="957">
      <c r="A957" t="str">
        <v>RSNI T-15-2002</v>
      </c>
      <c r="B957" t="str">
        <v>BH</v>
      </c>
      <c r="C957" t="str">
        <v>Pas. Urinoir Keramik</v>
      </c>
      <c r="H957">
        <f>SUM(H958:H963)</f>
        <v>1217000</v>
      </c>
      <c r="I957">
        <f>SUM(I958:I963)</f>
        <v>199900</v>
      </c>
      <c r="J957">
        <f>$J$3</f>
        <v>0.1</v>
      </c>
      <c r="K957">
        <f>SUM(H957:I957)*(1+J957)</f>
        <v>1558590.0000000002</v>
      </c>
      <c r="L957">
        <f>ROUND(K957,-2)</f>
        <v>1558600</v>
      </c>
    </row>
    <row r="958">
      <c r="C958" t="str">
        <f>'Isi Data'!B105</f>
        <v xml:space="preserve">Urinoir </v>
      </c>
      <c r="E958" t="str">
        <v>bh</v>
      </c>
      <c r="F958">
        <v>1</v>
      </c>
      <c r="G958">
        <f>SUMIF('Isi Data'!B$1:B$65536,SNI!C$1:C$65536,'Isi Data'!E$1:E$65536)</f>
        <v>1217000</v>
      </c>
      <c r="H958">
        <f>F958*G958</f>
        <v>1217000</v>
      </c>
    </row>
    <row r="959">
      <c r="C959" t="str">
        <f>'Isi Data'!B168</f>
        <v>Pekerja</v>
      </c>
      <c r="E959" t="str">
        <v>org/hr</v>
      </c>
      <c r="F959">
        <v>3.3</v>
      </c>
      <c r="G959">
        <f>SUMIF('Isi Data'!B$1:B$65536,SNI!C$1:C$65536,'Isi Data'!E$1:E$65536)</f>
        <v>40000</v>
      </c>
      <c r="I959">
        <f>F959*G959</f>
        <v>132000</v>
      </c>
    </row>
    <row r="960">
      <c r="C960" t="str">
        <f>'Isi Data'!B162</f>
        <v>Tukang Batu Halus</v>
      </c>
      <c r="E960" t="str">
        <v>org/hr</v>
      </c>
      <c r="F960">
        <v>1.1</v>
      </c>
      <c r="G960">
        <f>SUMIF('Isi Data'!B$1:B$65536,SNI!C$1:C$65536,'Isi Data'!E$1:E$65536)</f>
        <v>55000</v>
      </c>
      <c r="I960">
        <f>F960*G960</f>
        <v>60500.00000000001</v>
      </c>
    </row>
    <row r="961">
      <c r="C961" t="str">
        <f>'Isi Data'!B163</f>
        <v>Kepala Tukang Batu</v>
      </c>
      <c r="E961" t="str">
        <v>org/hr</v>
      </c>
      <c r="F961">
        <v>0.11</v>
      </c>
      <c r="G961">
        <f>SUMIF('Isi Data'!B$1:B$65536,SNI!C$1:C$65536,'Isi Data'!E$1:E$65536)</f>
        <v>60000</v>
      </c>
      <c r="I961">
        <f>F961*G961</f>
        <v>6600</v>
      </c>
    </row>
    <row r="962">
      <c r="C962" t="str">
        <f>'Isi Data'!B169</f>
        <v xml:space="preserve">Mandor </v>
      </c>
      <c r="E962" t="str">
        <v>org/hr</v>
      </c>
      <c r="F962">
        <v>0.016</v>
      </c>
      <c r="G962">
        <f>SUMIF('Isi Data'!B$1:B$65536,SNI!C$1:C$65536,'Isi Data'!E$1:E$65536)</f>
        <v>50000</v>
      </c>
      <c r="I962">
        <f>F962*G962</f>
        <v>800</v>
      </c>
    </row>
    <row r="963">
      <c r="G963">
        <f>SUMIF('Isi Data'!B$1:B$65536,SNI!C$1:C$65536,'Isi Data'!E$1:E$65536)</f>
        <v>0</v>
      </c>
    </row>
    <row r="964">
      <c r="A964" t="str">
        <v>RSNI T-15-2002</v>
      </c>
      <c r="B964" t="str">
        <v>BH</v>
      </c>
      <c r="C964" t="str">
        <v>Pas. Kloset Jongkok Keramik</v>
      </c>
      <c r="G964">
        <f>SUMIF('Isi Data'!B$1:B$65536,SNI!C$1:C$65536,'Isi Data'!E$1:E$65536)</f>
        <v>0</v>
      </c>
      <c r="H964">
        <f>SUM(H965:H970)</f>
        <v>132320</v>
      </c>
      <c r="I964">
        <f>SUM(I965:I970)</f>
        <v>67900</v>
      </c>
      <c r="J964">
        <f>$J$3</f>
        <v>0.1</v>
      </c>
      <c r="K964">
        <f>SUM(H964:I964)*(1+J964)</f>
        <v>220242.00000000003</v>
      </c>
      <c r="L964">
        <f>ROUND(K964,-2)</f>
        <v>220200</v>
      </c>
    </row>
    <row r="965">
      <c r="C965" t="str">
        <f>'Isi Data'!B104</f>
        <v xml:space="preserve">Kloset Jongkok </v>
      </c>
      <c r="E965" t="str">
        <v>bh</v>
      </c>
      <c r="F965">
        <v>1</v>
      </c>
      <c r="G965">
        <f>SUMIF('Isi Data'!B$1:B$65536,SNI!C$1:C$65536,'Isi Data'!E$1:E$65536)</f>
        <v>125000</v>
      </c>
      <c r="H965">
        <f>F965*G965</f>
        <v>125000</v>
      </c>
      <c r="M965" t="str">
        <f>IF(G965=0,"edit"," ")</f>
        <v xml:space="preserve"> </v>
      </c>
    </row>
    <row r="966">
      <c r="C966" t="str">
        <f>'Isi Data'!B25</f>
        <v>Semen (50 Kg)</v>
      </c>
      <c r="E966" t="str">
        <v>zak</v>
      </c>
      <c r="F966">
        <v>0.12</v>
      </c>
      <c r="G966">
        <f>SUMIF('Isi Data'!B$1:B$65536,SNI!C$1:C$65536,'Isi Data'!E$1:E$65536)</f>
        <v>61000</v>
      </c>
      <c r="H966">
        <f>F966*G966</f>
        <v>7320</v>
      </c>
      <c r="M966" t="str">
        <f>IF(G966=0,"edit"," ")</f>
        <v xml:space="preserve"> </v>
      </c>
    </row>
    <row r="967">
      <c r="C967" t="str">
        <f>'Isi Data'!B168</f>
        <v>Pekerja</v>
      </c>
      <c r="E967" t="str">
        <v>org/hr</v>
      </c>
      <c r="F967">
        <v>0</v>
      </c>
      <c r="G967">
        <f>SUMIF('Isi Data'!B$1:B$65536,SNI!C$1:C$65536,'Isi Data'!E$1:E$65536)</f>
        <v>40000</v>
      </c>
      <c r="I967">
        <f>F967*G967</f>
        <v>0</v>
      </c>
      <c r="M967" t="str">
        <f>IF(G967=0,"edit"," ")</f>
        <v xml:space="preserve"> </v>
      </c>
    </row>
    <row r="968">
      <c r="C968" t="str">
        <f>'Isi Data'!B162</f>
        <v>Tukang Batu Halus</v>
      </c>
      <c r="E968" t="str">
        <v>org/hr</v>
      </c>
      <c r="F968">
        <v>1.1</v>
      </c>
      <c r="G968">
        <f>SUMIF('Isi Data'!B$1:B$65536,SNI!C$1:C$65536,'Isi Data'!E$1:E$65536)</f>
        <v>55000</v>
      </c>
      <c r="I968">
        <f>F968*G968</f>
        <v>60500.00000000001</v>
      </c>
      <c r="M968" t="str">
        <f>IF(G968=0,"edit"," ")</f>
        <v xml:space="preserve"> </v>
      </c>
    </row>
    <row r="969">
      <c r="C969" t="str">
        <f>'Isi Data'!B163</f>
        <v>Kepala Tukang Batu</v>
      </c>
      <c r="E969" t="str">
        <v>org/hr</v>
      </c>
      <c r="F969">
        <v>0.11</v>
      </c>
      <c r="G969">
        <f>SUMIF('Isi Data'!B$1:B$65536,SNI!C$1:C$65536,'Isi Data'!E$1:E$65536)</f>
        <v>60000</v>
      </c>
      <c r="I969">
        <f>F969*G969</f>
        <v>6600</v>
      </c>
      <c r="M969" t="str">
        <f>IF(G969=0,"edit"," ")</f>
        <v xml:space="preserve"> </v>
      </c>
    </row>
    <row r="970">
      <c r="C970" t="str">
        <f>'Isi Data'!B169</f>
        <v xml:space="preserve">Mandor </v>
      </c>
      <c r="E970" t="str">
        <v>org/hr</v>
      </c>
      <c r="F970">
        <v>0.016</v>
      </c>
      <c r="G970">
        <f>SUMIF('Isi Data'!B$1:B$65536,SNI!C$1:C$65536,'Isi Data'!E$1:E$65536)</f>
        <v>50000</v>
      </c>
      <c r="I970">
        <f>F970*G970</f>
        <v>800</v>
      </c>
      <c r="M970" t="str">
        <f>IF(G970=0,"edit"," ")</f>
        <v xml:space="preserve"> </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300000</v>
      </c>
      <c r="I973">
        <f>SUM(I974:I979)</f>
        <v>258400</v>
      </c>
      <c r="J973">
        <f>$J$3</f>
        <v>0.1</v>
      </c>
      <c r="K973">
        <f>SUM(H973:I973)*(1+J973)</f>
        <v>614240</v>
      </c>
      <c r="L973">
        <f>ROUND(K973,-2)</f>
        <v>614200</v>
      </c>
    </row>
    <row r="974">
      <c r="C974" t="str">
        <f>'Isi Data'!B106</f>
        <v xml:space="preserve">Bak air fibreglass  </v>
      </c>
      <c r="E974" t="str">
        <v>bh</v>
      </c>
      <c r="F974">
        <v>1</v>
      </c>
      <c r="G974">
        <f>SUMIF('Isi Data'!B$1:B$65536,SNI!C$1:C$65536,'Isi Data'!E$1:E$65536)</f>
        <v>300000</v>
      </c>
      <c r="H974">
        <f>F974*G974</f>
        <v>300000</v>
      </c>
    </row>
    <row r="975">
      <c r="C975" t="str">
        <f>'Isi Data'!B168</f>
        <v>Pekerja</v>
      </c>
      <c r="E975" t="str">
        <v>org/hr</v>
      </c>
      <c r="F975">
        <v>1.8</v>
      </c>
      <c r="G975">
        <f>SUMIF('Isi Data'!B$1:B$65536,SNI!C$1:C$65536,'Isi Data'!E$1:E$65536)</f>
        <v>40000</v>
      </c>
      <c r="I975">
        <f>F975*G975</f>
        <v>72000</v>
      </c>
    </row>
    <row r="976">
      <c r="C976" t="str">
        <f>'Isi Data'!B162</f>
        <v>Tukang Batu Halus</v>
      </c>
      <c r="E976" t="str">
        <v>org/hr</v>
      </c>
      <c r="F976">
        <v>2.7</v>
      </c>
      <c r="G976">
        <f>SUMIF('Isi Data'!B$1:B$65536,SNI!C$1:C$65536,'Isi Data'!E$1:E$65536)</f>
        <v>55000</v>
      </c>
      <c r="I976">
        <f>F976*G976</f>
        <v>148500</v>
      </c>
    </row>
    <row r="977">
      <c r="C977" t="str">
        <f>'Isi Data'!B163</f>
        <v>Kepala Tukang Batu</v>
      </c>
      <c r="E977" t="str">
        <v>org/hr</v>
      </c>
      <c r="F977">
        <v>0.54</v>
      </c>
      <c r="G977">
        <f>SUMIF('Isi Data'!B$1:B$65536,SNI!C$1:C$65536,'Isi Data'!E$1:E$65536)</f>
        <v>60000</v>
      </c>
      <c r="I977">
        <f>F977*G977</f>
        <v>32400.000000000004</v>
      </c>
    </row>
    <row r="978">
      <c r="C978" t="str">
        <f>'Isi Data'!B169</f>
        <v xml:space="preserve">Mandor </v>
      </c>
      <c r="E978" t="str">
        <v>org/hr</v>
      </c>
      <c r="F978">
        <v>0.11</v>
      </c>
      <c r="G978">
        <f>SUMIF('Isi Data'!B$1:B$65536,SNI!C$1:C$65536,'Isi Data'!E$1:E$65536)</f>
        <v>50000</v>
      </c>
      <c r="I978">
        <f>F978*G978</f>
        <v>5500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181050</v>
      </c>
      <c r="I981">
        <f>SUM(I982:I987)</f>
        <v>6100</v>
      </c>
      <c r="J981">
        <f>$J$3</f>
        <v>0.1</v>
      </c>
      <c r="K981">
        <f>SUM(H981:I981)*(1+J981)</f>
        <v>205865.00000000003</v>
      </c>
      <c r="L981">
        <f>ROUND(K981,-2)</f>
        <v>205900</v>
      </c>
    </row>
    <row r="982">
      <c r="C982" t="str">
        <f>'Isi Data'!B107</f>
        <v xml:space="preserve">Shower Spray </v>
      </c>
      <c r="E982" t="str">
        <v>bh</v>
      </c>
      <c r="F982">
        <v>1</v>
      </c>
      <c r="G982">
        <f>SUMIF('Isi Data'!B$1:B$65536,SNI!C$1:C$65536,'Isi Data'!E$1:E$65536)</f>
        <v>181000</v>
      </c>
      <c r="H982">
        <f>F982*G982</f>
        <v>181000</v>
      </c>
    </row>
    <row r="983">
      <c r="C983" t="str">
        <f>'Isi Data'!B98</f>
        <v>Seal tape</v>
      </c>
      <c r="E983" t="str">
        <v>bh</v>
      </c>
      <c r="F983">
        <v>0.025</v>
      </c>
      <c r="G983">
        <f>SUMIF('Isi Data'!B$1:B$65536,SNI!C$1:C$65536,'Isi Data'!E$1:E$65536)</f>
        <v>2000</v>
      </c>
      <c r="H983">
        <f>F983*G983</f>
        <v>50</v>
      </c>
    </row>
    <row r="984">
      <c r="C984" t="str">
        <f>'Isi Data'!B168</f>
        <v>Pekerja</v>
      </c>
      <c r="E984" t="str">
        <v>org/hr</v>
      </c>
      <c r="F984">
        <v>0</v>
      </c>
      <c r="G984">
        <f>SUMIF('Isi Data'!B$1:B$65536,SNI!C$1:C$65536,'Isi Data'!E$1:E$65536)</f>
        <v>40000</v>
      </c>
      <c r="I984">
        <f>F984*G984</f>
        <v>0</v>
      </c>
    </row>
    <row r="985">
      <c r="C985" t="str">
        <f>'Isi Data'!B162</f>
        <v>Tukang Batu Halus</v>
      </c>
      <c r="E985" t="str">
        <v>org/hr</v>
      </c>
      <c r="F985">
        <v>0.1</v>
      </c>
      <c r="G985">
        <f>SUMIF('Isi Data'!B$1:B$65536,SNI!C$1:C$65536,'Isi Data'!E$1:E$65536)</f>
        <v>55000</v>
      </c>
      <c r="I985">
        <f>F985*G985</f>
        <v>5500</v>
      </c>
    </row>
    <row r="986">
      <c r="C986" t="str">
        <f>'Isi Data'!B163</f>
        <v>Kepala Tukang Batu</v>
      </c>
      <c r="E986" t="str">
        <v>org/hr</v>
      </c>
      <c r="F986">
        <v>0.01</v>
      </c>
      <c r="G986">
        <f>SUMIF('Isi Data'!B$1:B$65536,SNI!C$1:C$65536,'Isi Data'!E$1:E$65536)</f>
        <v>60000</v>
      </c>
      <c r="I986">
        <f>F986*G986</f>
        <v>600</v>
      </c>
    </row>
    <row r="987">
      <c r="C987" t="str">
        <f>'Isi Data'!B169</f>
        <v xml:space="preserve">Mandor </v>
      </c>
      <c r="E987" t="str">
        <v>org/hr</v>
      </c>
      <c r="F987">
        <v>0</v>
      </c>
      <c r="G987">
        <f>SUMIF('Isi Data'!B$1:B$65536,SNI!C$1:C$65536,'Isi Data'!E$1:E$65536)</f>
        <v>50000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598050</v>
      </c>
      <c r="I989">
        <f>SUM(I990:I995)</f>
        <v>67900</v>
      </c>
      <c r="J989">
        <f>$J$3</f>
        <v>0.1</v>
      </c>
      <c r="K989">
        <f>SUM(H989:I989)*(1+J989)</f>
        <v>732545.0000000001</v>
      </c>
      <c r="L989">
        <f>ROUND(K989,-2)</f>
        <v>732500</v>
      </c>
    </row>
    <row r="990">
      <c r="C990" t="str">
        <f>'Isi Data'!B108</f>
        <v xml:space="preserve">Shower Set </v>
      </c>
      <c r="E990" t="str">
        <v>bh</v>
      </c>
      <c r="F990">
        <v>1</v>
      </c>
      <c r="G990">
        <f>SUMIF('Isi Data'!B$1:B$65536,SNI!C$1:C$65536,'Isi Data'!E$1:E$65536)</f>
        <v>598000</v>
      </c>
      <c r="H990">
        <f>F990*G990</f>
        <v>598000</v>
      </c>
      <c r="M990" t="str">
        <f>IF(G990=0,"edit"," ")</f>
        <v xml:space="preserve"> </v>
      </c>
    </row>
    <row r="991">
      <c r="C991" t="str">
        <f>'Isi Data'!B98</f>
        <v>Seal tape</v>
      </c>
      <c r="E991" t="str">
        <v>bh</v>
      </c>
      <c r="F991">
        <v>0.025</v>
      </c>
      <c r="G991">
        <f>SUMIF('Isi Data'!B$1:B$65536,SNI!C$1:C$65536,'Isi Data'!E$1:E$65536)</f>
        <v>2000</v>
      </c>
      <c r="H991">
        <f>F991*G991</f>
        <v>50</v>
      </c>
      <c r="M991" t="str">
        <f>IF(G991=0,"edit"," ")</f>
        <v xml:space="preserve"> </v>
      </c>
    </row>
    <row r="992">
      <c r="C992" t="str">
        <f>'Isi Data'!B168</f>
        <v>Pekerja</v>
      </c>
      <c r="E992" t="str">
        <v>org/hr</v>
      </c>
      <c r="F992">
        <v>0</v>
      </c>
      <c r="G992">
        <f>SUMIF('Isi Data'!B$1:B$65536,SNI!C$1:C$65536,'Isi Data'!E$1:E$65536)</f>
        <v>40000</v>
      </c>
      <c r="I992">
        <f>F992*G992</f>
        <v>0</v>
      </c>
      <c r="M992" t="str">
        <f>IF(G992=0,"edit"," ")</f>
        <v xml:space="preserve"> </v>
      </c>
    </row>
    <row r="993">
      <c r="C993" t="str">
        <f>'Isi Data'!B162</f>
        <v>Tukang Batu Halus</v>
      </c>
      <c r="E993" t="str">
        <v>org/hr</v>
      </c>
      <c r="F993">
        <v>1.1</v>
      </c>
      <c r="G993">
        <f>SUMIF('Isi Data'!B$1:B$65536,SNI!C$1:C$65536,'Isi Data'!E$1:E$65536)</f>
        <v>55000</v>
      </c>
      <c r="I993">
        <f>F993*G993</f>
        <v>60500.00000000001</v>
      </c>
      <c r="M993" t="str">
        <f>IF(G993=0,"edit"," ")</f>
        <v xml:space="preserve"> </v>
      </c>
    </row>
    <row r="994">
      <c r="C994" t="str">
        <f>'Isi Data'!B163</f>
        <v>Kepala Tukang Batu</v>
      </c>
      <c r="E994" t="str">
        <v>org/hr</v>
      </c>
      <c r="F994">
        <v>0.11</v>
      </c>
      <c r="G994">
        <f>SUMIF('Isi Data'!B$1:B$65536,SNI!C$1:C$65536,'Isi Data'!E$1:E$65536)</f>
        <v>60000</v>
      </c>
      <c r="I994">
        <f>F994*G994</f>
        <v>6600</v>
      </c>
      <c r="M994" t="str">
        <f>IF(G994=0,"edit"," ")</f>
        <v xml:space="preserve"> </v>
      </c>
    </row>
    <row r="995">
      <c r="C995" t="str">
        <f>'Isi Data'!B169</f>
        <v xml:space="preserve">Mandor </v>
      </c>
      <c r="E995" t="str">
        <v>org/hr</v>
      </c>
      <c r="F995">
        <v>0.016</v>
      </c>
      <c r="G995">
        <f>SUMIF('Isi Data'!B$1:B$65536,SNI!C$1:C$65536,'Isi Data'!E$1:E$65536)</f>
        <v>50000</v>
      </c>
      <c r="I995">
        <f>F995*G995</f>
        <v>800</v>
      </c>
      <c r="M995" t="str">
        <f>IF(G995=0,"edit"," ")</f>
        <v xml:space="preserve"> </v>
      </c>
    </row>
    <row r="996">
      <c r="G996">
        <f>SUMIF('Isi Data'!B$1:B$65536,SNI!C$1:C$65536,'Isi Data'!E$1:E$65536)</f>
        <v>0</v>
      </c>
    </row>
    <row r="997">
      <c r="A997" t="str">
        <v>RSNI T-15-2002</v>
      </c>
      <c r="B997" t="str">
        <v>BH</v>
      </c>
      <c r="C997" t="str">
        <v>Pas. Tempat sabun keramik</v>
      </c>
      <c r="G997">
        <f>SUMIF('Isi Data'!B$1:B$65536,SNI!C$1:C$65536,'Isi Data'!E$1:E$65536)</f>
        <v>0</v>
      </c>
      <c r="H997">
        <f>SUM(H998:H1003)</f>
        <v>27320</v>
      </c>
      <c r="I997">
        <f>SUM(I998:I1003)</f>
        <v>14350</v>
      </c>
      <c r="J997">
        <f>$J$3</f>
        <v>0.1</v>
      </c>
      <c r="K997">
        <f>SUM(H997:I997)*(1+J997)</f>
        <v>45837.00000000001</v>
      </c>
      <c r="L997">
        <f>ROUND(K997,-2)</f>
        <v>45800</v>
      </c>
    </row>
    <row r="998">
      <c r="C998" t="str">
        <f>'Isi Data'!B110</f>
        <v xml:space="preserve">Tempat Sabun </v>
      </c>
      <c r="E998" t="str">
        <v>bh</v>
      </c>
      <c r="F998">
        <v>1</v>
      </c>
      <c r="G998">
        <f>SUMIF('Isi Data'!B$1:B$65536,SNI!C$1:C$65536,'Isi Data'!E$1:E$65536)</f>
        <v>20000</v>
      </c>
      <c r="H998">
        <f>F998*G998</f>
        <v>20000</v>
      </c>
    </row>
    <row r="999">
      <c r="C999" t="str">
        <f>'Isi Data'!B25</f>
        <v>Semen (50 Kg)</v>
      </c>
      <c r="E999" t="str">
        <v>zak</v>
      </c>
      <c r="F999">
        <v>0.12</v>
      </c>
      <c r="G999">
        <f>SUMIF('Isi Data'!B$1:B$65536,SNI!C$1:C$65536,'Isi Data'!E$1:E$65536)</f>
        <v>61000</v>
      </c>
      <c r="H999">
        <f>F999*G999</f>
        <v>7320</v>
      </c>
    </row>
    <row r="1000">
      <c r="C1000" t="str">
        <f>'Isi Data'!B168</f>
        <v>Pekerja</v>
      </c>
      <c r="E1000" t="str">
        <v>org/hr</v>
      </c>
      <c r="F1000">
        <v>0</v>
      </c>
      <c r="G1000">
        <f>SUMIF('Isi Data'!B$1:B$65536,SNI!C$1:C$65536,'Isi Data'!E$1:E$65536)</f>
        <v>40000</v>
      </c>
      <c r="I1000">
        <f>F1000*G1000</f>
        <v>0</v>
      </c>
    </row>
    <row r="1001">
      <c r="C1001" t="str">
        <f>'Isi Data'!B162</f>
        <v>Tukang Batu Halus</v>
      </c>
      <c r="E1001" t="str">
        <v>org/hr</v>
      </c>
      <c r="F1001">
        <v>0.25</v>
      </c>
      <c r="G1001">
        <f>SUMIF('Isi Data'!B$1:B$65536,SNI!C$1:C$65536,'Isi Data'!E$1:E$65536)</f>
        <v>55000</v>
      </c>
      <c r="I1001">
        <f>F1001*G1001</f>
        <v>13750</v>
      </c>
    </row>
    <row r="1002">
      <c r="C1002" t="str">
        <f>'Isi Data'!B163</f>
        <v>Kepala Tukang Batu</v>
      </c>
      <c r="E1002" t="str">
        <v>org/hr</v>
      </c>
      <c r="F1002">
        <v>0.01</v>
      </c>
      <c r="G1002">
        <f>SUMIF('Isi Data'!B$1:B$65536,SNI!C$1:C$65536,'Isi Data'!E$1:E$65536)</f>
        <v>60000</v>
      </c>
      <c r="I1002">
        <f>F1002*G1002</f>
        <v>600</v>
      </c>
    </row>
    <row r="1003">
      <c r="C1003" t="str">
        <f>'Isi Data'!B169</f>
        <v xml:space="preserve">Mandor </v>
      </c>
      <c r="E1003" t="str">
        <v>org/hr</v>
      </c>
      <c r="F1003">
        <v>0</v>
      </c>
      <c r="G1003">
        <f>SUMIF('Isi Data'!B$1:B$65536,SNI!C$1:C$65536,'Isi Data'!E$1:E$65536)</f>
        <v>50000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188500</v>
      </c>
      <c r="I1005">
        <f>SUM(I1006:I1011)</f>
        <v>106000</v>
      </c>
      <c r="J1005">
        <f>$J$3</f>
        <v>0.1</v>
      </c>
      <c r="K1005">
        <f>SUM(H1005:I1005)*(1+J1005)</f>
        <v>323950</v>
      </c>
      <c r="L1005">
        <f>ROUND(K1005,-2)</f>
        <v>324000</v>
      </c>
    </row>
    <row r="1006">
      <c r="C1006" t="str">
        <f>'Isi Data'!B112</f>
        <v xml:space="preserve">Kitchenzink  </v>
      </c>
      <c r="E1006" t="str">
        <v>bh</v>
      </c>
      <c r="F1006">
        <v>1</v>
      </c>
      <c r="G1006">
        <f>SUMIF('Isi Data'!B$1:B$65536,SNI!C$1:C$65536,'Isi Data'!E$1:E$65536)</f>
        <v>145000</v>
      </c>
      <c r="H1006">
        <f>F1006*G1006</f>
        <v>145000</v>
      </c>
      <c r="M1006" t="str">
        <f>IF(G1006=0,"edit"," ")</f>
        <v xml:space="preserve"> </v>
      </c>
    </row>
    <row r="1007">
      <c r="C1007" t="str">
        <v>Fitting, Stop valve &amp; support</v>
      </c>
      <c r="E1007" t="str">
        <v>set</v>
      </c>
      <c r="F1007">
        <v>0.3</v>
      </c>
      <c r="G1007">
        <f>G1006</f>
        <v>145000</v>
      </c>
      <c r="H1007">
        <f>F1007*G1007</f>
        <v>43500</v>
      </c>
      <c r="M1007" t="str">
        <f>IF(G1007=0,"edit"," ")</f>
        <v xml:space="preserve"> </v>
      </c>
    </row>
    <row r="1008">
      <c r="C1008" t="str">
        <f>'Isi Data'!B168</f>
        <v>Pekerja</v>
      </c>
      <c r="E1008" t="str">
        <v>org/hr</v>
      </c>
      <c r="F1008">
        <v>1</v>
      </c>
      <c r="G1008">
        <f>SUMIF('Isi Data'!B$1:B$65536,SNI!C$1:C$65536,'Isi Data'!E$1:E$65536)</f>
        <v>40000</v>
      </c>
      <c r="I1008">
        <f>F1008*G1008</f>
        <v>40000</v>
      </c>
      <c r="M1008" t="str">
        <f>IF(G1008=0,"edit"," ")</f>
        <v xml:space="preserve"> </v>
      </c>
    </row>
    <row r="1009">
      <c r="C1009" t="str">
        <f>'Isi Data'!B162</f>
        <v>Tukang Batu Halus</v>
      </c>
      <c r="E1009" t="str">
        <v>org/hr</v>
      </c>
      <c r="F1009">
        <v>1</v>
      </c>
      <c r="G1009">
        <f>SUMIF('Isi Data'!B$1:B$65536,SNI!C$1:C$65536,'Isi Data'!E$1:E$65536)</f>
        <v>55000</v>
      </c>
      <c r="I1009">
        <f>F1009*G1009</f>
        <v>55000</v>
      </c>
      <c r="M1009" t="str">
        <f>IF(G1009=0,"edit"," ")</f>
        <v xml:space="preserve"> </v>
      </c>
    </row>
    <row r="1010">
      <c r="C1010" t="str">
        <f>'Isi Data'!B163</f>
        <v>Kepala Tukang Batu</v>
      </c>
      <c r="E1010" t="str">
        <v>org/hr</v>
      </c>
      <c r="F1010">
        <v>0.1</v>
      </c>
      <c r="G1010">
        <f>SUMIF('Isi Data'!B$1:B$65536,SNI!C$1:C$65536,'Isi Data'!E$1:E$65536)</f>
        <v>60000</v>
      </c>
      <c r="I1010">
        <f>F1010*G1010</f>
        <v>6000</v>
      </c>
      <c r="M1010" t="str">
        <f>IF(G1010=0,"edit"," ")</f>
        <v xml:space="preserve"> </v>
      </c>
    </row>
    <row r="1011">
      <c r="C1011" t="str">
        <f>'Isi Data'!B169</f>
        <v xml:space="preserve">Mandor </v>
      </c>
      <c r="E1011" t="str">
        <v>org/hr</v>
      </c>
      <c r="F1011">
        <v>0.1</v>
      </c>
      <c r="G1011">
        <f>SUMIF('Isi Data'!B$1:B$65536,SNI!C$1:C$65536,'Isi Data'!E$1:E$65536)</f>
        <v>50000</v>
      </c>
      <c r="I1011">
        <f>F1011*G1011</f>
        <v>5000</v>
      </c>
      <c r="M1011" t="str">
        <f>IF(G1011=0,"edit"," ")</f>
        <v xml:space="preserve"> </v>
      </c>
    </row>
    <row r="1012">
      <c r="G1012">
        <f>SUMIF('Isi Data'!B$1:B$65536,SNI!C$1:C$65536,'Isi Data'!E$1:E$65536)</f>
        <v>0</v>
      </c>
    </row>
    <row r="1013">
      <c r="A1013" t="str">
        <v>RSNI T-15-2002</v>
      </c>
      <c r="B1013" t="str">
        <v>BH</v>
      </c>
      <c r="C1013" t="str">
        <v>Pas. Kran zink</v>
      </c>
      <c r="G1013">
        <f>SUMIF('Isi Data'!B$1:B$65536,SNI!C$1:C$65536,'Isi Data'!E$1:E$65536)</f>
        <v>0</v>
      </c>
      <c r="H1013">
        <f>SUM(H1014:H1019)</f>
        <v>299050</v>
      </c>
      <c r="I1013">
        <f>SUM(I1014:I1019)</f>
        <v>6100</v>
      </c>
      <c r="J1013">
        <f>$J$3</f>
        <v>0.1</v>
      </c>
      <c r="K1013">
        <f>SUM(H1013:I1013)*(1+J1013)</f>
        <v>335665</v>
      </c>
      <c r="L1013">
        <f>ROUND(K1013,-2)</f>
        <v>335700</v>
      </c>
    </row>
    <row r="1014">
      <c r="C1014" t="str">
        <f>'Isi Data'!B111</f>
        <v>Kran zink</v>
      </c>
      <c r="E1014" t="str">
        <v>bh</v>
      </c>
      <c r="F1014">
        <v>1</v>
      </c>
      <c r="G1014">
        <f>SUMIF('Isi Data'!B$1:B$65536,SNI!C$1:C$65536,'Isi Data'!E$1:E$65536)</f>
        <v>299000</v>
      </c>
      <c r="H1014">
        <f>F1014*G1014</f>
        <v>299000</v>
      </c>
    </row>
    <row r="1015">
      <c r="C1015" t="str">
        <f>'Isi Data'!B98</f>
        <v>Seal tape</v>
      </c>
      <c r="E1015" t="str">
        <v>bh</v>
      </c>
      <c r="F1015">
        <v>0.025</v>
      </c>
      <c r="G1015">
        <f>SUMIF('Isi Data'!B$1:B$65536,SNI!C$1:C$65536,'Isi Data'!E$1:E$65536)</f>
        <v>2000</v>
      </c>
      <c r="H1015">
        <f>F1015*G1015</f>
        <v>50</v>
      </c>
    </row>
    <row r="1016">
      <c r="C1016" t="str">
        <f>'Isi Data'!B168</f>
        <v>Pekerja</v>
      </c>
      <c r="E1016" t="str">
        <v>org/hr</v>
      </c>
      <c r="F1016">
        <v>0</v>
      </c>
      <c r="G1016">
        <f>SUMIF('Isi Data'!B$1:B$65536,SNI!C$1:C$65536,'Isi Data'!E$1:E$65536)</f>
        <v>40000</v>
      </c>
      <c r="I1016">
        <f>F1016*G1016</f>
        <v>0</v>
      </c>
    </row>
    <row r="1017">
      <c r="C1017" t="str">
        <f>'Isi Data'!B162</f>
        <v>Tukang Batu Halus</v>
      </c>
      <c r="E1017" t="str">
        <v>org/hr</v>
      </c>
      <c r="F1017">
        <v>0.1</v>
      </c>
      <c r="G1017">
        <f>SUMIF('Isi Data'!B$1:B$65536,SNI!C$1:C$65536,'Isi Data'!E$1:E$65536)</f>
        <v>55000</v>
      </c>
      <c r="I1017">
        <f>F1017*G1017</f>
        <v>5500</v>
      </c>
    </row>
    <row r="1018">
      <c r="C1018" t="str">
        <f>'Isi Data'!B163</f>
        <v>Kepala Tukang Batu</v>
      </c>
      <c r="E1018" t="str">
        <v>org/hr</v>
      </c>
      <c r="F1018">
        <v>0.01</v>
      </c>
      <c r="G1018">
        <f>SUMIF('Isi Data'!B$1:B$65536,SNI!C$1:C$65536,'Isi Data'!E$1:E$65536)</f>
        <v>60000</v>
      </c>
      <c r="I1018">
        <f>F1018*G1018</f>
        <v>600</v>
      </c>
    </row>
    <row r="1019">
      <c r="C1019" t="str">
        <f>'Isi Data'!B169</f>
        <v xml:space="preserve">Mandor </v>
      </c>
      <c r="E1019" t="str">
        <v>org/hr</v>
      </c>
      <c r="F1019">
        <v>0</v>
      </c>
      <c r="G1019">
        <f>SUMIF('Isi Data'!B$1:B$65536,SNI!C$1:C$65536,'Isi Data'!E$1:E$65536)</f>
        <v>50000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115050</v>
      </c>
      <c r="I1021">
        <f>SUM(I1022:I1027)</f>
        <v>6100</v>
      </c>
      <c r="J1021">
        <f>$J$3</f>
        <v>0.1</v>
      </c>
      <c r="K1021">
        <f>SUM(H1021:I1021)*(1+J1021)</f>
        <v>133265</v>
      </c>
      <c r="L1021">
        <f>ROUND(K1021,-2)</f>
        <v>133300</v>
      </c>
    </row>
    <row r="1022">
      <c r="C1022" t="str">
        <f>'Isi Data'!B113</f>
        <v xml:space="preserve">Kran dinding </v>
      </c>
      <c r="E1022" t="str">
        <v>bh</v>
      </c>
      <c r="F1022">
        <v>1</v>
      </c>
      <c r="G1022">
        <f>SUMIF('Isi Data'!B$1:B$65536,SNI!C$1:C$65536,'Isi Data'!E$1:E$65536)</f>
        <v>115000</v>
      </c>
      <c r="H1022">
        <f>F1022*G1022</f>
        <v>115000</v>
      </c>
    </row>
    <row r="1023">
      <c r="C1023" t="str">
        <f>'Isi Data'!B98</f>
        <v>Seal tape</v>
      </c>
      <c r="E1023" t="str">
        <v>bh</v>
      </c>
      <c r="F1023">
        <v>0.025</v>
      </c>
      <c r="G1023">
        <f>SUMIF('Isi Data'!B$1:B$65536,SNI!C$1:C$65536,'Isi Data'!E$1:E$65536)</f>
        <v>2000</v>
      </c>
      <c r="H1023">
        <f>F1023*G1023</f>
        <v>50</v>
      </c>
    </row>
    <row r="1024">
      <c r="C1024" t="str">
        <f>'Isi Data'!B168</f>
        <v>Pekerja</v>
      </c>
      <c r="E1024" t="str">
        <v>org/hr</v>
      </c>
      <c r="F1024">
        <v>0</v>
      </c>
      <c r="G1024">
        <f>SUMIF('Isi Data'!B$1:B$65536,SNI!C$1:C$65536,'Isi Data'!E$1:E$65536)</f>
        <v>40000</v>
      </c>
      <c r="I1024">
        <f>F1024*G1024</f>
        <v>0</v>
      </c>
    </row>
    <row r="1025">
      <c r="C1025" t="str">
        <f>'Isi Data'!B162</f>
        <v>Tukang Batu Halus</v>
      </c>
      <c r="E1025" t="str">
        <v>org/hr</v>
      </c>
      <c r="F1025">
        <v>0.1</v>
      </c>
      <c r="G1025">
        <f>SUMIF('Isi Data'!B$1:B$65536,SNI!C$1:C$65536,'Isi Data'!E$1:E$65536)</f>
        <v>55000</v>
      </c>
      <c r="I1025">
        <f>F1025*G1025</f>
        <v>5500</v>
      </c>
    </row>
    <row r="1026">
      <c r="C1026" t="str">
        <f>'Isi Data'!B163</f>
        <v>Kepala Tukang Batu</v>
      </c>
      <c r="E1026" t="str">
        <v>org/hr</v>
      </c>
      <c r="F1026">
        <v>0.01</v>
      </c>
      <c r="G1026">
        <f>SUMIF('Isi Data'!B$1:B$65536,SNI!C$1:C$65536,'Isi Data'!E$1:E$65536)</f>
        <v>60000</v>
      </c>
      <c r="I1026">
        <f>F1026*G1026</f>
        <v>600</v>
      </c>
    </row>
    <row r="1027">
      <c r="C1027" t="str">
        <f>'Isi Data'!B169</f>
        <v xml:space="preserve">Mandor </v>
      </c>
      <c r="E1027" t="str">
        <v>org/hr</v>
      </c>
      <c r="F1027">
        <v>0</v>
      </c>
      <c r="G1027">
        <f>SUMIF('Isi Data'!B$1:B$65536,SNI!C$1:C$65536,'Isi Data'!E$1:E$65536)</f>
        <v>50000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29820</v>
      </c>
      <c r="I1029">
        <f>SUM(I1030:I1035)</f>
        <v>67900</v>
      </c>
      <c r="J1029">
        <f>$J$3</f>
        <v>0.1</v>
      </c>
      <c r="K1029">
        <f>SUM(H1029:I1029)*(1+J1029)</f>
        <v>107492.00000000001</v>
      </c>
      <c r="L1029">
        <f>ROUND(K1029,-2)</f>
        <v>107500</v>
      </c>
    </row>
    <row r="1030">
      <c r="C1030" t="str">
        <f>'Isi Data'!B109</f>
        <v xml:space="preserve">Floordrain </v>
      </c>
      <c r="E1030" t="str">
        <v>bh</v>
      </c>
      <c r="F1030">
        <v>1</v>
      </c>
      <c r="G1030">
        <f>SUMIF('Isi Data'!B$1:B$65536,SNI!C$1:C$65536,'Isi Data'!E$1:E$65536)</f>
        <v>22500</v>
      </c>
      <c r="H1030">
        <f>F1030*G1030</f>
        <v>22500</v>
      </c>
      <c r="M1030" t="str">
        <f>IF(G1030=0,"edit"," ")</f>
        <v xml:space="preserve"> </v>
      </c>
    </row>
    <row r="1031">
      <c r="C1031" t="str">
        <f>'Isi Data'!B25</f>
        <v>Semen (50 Kg)</v>
      </c>
      <c r="E1031" t="str">
        <v>zak</v>
      </c>
      <c r="F1031">
        <v>0.12</v>
      </c>
      <c r="G1031">
        <f>SUMIF('Isi Data'!B$1:B$65536,SNI!C$1:C$65536,'Isi Data'!E$1:E$65536)</f>
        <v>61000</v>
      </c>
      <c r="H1031">
        <f>F1031*G1031</f>
        <v>7320</v>
      </c>
      <c r="M1031" t="str">
        <f>IF(G1031=0,"edit"," ")</f>
        <v xml:space="preserve"> </v>
      </c>
    </row>
    <row r="1032">
      <c r="C1032" t="str">
        <f>'Isi Data'!B168</f>
        <v>Pekerja</v>
      </c>
      <c r="E1032" t="str">
        <v>org/hr</v>
      </c>
      <c r="F1032">
        <v>0</v>
      </c>
      <c r="G1032">
        <f>SUMIF('Isi Data'!B$1:B$65536,SNI!C$1:C$65536,'Isi Data'!E$1:E$65536)</f>
        <v>40000</v>
      </c>
      <c r="I1032">
        <f>F1032*G1032</f>
        <v>0</v>
      </c>
      <c r="M1032" t="str">
        <f>IF(G1032=0,"edit"," ")</f>
        <v xml:space="preserve"> </v>
      </c>
    </row>
    <row r="1033">
      <c r="C1033" t="str">
        <f>'Isi Data'!B162</f>
        <v>Tukang Batu Halus</v>
      </c>
      <c r="E1033" t="str">
        <v>org/hr</v>
      </c>
      <c r="F1033">
        <v>1.1</v>
      </c>
      <c r="G1033">
        <f>SUMIF('Isi Data'!B$1:B$65536,SNI!C$1:C$65536,'Isi Data'!E$1:E$65536)</f>
        <v>55000</v>
      </c>
      <c r="I1033">
        <f>F1033*G1033</f>
        <v>60500.00000000001</v>
      </c>
      <c r="M1033" t="str">
        <f>IF(G1033=0,"edit"," ")</f>
        <v xml:space="preserve"> </v>
      </c>
    </row>
    <row r="1034">
      <c r="C1034" t="str">
        <f>'Isi Data'!B163</f>
        <v>Kepala Tukang Batu</v>
      </c>
      <c r="E1034" t="str">
        <v>org/hr</v>
      </c>
      <c r="F1034">
        <v>0.11</v>
      </c>
      <c r="G1034">
        <f>SUMIF('Isi Data'!B$1:B$65536,SNI!C$1:C$65536,'Isi Data'!E$1:E$65536)</f>
        <v>60000</v>
      </c>
      <c r="I1034">
        <f>F1034*G1034</f>
        <v>6600</v>
      </c>
      <c r="M1034" t="str">
        <f>IF(G1034=0,"edit"," ")</f>
        <v xml:space="preserve"> </v>
      </c>
    </row>
    <row r="1035">
      <c r="C1035" t="str">
        <f>'Isi Data'!B169</f>
        <v xml:space="preserve">Mandor </v>
      </c>
      <c r="E1035" t="str">
        <v>org/hr</v>
      </c>
      <c r="F1035">
        <v>0.016</v>
      </c>
      <c r="G1035">
        <f>SUMIF('Isi Data'!B$1:B$65536,SNI!C$1:C$65536,'Isi Data'!E$1:E$65536)</f>
        <v>50000</v>
      </c>
      <c r="I1035">
        <f>F1035*G1035</f>
        <v>800</v>
      </c>
      <c r="M1035" t="str">
        <f>IF(G1035=0,"edit"," ")</f>
        <v xml:space="preserve"> </v>
      </c>
    </row>
    <row r="1036">
      <c r="G1036">
        <f>SUMIF('Isi Data'!B$1:B$65536,SNI!C$1:C$65536,'Isi Data'!E$1:E$65536)</f>
        <v>0</v>
      </c>
    </row>
    <row r="1037">
      <c r="A1037" t="str">
        <v>RSNI T-15-2002</v>
      </c>
      <c r="B1037" t="str">
        <v>BH</v>
      </c>
      <c r="C1037" t="str">
        <v>Pas. Roof Drain</v>
      </c>
      <c r="G1037">
        <f>SUMIF('Isi Data'!B$1:B$65536,SNI!C$1:C$65536,'Isi Data'!E$1:E$65536)</f>
        <v>0</v>
      </c>
      <c r="H1037">
        <f>SUM(H1038:H1043)</f>
        <v>42320</v>
      </c>
      <c r="I1037">
        <f>SUM(I1038:I1043)</f>
        <v>67900</v>
      </c>
      <c r="J1037">
        <f>$J$3</f>
        <v>0.1</v>
      </c>
      <c r="K1037">
        <f>SUM(H1037:I1037)*(1+J1037)</f>
        <v>121242.00000000001</v>
      </c>
      <c r="L1037">
        <f>ROUND(K1037,-2)</f>
        <v>121200</v>
      </c>
    </row>
    <row r="1038">
      <c r="C1038" t="str">
        <f>'Isi Data'!B132</f>
        <v>Roof Drain Metal</v>
      </c>
      <c r="E1038" t="str">
        <v>bh</v>
      </c>
      <c r="F1038">
        <v>1</v>
      </c>
      <c r="G1038">
        <f>SUMIF('Isi Data'!B$1:B$65536,SNI!C$1:C$65536,'Isi Data'!E$1:E$65536)</f>
        <v>35000</v>
      </c>
      <c r="H1038">
        <f>F1038*G1038</f>
        <v>35000</v>
      </c>
    </row>
    <row r="1039">
      <c r="C1039" t="str">
        <f>'Isi Data'!B25</f>
        <v>Semen (50 Kg)</v>
      </c>
      <c r="E1039" t="str">
        <v>zak</v>
      </c>
      <c r="F1039">
        <v>0.12</v>
      </c>
      <c r="G1039">
        <f>SUMIF('Isi Data'!B$1:B$65536,SNI!C$1:C$65536,'Isi Data'!E$1:E$65536)</f>
        <v>61000</v>
      </c>
      <c r="H1039">
        <f>F1039*G1039</f>
        <v>7320</v>
      </c>
    </row>
    <row r="1040">
      <c r="C1040" t="str">
        <f>'Isi Data'!B168</f>
        <v>Pekerja</v>
      </c>
      <c r="E1040" t="str">
        <v>org/hr</v>
      </c>
      <c r="F1040">
        <v>0</v>
      </c>
      <c r="G1040">
        <f>SUMIF('Isi Data'!B$1:B$65536,SNI!C$1:C$65536,'Isi Data'!E$1:E$65536)</f>
        <v>40000</v>
      </c>
      <c r="I1040">
        <f>F1040*G1040</f>
        <v>0</v>
      </c>
    </row>
    <row r="1041">
      <c r="C1041" t="str">
        <f>'Isi Data'!B162</f>
        <v>Tukang Batu Halus</v>
      </c>
      <c r="E1041" t="str">
        <v>org/hr</v>
      </c>
      <c r="F1041">
        <v>1.1</v>
      </c>
      <c r="G1041">
        <f>SUMIF('Isi Data'!B$1:B$65536,SNI!C$1:C$65536,'Isi Data'!E$1:E$65536)</f>
        <v>55000</v>
      </c>
      <c r="I1041">
        <f>F1041*G1041</f>
        <v>60500.00000000001</v>
      </c>
    </row>
    <row r="1042">
      <c r="C1042" t="str">
        <f>'Isi Data'!B163</f>
        <v>Kepala Tukang Batu</v>
      </c>
      <c r="E1042" t="str">
        <v>org/hr</v>
      </c>
      <c r="F1042">
        <v>0.11</v>
      </c>
      <c r="G1042">
        <f>SUMIF('Isi Data'!B$1:B$65536,SNI!C$1:C$65536,'Isi Data'!E$1:E$65536)</f>
        <v>60000</v>
      </c>
      <c r="I1042">
        <f>F1042*G1042</f>
        <v>6600</v>
      </c>
    </row>
    <row r="1043">
      <c r="C1043" t="str">
        <f>'Isi Data'!B169</f>
        <v xml:space="preserve">Mandor </v>
      </c>
      <c r="E1043" t="str">
        <v>org/hr</v>
      </c>
      <c r="F1043">
        <v>0.016</v>
      </c>
      <c r="G1043">
        <f>SUMIF('Isi Data'!B$1:B$65536,SNI!C$1:C$65536,'Isi Data'!E$1:E$65536)</f>
        <v>50000</v>
      </c>
      <c r="I1043">
        <f>F1043*G1043</f>
        <v>800</v>
      </c>
    </row>
    <row r="1044">
      <c r="G1044">
        <f>SUMIF('Isi Data'!B$1:B$65536,SNI!C$1:C$65536,'Isi Data'!E$1:E$65536)</f>
        <v>0</v>
      </c>
    </row>
    <row r="1045">
      <c r="B1045" t="str">
        <v>unt</v>
      </c>
      <c r="C1045" t="str">
        <v>Pas. Meja Pantry uk. 600x 1500 mm</v>
      </c>
      <c r="H1045">
        <f>SUM(H1046:H1049)</f>
        <v>890199</v>
      </c>
      <c r="I1045">
        <f>SUM(I1046:I1050)</f>
        <v>0</v>
      </c>
      <c r="J1045">
        <f>$J$3</f>
        <v>0.1</v>
      </c>
      <c r="K1045">
        <f>SUM(H1045:I1045)*(1+J1045)</f>
        <v>979218.9</v>
      </c>
      <c r="L1045">
        <f>ROUND(K1045,-2)</f>
        <v>979200</v>
      </c>
    </row>
    <row r="1046">
      <c r="C1046" t="str">
        <v>Beton K - 200</v>
      </c>
      <c r="E1046" t="str">
        <v>m3</v>
      </c>
      <c r="F1046">
        <f>0.6*1.5*0.1</f>
        <v>0.09</v>
      </c>
      <c r="G1046">
        <f>SUMIF(C$1:C$65536,C$1:C$65536,L$1:L$65536)</f>
        <v>865100</v>
      </c>
      <c r="H1046">
        <f>F1046*G1046</f>
        <v>77859</v>
      </c>
    </row>
    <row r="1047">
      <c r="C1047" t="str">
        <v>Tulangan besi beton U-24</v>
      </c>
      <c r="E1047" t="str">
        <v>kg</v>
      </c>
      <c r="F1047">
        <f>F1046*100</f>
        <v>9</v>
      </c>
      <c r="G1047">
        <f>SUMIF(C$1:C$65536,C$1:C$65536,L$1:L$65536)</f>
        <v>12600</v>
      </c>
      <c r="H1047">
        <f>F1047*G1047</f>
        <v>113400</v>
      </c>
    </row>
    <row r="1048">
      <c r="C1048" t="str">
        <v>Bekisting beton plat lantai</v>
      </c>
      <c r="E1048" t="str">
        <v>m2</v>
      </c>
      <c r="F1048">
        <f>0.6*1.5*1.1</f>
        <v>0.99</v>
      </c>
      <c r="G1048">
        <f>SUMIF(C$1:C$65536,C$1:C$65536,L$1:L$65536)</f>
        <v>531500</v>
      </c>
      <c r="H1048">
        <f>F1048*G1048</f>
        <v>526185</v>
      </c>
    </row>
    <row r="1049">
      <c r="C1049" t="str">
        <v>Pas. Dinding Keramik 300x300</v>
      </c>
      <c r="E1049" t="str">
        <v>m2</v>
      </c>
      <c r="F1049">
        <f>0.6*1.5*1.1</f>
        <v>0.99</v>
      </c>
      <c r="G1049">
        <f>SUMIF(C$1:C$65536,C$1:C$65536,L$1:L$65536)</f>
        <v>174500</v>
      </c>
      <c r="H1049">
        <f>F1049*G1049</f>
        <v>172755</v>
      </c>
    </row>
    <row r="1052">
      <c r="C1052" t="str">
        <v xml:space="preserve">PEKERJAAN PIPA </v>
      </c>
    </row>
    <row r="1053">
      <c r="A1053" t="str">
        <v>RSNI T-15-2002</v>
      </c>
      <c r="B1053" t="str">
        <v>M1</v>
      </c>
      <c r="C1053" t="str">
        <v xml:space="preserve">Pipa PVC dia. 4" </v>
      </c>
      <c r="H1053">
        <f>SUM(H1054:H1059)</f>
        <v>74916.66666666667</v>
      </c>
      <c r="I1053">
        <f>SUM(I1054:I1059)</f>
        <v>11680</v>
      </c>
      <c r="J1053">
        <f>$J$3</f>
        <v>0.1</v>
      </c>
      <c r="K1053">
        <f>SUM(H1053:I1053)*(1+J1053)</f>
        <v>95256.33333333334</v>
      </c>
      <c r="L1053">
        <f>ROUND(K1053,-2)</f>
        <v>95300</v>
      </c>
    </row>
    <row r="1054">
      <c r="C1054" t="str">
        <f>'Isi Data'!B126</f>
        <v xml:space="preserve">Pipa PVC dia 4" </v>
      </c>
      <c r="E1054" t="str">
        <v>m</v>
      </c>
      <c r="F1054">
        <v>1.2</v>
      </c>
      <c r="G1054">
        <f>SUMIF('Isi Data'!B$1:B$65536,SNI!C$1:C$65536,'Isi Data'!E$1:E$65536)</f>
        <v>48333.333333333336</v>
      </c>
      <c r="H1054">
        <f>F1054*G1054</f>
        <v>58000</v>
      </c>
    </row>
    <row r="1055">
      <c r="C1055" t="str">
        <v>Perlengkapan</v>
      </c>
      <c r="E1055" t="str">
        <v>m</v>
      </c>
      <c r="F1055">
        <v>0.35</v>
      </c>
      <c r="G1055">
        <f>G1054</f>
        <v>48333.333333333336</v>
      </c>
      <c r="H1055">
        <f>F1055*G1055</f>
        <v>16916.666666666668</v>
      </c>
    </row>
    <row r="1056">
      <c r="C1056" t="str">
        <f>'Isi Data'!B168</f>
        <v>Pekerja</v>
      </c>
      <c r="E1056" t="str">
        <v>org/hr</v>
      </c>
      <c r="F1056">
        <v>0.081</v>
      </c>
      <c r="G1056">
        <f>SUMIF('Isi Data'!B$1:B$65536,SNI!C$1:C$65536,'Isi Data'!E$1:E$65536)</f>
        <v>40000</v>
      </c>
      <c r="I1056">
        <f>F1056*G1056</f>
        <v>3240</v>
      </c>
    </row>
    <row r="1057">
      <c r="C1057" t="str">
        <f>'Isi Data'!B162</f>
        <v>Tukang Batu Halus</v>
      </c>
      <c r="E1057" t="str">
        <v>org/hr</v>
      </c>
      <c r="F1057">
        <v>0.135</v>
      </c>
      <c r="G1057">
        <f>SUMIF('Isi Data'!B$1:B$65536,SNI!C$1:C$65536,'Isi Data'!E$1:E$65536)</f>
        <v>55000</v>
      </c>
      <c r="I1057">
        <f>F1057*G1057</f>
        <v>7425.000000000001</v>
      </c>
    </row>
    <row r="1058">
      <c r="C1058" t="str">
        <f>'Isi Data'!B163</f>
        <v>Kepala Tukang Batu</v>
      </c>
      <c r="E1058" t="str">
        <v>org/hr</v>
      </c>
      <c r="F1058">
        <v>0.0135</v>
      </c>
      <c r="G1058">
        <f>SUMIF('Isi Data'!B$1:B$65536,SNI!C$1:C$65536,'Isi Data'!E$1:E$65536)</f>
        <v>60000</v>
      </c>
      <c r="I1058">
        <f>F1058*G1058</f>
        <v>810</v>
      </c>
    </row>
    <row r="1059">
      <c r="C1059" t="str">
        <f>'Isi Data'!B169</f>
        <v xml:space="preserve">Mandor </v>
      </c>
      <c r="E1059" t="str">
        <v>org/hr</v>
      </c>
      <c r="F1059">
        <v>0.0041</v>
      </c>
      <c r="G1059">
        <f>SUMIF('Isi Data'!B$1:B$65536,SNI!C$1:C$65536,'Isi Data'!E$1:E$65536)</f>
        <v>50000</v>
      </c>
      <c r="I1059">
        <f>F1059*G1059</f>
        <v>205.00000000000003</v>
      </c>
    </row>
    <row r="1062">
      <c r="A1062" t="str">
        <v>RSNI T-15-2002</v>
      </c>
      <c r="B1062" t="str">
        <v>M1</v>
      </c>
      <c r="C1062" t="str">
        <v xml:space="preserve">Pipa PVC dia. 3" </v>
      </c>
      <c r="H1062">
        <f>SUM(H1063:H1068)</f>
        <v>49083.333333333336</v>
      </c>
      <c r="I1062">
        <f>SUM(I1063:I1068)</f>
        <v>11675</v>
      </c>
      <c r="J1062">
        <f>$J$3</f>
        <v>0.1</v>
      </c>
      <c r="K1062">
        <f>SUM(H1062:I1062)*(1+J1062)</f>
        <v>66834.16666666667</v>
      </c>
      <c r="L1062">
        <f>ROUND(K1062,-2)</f>
        <v>66800</v>
      </c>
    </row>
    <row r="1063">
      <c r="C1063" t="str">
        <v xml:space="preserve">Pipa PVC dia 3" </v>
      </c>
      <c r="E1063" t="str">
        <v>m</v>
      </c>
      <c r="F1063">
        <v>1.2</v>
      </c>
      <c r="G1063">
        <f>SUMIF('Isi Data'!B$1:B$65536,SNI!C$1:C$65536,'Isi Data'!E$1:E$65536)</f>
        <v>31666.666666666668</v>
      </c>
      <c r="H1063">
        <f>F1063*G1063</f>
        <v>38000</v>
      </c>
    </row>
    <row r="1064">
      <c r="C1064" t="str">
        <v>Perlengkapan</v>
      </c>
      <c r="E1064" t="str">
        <v>m</v>
      </c>
      <c r="F1064">
        <v>0.35</v>
      </c>
      <c r="G1064">
        <f>G1063</f>
        <v>31666.666666666668</v>
      </c>
      <c r="H1064">
        <f>F1064*G1064</f>
        <v>11083.333333333334</v>
      </c>
    </row>
    <row r="1065">
      <c r="C1065" t="str">
        <f>'Isi Data'!B168</f>
        <v>Pekerja</v>
      </c>
      <c r="E1065" t="str">
        <v>org/hr</v>
      </c>
      <c r="F1065">
        <v>0.081</v>
      </c>
      <c r="G1065">
        <f>SUMIF('Isi Data'!B$1:B$65536,SNI!C$1:C$65536,'Isi Data'!E$1:E$65536)</f>
        <v>40000</v>
      </c>
      <c r="I1065">
        <f>F1065*G1065</f>
        <v>3240</v>
      </c>
    </row>
    <row r="1066">
      <c r="C1066" t="str">
        <f>'Isi Data'!B162</f>
        <v>Tukang Batu Halus</v>
      </c>
      <c r="E1066" t="str">
        <v>org/hr</v>
      </c>
      <c r="F1066">
        <v>0.135</v>
      </c>
      <c r="G1066">
        <f>SUMIF('Isi Data'!B$1:B$65536,SNI!C$1:C$65536,'Isi Data'!E$1:E$65536)</f>
        <v>55000</v>
      </c>
      <c r="I1066">
        <f>F1066*G1066</f>
        <v>7425.000000000001</v>
      </c>
    </row>
    <row r="1067">
      <c r="C1067" t="str">
        <f>'Isi Data'!B163</f>
        <v>Kepala Tukang Batu</v>
      </c>
      <c r="E1067" t="str">
        <v>org/hr</v>
      </c>
      <c r="F1067">
        <v>0.0135</v>
      </c>
      <c r="G1067">
        <f>SUMIF('Isi Data'!B$1:B$65536,SNI!C$1:C$65536,'Isi Data'!E$1:E$65536)</f>
        <v>60000</v>
      </c>
      <c r="I1067">
        <f>F1067*G1067</f>
        <v>810</v>
      </c>
    </row>
    <row r="1068">
      <c r="C1068" t="str">
        <f>'Isi Data'!B169</f>
        <v xml:space="preserve">Mandor </v>
      </c>
      <c r="E1068" t="str">
        <v>org/hr</v>
      </c>
      <c r="F1068">
        <v>0.004</v>
      </c>
      <c r="G1068">
        <f>SUMIF('Isi Data'!B$1:B$65536,SNI!C$1:C$65536,'Isi Data'!E$1:E$65536)</f>
        <v>50000</v>
      </c>
      <c r="I1068">
        <f>F1068*G1068</f>
        <v>200</v>
      </c>
    </row>
    <row r="1071">
      <c r="A1071" t="str">
        <v>RSNI T-15-2002</v>
      </c>
      <c r="B1071" t="str">
        <v>M1</v>
      </c>
      <c r="C1071" t="str">
        <v xml:space="preserve">Pipa PVC dia. 2" </v>
      </c>
      <c r="H1071">
        <f>SUM(H1072:H1077)</f>
        <v>24541.666666666668</v>
      </c>
      <c r="I1071">
        <f>SUM(I1072:I1077)</f>
        <v>7785</v>
      </c>
      <c r="J1071">
        <f>$J$3</f>
        <v>0.1</v>
      </c>
      <c r="K1071">
        <f>SUM(H1071:I1071)*(1+J1071)</f>
        <v>35559.333333333336</v>
      </c>
      <c r="L1071">
        <f>ROUND(K1071,-2)</f>
        <v>35600</v>
      </c>
    </row>
    <row r="1072">
      <c r="C1072" t="str">
        <f>'Isi Data'!B124</f>
        <v xml:space="preserve">Pipa PVC dia 2" </v>
      </c>
      <c r="E1072" t="str">
        <v>m</v>
      </c>
      <c r="F1072">
        <v>1.2</v>
      </c>
      <c r="G1072">
        <f>SUMIF('Isi Data'!B$1:B$65536,SNI!C$1:C$65536,'Isi Data'!E$1:E$65536)</f>
        <v>15833.333333333334</v>
      </c>
      <c r="H1072">
        <f>F1072*G1072</f>
        <v>19000</v>
      </c>
    </row>
    <row r="1073">
      <c r="C1073" t="str">
        <v>Perlengkapan</v>
      </c>
      <c r="E1073" t="str">
        <v>m</v>
      </c>
      <c r="F1073">
        <v>0.35</v>
      </c>
      <c r="G1073">
        <f>G1072</f>
        <v>15833.333333333334</v>
      </c>
      <c r="H1073">
        <f>F1073*G1073</f>
        <v>5541.666666666667</v>
      </c>
    </row>
    <row r="1074">
      <c r="C1074" t="str">
        <f>'Isi Data'!B168</f>
        <v>Pekerja</v>
      </c>
      <c r="E1074" t="str">
        <v>org/hr</v>
      </c>
      <c r="F1074">
        <v>0.054</v>
      </c>
      <c r="G1074">
        <f>SUMIF('Isi Data'!B$1:B$65536,SNI!C$1:C$65536,'Isi Data'!E$1:E$65536)</f>
        <v>40000</v>
      </c>
      <c r="I1074">
        <f>F1074*G1074</f>
        <v>2160</v>
      </c>
    </row>
    <row r="1075">
      <c r="C1075" t="str">
        <f>'Isi Data'!B162</f>
        <v>Tukang Batu Halus</v>
      </c>
      <c r="E1075" t="str">
        <v>org/hr</v>
      </c>
      <c r="F1075">
        <v>0.09</v>
      </c>
      <c r="G1075">
        <f>SUMIF('Isi Data'!B$1:B$65536,SNI!C$1:C$65536,'Isi Data'!E$1:E$65536)</f>
        <v>55000</v>
      </c>
      <c r="I1075">
        <f>F1075*G1075</f>
        <v>4950</v>
      </c>
    </row>
    <row r="1076">
      <c r="C1076" t="str">
        <f>'Isi Data'!B163</f>
        <v>Kepala Tukang Batu</v>
      </c>
      <c r="E1076" t="str">
        <v>org/hr</v>
      </c>
      <c r="F1076">
        <v>0.009</v>
      </c>
      <c r="G1076">
        <f>SUMIF('Isi Data'!B$1:B$65536,SNI!C$1:C$65536,'Isi Data'!E$1:E$65536)</f>
        <v>60000</v>
      </c>
      <c r="I1076">
        <f>F1076*G1076</f>
        <v>540</v>
      </c>
    </row>
    <row r="1077">
      <c r="C1077" t="str">
        <f>'Isi Data'!B169</f>
        <v xml:space="preserve">Mandor </v>
      </c>
      <c r="E1077" t="str">
        <v>org/hr</v>
      </c>
      <c r="F1077">
        <v>0.0027</v>
      </c>
      <c r="G1077">
        <f>SUMIF('Isi Data'!B$1:B$65536,SNI!C$1:C$65536,'Isi Data'!E$1:E$65536)</f>
        <v>50000</v>
      </c>
      <c r="I1077">
        <f>F1077*G1077</f>
        <v>135</v>
      </c>
    </row>
    <row r="1080">
      <c r="A1080" t="str">
        <v>RSNI T-15-2002</v>
      </c>
      <c r="B1080" t="str">
        <v>M1</v>
      </c>
      <c r="C1080" t="str">
        <v xml:space="preserve">Pipa PVC dia. 1" </v>
      </c>
      <c r="H1080">
        <f>SUM(H1081:H1086)</f>
        <v>15693.75</v>
      </c>
      <c r="I1080">
        <f>SUM(I1081:I1086)</f>
        <v>5190</v>
      </c>
      <c r="J1080">
        <f>$J$3</f>
        <v>0.1</v>
      </c>
      <c r="K1080">
        <f>SUM(H1080:I1080)*(1+J1080)</f>
        <v>22972.125000000004</v>
      </c>
      <c r="L1080">
        <f>ROUND(K1080,-2)</f>
        <v>23000</v>
      </c>
    </row>
    <row r="1081">
      <c r="C1081" t="str">
        <f>'Isi Data'!B123</f>
        <v xml:space="preserve">Pipa PVC dia 1" </v>
      </c>
      <c r="E1081" t="str">
        <v>m</v>
      </c>
      <c r="F1081">
        <v>1.2</v>
      </c>
      <c r="G1081">
        <f>SUMIF('Isi Data'!B$1:B$65536,SNI!C$1:C$65536,'Isi Data'!E$1:E$65536)</f>
        <v>10125</v>
      </c>
      <c r="H1081">
        <f>F1081*G1081</f>
        <v>12150</v>
      </c>
    </row>
    <row r="1082">
      <c r="C1082" t="str">
        <v>Perlengkapan</v>
      </c>
      <c r="E1082" t="str">
        <v>m</v>
      </c>
      <c r="F1082">
        <v>0.35</v>
      </c>
      <c r="G1082">
        <f>G1081</f>
        <v>10125</v>
      </c>
      <c r="H1082">
        <f>F1082*G1082</f>
        <v>3543.75</v>
      </c>
    </row>
    <row r="1083">
      <c r="C1083" t="str">
        <f>'Isi Data'!B168</f>
        <v>Pekerja</v>
      </c>
      <c r="E1083" t="str">
        <v>org/hr</v>
      </c>
      <c r="F1083">
        <v>0.036</v>
      </c>
      <c r="G1083">
        <f>SUMIF('Isi Data'!B$1:B$65536,SNI!C$1:C$65536,'Isi Data'!E$1:E$65536)</f>
        <v>40000</v>
      </c>
      <c r="I1083">
        <f>F1083*G1083</f>
        <v>1440</v>
      </c>
    </row>
    <row r="1084">
      <c r="C1084" t="str">
        <f>'Isi Data'!B162</f>
        <v>Tukang Batu Halus</v>
      </c>
      <c r="E1084" t="str">
        <v>org/hr</v>
      </c>
      <c r="F1084">
        <v>0.06</v>
      </c>
      <c r="G1084">
        <f>SUMIF('Isi Data'!B$1:B$65536,SNI!C$1:C$65536,'Isi Data'!E$1:E$65536)</f>
        <v>55000</v>
      </c>
      <c r="I1084">
        <f>F1084*G1084</f>
        <v>3300</v>
      </c>
    </row>
    <row r="1085">
      <c r="C1085" t="str">
        <f>'Isi Data'!B163</f>
        <v>Kepala Tukang Batu</v>
      </c>
      <c r="E1085" t="str">
        <v>org/hr</v>
      </c>
      <c r="F1085">
        <v>0.006</v>
      </c>
      <c r="G1085">
        <f>SUMIF('Isi Data'!B$1:B$65536,SNI!C$1:C$65536,'Isi Data'!E$1:E$65536)</f>
        <v>60000</v>
      </c>
      <c r="I1085">
        <f>F1085*G1085</f>
        <v>360</v>
      </c>
    </row>
    <row r="1086">
      <c r="C1086" t="str">
        <f>'Isi Data'!B169</f>
        <v xml:space="preserve">Mandor </v>
      </c>
      <c r="E1086" t="str">
        <v>org/hr</v>
      </c>
      <c r="F1086">
        <v>0.0018</v>
      </c>
      <c r="G1086">
        <f>SUMIF('Isi Data'!B$1:B$65536,SNI!C$1:C$65536,'Isi Data'!E$1:E$65536)</f>
        <v>50000</v>
      </c>
      <c r="I1086">
        <f>F1086*G1086</f>
        <v>90</v>
      </c>
    </row>
    <row r="1088">
      <c r="A1088" t="str">
        <v>RSNI T-15-2002</v>
      </c>
      <c r="B1088" t="str">
        <v>M1</v>
      </c>
      <c r="C1088" t="str">
        <v xml:space="preserve">Pipa PVC dia. 3/4" </v>
      </c>
      <c r="H1088">
        <f>SUM(H1089:H1094)</f>
        <v>10850</v>
      </c>
      <c r="I1088">
        <f>SUM(I1089:I1094)</f>
        <v>5190</v>
      </c>
      <c r="J1088">
        <f>$J$3</f>
        <v>0.1</v>
      </c>
      <c r="K1088">
        <f>SUM(H1088:I1088)*(1+J1088)</f>
        <v>17644</v>
      </c>
      <c r="L1088">
        <f>ROUND(K1088,-2)</f>
        <v>17600</v>
      </c>
    </row>
    <row r="1089">
      <c r="C1089" t="str">
        <f>'Isi Data'!B122</f>
        <v xml:space="preserve">Pipa PVC dia 3/4" </v>
      </c>
      <c r="E1089" t="str">
        <v>m</v>
      </c>
      <c r="F1089">
        <v>1.2</v>
      </c>
      <c r="G1089">
        <f>SUMIF('Isi Data'!B$1:B$65536,SNI!C$1:C$65536,'Isi Data'!E$1:E$65536)</f>
        <v>7000</v>
      </c>
      <c r="H1089">
        <f>F1089*G1089</f>
        <v>8400</v>
      </c>
    </row>
    <row r="1090">
      <c r="C1090" t="str">
        <v>Perlengkapan</v>
      </c>
      <c r="E1090" t="str">
        <v>m</v>
      </c>
      <c r="F1090">
        <v>0.35</v>
      </c>
      <c r="G1090">
        <f>G1089</f>
        <v>7000</v>
      </c>
      <c r="H1090">
        <f>F1090*G1090</f>
        <v>2450</v>
      </c>
    </row>
    <row r="1091">
      <c r="C1091" t="str">
        <f>'Isi Data'!B168</f>
        <v>Pekerja</v>
      </c>
      <c r="E1091" t="str">
        <v>org/hr</v>
      </c>
      <c r="F1091">
        <v>0.036</v>
      </c>
      <c r="G1091">
        <f>SUMIF('Isi Data'!B$1:B$65536,SNI!C$1:C$65536,'Isi Data'!E$1:E$65536)</f>
        <v>40000</v>
      </c>
      <c r="I1091">
        <f>F1091*G1091</f>
        <v>1440</v>
      </c>
    </row>
    <row r="1092">
      <c r="C1092" t="str">
        <f>'Isi Data'!B162</f>
        <v>Tukang Batu Halus</v>
      </c>
      <c r="E1092" t="str">
        <v>org/hr</v>
      </c>
      <c r="F1092">
        <v>0.06</v>
      </c>
      <c r="G1092">
        <f>SUMIF('Isi Data'!B$1:B$65536,SNI!C$1:C$65536,'Isi Data'!E$1:E$65536)</f>
        <v>55000</v>
      </c>
      <c r="I1092">
        <f>F1092*G1092</f>
        <v>3300</v>
      </c>
    </row>
    <row r="1093">
      <c r="C1093" t="str">
        <f>'Isi Data'!B163</f>
        <v>Kepala Tukang Batu</v>
      </c>
      <c r="E1093" t="str">
        <v>org/hr</v>
      </c>
      <c r="F1093">
        <v>0.006</v>
      </c>
      <c r="G1093">
        <f>SUMIF('Isi Data'!B$1:B$65536,SNI!C$1:C$65536,'Isi Data'!E$1:E$65536)</f>
        <v>60000</v>
      </c>
      <c r="I1093">
        <f>F1093*G1093</f>
        <v>360</v>
      </c>
    </row>
    <row r="1094">
      <c r="C1094" t="str">
        <f>'Isi Data'!B169</f>
        <v xml:space="preserve">Mandor </v>
      </c>
      <c r="E1094" t="str">
        <v>org/hr</v>
      </c>
      <c r="F1094">
        <v>0.0018</v>
      </c>
      <c r="G1094">
        <f>SUMIF('Isi Data'!B$1:B$65536,SNI!C$1:C$65536,'Isi Data'!E$1:E$65536)</f>
        <v>50000</v>
      </c>
      <c r="I1094">
        <f>F1094*G1094</f>
        <v>90</v>
      </c>
    </row>
    <row r="1096">
      <c r="A1096" t="str">
        <v>RSNI T-15-2002</v>
      </c>
      <c r="B1096" t="str">
        <v>M1</v>
      </c>
      <c r="C1096" t="str">
        <v xml:space="preserve">Pipa PVC dia. 1/2" </v>
      </c>
      <c r="H1096">
        <f>SUM(H1097:H1102)</f>
        <v>8912.5</v>
      </c>
      <c r="I1096">
        <f>SUM(I1097:I1102)</f>
        <v>5190</v>
      </c>
      <c r="J1096">
        <f>$J$3</f>
        <v>0.1</v>
      </c>
      <c r="K1096">
        <f>SUM(H1096:I1096)*(1+J1096)</f>
        <v>15512.750000000002</v>
      </c>
      <c r="L1096">
        <f>ROUND(K1096,-2)</f>
        <v>15500</v>
      </c>
    </row>
    <row r="1097">
      <c r="C1097" t="str">
        <f>'Isi Data'!B121</f>
        <v xml:space="preserve">Pipa PVC dia 1/2" </v>
      </c>
      <c r="E1097" t="str">
        <v>m</v>
      </c>
      <c r="F1097">
        <v>1.2</v>
      </c>
      <c r="G1097">
        <f>SUMIF('Isi Data'!B$1:B$65536,SNI!C$1:C$65536,'Isi Data'!E$1:E$65536)</f>
        <v>5750</v>
      </c>
      <c r="H1097">
        <f>F1097*G1097</f>
        <v>6900</v>
      </c>
    </row>
    <row r="1098">
      <c r="C1098" t="str">
        <v>Perlengkapan</v>
      </c>
      <c r="E1098" t="str">
        <v>m</v>
      </c>
      <c r="F1098">
        <v>0.35</v>
      </c>
      <c r="G1098">
        <f>G1097</f>
        <v>5750</v>
      </c>
      <c r="H1098">
        <f>F1098*G1098</f>
        <v>2012.4999999999998</v>
      </c>
    </row>
    <row r="1099">
      <c r="C1099" t="str">
        <f>'Isi Data'!B168</f>
        <v>Pekerja</v>
      </c>
      <c r="E1099" t="str">
        <v>org/hr</v>
      </c>
      <c r="F1099">
        <v>0.036</v>
      </c>
      <c r="G1099">
        <f>SUMIF('Isi Data'!B$1:B$65536,SNI!C$1:C$65536,'Isi Data'!E$1:E$65536)</f>
        <v>40000</v>
      </c>
      <c r="I1099">
        <f>F1099*G1099</f>
        <v>1440</v>
      </c>
    </row>
    <row r="1100">
      <c r="C1100" t="str">
        <f>'Isi Data'!B162</f>
        <v>Tukang Batu Halus</v>
      </c>
      <c r="E1100" t="str">
        <v>org/hr</v>
      </c>
      <c r="F1100">
        <v>0.06</v>
      </c>
      <c r="G1100">
        <f>SUMIF('Isi Data'!B$1:B$65536,SNI!C$1:C$65536,'Isi Data'!E$1:E$65536)</f>
        <v>55000</v>
      </c>
      <c r="I1100">
        <f>F1100*G1100</f>
        <v>3300</v>
      </c>
    </row>
    <row r="1101">
      <c r="C1101" t="str">
        <f>'Isi Data'!B163</f>
        <v>Kepala Tukang Batu</v>
      </c>
      <c r="E1101" t="str">
        <v>org/hr</v>
      </c>
      <c r="F1101">
        <v>0.006</v>
      </c>
      <c r="G1101">
        <f>SUMIF('Isi Data'!B$1:B$65536,SNI!C$1:C$65536,'Isi Data'!E$1:E$65536)</f>
        <v>60000</v>
      </c>
      <c r="I1101">
        <f>F1101*G1101</f>
        <v>360</v>
      </c>
    </row>
    <row r="1102">
      <c r="C1102" t="str">
        <f>'Isi Data'!B169</f>
        <v xml:space="preserve">Mandor </v>
      </c>
      <c r="E1102" t="str">
        <v>org/hr</v>
      </c>
      <c r="F1102">
        <v>0.0018</v>
      </c>
      <c r="G1102">
        <f>SUMIF('Isi Data'!B$1:B$65536,SNI!C$1:C$65536,'Isi Data'!E$1:E$65536)</f>
        <v>50000</v>
      </c>
      <c r="I1102">
        <f>F1102*G1102</f>
        <v>90</v>
      </c>
    </row>
    <row r="1105">
      <c r="B1105" t="str">
        <v>M1</v>
      </c>
      <c r="C1105" t="str">
        <v>Stop kran dia. 1"</v>
      </c>
      <c r="H1105">
        <f>SUM(H1106:H1111)</f>
        <v>60750</v>
      </c>
      <c r="I1105">
        <f>SUM(I1106:I1111)</f>
        <v>5190</v>
      </c>
      <c r="J1105">
        <f>$J$3</f>
        <v>0.1</v>
      </c>
      <c r="K1105">
        <f>SUM(H1105:I1105)*(1+J1105)</f>
        <v>72534</v>
      </c>
      <c r="L1105">
        <f>ROUND(K1105,-2)</f>
        <v>72500</v>
      </c>
    </row>
    <row r="1106">
      <c r="C1106" t="str">
        <f>'Isi Data'!B127</f>
        <v xml:space="preserve">Stop kran dia 1" </v>
      </c>
      <c r="E1106" t="str">
        <v>bh</v>
      </c>
      <c r="F1106">
        <v>1</v>
      </c>
      <c r="G1106">
        <f>SUMIF('Isi Data'!B$1:B$65536,SNI!C$1:C$65536,'Isi Data'!E$1:E$65536)</f>
        <v>45000</v>
      </c>
      <c r="H1106">
        <f>F1106*G1106</f>
        <v>45000</v>
      </c>
    </row>
    <row r="1107">
      <c r="C1107" t="str">
        <v>Perlengkapan</v>
      </c>
      <c r="E1107" t="str">
        <v>bh</v>
      </c>
      <c r="F1107">
        <v>0.35</v>
      </c>
      <c r="G1107">
        <f>G1106</f>
        <v>45000</v>
      </c>
      <c r="H1107">
        <f>F1107*G1107</f>
        <v>15749.999999999998</v>
      </c>
    </row>
    <row r="1108">
      <c r="C1108" t="str">
        <f>'Isi Data'!B168</f>
        <v>Pekerja</v>
      </c>
      <c r="E1108" t="str">
        <v>org/hr</v>
      </c>
      <c r="F1108">
        <v>0.036</v>
      </c>
      <c r="G1108">
        <f>SUMIF('Isi Data'!B$1:B$65536,SNI!C$1:C$65536,'Isi Data'!E$1:E$65536)</f>
        <v>40000</v>
      </c>
      <c r="I1108">
        <f>F1108*G1108</f>
        <v>1440</v>
      </c>
    </row>
    <row r="1109">
      <c r="C1109" t="str">
        <f>'Isi Data'!B162</f>
        <v>Tukang Batu Halus</v>
      </c>
      <c r="E1109" t="str">
        <v>org/hr</v>
      </c>
      <c r="F1109">
        <v>0.06</v>
      </c>
      <c r="G1109">
        <f>SUMIF('Isi Data'!B$1:B$65536,SNI!C$1:C$65536,'Isi Data'!E$1:E$65536)</f>
        <v>55000</v>
      </c>
      <c r="I1109">
        <f>F1109*G1109</f>
        <v>3300</v>
      </c>
    </row>
    <row r="1110">
      <c r="C1110" t="str">
        <f>'Isi Data'!B163</f>
        <v>Kepala Tukang Batu</v>
      </c>
      <c r="E1110" t="str">
        <v>org/hr</v>
      </c>
      <c r="F1110">
        <v>0.006</v>
      </c>
      <c r="G1110">
        <f>SUMIF('Isi Data'!B$1:B$65536,SNI!C$1:C$65536,'Isi Data'!E$1:E$65536)</f>
        <v>60000</v>
      </c>
      <c r="I1110">
        <f>F1110*G1110</f>
        <v>360</v>
      </c>
    </row>
    <row r="1111">
      <c r="C1111" t="str">
        <f>'Isi Data'!B169</f>
        <v xml:space="preserve">Mandor </v>
      </c>
      <c r="E1111" t="str">
        <v>org/hr</v>
      </c>
      <c r="F1111">
        <v>0.0018</v>
      </c>
      <c r="G1111">
        <f>SUMIF('Isi Data'!B$1:B$65536,SNI!C$1:C$65536,'Isi Data'!E$1:E$65536)</f>
        <v>50000</v>
      </c>
      <c r="I1111">
        <f>F1111*G1111</f>
        <v>90</v>
      </c>
    </row>
    <row r="1113">
      <c r="B1113" t="str">
        <v>M1</v>
      </c>
      <c r="C1113" t="str">
        <v>Klep diameter 3/4"</v>
      </c>
      <c r="H1113">
        <f>SUM(H1114:H1119)</f>
        <v>54250</v>
      </c>
      <c r="I1113">
        <f>SUM(I1114:I1119)</f>
        <v>5190</v>
      </c>
      <c r="J1113">
        <f>$J$3</f>
        <v>0.1</v>
      </c>
      <c r="K1113">
        <f>SUM(H1113:I1113)*(1+J1113)</f>
        <v>65384.00000000001</v>
      </c>
      <c r="L1113">
        <f>ROUND(K1113,-2)</f>
        <v>65400</v>
      </c>
    </row>
    <row r="1114">
      <c r="C1114" t="str">
        <f>'Isi Data'!B128</f>
        <v xml:space="preserve">Klep diameter 3/4" </v>
      </c>
      <c r="E1114" t="str">
        <v>m</v>
      </c>
      <c r="F1114">
        <v>1.2</v>
      </c>
      <c r="G1114">
        <f>SUMIF('Isi Data'!B$1:B$65536,SNI!C$1:C$65536,'Isi Data'!E$1:E$65536)</f>
        <v>35000</v>
      </c>
      <c r="H1114">
        <f>F1114*G1114</f>
        <v>42000</v>
      </c>
    </row>
    <row r="1115">
      <c r="C1115" t="str">
        <v>Perlengkapan</v>
      </c>
      <c r="E1115" t="str">
        <v>m</v>
      </c>
      <c r="F1115">
        <v>0.35</v>
      </c>
      <c r="G1115">
        <f>G1114</f>
        <v>35000</v>
      </c>
      <c r="H1115">
        <f>F1115*G1115</f>
        <v>12250</v>
      </c>
    </row>
    <row r="1116">
      <c r="C1116" t="str">
        <f>'Isi Data'!B168</f>
        <v>Pekerja</v>
      </c>
      <c r="E1116" t="str">
        <v>org/hr</v>
      </c>
      <c r="F1116">
        <v>0.036</v>
      </c>
      <c r="G1116">
        <f>SUMIF('Isi Data'!B$1:B$65536,SNI!C$1:C$65536,'Isi Data'!E$1:E$65536)</f>
        <v>40000</v>
      </c>
      <c r="I1116">
        <f>F1116*G1116</f>
        <v>1440</v>
      </c>
    </row>
    <row r="1117">
      <c r="C1117" t="str">
        <f>'Isi Data'!B162</f>
        <v>Tukang Batu Halus</v>
      </c>
      <c r="E1117" t="str">
        <v>org/hr</v>
      </c>
      <c r="F1117">
        <v>0.06</v>
      </c>
      <c r="G1117">
        <f>SUMIF('Isi Data'!B$1:B$65536,SNI!C$1:C$65536,'Isi Data'!E$1:E$65536)</f>
        <v>55000</v>
      </c>
      <c r="I1117">
        <f>F1117*G1117</f>
        <v>3300</v>
      </c>
    </row>
    <row r="1118">
      <c r="C1118" t="str">
        <f>'Isi Data'!B163</f>
        <v>Kepala Tukang Batu</v>
      </c>
      <c r="E1118" t="str">
        <v>org/hr</v>
      </c>
      <c r="F1118">
        <v>0.006</v>
      </c>
      <c r="G1118">
        <f>SUMIF('Isi Data'!B$1:B$65536,SNI!C$1:C$65536,'Isi Data'!E$1:E$65536)</f>
        <v>60000</v>
      </c>
      <c r="I1118">
        <f>F1118*G1118</f>
        <v>360</v>
      </c>
    </row>
    <row r="1119">
      <c r="C1119" t="str">
        <f>'Isi Data'!B169</f>
        <v xml:space="preserve">Mandor </v>
      </c>
      <c r="E1119" t="str">
        <v>org/hr</v>
      </c>
      <c r="F1119">
        <v>0.0018</v>
      </c>
      <c r="G1119">
        <f>SUMIF('Isi Data'!B$1:B$65536,SNI!C$1:C$65536,'Isi Data'!E$1:E$65536)</f>
        <v>50000</v>
      </c>
      <c r="I1119">
        <f>F1119*G1119</f>
        <v>90</v>
      </c>
    </row>
    <row r="1122">
      <c r="A1122" t="str">
        <v>RSNI T-15-2002</v>
      </c>
      <c r="B1122" t="str">
        <v>M1</v>
      </c>
      <c r="C1122" t="str">
        <v>Roofdrain</v>
      </c>
      <c r="H1122">
        <f>SUM(H1123:H1128)</f>
        <v>49320</v>
      </c>
      <c r="I1122">
        <f>SUM(I1123:I1128)</f>
        <v>67900</v>
      </c>
      <c r="J1122">
        <f>$J$3</f>
        <v>0.1</v>
      </c>
      <c r="K1122">
        <f>SUM(H1122:I1122)*(1+J1122)</f>
        <v>128942.00000000001</v>
      </c>
      <c r="L1122">
        <f>ROUND(K1122,-2)</f>
        <v>128900</v>
      </c>
    </row>
    <row r="1123">
      <c r="C1123" t="str">
        <f>'Isi Data'!B132</f>
        <v>Roof Drain Metal</v>
      </c>
      <c r="E1123" t="str">
        <v>m</v>
      </c>
      <c r="F1123">
        <v>1.2</v>
      </c>
      <c r="G1123">
        <f>SUMIF('Isi Data'!B$1:B$65536,SNI!C$1:C$65536,'Isi Data'!E$1:E$65536)</f>
        <v>35000</v>
      </c>
      <c r="H1123">
        <f>F1123*G1123</f>
        <v>42000</v>
      </c>
    </row>
    <row r="1124">
      <c r="C1124" t="str">
        <f>'Isi Data'!B25</f>
        <v>Semen (50 Kg)</v>
      </c>
      <c r="E1124" t="str">
        <v>zak</v>
      </c>
      <c r="F1124">
        <v>0.12</v>
      </c>
      <c r="G1124">
        <f>SUMIF('Isi Data'!B$1:B$65536,SNI!C$1:C$65536,'Isi Data'!E$1:E$65536)</f>
        <v>61000</v>
      </c>
      <c r="H1124">
        <f>F1124*G1124</f>
        <v>7320</v>
      </c>
    </row>
    <row r="1125">
      <c r="C1125" t="str">
        <f>'Isi Data'!B168</f>
        <v>Pekerja</v>
      </c>
      <c r="E1125" t="str">
        <v>org/hr</v>
      </c>
      <c r="F1125">
        <v>0</v>
      </c>
      <c r="G1125">
        <f>SUMIF('Isi Data'!B$1:B$65536,SNI!C$1:C$65536,'Isi Data'!E$1:E$65536)</f>
        <v>40000</v>
      </c>
      <c r="I1125">
        <f>F1125*G1125</f>
        <v>0</v>
      </c>
    </row>
    <row r="1126">
      <c r="C1126" t="str">
        <f>'Isi Data'!B162</f>
        <v>Tukang Batu Halus</v>
      </c>
      <c r="E1126" t="str">
        <v>org/hr</v>
      </c>
      <c r="F1126">
        <v>1.1</v>
      </c>
      <c r="G1126">
        <f>SUMIF('Isi Data'!B$1:B$65536,SNI!C$1:C$65536,'Isi Data'!E$1:E$65536)</f>
        <v>55000</v>
      </c>
      <c r="I1126">
        <f>F1126*G1126</f>
        <v>60500.00000000001</v>
      </c>
    </row>
    <row r="1127">
      <c r="C1127" t="str">
        <f>'Isi Data'!B163</f>
        <v>Kepala Tukang Batu</v>
      </c>
      <c r="E1127" t="str">
        <v>org/hr</v>
      </c>
      <c r="F1127">
        <v>0.11</v>
      </c>
      <c r="G1127">
        <f>SUMIF('Isi Data'!B$1:B$65536,SNI!C$1:C$65536,'Isi Data'!E$1:E$65536)</f>
        <v>60000</v>
      </c>
      <c r="I1127">
        <f>F1127*G1127</f>
        <v>6600</v>
      </c>
    </row>
    <row r="1128">
      <c r="C1128" t="str">
        <f>'Isi Data'!B169</f>
        <v xml:space="preserve">Mandor </v>
      </c>
      <c r="E1128" t="str">
        <v>org/hr</v>
      </c>
      <c r="F1128">
        <v>0.016</v>
      </c>
      <c r="G1128">
        <f>SUMIF('Isi Data'!B$1:B$65536,SNI!C$1:C$65536,'Isi Data'!E$1:E$65536)</f>
        <v>50000</v>
      </c>
      <c r="I1128">
        <f>F1128*G1128</f>
        <v>800</v>
      </c>
    </row>
    <row r="1130">
      <c r="B1130" t="str">
        <v>M1</v>
      </c>
      <c r="C1130" t="str">
        <v>Mesin Jet Pump kap.250 watt</v>
      </c>
      <c r="H1130">
        <f>SUM(H1131:H1135)</f>
        <v>1740000</v>
      </c>
      <c r="I1130">
        <f>SUM(I1131:I1135)</f>
        <v>74900</v>
      </c>
      <c r="J1130">
        <f>$J$3</f>
        <v>0.1</v>
      </c>
      <c r="K1130">
        <f>SUM(H1130:I1130)*(1+J1130)</f>
        <v>1996390.0000000002</v>
      </c>
      <c r="L1130">
        <f>ROUND(K1130,-2)</f>
        <v>1996400</v>
      </c>
    </row>
    <row r="1131">
      <c r="C1131" t="str">
        <f>'Isi Data'!B133</f>
        <v>Mesin Jet Pump kap.250 watt</v>
      </c>
      <c r="E1131" t="str">
        <v>m</v>
      </c>
      <c r="F1131">
        <v>1.2</v>
      </c>
      <c r="G1131">
        <f>SUMIF('Isi Data'!B$1:B$65536,SNI!C$1:C$65536,'Isi Data'!E$1:E$65536)</f>
        <v>1450000</v>
      </c>
      <c r="H1131">
        <f>F1131*G1131</f>
        <v>1740000</v>
      </c>
    </row>
    <row r="1132">
      <c r="C1132" t="str">
        <f>'Isi Data'!B168</f>
        <v>Pekerja</v>
      </c>
      <c r="E1132" t="str">
        <v>org/hr</v>
      </c>
      <c r="F1132">
        <v>1</v>
      </c>
      <c r="G1132">
        <f>SUMIF('Isi Data'!B$1:B$65536,SNI!C$1:C$65536,'Isi Data'!E$1:E$65536)</f>
        <v>40000</v>
      </c>
      <c r="I1132">
        <f>F1132*G1132</f>
        <v>40000</v>
      </c>
    </row>
    <row r="1133">
      <c r="C1133" t="str">
        <f>'Isi Data'!B166</f>
        <v>Tukang Listrik</v>
      </c>
      <c r="E1133" t="str">
        <v>org/hr</v>
      </c>
      <c r="F1133">
        <v>0.5</v>
      </c>
      <c r="G1133">
        <f>SUMIF('Isi Data'!B$1:B$65536,SNI!C$1:C$65536,'Isi Data'!E$1:E$65536)</f>
        <v>55000</v>
      </c>
      <c r="I1133">
        <f>F1133*G1133</f>
        <v>27500</v>
      </c>
    </row>
    <row r="1134">
      <c r="C1134" t="str">
        <f>'Isi Data'!B167</f>
        <v>Kepala Tukang Listrik</v>
      </c>
      <c r="E1134" t="str">
        <v>org/hr</v>
      </c>
      <c r="F1134">
        <v>0.11</v>
      </c>
      <c r="G1134">
        <f>SUMIF('Isi Data'!B$1:B$65536,SNI!C$1:C$65536,'Isi Data'!E$1:E$65536)</f>
        <v>60000</v>
      </c>
      <c r="I1134">
        <f>F1134*G1134</f>
        <v>6600</v>
      </c>
    </row>
    <row r="1135">
      <c r="C1135" t="str">
        <f>'Isi Data'!B169</f>
        <v xml:space="preserve">Mandor </v>
      </c>
      <c r="E1135" t="str">
        <v>org/hr</v>
      </c>
      <c r="F1135">
        <v>0.016</v>
      </c>
      <c r="G1135">
        <f>SUMIF('Isi Data'!B$1:B$65536,SNI!C$1:C$65536,'Isi Data'!E$1:E$65536)</f>
        <v>50000</v>
      </c>
      <c r="I1135">
        <f>F1135*G1135</f>
        <v>800</v>
      </c>
    </row>
    <row r="1137">
      <c r="B1137" t="str">
        <v>M1</v>
      </c>
      <c r="C1137" t="str">
        <v>Mesin pompa kap.150 watt</v>
      </c>
      <c r="H1137">
        <f>SUM(H1138:H1142)</f>
        <v>1170000</v>
      </c>
      <c r="I1137">
        <f>SUM(I1138:I1142)</f>
        <v>74900</v>
      </c>
      <c r="J1137">
        <f>$J$3</f>
        <v>0.1</v>
      </c>
      <c r="K1137">
        <f>SUM(H1137:I1137)*(1+J1137)</f>
        <v>1369390</v>
      </c>
      <c r="L1137">
        <f>ROUND(K1137,-2)</f>
        <v>1369400</v>
      </c>
    </row>
    <row r="1138">
      <c r="C1138" t="str">
        <f>'Isi Data'!B134</f>
        <v>Mesin Pompa tekan kap. 150 watt</v>
      </c>
      <c r="E1138" t="str">
        <v>m</v>
      </c>
      <c r="F1138">
        <v>1.2</v>
      </c>
      <c r="G1138">
        <f>SUMIF('Isi Data'!B$1:B$65536,SNI!C$1:C$65536,'Isi Data'!E$1:E$65536)</f>
        <v>975000</v>
      </c>
      <c r="H1138">
        <f>F1138*G1138</f>
        <v>1170000</v>
      </c>
    </row>
    <row r="1139">
      <c r="C1139" t="str">
        <f>'Isi Data'!B168</f>
        <v>Pekerja</v>
      </c>
      <c r="E1139" t="str">
        <v>org/hr</v>
      </c>
      <c r="F1139">
        <v>1</v>
      </c>
      <c r="G1139">
        <f>SUMIF('Isi Data'!B$1:B$65536,SNI!C$1:C$65536,'Isi Data'!E$1:E$65536)</f>
        <v>40000</v>
      </c>
      <c r="I1139">
        <f>F1139*G1139</f>
        <v>40000</v>
      </c>
    </row>
    <row r="1140">
      <c r="C1140" t="str">
        <f>'Isi Data'!B166</f>
        <v>Tukang Listrik</v>
      </c>
      <c r="E1140" t="str">
        <v>org/hr</v>
      </c>
      <c r="F1140">
        <v>0.5</v>
      </c>
      <c r="G1140">
        <f>SUMIF('Isi Data'!B$1:B$65536,SNI!C$1:C$65536,'Isi Data'!E$1:E$65536)</f>
        <v>55000</v>
      </c>
      <c r="I1140">
        <f>F1140*G1140</f>
        <v>27500</v>
      </c>
    </row>
    <row r="1141">
      <c r="C1141" t="str">
        <f>'Isi Data'!B167</f>
        <v>Kepala Tukang Listrik</v>
      </c>
      <c r="E1141" t="str">
        <v>org/hr</v>
      </c>
      <c r="F1141">
        <v>0.11</v>
      </c>
      <c r="G1141">
        <f>SUMIF('Isi Data'!B$1:B$65536,SNI!C$1:C$65536,'Isi Data'!E$1:E$65536)</f>
        <v>60000</v>
      </c>
      <c r="I1141">
        <f>F1141*G1141</f>
        <v>6600</v>
      </c>
    </row>
    <row r="1142">
      <c r="C1142" t="str">
        <f>'Isi Data'!B169</f>
        <v xml:space="preserve">Mandor </v>
      </c>
      <c r="E1142" t="str">
        <v>org/hr</v>
      </c>
      <c r="F1142">
        <v>0.016</v>
      </c>
      <c r="G1142">
        <f>SUMIF('Isi Data'!B$1:B$65536,SNI!C$1:C$65536,'Isi Data'!E$1:E$65536)</f>
        <v>50000</v>
      </c>
      <c r="I1142">
        <f>F1142*G1142</f>
        <v>800</v>
      </c>
    </row>
    <row r="1144">
      <c r="B1144" t="str">
        <v>M1</v>
      </c>
      <c r="C1144" t="str">
        <v>Tangki air 1000 liter</v>
      </c>
      <c r="H1144">
        <f>SUM(H1145:H1150)</f>
        <v>1275000</v>
      </c>
      <c r="I1144">
        <f>SUM(I1145:I1150)</f>
        <v>74900</v>
      </c>
      <c r="J1144">
        <f>$J$3</f>
        <v>0.1</v>
      </c>
      <c r="K1144">
        <f>SUM(H1144:I1144)*(1+J1144)</f>
        <v>1484890.0000000002</v>
      </c>
      <c r="L1144">
        <f>ROUND(K1144,-2)</f>
        <v>1484900</v>
      </c>
    </row>
    <row r="1145">
      <c r="C1145" t="str">
        <f>'Isi Data'!B129</f>
        <v>Tangki air 1000 liter</v>
      </c>
      <c r="E1145" t="str">
        <v>bh</v>
      </c>
      <c r="F1145">
        <v>1</v>
      </c>
      <c r="G1145">
        <f>SUMIF('Isi Data'!B$1:B$65536,SNI!C$1:C$65536,'Isi Data'!E$1:E$65536)</f>
        <v>1250000</v>
      </c>
      <c r="H1145">
        <f>F1145*G1145</f>
        <v>1250000</v>
      </c>
    </row>
    <row r="1146">
      <c r="C1146" t="str">
        <f>'Isi Data'!B131</f>
        <v>Pelampung otomatis</v>
      </c>
      <c r="E1146" t="str">
        <v>bh</v>
      </c>
      <c r="F1146">
        <v>1</v>
      </c>
      <c r="G1146">
        <f>SUMIF('Isi Data'!B$1:B$65536,SNI!C$1:C$65536,'Isi Data'!E$1:E$65536)</f>
        <v>25000</v>
      </c>
      <c r="H1146">
        <f>F1146*G1146</f>
        <v>25000</v>
      </c>
    </row>
    <row r="1147">
      <c r="C1147" t="str">
        <f>'Isi Data'!B168</f>
        <v>Pekerja</v>
      </c>
      <c r="E1147" t="str">
        <v>org/hr</v>
      </c>
      <c r="F1147">
        <v>1</v>
      </c>
      <c r="G1147">
        <f>SUMIF('Isi Data'!B$1:B$65536,SNI!C$1:C$65536,'Isi Data'!E$1:E$65536)</f>
        <v>40000</v>
      </c>
      <c r="I1147">
        <f>F1147*G1147</f>
        <v>40000</v>
      </c>
    </row>
    <row r="1148">
      <c r="C1148" t="str">
        <f>'Isi Data'!B166</f>
        <v>Tukang Listrik</v>
      </c>
      <c r="E1148" t="str">
        <v>org/hr</v>
      </c>
      <c r="F1148">
        <v>0.5</v>
      </c>
      <c r="G1148">
        <f>SUMIF('Isi Data'!B$1:B$65536,SNI!C$1:C$65536,'Isi Data'!E$1:E$65536)</f>
        <v>55000</v>
      </c>
      <c r="I1148">
        <f>F1148*G1148</f>
        <v>27500</v>
      </c>
    </row>
    <row r="1149">
      <c r="C1149" t="str">
        <f>'Isi Data'!B167</f>
        <v>Kepala Tukang Listrik</v>
      </c>
      <c r="E1149" t="str">
        <v>org/hr</v>
      </c>
      <c r="F1149">
        <v>0.11</v>
      </c>
      <c r="G1149">
        <f>SUMIF('Isi Data'!B$1:B$65536,SNI!C$1:C$65536,'Isi Data'!E$1:E$65536)</f>
        <v>60000</v>
      </c>
      <c r="I1149">
        <f>F1149*G1149</f>
        <v>6600</v>
      </c>
    </row>
    <row r="1150">
      <c r="C1150" t="str">
        <f>'Isi Data'!B169</f>
        <v xml:space="preserve">Mandor </v>
      </c>
      <c r="E1150" t="str">
        <v>org/hr</v>
      </c>
      <c r="F1150">
        <v>0.016</v>
      </c>
      <c r="G1150">
        <f>SUMIF('Isi Data'!B$1:B$65536,SNI!C$1:C$65536,'Isi Data'!E$1:E$65536)</f>
        <v>50000</v>
      </c>
      <c r="I1150">
        <f>F1150*G1150</f>
        <v>800</v>
      </c>
    </row>
    <row r="1152">
      <c r="B1152" t="str">
        <v>M1</v>
      </c>
      <c r="C1152" t="str">
        <v>Tangki air 500 liter</v>
      </c>
      <c r="H1152">
        <f>SUM(H1153:H1158)</f>
        <v>875000</v>
      </c>
      <c r="I1152">
        <f>SUM(I1153:I1158)</f>
        <v>74900</v>
      </c>
      <c r="J1152">
        <f>$J$3</f>
        <v>0.1</v>
      </c>
      <c r="K1152">
        <f>SUM(H1152:I1152)*(1+J1152)</f>
        <v>1044890.0000000001</v>
      </c>
      <c r="L1152">
        <f>ROUND(K1152,-2)</f>
        <v>1044900</v>
      </c>
    </row>
    <row r="1153">
      <c r="C1153" t="str">
        <f>'Isi Data'!B130</f>
        <v>Tangki air 500 liter</v>
      </c>
      <c r="E1153" t="str">
        <v>bh</v>
      </c>
      <c r="F1153">
        <v>1</v>
      </c>
      <c r="G1153">
        <f>SUMIF('Isi Data'!B$1:B$65536,SNI!C$1:C$65536,'Isi Data'!E$1:E$65536)</f>
        <v>850000</v>
      </c>
      <c r="H1153">
        <f>F1153*G1153</f>
        <v>850000</v>
      </c>
      <c r="M1153" t="str">
        <f>IF(G1153=0,"edit"," ")</f>
        <v xml:space="preserve"> </v>
      </c>
    </row>
    <row r="1154">
      <c r="C1154" t="str">
        <f>'Isi Data'!B131</f>
        <v>Pelampung otomatis</v>
      </c>
      <c r="E1154" t="str">
        <v>bh</v>
      </c>
      <c r="F1154">
        <v>1</v>
      </c>
      <c r="G1154">
        <f>SUMIF('Isi Data'!B$1:B$65536,SNI!C$1:C$65536,'Isi Data'!E$1:E$65536)</f>
        <v>25000</v>
      </c>
      <c r="H1154">
        <f>F1154*G1154</f>
        <v>25000</v>
      </c>
      <c r="M1154" t="str">
        <f>IF(G1154=0,"edit"," ")</f>
        <v xml:space="preserve"> </v>
      </c>
    </row>
    <row r="1155">
      <c r="C1155" t="str">
        <f>'Isi Data'!B168</f>
        <v>Pekerja</v>
      </c>
      <c r="E1155" t="str">
        <v>org/hr</v>
      </c>
      <c r="F1155">
        <v>1</v>
      </c>
      <c r="G1155">
        <f>SUMIF('Isi Data'!B$1:B$65536,SNI!C$1:C$65536,'Isi Data'!E$1:E$65536)</f>
        <v>40000</v>
      </c>
      <c r="I1155">
        <f>F1155*G1155</f>
        <v>40000</v>
      </c>
      <c r="M1155" t="str">
        <f>IF(G1155=0,"edit"," ")</f>
        <v xml:space="preserve"> </v>
      </c>
    </row>
    <row r="1156">
      <c r="C1156" t="str">
        <f>'Isi Data'!B166</f>
        <v>Tukang Listrik</v>
      </c>
      <c r="E1156" t="str">
        <v>org/hr</v>
      </c>
      <c r="F1156">
        <v>0.5</v>
      </c>
      <c r="G1156">
        <f>SUMIF('Isi Data'!B$1:B$65536,SNI!C$1:C$65536,'Isi Data'!E$1:E$65536)</f>
        <v>55000</v>
      </c>
      <c r="I1156">
        <f>F1156*G1156</f>
        <v>27500</v>
      </c>
      <c r="M1156" t="str">
        <f>IF(G1156=0,"edit"," ")</f>
        <v xml:space="preserve"> </v>
      </c>
    </row>
    <row r="1157">
      <c r="C1157" t="str">
        <f>'Isi Data'!B167</f>
        <v>Kepala Tukang Listrik</v>
      </c>
      <c r="E1157" t="str">
        <v>org/hr</v>
      </c>
      <c r="F1157">
        <v>0.11</v>
      </c>
      <c r="G1157">
        <f>SUMIF('Isi Data'!B$1:B$65536,SNI!C$1:C$65536,'Isi Data'!E$1:E$65536)</f>
        <v>60000</v>
      </c>
      <c r="I1157">
        <f>F1157*G1157</f>
        <v>6600</v>
      </c>
      <c r="M1157" t="str">
        <f>IF(G1157=0,"edit"," ")</f>
        <v xml:space="preserve"> </v>
      </c>
    </row>
    <row r="1158">
      <c r="C1158" t="str">
        <f>'Isi Data'!B169</f>
        <v xml:space="preserve">Mandor </v>
      </c>
      <c r="E1158" t="str">
        <v>org/hr</v>
      </c>
      <c r="F1158">
        <v>0.016</v>
      </c>
      <c r="G1158">
        <f>SUMIF('Isi Data'!B$1:B$65536,SNI!C$1:C$65536,'Isi Data'!E$1:E$65536)</f>
        <v>50000</v>
      </c>
      <c r="I1158">
        <f>F1158*G1158</f>
        <v>800</v>
      </c>
      <c r="M1158" t="str">
        <f>IF(G1158=0,"edit"," ")</f>
        <v xml:space="preserve"> </v>
      </c>
    </row>
    <row r="1160">
      <c r="B1160" t="str">
        <v>M1</v>
      </c>
      <c r="C1160" t="str">
        <v>Dudukan tangki air</v>
      </c>
      <c r="H1160">
        <f>SUM(H1161:H1165)</f>
        <v>959000</v>
      </c>
      <c r="I1160">
        <f>SUM(I1161:I1165)</f>
        <v>74900</v>
      </c>
      <c r="J1160">
        <f>$J$3</f>
        <v>0.1</v>
      </c>
      <c r="K1160">
        <f>SUM(H1160:I1160)*(1+J1160)</f>
        <v>1137290</v>
      </c>
      <c r="L1160">
        <f>ROUND(K1160,-2)</f>
        <v>1137300</v>
      </c>
    </row>
    <row r="1161">
      <c r="C1161" t="str">
        <f>'Isi Data'!B31</f>
        <v xml:space="preserve">Besi Plat rata2 </v>
      </c>
      <c r="D1161" t="str">
        <v>Besi siku 50.50.5</v>
      </c>
      <c r="E1161" t="str">
        <v>kg</v>
      </c>
      <c r="F1161">
        <f>1*2*35</f>
        <v>70</v>
      </c>
      <c r="G1161">
        <f>SUMIF('Isi Data'!B$1:B$65536,SNI!C$1:C$65536,'Isi Data'!E$1:E$65536)</f>
        <v>13700</v>
      </c>
      <c r="H1161">
        <f>F1161*G1161</f>
        <v>959000</v>
      </c>
    </row>
    <row r="1162">
      <c r="C1162" t="str">
        <f>'Isi Data'!B168</f>
        <v>Pekerja</v>
      </c>
      <c r="E1162" t="str">
        <v>org/hr</v>
      </c>
      <c r="F1162">
        <v>1</v>
      </c>
      <c r="G1162">
        <f>SUMIF('Isi Data'!B$1:B$65536,SNI!C$1:C$65536,'Isi Data'!E$1:E$65536)</f>
        <v>40000</v>
      </c>
      <c r="I1162">
        <f>F1162*G1162</f>
        <v>40000</v>
      </c>
    </row>
    <row r="1163">
      <c r="C1163" t="str">
        <f>'Isi Data'!B166</f>
        <v>Tukang Listrik</v>
      </c>
      <c r="E1163" t="str">
        <v>org/hr</v>
      </c>
      <c r="F1163">
        <v>0.5</v>
      </c>
      <c r="G1163">
        <f>SUMIF('Isi Data'!B$1:B$65536,SNI!C$1:C$65536,'Isi Data'!E$1:E$65536)</f>
        <v>55000</v>
      </c>
      <c r="I1163">
        <f>F1163*G1163</f>
        <v>27500</v>
      </c>
    </row>
    <row r="1164">
      <c r="C1164" t="str">
        <f>'Isi Data'!B167</f>
        <v>Kepala Tukang Listrik</v>
      </c>
      <c r="E1164" t="str">
        <v>org/hr</v>
      </c>
      <c r="F1164">
        <v>0.11</v>
      </c>
      <c r="G1164">
        <f>SUMIF('Isi Data'!B$1:B$65536,SNI!C$1:C$65536,'Isi Data'!E$1:E$65536)</f>
        <v>60000</v>
      </c>
      <c r="I1164">
        <f>F1164*G1164</f>
        <v>6600</v>
      </c>
    </row>
    <row r="1165">
      <c r="C1165" t="str">
        <f>'Isi Data'!B169</f>
        <v xml:space="preserve">Mandor </v>
      </c>
      <c r="E1165" t="str">
        <v>org/hr</v>
      </c>
      <c r="F1165">
        <v>0.016</v>
      </c>
      <c r="G1165">
        <f>SUMIF('Isi Data'!B$1:B$65536,SNI!C$1:C$65536,'Isi Data'!E$1:E$65536)</f>
        <v>50000</v>
      </c>
      <c r="I1165">
        <f>F1165*G1165</f>
        <v>800</v>
      </c>
    </row>
    <row r="1168">
      <c r="B1168" t="str">
        <v>UNIT</v>
      </c>
      <c r="C1168" t="str">
        <v>Septictank Buis beton + Rembesan</v>
      </c>
      <c r="H1168">
        <f>SUM(H1169:H1178)</f>
        <v>693740.2</v>
      </c>
      <c r="I1168">
        <f>SUM(I1169:I1178)</f>
        <v>0</v>
      </c>
      <c r="J1168">
        <f>$J$3</f>
        <v>0.1</v>
      </c>
      <c r="K1168">
        <f>SUM(H1168:I1168)*(1+J1168)</f>
        <v>763114.22</v>
      </c>
      <c r="L1168">
        <f>ROUND(K1168,-2)</f>
        <v>763100</v>
      </c>
    </row>
    <row r="1169">
      <c r="C1169" t="str">
        <v>Galian tanah, dalam  s/d 1 m</v>
      </c>
      <c r="D1169" t="str">
        <v>ukuran Ø1,2X 1,5 m + Rembesan</v>
      </c>
      <c r="E1169" t="str">
        <v>m3</v>
      </c>
      <c r="F1169">
        <v>2</v>
      </c>
      <c r="G1169">
        <f>SUMIF(C$1:C$65536,C$1:C$65536,L$1:L$65536)</f>
        <v>34400</v>
      </c>
      <c r="H1169">
        <f>F1169*G1169</f>
        <v>68800</v>
      </c>
      <c r="M1169" t="str">
        <f>IF(G1169=0,"edit"," ")</f>
        <v xml:space="preserve"> </v>
      </c>
    </row>
    <row r="1170">
      <c r="C1170" t="str">
        <v>Pas. Urugan pasir</v>
      </c>
      <c r="E1170" t="str">
        <v>m3</v>
      </c>
      <c r="F1170">
        <v>0.2</v>
      </c>
      <c r="G1170">
        <f>SUMIF(C$1:C$65536,C$1:C$65536,L$1:L$65536)</f>
        <v>180500</v>
      </c>
      <c r="H1170">
        <f>F1170*G1170</f>
        <v>36100</v>
      </c>
      <c r="M1170" t="str">
        <f>IF(G1170=0,"edit"," ")</f>
        <v xml:space="preserve"> </v>
      </c>
    </row>
    <row r="1171">
      <c r="C1171" t="str">
        <v>Pas. Lantai kerja beton tumbuk 1:3:5</v>
      </c>
      <c r="E1171" t="str">
        <v>m2</v>
      </c>
      <c r="F1171">
        <v>1.766</v>
      </c>
      <c r="G1171">
        <f>SUMIF(C$1:C$65536,C$1:C$65536,L$1:L$65536)</f>
        <v>53900</v>
      </c>
      <c r="H1171">
        <f>F1171*G1171</f>
        <v>95187.4</v>
      </c>
      <c r="M1171" t="str">
        <f>IF(G1171=0,"edit"," ")</f>
        <v xml:space="preserve"> </v>
      </c>
    </row>
    <row r="1172">
      <c r="C1172" t="str">
        <v>Beton K - 200</v>
      </c>
      <c r="D1172" t="str">
        <v>Balok &amp; Tutup manhole</v>
      </c>
      <c r="E1172" t="str">
        <v>m3</v>
      </c>
      <c r="F1172">
        <v>0.203</v>
      </c>
      <c r="G1172">
        <f>SUMIF(C$1:C$65536,C$1:C$65536,L$1:L$65536)</f>
        <v>865100</v>
      </c>
      <c r="H1172">
        <f>F1172*G1172</f>
        <v>175615.30000000002</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34400</v>
      </c>
      <c r="H1175">
        <f>F1175*G1175</f>
        <v>116100</v>
      </c>
    </row>
    <row r="1176">
      <c r="C1176" t="str">
        <f>'Isi Data'!B18</f>
        <v>Batu Kerikil</v>
      </c>
      <c r="D1176" t="str">
        <v>urugan</v>
      </c>
      <c r="E1176" t="str">
        <v>m3</v>
      </c>
      <c r="F1176">
        <v>1.05</v>
      </c>
      <c r="G1176">
        <f>SUMIF('Isi Data'!B$1:B$65536,SNI!C$1:C$65536,'Isi Data'!E$1:E$65536)</f>
        <v>180000</v>
      </c>
      <c r="H1176">
        <f>F1176*G1176</f>
        <v>189000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11500</v>
      </c>
      <c r="H1178">
        <f>F1178*G1178</f>
        <v>12937.5</v>
      </c>
    </row>
    <row r="1181">
      <c r="B1181" t="str">
        <v>UNIT</v>
      </c>
      <c r="C1181" t="str">
        <v xml:space="preserve">Septictank Pas. Bata kap. 3,00 m3 + Rembesan </v>
      </c>
      <c r="D1181" t="str">
        <v>uk. 2 X 1,5 X 1 m + Rembesan</v>
      </c>
      <c r="H1181">
        <f>SUM(H1182:H1193)</f>
        <v>56909323.5</v>
      </c>
      <c r="I1181">
        <f>SUM(I1182:I1193)</f>
        <v>0</v>
      </c>
      <c r="J1181">
        <f>$J$3</f>
        <v>0.1</v>
      </c>
      <c r="K1181">
        <f>SUM(H1181:I1181)*(1+J1181)</f>
        <v>62600255.85</v>
      </c>
      <c r="L1181">
        <f>ROUND(K1181,-2)</f>
        <v>62600300</v>
      </c>
    </row>
    <row r="1182">
      <c r="C1182" t="str">
        <v>Galian tanah, dalam  s/d 1 m</v>
      </c>
      <c r="D1182">
        <f>2*1.5*1</f>
        <v>3</v>
      </c>
      <c r="E1182" t="str">
        <v>m3</v>
      </c>
      <c r="F1182">
        <v>3</v>
      </c>
      <c r="G1182">
        <f>SUMIF(C$1:C$65536,C$1:C$65536,L$1:L$65536)</f>
        <v>34400</v>
      </c>
      <c r="H1182">
        <f>F1182*G1182</f>
        <v>103200</v>
      </c>
      <c r="M1182" t="str">
        <f>IF(G1182=0,"edit"," ")</f>
        <v xml:space="preserve"> </v>
      </c>
    </row>
    <row r="1183">
      <c r="C1183" t="str">
        <v>Pas. Urugan pasir</v>
      </c>
      <c r="E1183" t="str">
        <v>m3</v>
      </c>
      <c r="F1183">
        <v>0.3</v>
      </c>
      <c r="G1183">
        <f>SUMIF(C$1:C$65536,C$1:C$65536,L$1:L$65536)</f>
        <v>180500</v>
      </c>
      <c r="H1183">
        <f>F1183*G1183</f>
        <v>54150</v>
      </c>
      <c r="M1183" t="str">
        <f>IF(G1183=0,"edit"," ")</f>
        <v xml:space="preserve"> </v>
      </c>
    </row>
    <row r="1184">
      <c r="C1184" t="str">
        <v>Pas. Lantai kerja beton tumbuk 1:3:5</v>
      </c>
      <c r="E1184" t="str">
        <v>m2</v>
      </c>
      <c r="F1184">
        <v>3</v>
      </c>
      <c r="G1184">
        <f>SUMIF(C$1:C$65536,C$1:C$65536,L$1:L$65536)</f>
        <v>53900</v>
      </c>
      <c r="H1184">
        <f>F1184*G1184</f>
        <v>161700</v>
      </c>
      <c r="M1184" t="str">
        <f>IF(G1184=0,"edit"," ")</f>
        <v xml:space="preserve"> </v>
      </c>
    </row>
    <row r="1185">
      <c r="C1185" t="str">
        <v>Pas. Dinding batu bata; ad 1:2</v>
      </c>
      <c r="E1185" t="str">
        <v>m2</v>
      </c>
      <c r="F1185">
        <v>10.5</v>
      </c>
      <c r="G1185">
        <f>SUMIF(C$1:C$65536,C$1:C$65536,L$1:L$65536)</f>
        <v>5281600</v>
      </c>
      <c r="H1185">
        <f>F1185*G1185</f>
        <v>55456800</v>
      </c>
      <c r="M1185" t="str">
        <f>IF(G1185=0,"edit"," ")</f>
        <v xml:space="preserve"> </v>
      </c>
    </row>
    <row r="1186">
      <c r="C1186" t="str">
        <v>Pas. Plester acian; ad. 1:2</v>
      </c>
      <c r="E1186" t="str">
        <v>m2</v>
      </c>
      <c r="F1186">
        <v>12</v>
      </c>
      <c r="G1186">
        <f>SUMIF(C$1:C$65536,C$1:C$65536,L$1:L$65536)</f>
        <v>42000</v>
      </c>
      <c r="H1186">
        <f>F1186*G1186</f>
        <v>504000</v>
      </c>
      <c r="M1186" t="str">
        <f>IF(G1186=0,"edit"," ")</f>
        <v xml:space="preserve"> </v>
      </c>
    </row>
    <row r="1187">
      <c r="C1187" t="str">
        <v>Beton K - 200</v>
      </c>
      <c r="D1187" t="str">
        <v>Balok &amp; Tutup manhole</v>
      </c>
      <c r="E1187" t="str">
        <v>m3</v>
      </c>
      <c r="F1187">
        <v>0.36</v>
      </c>
      <c r="G1187">
        <f>SUMIF(C$1:C$65536,C$1:C$65536,L$1:L$65536)</f>
        <v>865100</v>
      </c>
      <c r="H1187">
        <f>F1187*G1187</f>
        <v>311436</v>
      </c>
      <c r="M1187" t="str">
        <f>IF(G1187=0,"edit"," ")</f>
        <v xml:space="preserve"> </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34400</v>
      </c>
      <c r="H1190">
        <f>F1190*G1190</f>
        <v>116100</v>
      </c>
      <c r="M1190" t="str">
        <f>IF(G1190=0,"edit"," ")</f>
        <v xml:space="preserve"> </v>
      </c>
    </row>
    <row r="1191">
      <c r="C1191" t="str">
        <f>'Isi Data'!B18</f>
        <v>Batu Kerikil</v>
      </c>
      <c r="D1191" t="str">
        <v>urugan</v>
      </c>
      <c r="E1191" t="str">
        <v>m3</v>
      </c>
      <c r="F1191">
        <v>1.05</v>
      </c>
      <c r="G1191">
        <f>SUMIF('Isi Data'!B$1:B$65536,SNI!C$1:C$65536,'Isi Data'!E$1:E$65536)</f>
        <v>180000</v>
      </c>
      <c r="H1191">
        <f>F1191*G1191</f>
        <v>189000</v>
      </c>
      <c r="M1191" t="str">
        <f>IF(G1191=0,"edit"," ")</f>
        <v xml:space="preserve"> </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11500</v>
      </c>
      <c r="H1193">
        <f>F1193*G1193</f>
        <v>12937.5</v>
      </c>
      <c r="M1193" t="str">
        <f>IF(G1193=0,"edit"," ")</f>
        <v xml:space="preserve"> </v>
      </c>
    </row>
    <row r="1196">
      <c r="B1196" t="str">
        <v>UNIT</v>
      </c>
      <c r="C1196" t="str">
        <v>Septictank Pas. Bata + Rembesan kap. 6,00 m3</v>
      </c>
      <c r="D1196" t="str">
        <v>uk. 2 X 1,5 X 2 m + Rembesan</v>
      </c>
      <c r="H1196">
        <f>SUM(H1197:H1208)</f>
        <v>91678923.5</v>
      </c>
      <c r="I1196">
        <f>SUM(I1197:I1208)</f>
        <v>0</v>
      </c>
      <c r="J1196">
        <f>$J$3</f>
        <v>0.1</v>
      </c>
      <c r="K1196">
        <f>SUM(H1196:I1196)*(1+J1196)</f>
        <v>100846815.85000001</v>
      </c>
      <c r="L1196">
        <f>ROUND(K1196,-2)</f>
        <v>100846800</v>
      </c>
    </row>
    <row r="1197">
      <c r="C1197" t="str">
        <v>Galian tanah, dalam  s/d 1 m</v>
      </c>
      <c r="D1197">
        <f>2*1.5*2</f>
        <v>6</v>
      </c>
      <c r="E1197" t="str">
        <v>m3</v>
      </c>
      <c r="F1197">
        <v>6</v>
      </c>
      <c r="G1197">
        <f>SUMIF(C$1:C$65536,C$1:C$65536,L$1:L$65536)</f>
        <v>34400</v>
      </c>
      <c r="H1197">
        <f>F1197*G1197</f>
        <v>206400</v>
      </c>
    </row>
    <row r="1198">
      <c r="C1198" t="str">
        <v>Pas. Urugan pasir</v>
      </c>
      <c r="E1198" t="str">
        <v>m3</v>
      </c>
      <c r="F1198">
        <v>0.3</v>
      </c>
      <c r="G1198">
        <f>SUMIF(C$1:C$65536,C$1:C$65536,L$1:L$65536)</f>
        <v>180500</v>
      </c>
      <c r="H1198">
        <f>F1198*G1198</f>
        <v>54150</v>
      </c>
    </row>
    <row r="1199">
      <c r="C1199" t="str">
        <v>Pas. Lantai kerja beton tumbuk 1:3:5</v>
      </c>
      <c r="E1199" t="str">
        <v>m2</v>
      </c>
      <c r="F1199">
        <v>3</v>
      </c>
      <c r="G1199">
        <f>SUMIF(C$1:C$65536,C$1:C$65536,L$1:L$65536)</f>
        <v>53900</v>
      </c>
      <c r="H1199">
        <f>F1199*G1199</f>
        <v>161700</v>
      </c>
    </row>
    <row r="1200">
      <c r="C1200" t="str">
        <v>Pas. Dinding batu bata; ad 1:2</v>
      </c>
      <c r="E1200" t="str">
        <v>m2</v>
      </c>
      <c r="F1200">
        <v>17</v>
      </c>
      <c r="G1200">
        <f>SUMIF(C$1:C$65536,C$1:C$65536,L$1:L$65536)</f>
        <v>5281600</v>
      </c>
      <c r="H1200">
        <f>F1200*G1200</f>
        <v>89787200</v>
      </c>
    </row>
    <row r="1201">
      <c r="C1201" t="str">
        <v>Pas. Plester acian; ad. 1:2</v>
      </c>
      <c r="E1201" t="str">
        <v>m2</v>
      </c>
      <c r="F1201">
        <v>20</v>
      </c>
      <c r="G1201">
        <f>SUMIF(C$1:C$65536,C$1:C$65536,L$1:L$65536)</f>
        <v>42000</v>
      </c>
      <c r="H1201">
        <f>F1201*G1201</f>
        <v>840000</v>
      </c>
    </row>
    <row r="1202">
      <c r="C1202" t="str">
        <v>Beton K - 200</v>
      </c>
      <c r="D1202" t="str">
        <v>Balok &amp; Tutup manhole</v>
      </c>
      <c r="E1202" t="str">
        <v>m3</v>
      </c>
      <c r="F1202">
        <v>0.36</v>
      </c>
      <c r="G1202">
        <f>SUMIF(C$1:C$65536,C$1:C$65536,L$1:L$65536)</f>
        <v>865100</v>
      </c>
      <c r="H1202">
        <f>F1202*G1202</f>
        <v>311436</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34400</v>
      </c>
      <c r="H1205">
        <f>F1205*G1205</f>
        <v>116100</v>
      </c>
    </row>
    <row r="1206">
      <c r="C1206" t="str">
        <f>'Isi Data'!B18</f>
        <v>Batu Kerikil</v>
      </c>
      <c r="D1206" t="str">
        <v>urugan</v>
      </c>
      <c r="E1206" t="str">
        <v>m3</v>
      </c>
      <c r="F1206">
        <v>1.05</v>
      </c>
      <c r="G1206">
        <f>SUMIF('Isi Data'!B$1:B$65536,SNI!C$1:C$65536,'Isi Data'!E$1:E$65536)</f>
        <v>180000</v>
      </c>
      <c r="H1206">
        <f>F1206*G1206</f>
        <v>189000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11500</v>
      </c>
      <c r="H1208">
        <f>F1208*G1208</f>
        <v>12937.5</v>
      </c>
    </row>
    <row r="1211">
      <c r="C1211" t="str">
        <v>PEKERJAAN ELEKTRIKAL</v>
      </c>
    </row>
    <row r="1213">
      <c r="A1213" t="str">
        <v>TTK</v>
      </c>
      <c r="B1213" t="str">
        <v>TTK</v>
      </c>
      <c r="C1213" t="str">
        <v>Pas. Box Panel</v>
      </c>
      <c r="H1213">
        <f>SUM(H1214:H1221)</f>
        <v>645000</v>
      </c>
      <c r="I1213">
        <f>SUM(I1214:I1221)</f>
        <v>135000</v>
      </c>
      <c r="J1213">
        <f>$J$3</f>
        <v>0.1</v>
      </c>
      <c r="K1213">
        <f>SUM(H1213:I1213)*(1+J1213)</f>
        <v>858000.0000000001</v>
      </c>
      <c r="L1213">
        <f>ROUND(K1213,-2)</f>
        <v>858000</v>
      </c>
    </row>
    <row r="1214">
      <c r="C1214" t="str">
        <f>'Isi Data'!B137</f>
        <v>Box panel PVC isi 4 MCB</v>
      </c>
      <c r="D1214" t="str">
        <v>Legran</v>
      </c>
      <c r="E1214" t="str">
        <v>bh</v>
      </c>
      <c r="F1214">
        <v>1</v>
      </c>
      <c r="G1214">
        <f>SUMIF('Isi Data'!B$1:B$65536,SNI!C$1:C$65536,'Isi Data'!E$1:E$65536)</f>
        <v>325000</v>
      </c>
      <c r="H1214">
        <f>F1214*G1214</f>
        <v>325000</v>
      </c>
      <c r="M1214" t="str">
        <f>IF(G1214=0,"edit"," ")</f>
        <v xml:space="preserve"> </v>
      </c>
    </row>
    <row r="1215">
      <c r="C1215" t="str">
        <f>'Isi Data'!B138</f>
        <v>MCB 6 A</v>
      </c>
      <c r="E1215" t="str">
        <v>bh</v>
      </c>
      <c r="F1215">
        <v>2</v>
      </c>
      <c r="G1215">
        <f>SUMIF('Isi Data'!B$1:B$65536,SNI!C$1:C$65536,'Isi Data'!E$1:E$65536)</f>
        <v>50000</v>
      </c>
      <c r="H1215">
        <f>F1215*G1215</f>
        <v>100000</v>
      </c>
      <c r="M1215" t="str">
        <f>IF(G1215=0,"edit"," ")</f>
        <v xml:space="preserve"> </v>
      </c>
    </row>
    <row r="1216">
      <c r="C1216" t="str">
        <f>'Isi Data'!B139</f>
        <v>MCB 4 A</v>
      </c>
      <c r="E1216" t="str">
        <v>bh</v>
      </c>
      <c r="F1216">
        <v>2</v>
      </c>
      <c r="G1216">
        <f>SUMIF('Isi Data'!B$1:B$65536,SNI!C$1:C$65536,'Isi Data'!E$1:E$65536)</f>
        <v>50000</v>
      </c>
      <c r="H1216">
        <f>F1216*G1216</f>
        <v>100000</v>
      </c>
      <c r="M1216" t="str">
        <f>IF(G1216=0,"edit"," ")</f>
        <v xml:space="preserve"> </v>
      </c>
    </row>
    <row r="1217">
      <c r="C1217" t="str">
        <f>'Isi Data'!B141</f>
        <v>Kabel NYM 3 x 2,5 mm2</v>
      </c>
      <c r="E1217" t="str">
        <v>m</v>
      </c>
      <c r="F1217">
        <v>6</v>
      </c>
      <c r="G1217">
        <f>SUMIF('Isi Data'!B$1:B$65536,SNI!C$1:C$65536,'Isi Data'!E$1:E$65536)</f>
        <v>20000</v>
      </c>
      <c r="H1217">
        <f>F1217*G1217</f>
        <v>120000</v>
      </c>
      <c r="M1217" t="str">
        <f>IF(G1217=0,"edit"," ")</f>
        <v xml:space="preserve"> </v>
      </c>
    </row>
    <row r="1218">
      <c r="C1218" t="str">
        <f>'Isi Data'!B168</f>
        <v>Pekerja</v>
      </c>
      <c r="E1218" t="str">
        <v>org/hr</v>
      </c>
      <c r="F1218">
        <v>0.5</v>
      </c>
      <c r="G1218">
        <f>SUMIF('Isi Data'!B$1:B$65536,SNI!C$1:C$65536,'Isi Data'!E$1:E$65536)</f>
        <v>40000</v>
      </c>
      <c r="I1218">
        <f>F1218*G1218</f>
        <v>20000</v>
      </c>
      <c r="M1218" t="str">
        <f>IF(G1218=0,"edit"," ")</f>
        <v xml:space="preserve"> </v>
      </c>
    </row>
    <row r="1219">
      <c r="C1219" t="str">
        <f>'Isi Data'!B166</f>
        <v>Tukang Listrik</v>
      </c>
      <c r="E1219" t="str">
        <v>org/hr</v>
      </c>
      <c r="F1219">
        <v>1</v>
      </c>
      <c r="G1219">
        <f>SUMIF('Isi Data'!B$1:B$65536,SNI!C$1:C$65536,'Isi Data'!E$1:E$65536)</f>
        <v>55000</v>
      </c>
      <c r="I1219">
        <f>F1219*G1219</f>
        <v>55000</v>
      </c>
      <c r="M1219" t="str">
        <f>IF(G1219=0,"edit"," ")</f>
        <v xml:space="preserve"> </v>
      </c>
    </row>
    <row r="1220">
      <c r="C1220" t="str">
        <f>'Isi Data'!B167</f>
        <v>Kepala Tukang Listrik</v>
      </c>
      <c r="E1220" t="str">
        <v>org/hr</v>
      </c>
      <c r="F1220">
        <v>1</v>
      </c>
      <c r="G1220">
        <f>SUMIF('Isi Data'!B$1:B$65536,SNI!C$1:C$65536,'Isi Data'!E$1:E$65536)</f>
        <v>60000</v>
      </c>
      <c r="I1220">
        <f>F1220*G1220</f>
        <v>60000</v>
      </c>
      <c r="M1220" t="str">
        <f>IF(G1220=0,"edit"," ")</f>
        <v xml:space="preserve"> </v>
      </c>
    </row>
    <row r="1221">
      <c r="C1221" t="str">
        <f>'Isi Data'!B169</f>
        <v xml:space="preserve">Mandor </v>
      </c>
      <c r="E1221" t="str">
        <v>org/hr</v>
      </c>
      <c r="F1221">
        <v>0</v>
      </c>
      <c r="G1221">
        <f>SUMIF('Isi Data'!B$1:B$65536,SNI!C$1:C$65536,'Isi Data'!E$1:E$65536)</f>
        <v>50000</v>
      </c>
      <c r="I1221">
        <f>F1221*G1221</f>
        <v>0</v>
      </c>
      <c r="M1221" t="str">
        <f>IF(G1221=0,"edit"," ")</f>
        <v xml:space="preserve"> </v>
      </c>
    </row>
    <row r="1223">
      <c r="A1223" t="str">
        <v>TTK</v>
      </c>
      <c r="B1223" t="str">
        <v>TTK</v>
      </c>
      <c r="C1223" t="str">
        <v>Pas. Instalasi stop kontak</v>
      </c>
      <c r="H1223">
        <f>SUM(H1224:H1230)</f>
        <v>122950</v>
      </c>
      <c r="I1223">
        <f>SUM(I1224:I1230)</f>
        <v>14100</v>
      </c>
      <c r="J1223">
        <f>$J$3</f>
        <v>0.1</v>
      </c>
      <c r="K1223">
        <f>SUM(H1223:I1223)*(1+J1223)</f>
        <v>150755</v>
      </c>
      <c r="L1223">
        <f>ROUND(K1223,-2)</f>
        <v>150800</v>
      </c>
    </row>
    <row r="1224">
      <c r="C1224" t="str">
        <f>'Isi Data'!B141</f>
        <v>Kabel NYM 3 x 2,5 mm2</v>
      </c>
      <c r="E1224" t="str">
        <v>m</v>
      </c>
      <c r="F1224">
        <v>6</v>
      </c>
      <c r="G1224">
        <f>SUMIF('Isi Data'!B$1:B$65536,SNI!C$1:C$65536,'Isi Data'!E$1:E$65536)</f>
        <v>20000</v>
      </c>
      <c r="H1224">
        <f>F1224*G1224</f>
        <v>120000</v>
      </c>
    </row>
    <row r="1225">
      <c r="C1225" t="str">
        <f>'Isi Data'!B143</f>
        <v>Isolasi</v>
      </c>
      <c r="E1225" t="str">
        <v>bh</v>
      </c>
      <c r="F1225">
        <v>0.5</v>
      </c>
      <c r="G1225">
        <f>SUMIF('Isi Data'!B$1:B$65536,SNI!C$1:C$65536,'Isi Data'!E$1:E$65536)</f>
        <v>5000</v>
      </c>
      <c r="H1225">
        <f>F1225*G1225</f>
        <v>2500</v>
      </c>
    </row>
    <row r="1226">
      <c r="C1226" t="str">
        <v>Klem</v>
      </c>
      <c r="E1226" t="str">
        <v>bh</v>
      </c>
      <c r="F1226">
        <v>3</v>
      </c>
      <c r="G1226">
        <f>IF(G1230=0,0,150)</f>
        <v>150</v>
      </c>
      <c r="H1226">
        <f>F1226*G1226</f>
        <v>450</v>
      </c>
    </row>
    <row r="1227">
      <c r="C1227" t="str">
        <f>'Isi Data'!B168</f>
        <v>Pekerja</v>
      </c>
      <c r="E1227" t="str">
        <v>org/hr</v>
      </c>
      <c r="F1227">
        <v>0.05</v>
      </c>
      <c r="G1227">
        <f>SUMIF('Isi Data'!B$1:B$65536,SNI!C$1:C$65536,'Isi Data'!E$1:E$65536)</f>
        <v>40000</v>
      </c>
      <c r="I1227">
        <f>F1227*G1227</f>
        <v>2000</v>
      </c>
    </row>
    <row r="1228">
      <c r="C1228" t="str">
        <f>'Isi Data'!B166</f>
        <v>Tukang Listrik</v>
      </c>
      <c r="E1228" t="str">
        <v>org/hr</v>
      </c>
      <c r="F1228">
        <v>0.02</v>
      </c>
      <c r="G1228">
        <f>SUMIF('Isi Data'!B$1:B$65536,SNI!C$1:C$65536,'Isi Data'!E$1:E$65536)</f>
        <v>55000</v>
      </c>
      <c r="I1228">
        <f>F1228*G1228</f>
        <v>1100</v>
      </c>
    </row>
    <row r="1229">
      <c r="C1229" t="str">
        <f>'Isi Data'!B167</f>
        <v>Kepala Tukang Listrik</v>
      </c>
      <c r="E1229" t="str">
        <v>org/hr</v>
      </c>
      <c r="F1229">
        <v>0.1</v>
      </c>
      <c r="G1229">
        <f>SUMIF('Isi Data'!B$1:B$65536,SNI!C$1:C$65536,'Isi Data'!E$1:E$65536)</f>
        <v>60000</v>
      </c>
      <c r="I1229">
        <f>F1229*G1229</f>
        <v>6000</v>
      </c>
    </row>
    <row r="1230">
      <c r="C1230" t="str">
        <f>'Isi Data'!B169</f>
        <v xml:space="preserve">Mandor </v>
      </c>
      <c r="E1230" t="str">
        <v>org/hr</v>
      </c>
      <c r="F1230">
        <v>0.1</v>
      </c>
      <c r="G1230">
        <f>SUMIF('Isi Data'!B$1:B$65536,SNI!C$1:C$65536,'Isi Data'!E$1:E$65536)</f>
        <v>50000</v>
      </c>
      <c r="I1230">
        <f>F1230*G1230</f>
        <v>5000</v>
      </c>
    </row>
    <row r="1232">
      <c r="A1232" t="str">
        <v>TTK</v>
      </c>
      <c r="B1232" t="str">
        <v>TTK</v>
      </c>
      <c r="C1232" t="str">
        <v>Pas. Instalasi lampu</v>
      </c>
      <c r="H1232">
        <f>SUM(H1233:H1239)</f>
        <v>92950</v>
      </c>
      <c r="I1232">
        <f>SUM(I1233:I1239)</f>
        <v>14100</v>
      </c>
      <c r="J1232">
        <f>$J$3</f>
        <v>0.1</v>
      </c>
      <c r="K1232">
        <f>SUM(H1232:I1232)*(1+J1232)</f>
        <v>117755.00000000001</v>
      </c>
      <c r="L1232">
        <f>ROUND(K1232,-2)</f>
        <v>117800</v>
      </c>
    </row>
    <row r="1233">
      <c r="C1233" t="str">
        <f>'Isi Data'!B140</f>
        <v>Kabel NYM 2 x 2,5 mm2</v>
      </c>
      <c r="E1233" t="str">
        <v>m</v>
      </c>
      <c r="F1233">
        <v>6</v>
      </c>
      <c r="G1233">
        <f>SUMIF('Isi Data'!B$1:B$65536,SNI!C$1:C$65536,'Isi Data'!E$1:E$65536)</f>
        <v>15000</v>
      </c>
      <c r="H1233">
        <f>F1233*G1233</f>
        <v>90000</v>
      </c>
      <c r="M1233" t="str">
        <f>IF(G1233=0,"edit"," ")</f>
        <v xml:space="preserve"> </v>
      </c>
    </row>
    <row r="1234">
      <c r="C1234" t="str">
        <f>'Isi Data'!B143</f>
        <v>Isolasi</v>
      </c>
      <c r="E1234" t="str">
        <v>bh</v>
      </c>
      <c r="F1234">
        <v>0.5</v>
      </c>
      <c r="G1234">
        <f>SUMIF('Isi Data'!B$1:B$65536,SNI!C$1:C$65536,'Isi Data'!E$1:E$65536)</f>
        <v>5000</v>
      </c>
      <c r="H1234">
        <f>F1234*G1234</f>
        <v>2500</v>
      </c>
      <c r="M1234" t="str">
        <f>IF(G1234=0,"edit"," ")</f>
        <v xml:space="preserve"> </v>
      </c>
    </row>
    <row r="1235">
      <c r="C1235" t="str">
        <v>Klem</v>
      </c>
      <c r="E1235" t="str">
        <v>bh</v>
      </c>
      <c r="F1235">
        <v>3</v>
      </c>
      <c r="G1235">
        <f>IF(G1239=0,0,150)</f>
        <v>150</v>
      </c>
      <c r="H1235">
        <f>F1235*G1235</f>
        <v>450</v>
      </c>
      <c r="M1235" t="str">
        <f>IF(G1235=0,"edit"," ")</f>
        <v xml:space="preserve"> </v>
      </c>
    </row>
    <row r="1236">
      <c r="C1236" t="str">
        <f>'Isi Data'!B168</f>
        <v>Pekerja</v>
      </c>
      <c r="E1236" t="str">
        <v>org/hr</v>
      </c>
      <c r="F1236">
        <v>0.05</v>
      </c>
      <c r="G1236">
        <f>SUMIF('Isi Data'!B$1:B$65536,SNI!C$1:C$65536,'Isi Data'!E$1:E$65536)</f>
        <v>40000</v>
      </c>
      <c r="I1236">
        <f>F1236*G1236</f>
        <v>2000</v>
      </c>
      <c r="M1236" t="str">
        <f>IF(G1236=0,"edit"," ")</f>
        <v xml:space="preserve"> </v>
      </c>
    </row>
    <row r="1237">
      <c r="C1237" t="str">
        <f>'Isi Data'!B166</f>
        <v>Tukang Listrik</v>
      </c>
      <c r="E1237" t="str">
        <v>org/hr</v>
      </c>
      <c r="F1237">
        <v>0.02</v>
      </c>
      <c r="G1237">
        <f>SUMIF('Isi Data'!B$1:B$65536,SNI!C$1:C$65536,'Isi Data'!E$1:E$65536)</f>
        <v>55000</v>
      </c>
      <c r="I1237">
        <f>F1237*G1237</f>
        <v>1100</v>
      </c>
      <c r="M1237" t="str">
        <f>IF(G1237=0,"edit"," ")</f>
        <v xml:space="preserve"> </v>
      </c>
    </row>
    <row r="1238">
      <c r="C1238" t="str">
        <f>'Isi Data'!B167</f>
        <v>Kepala Tukang Listrik</v>
      </c>
      <c r="E1238" t="str">
        <v>org/hr</v>
      </c>
      <c r="F1238">
        <v>0.1</v>
      </c>
      <c r="G1238">
        <f>SUMIF('Isi Data'!B$1:B$65536,SNI!C$1:C$65536,'Isi Data'!E$1:E$65536)</f>
        <v>60000</v>
      </c>
      <c r="I1238">
        <f>F1238*G1238</f>
        <v>6000</v>
      </c>
      <c r="M1238" t="str">
        <f>IF(G1238=0,"edit"," ")</f>
        <v xml:space="preserve"> </v>
      </c>
    </row>
    <row r="1239">
      <c r="C1239" t="str">
        <f>'Isi Data'!B169</f>
        <v xml:space="preserve">Mandor </v>
      </c>
      <c r="E1239" t="str">
        <v>org/hr</v>
      </c>
      <c r="F1239">
        <v>0.1</v>
      </c>
      <c r="G1239">
        <f>SUMIF('Isi Data'!B$1:B$65536,SNI!C$1:C$65536,'Isi Data'!E$1:E$65536)</f>
        <v>50000</v>
      </c>
      <c r="I1239">
        <f>F1239*G1239</f>
        <v>5000</v>
      </c>
      <c r="M1239" t="str">
        <f>IF(G1239=0,"edit"," ")</f>
        <v xml:space="preserve"> </v>
      </c>
    </row>
    <row r="1241">
      <c r="A1241" t="str">
        <v>TTK</v>
      </c>
      <c r="B1241" t="str">
        <v>TTK</v>
      </c>
      <c r="C1241" t="str">
        <v>Pas. Instalasi antena TV</v>
      </c>
      <c r="H1241">
        <f>SUM(H1242:H1248)</f>
        <v>2950</v>
      </c>
      <c r="I1241">
        <f>SUM(I1242:I1248)</f>
        <v>14100</v>
      </c>
      <c r="J1241">
        <f>$J$3</f>
        <v>0.1</v>
      </c>
      <c r="K1241">
        <f>SUM(H1241:I1241)*(1+J1241)</f>
        <v>18755</v>
      </c>
      <c r="L1241">
        <f>ROUND(K1241,-2)</f>
        <v>18800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5000</v>
      </c>
      <c r="H1243">
        <f>F1243*G1243</f>
        <v>2500</v>
      </c>
    </row>
    <row r="1244">
      <c r="C1244" t="str">
        <v>Klem</v>
      </c>
      <c r="E1244" t="str">
        <v>bh</v>
      </c>
      <c r="F1244">
        <v>3</v>
      </c>
      <c r="G1244">
        <f>IF(G1248=0,0,150)</f>
        <v>150</v>
      </c>
      <c r="H1244">
        <f>F1244*G1244</f>
        <v>450</v>
      </c>
    </row>
    <row r="1245">
      <c r="C1245" t="str">
        <f>'Isi Data'!B168</f>
        <v>Pekerja</v>
      </c>
      <c r="E1245" t="str">
        <v>org/hr</v>
      </c>
      <c r="F1245">
        <v>0.05</v>
      </c>
      <c r="G1245">
        <f>SUMIF('Isi Data'!B$1:B$65536,SNI!C$1:C$65536,'Isi Data'!E$1:E$65536)</f>
        <v>40000</v>
      </c>
      <c r="I1245">
        <f>F1245*G1245</f>
        <v>2000</v>
      </c>
    </row>
    <row r="1246">
      <c r="C1246" t="str">
        <f>'Isi Data'!B166</f>
        <v>Tukang Listrik</v>
      </c>
      <c r="E1246" t="str">
        <v>org/hr</v>
      </c>
      <c r="F1246">
        <v>0.02</v>
      </c>
      <c r="G1246">
        <f>SUMIF('Isi Data'!B$1:B$65536,SNI!C$1:C$65536,'Isi Data'!E$1:E$65536)</f>
        <v>55000</v>
      </c>
      <c r="I1246">
        <f>F1246*G1246</f>
        <v>1100</v>
      </c>
    </row>
    <row r="1247">
      <c r="C1247" t="str">
        <f>'Isi Data'!B167</f>
        <v>Kepala Tukang Listrik</v>
      </c>
      <c r="E1247" t="str">
        <v>org/hr</v>
      </c>
      <c r="F1247">
        <v>0.1</v>
      </c>
      <c r="G1247">
        <f>SUMIF('Isi Data'!B$1:B$65536,SNI!C$1:C$65536,'Isi Data'!E$1:E$65536)</f>
        <v>60000</v>
      </c>
      <c r="I1247">
        <f>F1247*G1247</f>
        <v>6000</v>
      </c>
    </row>
    <row r="1248">
      <c r="C1248" t="str">
        <f>'Isi Data'!B169</f>
        <v xml:space="preserve">Mandor </v>
      </c>
      <c r="E1248" t="str">
        <v>org/hr</v>
      </c>
      <c r="F1248">
        <v>0.1</v>
      </c>
      <c r="G1248">
        <f>SUMIF('Isi Data'!B$1:B$65536,SNI!C$1:C$65536,'Isi Data'!E$1:E$65536)</f>
        <v>50000</v>
      </c>
      <c r="I1248">
        <f>F1248*G1248</f>
        <v>5000</v>
      </c>
    </row>
    <row r="1250">
      <c r="A1250" t="str">
        <v>TTK</v>
      </c>
      <c r="B1250" t="str">
        <v>TTK</v>
      </c>
      <c r="C1250" t="str">
        <v>Pas. Instalasi telephone</v>
      </c>
      <c r="H1250">
        <f>SUM(H1251:H1257)</f>
        <v>152950</v>
      </c>
      <c r="I1250">
        <f>SUM(I1251:I1257)</f>
        <v>14100</v>
      </c>
      <c r="J1250">
        <f>$J$3</f>
        <v>0.1</v>
      </c>
      <c r="K1250">
        <f>SUM(H1250:I1250)*(1+J1250)</f>
        <v>183755.00000000003</v>
      </c>
      <c r="L1250">
        <f>ROUND(K1250,-2)</f>
        <v>183800</v>
      </c>
    </row>
    <row r="1251">
      <c r="C1251" t="str">
        <f>'Isi Data'!B142</f>
        <v>Kabel telephone 4 x 0.5 mm</v>
      </c>
      <c r="E1251" t="str">
        <v>m</v>
      </c>
      <c r="F1251">
        <v>10</v>
      </c>
      <c r="G1251">
        <f>SUMIF('Isi Data'!B$1:B$65536,SNI!C$1:C$65536,'Isi Data'!E$1:E$65536)</f>
        <v>15000</v>
      </c>
      <c r="H1251">
        <f>F1251*G1251</f>
        <v>150000</v>
      </c>
      <c r="M1251" t="str">
        <f>IF(G1251=0,"edit"," ")</f>
        <v xml:space="preserve"> </v>
      </c>
    </row>
    <row r="1252">
      <c r="C1252" t="str">
        <f>'Isi Data'!B143</f>
        <v>Isolasi</v>
      </c>
      <c r="E1252" t="str">
        <v>bh</v>
      </c>
      <c r="F1252">
        <v>0.5</v>
      </c>
      <c r="G1252">
        <f>SUMIF('Isi Data'!B$1:B$65536,SNI!C$1:C$65536,'Isi Data'!E$1:E$65536)</f>
        <v>5000</v>
      </c>
      <c r="H1252">
        <f>F1252*G1252</f>
        <v>2500</v>
      </c>
      <c r="M1252" t="str">
        <f>IF(G1252=0,"edit"," ")</f>
        <v xml:space="preserve"> </v>
      </c>
    </row>
    <row r="1253">
      <c r="C1253" t="str">
        <v>Klem</v>
      </c>
      <c r="E1253" t="str">
        <v>bh</v>
      </c>
      <c r="F1253">
        <v>3</v>
      </c>
      <c r="G1253">
        <f>IF(G1257=0,0,150)</f>
        <v>150</v>
      </c>
      <c r="H1253">
        <f>F1253*G1253</f>
        <v>450</v>
      </c>
      <c r="M1253" t="str">
        <f>IF(G1253=0,"edit"," ")</f>
        <v xml:space="preserve"> </v>
      </c>
    </row>
    <row r="1254">
      <c r="C1254" t="str">
        <f>'Isi Data'!B168</f>
        <v>Pekerja</v>
      </c>
      <c r="E1254" t="str">
        <v>org/hr</v>
      </c>
      <c r="F1254">
        <v>0.05</v>
      </c>
      <c r="G1254">
        <f>SUMIF('Isi Data'!B$1:B$65536,SNI!C$1:C$65536,'Isi Data'!E$1:E$65536)</f>
        <v>40000</v>
      </c>
      <c r="I1254">
        <f>F1254*G1254</f>
        <v>2000</v>
      </c>
      <c r="M1254" t="str">
        <f>IF(G1254=0,"edit"," ")</f>
        <v xml:space="preserve"> </v>
      </c>
    </row>
    <row r="1255">
      <c r="C1255" t="str">
        <f>'Isi Data'!B166</f>
        <v>Tukang Listrik</v>
      </c>
      <c r="E1255" t="str">
        <v>org/hr</v>
      </c>
      <c r="F1255">
        <v>0.02</v>
      </c>
      <c r="G1255">
        <f>SUMIF('Isi Data'!B$1:B$65536,SNI!C$1:C$65536,'Isi Data'!E$1:E$65536)</f>
        <v>55000</v>
      </c>
      <c r="I1255">
        <f>F1255*G1255</f>
        <v>1100</v>
      </c>
      <c r="M1255" t="str">
        <f>IF(G1255=0,"edit"," ")</f>
        <v xml:space="preserve"> </v>
      </c>
    </row>
    <row r="1256">
      <c r="C1256" t="str">
        <f>'Isi Data'!B167</f>
        <v>Kepala Tukang Listrik</v>
      </c>
      <c r="E1256" t="str">
        <v>org/hr</v>
      </c>
      <c r="F1256">
        <v>0.1</v>
      </c>
      <c r="G1256">
        <f>SUMIF('Isi Data'!B$1:B$65536,SNI!C$1:C$65536,'Isi Data'!E$1:E$65536)</f>
        <v>60000</v>
      </c>
      <c r="I1256">
        <f>F1256*G1256</f>
        <v>6000</v>
      </c>
      <c r="M1256" t="str">
        <f>IF(G1256=0,"edit"," ")</f>
        <v xml:space="preserve"> </v>
      </c>
    </row>
    <row r="1257">
      <c r="C1257" t="str">
        <f>'Isi Data'!B169</f>
        <v xml:space="preserve">Mandor </v>
      </c>
      <c r="E1257" t="str">
        <v>org/hr</v>
      </c>
      <c r="F1257">
        <v>0.1</v>
      </c>
      <c r="G1257">
        <f>SUMIF('Isi Data'!B$1:B$65536,SNI!C$1:C$65536,'Isi Data'!E$1:E$65536)</f>
        <v>50000</v>
      </c>
      <c r="I1257">
        <f>F1257*G1257</f>
        <v>5000</v>
      </c>
      <c r="M1257" t="str">
        <f>IF(G1257=0,"edit"," ")</f>
        <v xml:space="preserve"> </v>
      </c>
    </row>
    <row r="1259">
      <c r="A1259" t="str">
        <v>BH</v>
      </c>
      <c r="B1259" t="str">
        <v>BH</v>
      </c>
      <c r="C1259" t="str">
        <v>Pas. Saklar engkel</v>
      </c>
      <c r="H1259">
        <f>SUM(H1260:H1266)</f>
        <v>17250</v>
      </c>
      <c r="I1259">
        <f>SUM(I1260:I1266)</f>
        <v>13750</v>
      </c>
      <c r="J1259">
        <f>$J$3</f>
        <v>0.1</v>
      </c>
      <c r="K1259">
        <f>SUM(H1259:I1259)*(1+J1259)</f>
        <v>34100</v>
      </c>
      <c r="L1259">
        <f>ROUND(K1259,-2)</f>
        <v>34100</v>
      </c>
    </row>
    <row r="1260">
      <c r="C1260" t="str">
        <f>'Isi Data'!B144</f>
        <v>Saklar tunggal</v>
      </c>
      <c r="E1260" t="str">
        <v>bh</v>
      </c>
      <c r="F1260">
        <v>1</v>
      </c>
      <c r="G1260">
        <f>SUMIF('Isi Data'!B$1:B$65536,SNI!C$1:C$65536,'Isi Data'!E$1:E$65536)</f>
        <v>15000</v>
      </c>
      <c r="H1260">
        <f>F1260*G1260</f>
        <v>15000</v>
      </c>
    </row>
    <row r="1261">
      <c r="C1261" t="str">
        <v>Mangkok Listrik</v>
      </c>
      <c r="E1261" t="str">
        <v>bh</v>
      </c>
      <c r="F1261">
        <v>1</v>
      </c>
      <c r="G1261">
        <f>IF(G1266=0,0,1000)</f>
        <v>1000</v>
      </c>
      <c r="H1261">
        <f>F1261*G1261</f>
        <v>1000</v>
      </c>
      <c r="M1261" t="str">
        <f>IF(G1261=0,"edit"," ")</f>
        <v xml:space="preserve"> </v>
      </c>
    </row>
    <row r="1262">
      <c r="C1262" t="str">
        <f>'Isi Data'!B143</f>
        <v>Isolasi</v>
      </c>
      <c r="E1262" t="str">
        <v>bh</v>
      </c>
      <c r="F1262">
        <v>0.25</v>
      </c>
      <c r="G1262">
        <f>SUMIF('Isi Data'!B$1:B$65536,SNI!C$1:C$65536,'Isi Data'!E$1:E$65536)</f>
        <v>5000</v>
      </c>
      <c r="H1262">
        <f>F1262*G1262</f>
        <v>1250</v>
      </c>
      <c r="M1262" t="str">
        <f>IF(G1262=0,"edit"," ")</f>
        <v xml:space="preserve"> </v>
      </c>
    </row>
    <row r="1263">
      <c r="C1263" t="str">
        <f>'Isi Data'!B168</f>
        <v>Pekerja</v>
      </c>
      <c r="E1263" t="str">
        <v>org/hr</v>
      </c>
      <c r="F1263">
        <v>0.1</v>
      </c>
      <c r="G1263">
        <f>SUMIF('Isi Data'!B$1:B$65536,SNI!C$1:C$65536,'Isi Data'!E$1:E$65536)</f>
        <v>40000</v>
      </c>
      <c r="I1263">
        <f>F1263*G1263</f>
        <v>4000</v>
      </c>
      <c r="M1263" t="str">
        <f>IF(G1263=0,"edit"," ")</f>
        <v xml:space="preserve"> </v>
      </c>
    </row>
    <row r="1264">
      <c r="C1264" t="str">
        <f>'Isi Data'!B166</f>
        <v>Tukang Listrik</v>
      </c>
      <c r="E1264" t="str">
        <v>org/hr</v>
      </c>
      <c r="F1264">
        <v>0.1</v>
      </c>
      <c r="G1264">
        <f>SUMIF('Isi Data'!B$1:B$65536,SNI!C$1:C$65536,'Isi Data'!E$1:E$65536)</f>
        <v>55000</v>
      </c>
      <c r="I1264">
        <f>F1264*G1264</f>
        <v>5500</v>
      </c>
      <c r="M1264" t="str">
        <f>IF(G1264=0,"edit"," ")</f>
        <v xml:space="preserve"> </v>
      </c>
    </row>
    <row r="1265">
      <c r="C1265" t="str">
        <f>'Isi Data'!B167</f>
        <v>Kepala Tukang Listrik</v>
      </c>
      <c r="E1265" t="str">
        <v>org/hr</v>
      </c>
      <c r="F1265">
        <v>0.05</v>
      </c>
      <c r="G1265">
        <f>SUMIF('Isi Data'!B$1:B$65536,SNI!C$1:C$65536,'Isi Data'!E$1:E$65536)</f>
        <v>60000</v>
      </c>
      <c r="I1265">
        <f>F1265*G1265</f>
        <v>3000</v>
      </c>
      <c r="M1265" t="str">
        <f>IF(G1265=0,"edit"," ")</f>
        <v xml:space="preserve"> </v>
      </c>
    </row>
    <row r="1266">
      <c r="C1266" t="str">
        <f>'Isi Data'!B169</f>
        <v xml:space="preserve">Mandor </v>
      </c>
      <c r="E1266" t="str">
        <v>org/hr</v>
      </c>
      <c r="F1266">
        <v>0.025</v>
      </c>
      <c r="G1266">
        <f>SUMIF('Isi Data'!B$1:B$65536,SNI!C$1:C$65536,'Isi Data'!E$1:E$65536)</f>
        <v>50000</v>
      </c>
      <c r="I1266">
        <f>F1266*G1266</f>
        <v>1250</v>
      </c>
      <c r="M1266" t="str">
        <f>IF(G1266=0,"edit"," ")</f>
        <v xml:space="preserve"> </v>
      </c>
    </row>
    <row r="1268">
      <c r="A1268" t="str">
        <v>BH</v>
      </c>
      <c r="B1268" t="str">
        <v>BH</v>
      </c>
      <c r="C1268" t="str">
        <v>Pas. Saklar doble</v>
      </c>
      <c r="H1268">
        <f>SUM(H1269:H1275)</f>
        <v>21150</v>
      </c>
      <c r="I1268">
        <f>SUM(I1269:I1275)</f>
        <v>13750</v>
      </c>
      <c r="J1268">
        <f>$J$3</f>
        <v>0.1</v>
      </c>
      <c r="K1268">
        <f>SUM(H1268:I1268)*(1+J1268)</f>
        <v>38390</v>
      </c>
      <c r="L1268">
        <f>ROUND(K1268,-2)</f>
        <v>38400</v>
      </c>
    </row>
    <row r="1269">
      <c r="C1269" t="str">
        <f>'Isi Data'!B145</f>
        <v>Saklar ganda</v>
      </c>
      <c r="E1269" t="str">
        <v>bh</v>
      </c>
      <c r="F1269">
        <v>1</v>
      </c>
      <c r="G1269">
        <f>SUMIF('Isi Data'!B$1:B$65536,SNI!C$1:C$65536,'Isi Data'!E$1:E$65536)</f>
        <v>18900</v>
      </c>
      <c r="H1269">
        <f>F1269*G1269</f>
        <v>18900</v>
      </c>
      <c r="M1269" t="str">
        <f>IF(G1269=0,"edit"," ")</f>
        <v xml:space="preserve"> </v>
      </c>
    </row>
    <row r="1270">
      <c r="C1270" t="str">
        <v>Mangkok Listrik</v>
      </c>
      <c r="E1270" t="str">
        <v>bh</v>
      </c>
      <c r="F1270">
        <v>1</v>
      </c>
      <c r="G1270">
        <f>IF(G1275=0,0,1000)</f>
        <v>1000</v>
      </c>
      <c r="H1270">
        <f>F1270*G1270</f>
        <v>1000</v>
      </c>
      <c r="M1270" t="str">
        <f>IF(G1270=0,"edit"," ")</f>
        <v xml:space="preserve"> </v>
      </c>
    </row>
    <row r="1271">
      <c r="C1271" t="str">
        <f>'Isi Data'!B143</f>
        <v>Isolasi</v>
      </c>
      <c r="E1271" t="str">
        <v>bh</v>
      </c>
      <c r="F1271">
        <v>0.25</v>
      </c>
      <c r="G1271">
        <f>SUMIF('Isi Data'!B$1:B$65536,SNI!C$1:C$65536,'Isi Data'!E$1:E$65536)</f>
        <v>5000</v>
      </c>
      <c r="H1271">
        <f>F1271*G1271</f>
        <v>1250</v>
      </c>
      <c r="M1271" t="str">
        <f>IF(G1271=0,"edit"," ")</f>
        <v xml:space="preserve"> </v>
      </c>
    </row>
    <row r="1272">
      <c r="C1272" t="str">
        <f>'Isi Data'!B168</f>
        <v>Pekerja</v>
      </c>
      <c r="E1272" t="str">
        <v>org/hr</v>
      </c>
      <c r="F1272">
        <v>0.1</v>
      </c>
      <c r="G1272">
        <f>SUMIF('Isi Data'!B$1:B$65536,SNI!C$1:C$65536,'Isi Data'!E$1:E$65536)</f>
        <v>40000</v>
      </c>
      <c r="I1272">
        <f>F1272*G1272</f>
        <v>4000</v>
      </c>
      <c r="M1272" t="str">
        <f>IF(G1272=0,"edit"," ")</f>
        <v xml:space="preserve"> </v>
      </c>
    </row>
    <row r="1273">
      <c r="C1273" t="str">
        <f>'Isi Data'!B166</f>
        <v>Tukang Listrik</v>
      </c>
      <c r="E1273" t="str">
        <v>org/hr</v>
      </c>
      <c r="F1273">
        <v>0.1</v>
      </c>
      <c r="G1273">
        <f>SUMIF('Isi Data'!B$1:B$65536,SNI!C$1:C$65536,'Isi Data'!E$1:E$65536)</f>
        <v>55000</v>
      </c>
      <c r="I1273">
        <f>F1273*G1273</f>
        <v>5500</v>
      </c>
      <c r="M1273" t="str">
        <f>IF(G1273=0,"edit"," ")</f>
        <v xml:space="preserve"> </v>
      </c>
    </row>
    <row r="1274">
      <c r="C1274" t="str">
        <f>'Isi Data'!B167</f>
        <v>Kepala Tukang Listrik</v>
      </c>
      <c r="E1274" t="str">
        <v>org/hr</v>
      </c>
      <c r="F1274">
        <v>0.05</v>
      </c>
      <c r="G1274">
        <f>SUMIF('Isi Data'!B$1:B$65536,SNI!C$1:C$65536,'Isi Data'!E$1:E$65536)</f>
        <v>60000</v>
      </c>
      <c r="I1274">
        <f>F1274*G1274</f>
        <v>3000</v>
      </c>
      <c r="M1274" t="str">
        <f>IF(G1274=0,"edit"," ")</f>
        <v xml:space="preserve"> </v>
      </c>
    </row>
    <row r="1275">
      <c r="C1275" t="str">
        <f>'Isi Data'!B169</f>
        <v xml:space="preserve">Mandor </v>
      </c>
      <c r="E1275" t="str">
        <v>org/hr</v>
      </c>
      <c r="F1275">
        <v>0.025</v>
      </c>
      <c r="G1275">
        <f>SUMIF('Isi Data'!B$1:B$65536,SNI!C$1:C$65536,'Isi Data'!E$1:E$65536)</f>
        <v>50000</v>
      </c>
      <c r="I1275">
        <f>F1275*G1275</f>
        <v>1250</v>
      </c>
      <c r="M1275" t="str">
        <f>IF(G1275=0,"edit"," ")</f>
        <v xml:space="preserve"> </v>
      </c>
    </row>
    <row r="1277">
      <c r="A1277" t="str">
        <v>BH</v>
      </c>
      <c r="B1277" t="str">
        <v>BH</v>
      </c>
      <c r="C1277" t="str">
        <v>Pas. Stop kontak</v>
      </c>
      <c r="H1277">
        <f>SUM(H1278:H1284)</f>
        <v>14750</v>
      </c>
      <c r="I1277">
        <f>SUM(I1278:I1284)</f>
        <v>13750</v>
      </c>
      <c r="J1277">
        <f>$J$3</f>
        <v>0.1</v>
      </c>
      <c r="K1277">
        <f>SUM(H1277:I1277)*(1+J1277)</f>
        <v>31350.000000000004</v>
      </c>
      <c r="L1277">
        <f>ROUND(K1277,-2)</f>
        <v>31400</v>
      </c>
    </row>
    <row r="1278">
      <c r="C1278" t="str">
        <f>'Isi Data'!B146</f>
        <v>Stop kontak</v>
      </c>
      <c r="E1278" t="str">
        <v>bh</v>
      </c>
      <c r="F1278">
        <v>1</v>
      </c>
      <c r="G1278">
        <f>SUMIF('Isi Data'!B$1:B$65536,SNI!C$1:C$65536,'Isi Data'!E$1:E$65536)</f>
        <v>12500</v>
      </c>
      <c r="H1278">
        <f>F1278*G1278</f>
        <v>12500</v>
      </c>
    </row>
    <row r="1279">
      <c r="C1279" t="str">
        <v>Mangkok Listrik</v>
      </c>
      <c r="E1279" t="str">
        <v>bh</v>
      </c>
      <c r="F1279">
        <v>1</v>
      </c>
      <c r="G1279">
        <f>IF(G1284=0,0,1000)</f>
        <v>1000</v>
      </c>
      <c r="H1279">
        <f>F1279*G1279</f>
        <v>1000</v>
      </c>
    </row>
    <row r="1280">
      <c r="C1280" t="str">
        <f>'Isi Data'!B143</f>
        <v>Isolasi</v>
      </c>
      <c r="E1280" t="str">
        <v>bh</v>
      </c>
      <c r="F1280">
        <v>0.25</v>
      </c>
      <c r="G1280">
        <f>SUMIF('Isi Data'!B$1:B$65536,SNI!C$1:C$65536,'Isi Data'!E$1:E$65536)</f>
        <v>5000</v>
      </c>
      <c r="H1280">
        <f>F1280*G1280</f>
        <v>1250</v>
      </c>
    </row>
    <row r="1281">
      <c r="C1281" t="str">
        <f>'Isi Data'!B168</f>
        <v>Pekerja</v>
      </c>
      <c r="E1281" t="str">
        <v>org/hr</v>
      </c>
      <c r="F1281">
        <v>0.1</v>
      </c>
      <c r="G1281">
        <f>SUMIF('Isi Data'!B$1:B$65536,SNI!C$1:C$65536,'Isi Data'!E$1:E$65536)</f>
        <v>40000</v>
      </c>
      <c r="I1281">
        <f>F1281*G1281</f>
        <v>4000</v>
      </c>
    </row>
    <row r="1282">
      <c r="C1282" t="str">
        <f>'Isi Data'!B166</f>
        <v>Tukang Listrik</v>
      </c>
      <c r="E1282" t="str">
        <v>org/hr</v>
      </c>
      <c r="F1282">
        <v>0.1</v>
      </c>
      <c r="G1282">
        <f>SUMIF('Isi Data'!B$1:B$65536,SNI!C$1:C$65536,'Isi Data'!E$1:E$65536)</f>
        <v>55000</v>
      </c>
      <c r="I1282">
        <f>F1282*G1282</f>
        <v>5500</v>
      </c>
    </row>
    <row r="1283">
      <c r="C1283" t="str">
        <f>'Isi Data'!B167</f>
        <v>Kepala Tukang Listrik</v>
      </c>
      <c r="E1283" t="str">
        <v>org/hr</v>
      </c>
      <c r="F1283">
        <v>0.05</v>
      </c>
      <c r="G1283">
        <f>SUMIF('Isi Data'!B$1:B$65536,SNI!C$1:C$65536,'Isi Data'!E$1:E$65536)</f>
        <v>60000</v>
      </c>
      <c r="I1283">
        <f>F1283*G1283</f>
        <v>3000</v>
      </c>
    </row>
    <row r="1284">
      <c r="C1284" t="str">
        <f>'Isi Data'!B169</f>
        <v xml:space="preserve">Mandor </v>
      </c>
      <c r="E1284" t="str">
        <v>org/hr</v>
      </c>
      <c r="F1284">
        <v>0.025</v>
      </c>
      <c r="G1284">
        <f>SUMIF('Isi Data'!B$1:B$65536,SNI!C$1:C$65536,'Isi Data'!E$1:E$65536)</f>
        <v>50000</v>
      </c>
      <c r="I1284">
        <f>F1284*G1284</f>
        <v>1250</v>
      </c>
    </row>
    <row r="1286">
      <c r="A1286" t="str">
        <v>BH</v>
      </c>
      <c r="B1286" t="str">
        <v>BH</v>
      </c>
      <c r="C1286" t="str">
        <v>Pas. Outlet TV</v>
      </c>
      <c r="H1286">
        <f>SUM(H1287:H1293)</f>
        <v>45825</v>
      </c>
      <c r="I1286">
        <f>SUM(I1287:I1293)</f>
        <v>13750</v>
      </c>
      <c r="J1286">
        <f>$J$3</f>
        <v>0.1</v>
      </c>
      <c r="K1286">
        <f>SUM(H1286:I1286)*(1+J1286)</f>
        <v>65532.50000000001</v>
      </c>
      <c r="L1286">
        <f>ROUND(K1286,-2)</f>
        <v>65500</v>
      </c>
    </row>
    <row r="1287">
      <c r="C1287" t="str">
        <f>'Isi Data'!B147</f>
        <v>Outlet TV</v>
      </c>
      <c r="E1287" t="str">
        <v>bh</v>
      </c>
      <c r="F1287">
        <v>1</v>
      </c>
      <c r="G1287">
        <f>SUMIF('Isi Data'!B$1:B$65536,SNI!C$1:C$65536,'Isi Data'!E$1:E$65536)</f>
        <v>43575</v>
      </c>
      <c r="H1287">
        <f>F1287*G1287</f>
        <v>43575</v>
      </c>
    </row>
    <row r="1288">
      <c r="C1288" t="str">
        <v>Mangkok Listrik</v>
      </c>
      <c r="E1288" t="str">
        <v>bh</v>
      </c>
      <c r="F1288">
        <v>1</v>
      </c>
      <c r="G1288">
        <f>IF(G1293=0,0,1000)</f>
        <v>1000</v>
      </c>
      <c r="H1288">
        <f>F1288*G1288</f>
        <v>1000</v>
      </c>
    </row>
    <row r="1289">
      <c r="C1289" t="str">
        <f>'Isi Data'!B143</f>
        <v>Isolasi</v>
      </c>
      <c r="E1289" t="str">
        <v>bh</v>
      </c>
      <c r="F1289">
        <v>0.25</v>
      </c>
      <c r="G1289">
        <f>SUMIF('Isi Data'!B$1:B$65536,SNI!C$1:C$65536,'Isi Data'!E$1:E$65536)</f>
        <v>5000</v>
      </c>
      <c r="H1289">
        <f>F1289*G1289</f>
        <v>1250</v>
      </c>
    </row>
    <row r="1290">
      <c r="C1290" t="str">
        <f>'Isi Data'!B168</f>
        <v>Pekerja</v>
      </c>
      <c r="E1290" t="str">
        <v>org/hr</v>
      </c>
      <c r="F1290">
        <v>0.1</v>
      </c>
      <c r="G1290">
        <f>SUMIF('Isi Data'!B$1:B$65536,SNI!C$1:C$65536,'Isi Data'!E$1:E$65536)</f>
        <v>40000</v>
      </c>
      <c r="I1290">
        <f>F1290*G1290</f>
        <v>4000</v>
      </c>
    </row>
    <row r="1291">
      <c r="C1291" t="str">
        <f>'Isi Data'!B166</f>
        <v>Tukang Listrik</v>
      </c>
      <c r="E1291" t="str">
        <v>org/hr</v>
      </c>
      <c r="F1291">
        <v>0.1</v>
      </c>
      <c r="G1291">
        <f>SUMIF('Isi Data'!B$1:B$65536,SNI!C$1:C$65536,'Isi Data'!E$1:E$65536)</f>
        <v>55000</v>
      </c>
      <c r="I1291">
        <f>F1291*G1291</f>
        <v>5500</v>
      </c>
    </row>
    <row r="1292">
      <c r="C1292" t="str">
        <f>'Isi Data'!B167</f>
        <v>Kepala Tukang Listrik</v>
      </c>
      <c r="E1292" t="str">
        <v>org/hr</v>
      </c>
      <c r="F1292">
        <v>0.05</v>
      </c>
      <c r="G1292">
        <f>SUMIF('Isi Data'!B$1:B$65536,SNI!C$1:C$65536,'Isi Data'!E$1:E$65536)</f>
        <v>60000</v>
      </c>
      <c r="I1292">
        <f>F1292*G1292</f>
        <v>3000</v>
      </c>
    </row>
    <row r="1293">
      <c r="C1293" t="str">
        <f>'Isi Data'!B169</f>
        <v xml:space="preserve">Mandor </v>
      </c>
      <c r="E1293" t="str">
        <v>org/hr</v>
      </c>
      <c r="F1293">
        <v>0.025</v>
      </c>
      <c r="G1293">
        <f>SUMIF('Isi Data'!B$1:B$65536,SNI!C$1:C$65536,'Isi Data'!E$1:E$65536)</f>
        <v>50000</v>
      </c>
      <c r="I1293">
        <f>F1293*G1293</f>
        <v>1250</v>
      </c>
    </row>
    <row r="1295">
      <c r="A1295" t="str">
        <v>BH</v>
      </c>
      <c r="B1295" t="str">
        <v>BH</v>
      </c>
      <c r="C1295" t="str">
        <v>Pas. Outlet telephone</v>
      </c>
      <c r="H1295">
        <f>SUM(H1296:H1302)</f>
        <v>45825</v>
      </c>
      <c r="I1295">
        <f>SUM(I1296:I1302)</f>
        <v>13750</v>
      </c>
      <c r="J1295">
        <f>$J$3</f>
        <v>0.1</v>
      </c>
      <c r="K1295">
        <f>SUM(H1295:I1295)*(1+J1295)</f>
        <v>65532.50000000001</v>
      </c>
      <c r="L1295">
        <f>ROUND(K1295,-2)</f>
        <v>65500</v>
      </c>
    </row>
    <row r="1296">
      <c r="C1296" t="str">
        <f>'Isi Data'!B148</f>
        <v>Outlet Telephone</v>
      </c>
      <c r="E1296" t="str">
        <v>bh</v>
      </c>
      <c r="F1296">
        <v>1</v>
      </c>
      <c r="G1296">
        <f>SUMIF('Isi Data'!B$1:B$65536,SNI!C$1:C$65536,'Isi Data'!E$1:E$65536)</f>
        <v>43575</v>
      </c>
      <c r="H1296">
        <f>F1296*G1296</f>
        <v>43575</v>
      </c>
      <c r="M1296" t="str">
        <f>IF(G1296=0,"edit"," ")</f>
        <v xml:space="preserve"> </v>
      </c>
    </row>
    <row r="1297">
      <c r="C1297" t="str">
        <v>Mangkok Listrik</v>
      </c>
      <c r="E1297" t="str">
        <v>bh</v>
      </c>
      <c r="F1297">
        <v>1</v>
      </c>
      <c r="G1297">
        <f>IF(G1302=0,0,1000)</f>
        <v>1000</v>
      </c>
      <c r="H1297">
        <f>F1297*G1297</f>
        <v>1000</v>
      </c>
      <c r="M1297" t="str">
        <f>IF(G1297=0,"edit"," ")</f>
        <v xml:space="preserve"> </v>
      </c>
    </row>
    <row r="1298">
      <c r="C1298" t="str">
        <f>'Isi Data'!B143</f>
        <v>Isolasi</v>
      </c>
      <c r="E1298" t="str">
        <v>bh</v>
      </c>
      <c r="F1298">
        <v>0.25</v>
      </c>
      <c r="G1298">
        <f>SUMIF('Isi Data'!B$1:B$65536,SNI!C$1:C$65536,'Isi Data'!E$1:E$65536)</f>
        <v>5000</v>
      </c>
      <c r="H1298">
        <f>F1298*G1298</f>
        <v>1250</v>
      </c>
      <c r="M1298" t="str">
        <f>IF(G1298=0,"edit"," ")</f>
        <v xml:space="preserve"> </v>
      </c>
    </row>
    <row r="1299">
      <c r="C1299" t="str">
        <f>'Isi Data'!B168</f>
        <v>Pekerja</v>
      </c>
      <c r="E1299" t="str">
        <v>org/hr</v>
      </c>
      <c r="F1299">
        <v>0.1</v>
      </c>
      <c r="G1299">
        <f>SUMIF('Isi Data'!B$1:B$65536,SNI!C$1:C$65536,'Isi Data'!E$1:E$65536)</f>
        <v>40000</v>
      </c>
      <c r="I1299">
        <f>F1299*G1299</f>
        <v>4000</v>
      </c>
      <c r="M1299" t="str">
        <f>IF(G1299=0,"edit"," ")</f>
        <v xml:space="preserve"> </v>
      </c>
    </row>
    <row r="1300">
      <c r="C1300" t="str">
        <f>'Isi Data'!B166</f>
        <v>Tukang Listrik</v>
      </c>
      <c r="E1300" t="str">
        <v>org/hr</v>
      </c>
      <c r="F1300">
        <v>0.1</v>
      </c>
      <c r="G1300">
        <f>SUMIF('Isi Data'!B$1:B$65536,SNI!C$1:C$65536,'Isi Data'!E$1:E$65536)</f>
        <v>55000</v>
      </c>
      <c r="I1300">
        <f>F1300*G1300</f>
        <v>5500</v>
      </c>
      <c r="M1300" t="str">
        <f>IF(G1300=0,"edit"," ")</f>
        <v xml:space="preserve"> </v>
      </c>
    </row>
    <row r="1301">
      <c r="C1301" t="str">
        <f>'Isi Data'!B167</f>
        <v>Kepala Tukang Listrik</v>
      </c>
      <c r="E1301" t="str">
        <v>org/hr</v>
      </c>
      <c r="F1301">
        <v>0.05</v>
      </c>
      <c r="G1301">
        <f>SUMIF('Isi Data'!B$1:B$65536,SNI!C$1:C$65536,'Isi Data'!E$1:E$65536)</f>
        <v>60000</v>
      </c>
      <c r="I1301">
        <f>F1301*G1301</f>
        <v>3000</v>
      </c>
      <c r="M1301" t="str">
        <f>IF(G1301=0,"edit"," ")</f>
        <v xml:space="preserve"> </v>
      </c>
    </row>
    <row r="1302">
      <c r="C1302" t="str">
        <f>'Isi Data'!B169</f>
        <v xml:space="preserve">Mandor </v>
      </c>
      <c r="E1302" t="str">
        <v>org/hr</v>
      </c>
      <c r="F1302">
        <v>0.025</v>
      </c>
      <c r="G1302">
        <f>SUMIF('Isi Data'!B$1:B$65536,SNI!C$1:C$65536,'Isi Data'!E$1:E$65536)</f>
        <v>50000</v>
      </c>
      <c r="I1302">
        <f>F1302*G1302</f>
        <v>1250</v>
      </c>
      <c r="M1302" t="str">
        <f>IF(G1302=0,"edit"," ")</f>
        <v xml:space="preserve"> </v>
      </c>
    </row>
    <row r="1304">
      <c r="A1304" t="str">
        <v>BH</v>
      </c>
      <c r="B1304" t="str">
        <v>BH</v>
      </c>
      <c r="C1304" t="str">
        <v>Pas. Outlet exhausefan</v>
      </c>
      <c r="H1304">
        <f>SUM(H1305:H1311)</f>
        <v>3250</v>
      </c>
      <c r="I1304">
        <f>SUM(I1305:I1311)</f>
        <v>13750</v>
      </c>
      <c r="J1304">
        <f>$J$3</f>
        <v>0.1</v>
      </c>
      <c r="K1304">
        <f>SUM(H1304:I1304)*(1+J1304)</f>
        <v>18700</v>
      </c>
      <c r="L1304">
        <f>ROUND(K1304,-2)</f>
        <v>18700</v>
      </c>
    </row>
    <row r="1305">
      <c r="C1305" t="str">
        <v>Outlet exhausefan</v>
      </c>
      <c r="E1305" t="str">
        <v>bh</v>
      </c>
      <c r="F1305">
        <v>1</v>
      </c>
      <c r="G1305">
        <f>IF(G1311=0,0,1000)</f>
        <v>1000</v>
      </c>
      <c r="H1305">
        <f>F1305*G1305</f>
        <v>1000</v>
      </c>
    </row>
    <row r="1306">
      <c r="C1306" t="str">
        <v>Mangkok Listrik</v>
      </c>
      <c r="E1306" t="str">
        <v>bh</v>
      </c>
      <c r="F1306">
        <v>1</v>
      </c>
      <c r="G1306">
        <f>IF(G1311=0,0,1000)</f>
        <v>1000</v>
      </c>
      <c r="H1306">
        <f>F1306*G1306</f>
        <v>1000</v>
      </c>
    </row>
    <row r="1307">
      <c r="C1307" t="str">
        <f>'Isi Data'!B143</f>
        <v>Isolasi</v>
      </c>
      <c r="E1307" t="str">
        <v>bh</v>
      </c>
      <c r="F1307">
        <v>0.25</v>
      </c>
      <c r="G1307">
        <f>SUMIF('Isi Data'!B$1:B$65536,SNI!C$1:C$65536,'Isi Data'!E$1:E$65536)</f>
        <v>5000</v>
      </c>
      <c r="H1307">
        <f>F1307*G1307</f>
        <v>1250</v>
      </c>
    </row>
    <row r="1308">
      <c r="C1308" t="str">
        <f>'Isi Data'!B168</f>
        <v>Pekerja</v>
      </c>
      <c r="E1308" t="str">
        <v>org/hr</v>
      </c>
      <c r="F1308">
        <v>0.1</v>
      </c>
      <c r="G1308">
        <f>SUMIF('Isi Data'!B$1:B$65536,SNI!C$1:C$65536,'Isi Data'!E$1:E$65536)</f>
        <v>40000</v>
      </c>
      <c r="I1308">
        <f>F1308*G1308</f>
        <v>4000</v>
      </c>
    </row>
    <row r="1309">
      <c r="C1309" t="str">
        <f>'Isi Data'!B166</f>
        <v>Tukang Listrik</v>
      </c>
      <c r="E1309" t="str">
        <v>org/hr</v>
      </c>
      <c r="F1309">
        <v>0.1</v>
      </c>
      <c r="G1309">
        <f>SUMIF('Isi Data'!B$1:B$65536,SNI!C$1:C$65536,'Isi Data'!E$1:E$65536)</f>
        <v>55000</v>
      </c>
      <c r="I1309">
        <f>F1309*G1309</f>
        <v>5500</v>
      </c>
    </row>
    <row r="1310">
      <c r="C1310" t="str">
        <f>'Isi Data'!B167</f>
        <v>Kepala Tukang Listrik</v>
      </c>
      <c r="E1310" t="str">
        <v>org/hr</v>
      </c>
      <c r="F1310">
        <v>0.05</v>
      </c>
      <c r="G1310">
        <f>SUMIF('Isi Data'!B$1:B$65536,SNI!C$1:C$65536,'Isi Data'!E$1:E$65536)</f>
        <v>60000</v>
      </c>
      <c r="I1310">
        <f>F1310*G1310</f>
        <v>3000</v>
      </c>
    </row>
    <row r="1311">
      <c r="C1311" t="str">
        <f>'Isi Data'!B169</f>
        <v xml:space="preserve">Mandor </v>
      </c>
      <c r="E1311" t="str">
        <v>org/hr</v>
      </c>
      <c r="F1311">
        <v>0.025</v>
      </c>
      <c r="G1311">
        <f>SUMIF('Isi Data'!B$1:B$65536,SNI!C$1:C$65536,'Isi Data'!E$1:E$65536)</f>
        <v>50000</v>
      </c>
      <c r="I1311">
        <f>F1311*G1311</f>
        <v>1250</v>
      </c>
    </row>
    <row r="1313">
      <c r="A1313" t="str">
        <v>BH</v>
      </c>
      <c r="B1313" t="str">
        <v>BH</v>
      </c>
      <c r="C1313" t="str">
        <v>Pas. Down light &amp; PLC 13 W</v>
      </c>
      <c r="H1313">
        <f>SUM(H1314:H1319)</f>
        <v>174710</v>
      </c>
      <c r="I1313">
        <f>SUM(I1314:I1319)</f>
        <v>13750</v>
      </c>
      <c r="J1313">
        <f>$J$3</f>
        <v>0.1</v>
      </c>
      <c r="K1313">
        <f>SUM(H1313:I1313)*(1+J1313)</f>
        <v>207306.00000000003</v>
      </c>
      <c r="L1313">
        <f>ROUND(K1313,-2)</f>
        <v>207300</v>
      </c>
    </row>
    <row r="1314">
      <c r="C1314" t="str">
        <f>'Isi Data'!B149</f>
        <v>Down light / PLC 13 W</v>
      </c>
      <c r="D1314" t="str">
        <v xml:space="preserve">ex </v>
      </c>
      <c r="E1314" t="str">
        <v>bh</v>
      </c>
      <c r="F1314">
        <v>1</v>
      </c>
      <c r="G1314">
        <f>SUMIF('Isi Data'!B$1:B$65536,SNI!C$1:C$65536,'Isi Data'!E$1:E$65536)</f>
        <v>173460</v>
      </c>
      <c r="H1314">
        <f>F1314*G1314</f>
        <v>173460</v>
      </c>
    </row>
    <row r="1315">
      <c r="C1315" t="str">
        <f>'Isi Data'!B143</f>
        <v>Isolasi</v>
      </c>
      <c r="E1315" t="str">
        <v>bh</v>
      </c>
      <c r="F1315">
        <v>0.25</v>
      </c>
      <c r="G1315">
        <f>SUMIF('Isi Data'!B$1:B$65536,SNI!C$1:C$65536,'Isi Data'!E$1:E$65536)</f>
        <v>5000</v>
      </c>
      <c r="H1315">
        <f>F1315*G1315</f>
        <v>1250</v>
      </c>
    </row>
    <row r="1316">
      <c r="C1316" t="str">
        <f>'Isi Data'!B168</f>
        <v>Pekerja</v>
      </c>
      <c r="E1316" t="str">
        <v>org/hr</v>
      </c>
      <c r="F1316">
        <v>0.1</v>
      </c>
      <c r="G1316">
        <f>SUMIF('Isi Data'!B$1:B$65536,SNI!C$1:C$65536,'Isi Data'!E$1:E$65536)</f>
        <v>40000</v>
      </c>
      <c r="I1316">
        <f>F1316*G1316</f>
        <v>4000</v>
      </c>
    </row>
    <row r="1317">
      <c r="C1317" t="str">
        <f>'Isi Data'!B166</f>
        <v>Tukang Listrik</v>
      </c>
      <c r="E1317" t="str">
        <v>org/hr</v>
      </c>
      <c r="F1317">
        <v>0.1</v>
      </c>
      <c r="G1317">
        <f>SUMIF('Isi Data'!B$1:B$65536,SNI!C$1:C$65536,'Isi Data'!E$1:E$65536)</f>
        <v>55000</v>
      </c>
      <c r="I1317">
        <f>F1317*G1317</f>
        <v>5500</v>
      </c>
    </row>
    <row r="1318">
      <c r="C1318" t="str">
        <f>'Isi Data'!B167</f>
        <v>Kepala Tukang Listrik</v>
      </c>
      <c r="E1318" t="str">
        <v>org/hr</v>
      </c>
      <c r="F1318">
        <v>0.05</v>
      </c>
      <c r="G1318">
        <f>SUMIF('Isi Data'!B$1:B$65536,SNI!C$1:C$65536,'Isi Data'!E$1:E$65536)</f>
        <v>60000</v>
      </c>
      <c r="I1318">
        <f>F1318*G1318</f>
        <v>3000</v>
      </c>
    </row>
    <row r="1319">
      <c r="C1319" t="str">
        <f>'Isi Data'!B169</f>
        <v xml:space="preserve">Mandor </v>
      </c>
      <c r="E1319" t="str">
        <v>org/hr</v>
      </c>
      <c r="F1319">
        <v>0.025</v>
      </c>
      <c r="G1319">
        <f>SUMIF('Isi Data'!B$1:B$65536,SNI!C$1:C$65536,'Isi Data'!E$1:E$65536)</f>
        <v>50000</v>
      </c>
      <c r="I1319">
        <f>F1319*G1319</f>
        <v>1250</v>
      </c>
    </row>
    <row r="1321">
      <c r="A1321" t="str">
        <v>BH</v>
      </c>
      <c r="B1321" t="str">
        <v>BH</v>
      </c>
      <c r="C1321" t="str">
        <v>Pas. Fitting plafond + Lampu SL</v>
      </c>
      <c r="H1321">
        <f>SUM(H1322:H1327)</f>
        <v>76250</v>
      </c>
      <c r="I1321">
        <f>SUM(I1322:I1327)</f>
        <v>13750</v>
      </c>
      <c r="J1321">
        <f>$J$3</f>
        <v>0.1</v>
      </c>
      <c r="K1321">
        <f>SUM(H1321:I1321)*(1+J1321)</f>
        <v>99000.00000000001</v>
      </c>
      <c r="L1321">
        <f>ROUND(K1321,-2)</f>
        <v>99000</v>
      </c>
    </row>
    <row r="1322">
      <c r="C1322" t="str">
        <f>'Isi Data'!B150</f>
        <v>Fitting plafond + lampu SL</v>
      </c>
      <c r="D1322" t="str">
        <v xml:space="preserve">ex </v>
      </c>
      <c r="E1322" t="str">
        <v>bh</v>
      </c>
      <c r="F1322">
        <v>1</v>
      </c>
      <c r="G1322">
        <f>SUMIF('Isi Data'!B$1:B$65536,SNI!C$1:C$65536,'Isi Data'!E$1:E$65536)</f>
        <v>75000</v>
      </c>
      <c r="H1322">
        <f>F1322*G1322</f>
        <v>75000</v>
      </c>
      <c r="M1322" t="str">
        <f>IF(G1322=0,"edit"," ")</f>
        <v xml:space="preserve"> </v>
      </c>
    </row>
    <row r="1323">
      <c r="C1323" t="str">
        <f>'Isi Data'!B143</f>
        <v>Isolasi</v>
      </c>
      <c r="E1323" t="str">
        <v>bh</v>
      </c>
      <c r="F1323">
        <v>0.25</v>
      </c>
      <c r="G1323">
        <f>SUMIF('Isi Data'!B$1:B$65536,SNI!C$1:C$65536,'Isi Data'!E$1:E$65536)</f>
        <v>5000</v>
      </c>
      <c r="H1323">
        <f>F1323*G1323</f>
        <v>1250</v>
      </c>
      <c r="M1323" t="str">
        <f>IF(G1323=0,"edit"," ")</f>
        <v xml:space="preserve"> </v>
      </c>
    </row>
    <row r="1324">
      <c r="C1324" t="str">
        <f>'Isi Data'!B168</f>
        <v>Pekerja</v>
      </c>
      <c r="E1324" t="str">
        <v>org/hr</v>
      </c>
      <c r="F1324">
        <v>0.1</v>
      </c>
      <c r="G1324">
        <f>SUMIF('Isi Data'!B$1:B$65536,SNI!C$1:C$65536,'Isi Data'!E$1:E$65536)</f>
        <v>40000</v>
      </c>
      <c r="I1324">
        <f>F1324*G1324</f>
        <v>4000</v>
      </c>
      <c r="M1324" t="str">
        <f>IF(G1324=0,"edit"," ")</f>
        <v xml:space="preserve"> </v>
      </c>
    </row>
    <row r="1325">
      <c r="C1325" t="str">
        <f>'Isi Data'!B166</f>
        <v>Tukang Listrik</v>
      </c>
      <c r="E1325" t="str">
        <v>org/hr</v>
      </c>
      <c r="F1325">
        <v>0.1</v>
      </c>
      <c r="G1325">
        <f>SUMIF('Isi Data'!B$1:B$65536,SNI!C$1:C$65536,'Isi Data'!E$1:E$65536)</f>
        <v>55000</v>
      </c>
      <c r="I1325">
        <f>F1325*G1325</f>
        <v>5500</v>
      </c>
      <c r="M1325" t="str">
        <f>IF(G1325=0,"edit"," ")</f>
        <v xml:space="preserve"> </v>
      </c>
    </row>
    <row r="1326">
      <c r="C1326" t="str">
        <f>'Isi Data'!B167</f>
        <v>Kepala Tukang Listrik</v>
      </c>
      <c r="E1326" t="str">
        <v>org/hr</v>
      </c>
      <c r="F1326">
        <v>0.05</v>
      </c>
      <c r="G1326">
        <f>SUMIF('Isi Data'!B$1:B$65536,SNI!C$1:C$65536,'Isi Data'!E$1:E$65536)</f>
        <v>60000</v>
      </c>
      <c r="I1326">
        <f>F1326*G1326</f>
        <v>3000</v>
      </c>
      <c r="M1326" t="str">
        <f>IF(G1326=0,"edit"," ")</f>
        <v xml:space="preserve"> </v>
      </c>
    </row>
    <row r="1327">
      <c r="C1327" t="str">
        <f>'Isi Data'!B169</f>
        <v xml:space="preserve">Mandor </v>
      </c>
      <c r="E1327" t="str">
        <v>org/hr</v>
      </c>
      <c r="F1327">
        <v>0.025</v>
      </c>
      <c r="G1327">
        <f>SUMIF('Isi Data'!B$1:B$65536,SNI!C$1:C$65536,'Isi Data'!E$1:E$65536)</f>
        <v>50000</v>
      </c>
      <c r="I1327">
        <f>F1327*G1327</f>
        <v>1250</v>
      </c>
      <c r="M1327" t="str">
        <f>IF(G1327=0,"edit"," ")</f>
        <v xml:space="preserve"> </v>
      </c>
    </row>
    <row r="1329">
      <c r="A1329" t="str">
        <v>BH</v>
      </c>
      <c r="B1329" t="str">
        <v>BH</v>
      </c>
      <c r="C1329" t="str">
        <v>Pas. Lampu TL 2 x 18 watt grille</v>
      </c>
      <c r="H1329">
        <f>SUM(H1330:H1335)</f>
        <v>251250</v>
      </c>
      <c r="I1329">
        <f>SUM(I1330:I1335)</f>
        <v>13750</v>
      </c>
      <c r="J1329">
        <f>$J$3</f>
        <v>0.1</v>
      </c>
      <c r="K1329">
        <f>SUM(H1329:I1329)*(1+J1329)</f>
        <v>291500</v>
      </c>
      <c r="L1329">
        <f>ROUND(K1329,-2)</f>
        <v>291500</v>
      </c>
    </row>
    <row r="1330">
      <c r="C1330" t="str">
        <f>'Isi Data'!B151</f>
        <v>Lampu TL 2 x 18 watt grille</v>
      </c>
      <c r="D1330" t="str">
        <v xml:space="preserve">ex </v>
      </c>
      <c r="E1330" t="str">
        <v>bh</v>
      </c>
      <c r="F1330">
        <v>1</v>
      </c>
      <c r="G1330">
        <f>SUMIF('Isi Data'!B$1:B$65536,SNI!C$1:C$65536,'Isi Data'!E$1:E$65536)</f>
        <v>250000</v>
      </c>
      <c r="H1330">
        <f>F1330*G1330</f>
        <v>250000</v>
      </c>
    </row>
    <row r="1331">
      <c r="C1331" t="str">
        <f>'Isi Data'!B143</f>
        <v>Isolasi</v>
      </c>
      <c r="E1331" t="str">
        <v>bh</v>
      </c>
      <c r="F1331">
        <v>0.25</v>
      </c>
      <c r="G1331">
        <f>SUMIF('Isi Data'!B$1:B$65536,SNI!C$1:C$65536,'Isi Data'!E$1:E$65536)</f>
        <v>5000</v>
      </c>
      <c r="H1331">
        <f>F1331*G1331</f>
        <v>1250</v>
      </c>
    </row>
    <row r="1332">
      <c r="C1332" t="str">
        <f>'Isi Data'!B168</f>
        <v>Pekerja</v>
      </c>
      <c r="E1332" t="str">
        <v>org/hr</v>
      </c>
      <c r="F1332">
        <v>0.1</v>
      </c>
      <c r="G1332">
        <f>SUMIF('Isi Data'!B$1:B$65536,SNI!C$1:C$65536,'Isi Data'!E$1:E$65536)</f>
        <v>40000</v>
      </c>
      <c r="I1332">
        <f>F1332*G1332</f>
        <v>4000</v>
      </c>
    </row>
    <row r="1333">
      <c r="C1333" t="str">
        <f>'Isi Data'!B166</f>
        <v>Tukang Listrik</v>
      </c>
      <c r="E1333" t="str">
        <v>org/hr</v>
      </c>
      <c r="F1333">
        <v>0.1</v>
      </c>
      <c r="G1333">
        <f>SUMIF('Isi Data'!B$1:B$65536,SNI!C$1:C$65536,'Isi Data'!E$1:E$65536)</f>
        <v>55000</v>
      </c>
      <c r="I1333">
        <f>F1333*G1333</f>
        <v>5500</v>
      </c>
    </row>
    <row r="1334">
      <c r="C1334" t="str">
        <f>'Isi Data'!B167</f>
        <v>Kepala Tukang Listrik</v>
      </c>
      <c r="E1334" t="str">
        <v>org/hr</v>
      </c>
      <c r="F1334">
        <v>0.05</v>
      </c>
      <c r="G1334">
        <f>SUMIF('Isi Data'!B$1:B$65536,SNI!C$1:C$65536,'Isi Data'!E$1:E$65536)</f>
        <v>60000</v>
      </c>
      <c r="I1334">
        <f>F1334*G1334</f>
        <v>3000</v>
      </c>
    </row>
    <row r="1335">
      <c r="C1335" t="str">
        <f>'Isi Data'!B169</f>
        <v xml:space="preserve">Mandor </v>
      </c>
      <c r="E1335" t="str">
        <v>org/hr</v>
      </c>
      <c r="F1335">
        <v>0.025</v>
      </c>
      <c r="G1335">
        <f>SUMIF('Isi Data'!B$1:B$65536,SNI!C$1:C$65536,'Isi Data'!E$1:E$65536)</f>
        <v>50000</v>
      </c>
      <c r="I1335">
        <f>F1335*G1335</f>
        <v>1250</v>
      </c>
    </row>
    <row r="1337">
      <c r="A1337" t="str">
        <v>BH</v>
      </c>
      <c r="B1337" t="str">
        <v>BH</v>
      </c>
      <c r="C1337" t="str">
        <v>Pas. Lampu TL 2 x 36 watt grille</v>
      </c>
      <c r="H1337">
        <f>SUM(H1338:H1343)</f>
        <v>376250</v>
      </c>
      <c r="I1337">
        <f>SUM(I1338:I1343)</f>
        <v>13750</v>
      </c>
      <c r="J1337">
        <f>$J$3</f>
        <v>0.1</v>
      </c>
      <c r="K1337">
        <f>SUM(H1337:I1337)*(1+J1337)</f>
        <v>429000.00000000006</v>
      </c>
      <c r="L1337">
        <f>ROUND(K1337,-2)</f>
        <v>429000</v>
      </c>
    </row>
    <row r="1338">
      <c r="C1338" t="str">
        <f>'Isi Data'!B152</f>
        <v>Lampu TL 2 x 36 watt grille</v>
      </c>
      <c r="D1338" t="str">
        <v xml:space="preserve">ex </v>
      </c>
      <c r="E1338" t="str">
        <v>bh</v>
      </c>
      <c r="F1338">
        <v>1</v>
      </c>
      <c r="G1338">
        <f>SUMIF('Isi Data'!B$1:B$65536,SNI!C$1:C$65536,'Isi Data'!E$1:E$65536)</f>
        <v>375000</v>
      </c>
      <c r="H1338">
        <f>F1338*G1338</f>
        <v>375000</v>
      </c>
    </row>
    <row r="1339">
      <c r="C1339" t="str">
        <f>'Isi Data'!B143</f>
        <v>Isolasi</v>
      </c>
      <c r="E1339" t="str">
        <v>bh</v>
      </c>
      <c r="F1339">
        <v>0.25</v>
      </c>
      <c r="G1339">
        <f>SUMIF('Isi Data'!B$1:B$65536,SNI!C$1:C$65536,'Isi Data'!E$1:E$65536)</f>
        <v>5000</v>
      </c>
      <c r="H1339">
        <f>F1339*G1339</f>
        <v>1250</v>
      </c>
      <c r="M1339" t="str">
        <f>IF(G1339=0,"edit"," ")</f>
        <v xml:space="preserve"> </v>
      </c>
    </row>
    <row r="1340">
      <c r="C1340" t="str">
        <f>'Isi Data'!B168</f>
        <v>Pekerja</v>
      </c>
      <c r="E1340" t="str">
        <v>org/hr</v>
      </c>
      <c r="F1340">
        <v>0.1</v>
      </c>
      <c r="G1340">
        <f>SUMIF('Isi Data'!B$1:B$65536,SNI!C$1:C$65536,'Isi Data'!E$1:E$65536)</f>
        <v>40000</v>
      </c>
      <c r="I1340">
        <f>F1340*G1340</f>
        <v>4000</v>
      </c>
      <c r="M1340" t="str">
        <f>IF(G1340=0,"edit"," ")</f>
        <v xml:space="preserve"> </v>
      </c>
    </row>
    <row r="1341">
      <c r="C1341" t="str">
        <f>'Isi Data'!B166</f>
        <v>Tukang Listrik</v>
      </c>
      <c r="E1341" t="str">
        <v>org/hr</v>
      </c>
      <c r="F1341">
        <v>0.1</v>
      </c>
      <c r="G1341">
        <f>SUMIF('Isi Data'!B$1:B$65536,SNI!C$1:C$65536,'Isi Data'!E$1:E$65536)</f>
        <v>55000</v>
      </c>
      <c r="I1341">
        <f>F1341*G1341</f>
        <v>5500</v>
      </c>
      <c r="M1341" t="str">
        <f>IF(G1341=0,"edit"," ")</f>
        <v xml:space="preserve"> </v>
      </c>
    </row>
    <row r="1342">
      <c r="C1342" t="str">
        <f>'Isi Data'!B167</f>
        <v>Kepala Tukang Listrik</v>
      </c>
      <c r="E1342" t="str">
        <v>org/hr</v>
      </c>
      <c r="F1342">
        <v>0.05</v>
      </c>
      <c r="G1342">
        <f>SUMIF('Isi Data'!B$1:B$65536,SNI!C$1:C$65536,'Isi Data'!E$1:E$65536)</f>
        <v>60000</v>
      </c>
      <c r="I1342">
        <f>F1342*G1342</f>
        <v>3000</v>
      </c>
      <c r="M1342" t="str">
        <f>IF(G1342=0,"edit"," ")</f>
        <v xml:space="preserve"> </v>
      </c>
    </row>
    <row r="1343">
      <c r="C1343" t="str">
        <f>'Isi Data'!B169</f>
        <v xml:space="preserve">Mandor </v>
      </c>
      <c r="E1343" t="str">
        <v>org/hr</v>
      </c>
      <c r="F1343">
        <v>0.025</v>
      </c>
      <c r="G1343">
        <f>SUMIF('Isi Data'!B$1:B$65536,SNI!C$1:C$65536,'Isi Data'!E$1:E$65536)</f>
        <v>50000</v>
      </c>
      <c r="I1343">
        <f>F1343*G1343</f>
        <v>1250</v>
      </c>
      <c r="M1343" t="str">
        <f>IF(G1343=0,"edit"," ")</f>
        <v xml:space="preserve"> </v>
      </c>
    </row>
    <row r="1352">
      <c r="C1352" t="str">
        <v>Klem</v>
      </c>
      <c r="G1352">
        <f>SUMIF('Isi Data'!B$1:B$65536,SNI!C$1:C$65536,'Isi Data'!E$1:E$65536)</f>
        <v>0</v>
      </c>
    </row>
    <row r="1353">
      <c r="C1353" t="str">
        <v>Kabel Coax 3 c 75 ohm</v>
      </c>
    </row>
  </sheetData>
  <mergeCells count="14">
    <mergeCell ref="D591:D592"/>
    <mergeCell ref="D553:D554"/>
    <mergeCell ref="D572:D573"/>
    <mergeCell ref="D619:D620"/>
    <mergeCell ref="D609:D610"/>
    <mergeCell ref="D600:D601"/>
    <mergeCell ref="D562:D563"/>
    <mergeCell ref="D581:D582"/>
    <mergeCell ref="F4:F6"/>
    <mergeCell ref="G4:G6"/>
    <mergeCell ref="H4:I5"/>
    <mergeCell ref="D23:D24"/>
    <mergeCell ref="C4:D6"/>
    <mergeCell ref="E4:E6"/>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2021-03-19T08:05:35Z</dcterms:modified>
  <cp:lastModifiedBy>bhagas koro</cp:lastModifiedBy>
  <cp:lastPrinted>2016-03-23T01:49:37Z</cp:lastPrinted>
  <dc:creator>anditauri</dc:creator>
  <dc:subject>anditauri</dc:subject>
  <dc:title>hsbgn 2010</dc:title>
</cp:coreProperties>
</file>