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8915E44F-8421-D947-B088-E43F38C7D03A}" xr6:coauthVersionLast="45" xr6:coauthVersionMax="45" xr10:uidLastSave="{00000000-0000-0000-0000-000000000000}"/>
  <bookViews>
    <workbookView xWindow="0" yWindow="0" windowWidth="60160" windowHeight="33840" xr2:uid="{F3CA6A85-1115-7645-940B-AB59F541C353}"/>
  </bookViews>
  <sheets>
    <sheet name="Algorithm Analysis" sheetId="3" r:id="rId1"/>
    <sheet name="Speed Up Analysis" sheetId="1" r:id="rId2"/>
    <sheet name="OpenMP Test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E13" i="1"/>
  <c r="D13" i="1"/>
  <c r="E11" i="1"/>
  <c r="D11" i="1"/>
  <c r="E9" i="1"/>
  <c r="D9" i="1"/>
  <c r="H185" i="4"/>
  <c r="G185" i="4"/>
  <c r="F185" i="4"/>
  <c r="C185" i="4"/>
  <c r="C184" i="4"/>
  <c r="D185" i="4"/>
  <c r="D184" i="4"/>
  <c r="B185" i="4"/>
  <c r="L5" i="3"/>
  <c r="L6" i="3"/>
  <c r="L7" i="3"/>
  <c r="L9" i="3"/>
  <c r="L10" i="3"/>
  <c r="L11" i="3"/>
  <c r="L12" i="3"/>
  <c r="L13" i="3"/>
  <c r="L14" i="3"/>
  <c r="L15" i="3"/>
  <c r="L17" i="3"/>
  <c r="L18" i="3"/>
  <c r="L19" i="3"/>
  <c r="L20" i="3"/>
  <c r="L21" i="3"/>
  <c r="L22" i="3"/>
  <c r="L23" i="3"/>
  <c r="L24" i="3"/>
  <c r="L25" i="3"/>
  <c r="L27" i="3"/>
  <c r="L29" i="3"/>
  <c r="L30" i="3"/>
  <c r="L32" i="3"/>
  <c r="L33" i="3"/>
  <c r="L35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6" i="3"/>
  <c r="L89" i="3"/>
  <c r="L92" i="3"/>
  <c r="L93" i="3"/>
  <c r="L94" i="3"/>
  <c r="L95" i="3"/>
  <c r="L97" i="3"/>
  <c r="L98" i="3"/>
  <c r="L100" i="3"/>
  <c r="L101" i="3"/>
  <c r="L102" i="3"/>
  <c r="L4" i="3"/>
  <c r="K103" i="3"/>
  <c r="K102" i="3"/>
  <c r="K101" i="3"/>
  <c r="K100" i="3"/>
  <c r="K99" i="3"/>
  <c r="K98" i="3"/>
  <c r="K97" i="3"/>
  <c r="K96" i="3"/>
  <c r="K95" i="3"/>
  <c r="K94" i="3"/>
  <c r="K93" i="3"/>
  <c r="K89" i="3"/>
  <c r="K92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91" i="3"/>
  <c r="K90" i="3"/>
  <c r="K88" i="3"/>
  <c r="K4" i="3"/>
  <c r="B184" i="4" l="1"/>
  <c r="G184" i="4"/>
  <c r="F184" i="4"/>
  <c r="H184" i="4"/>
  <c r="I103" i="3" l="1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<sst xmlns="http://schemas.openxmlformats.org/spreadsheetml/2006/main" count="28" uniqueCount="25">
  <si>
    <t>Iteration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</si>
  <si>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</si>
  <si>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</si>
  <si>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</si>
  <si>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</si>
  <si>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</si>
  <si>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</si>
  <si>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No OpenMP</t>
  </si>
  <si>
    <t>Static</t>
  </si>
  <si>
    <t>Dynamic</t>
  </si>
  <si>
    <t>Communication Time</t>
  </si>
  <si>
    <t>Communication Time Per Iteration</t>
  </si>
  <si>
    <t>Encryption and Decryption Time Test Data</t>
  </si>
  <si>
    <t>Encryption Time</t>
  </si>
  <si>
    <t>Decryption Time</t>
  </si>
  <si>
    <t>Average Encryption Time</t>
  </si>
  <si>
    <t>Average Decryption Time</t>
  </si>
  <si>
    <t>Decryption Speedup</t>
  </si>
  <si>
    <t>Average Total Encryption and Decryption Time</t>
  </si>
  <si>
    <t>Total Speedup</t>
  </si>
  <si>
    <t>Number of Events for the Test Run</t>
  </si>
  <si>
    <t>Encryption Speedup</t>
  </si>
  <si>
    <t>OpenMP (Static scheduling)</t>
  </si>
  <si>
    <t>Serial</t>
  </si>
  <si>
    <t>OpenMP (Dynamic scheduling)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</si>
</sst>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70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170" fontId="0" fillId="2" borderId="1" xfId="0" applyNumberForma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'Algorithm Analysis'!$G$4:$G$103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'Algorithm Analysis'!$L$4:$L$103</c:f>
              <c:numCache>
                <c:formatCode>General</c:formatCode>
                <c:ptCount val="100"/>
                <c:pt idx="0">
                  <c:v>8.354700000000001E-2</c:v>
                </c:pt>
                <c:pt idx="1">
                  <c:v>4.75965E-2</c:v>
                </c:pt>
                <c:pt idx="2">
                  <c:v>2.5419000000000001E-2</c:v>
                </c:pt>
                <c:pt idx="3">
                  <c:v>3.9315499999999996E-2</c:v>
                </c:pt>
                <c:pt idx="4">
                  <c:v>0</c:v>
                </c:pt>
                <c:pt idx="5">
                  <c:v>2.7359500000000002E-2</c:v>
                </c:pt>
                <c:pt idx="6">
                  <c:v>2.2036E-2</c:v>
                </c:pt>
                <c:pt idx="7">
                  <c:v>2.8386500000000002E-2</c:v>
                </c:pt>
                <c:pt idx="8">
                  <c:v>1.8932999999999998E-2</c:v>
                </c:pt>
                <c:pt idx="9">
                  <c:v>5.2859499999999997E-2</c:v>
                </c:pt>
                <c:pt idx="10">
                  <c:v>3.3503999999999999E-2</c:v>
                </c:pt>
                <c:pt idx="11">
                  <c:v>6.8034999999999998E-2</c:v>
                </c:pt>
                <c:pt idx="12">
                  <c:v>0</c:v>
                </c:pt>
                <c:pt idx="13">
                  <c:v>3.1452399999999998E-2</c:v>
                </c:pt>
                <c:pt idx="14">
                  <c:v>2.35065E-2</c:v>
                </c:pt>
                <c:pt idx="15">
                  <c:v>7.3062500000000002E-2</c:v>
                </c:pt>
                <c:pt idx="16">
                  <c:v>5.5549749999999995E-2</c:v>
                </c:pt>
                <c:pt idx="17">
                  <c:v>5.9826000000000004E-2</c:v>
                </c:pt>
                <c:pt idx="18">
                  <c:v>2.6446999999999998E-2</c:v>
                </c:pt>
                <c:pt idx="19">
                  <c:v>4.3767E-2</c:v>
                </c:pt>
                <c:pt idx="20">
                  <c:v>5.4345999999999998E-2</c:v>
                </c:pt>
                <c:pt idx="21">
                  <c:v>4.9817500000000001E-2</c:v>
                </c:pt>
                <c:pt idx="22">
                  <c:v>0</c:v>
                </c:pt>
                <c:pt idx="23">
                  <c:v>1.8321999999999998E-2</c:v>
                </c:pt>
                <c:pt idx="24">
                  <c:v>0</c:v>
                </c:pt>
                <c:pt idx="25">
                  <c:v>5.7149000000000005E-2</c:v>
                </c:pt>
                <c:pt idx="26">
                  <c:v>3.5057000000000005E-2</c:v>
                </c:pt>
                <c:pt idx="27">
                  <c:v>0</c:v>
                </c:pt>
                <c:pt idx="28">
                  <c:v>3.2297333333333338E-2</c:v>
                </c:pt>
                <c:pt idx="29">
                  <c:v>1.6969000000000001E-2</c:v>
                </c:pt>
                <c:pt idx="30">
                  <c:v>0</c:v>
                </c:pt>
                <c:pt idx="31">
                  <c:v>1.6395E-2</c:v>
                </c:pt>
                <c:pt idx="32">
                  <c:v>1.7479999999999999E-2</c:v>
                </c:pt>
                <c:pt idx="33">
                  <c:v>1.9924999999999998E-2</c:v>
                </c:pt>
                <c:pt idx="34">
                  <c:v>3.3549666666666665E-2</c:v>
                </c:pt>
                <c:pt idx="35">
                  <c:v>4.2434333333333331E-2</c:v>
                </c:pt>
                <c:pt idx="36">
                  <c:v>4.1683999999999999E-2</c:v>
                </c:pt>
                <c:pt idx="37">
                  <c:v>3.2967499999999997E-2</c:v>
                </c:pt>
                <c:pt idx="38">
                  <c:v>0</c:v>
                </c:pt>
                <c:pt idx="39">
                  <c:v>1.5778E-2</c:v>
                </c:pt>
                <c:pt idx="40">
                  <c:v>6.7460500000000007E-2</c:v>
                </c:pt>
                <c:pt idx="41">
                  <c:v>4.6953000000000002E-2</c:v>
                </c:pt>
                <c:pt idx="42">
                  <c:v>2.6610000000000002E-2</c:v>
                </c:pt>
                <c:pt idx="43">
                  <c:v>7.5608000000000009E-2</c:v>
                </c:pt>
                <c:pt idx="44">
                  <c:v>4.9749666666666671E-2</c:v>
                </c:pt>
                <c:pt idx="45">
                  <c:v>8.0097000000000002E-2</c:v>
                </c:pt>
                <c:pt idx="46">
                  <c:v>5.8959750000000005E-2</c:v>
                </c:pt>
                <c:pt idx="47">
                  <c:v>6.6170999999999994E-2</c:v>
                </c:pt>
                <c:pt idx="48">
                  <c:v>1.6733000000000001E-2</c:v>
                </c:pt>
                <c:pt idx="49">
                  <c:v>1.8093000000000001E-2</c:v>
                </c:pt>
                <c:pt idx="50">
                  <c:v>2.2880000000000001E-2</c:v>
                </c:pt>
                <c:pt idx="51">
                  <c:v>6.1543E-2</c:v>
                </c:pt>
                <c:pt idx="52">
                  <c:v>0</c:v>
                </c:pt>
                <c:pt idx="53">
                  <c:v>5.0990666666666663E-2</c:v>
                </c:pt>
                <c:pt idx="54">
                  <c:v>3.4381000000000002E-2</c:v>
                </c:pt>
                <c:pt idx="55">
                  <c:v>0.117062</c:v>
                </c:pt>
                <c:pt idx="56">
                  <c:v>9.4380500000000006E-2</c:v>
                </c:pt>
                <c:pt idx="57">
                  <c:v>2.9510800000000004E-2</c:v>
                </c:pt>
                <c:pt idx="58">
                  <c:v>0.124415</c:v>
                </c:pt>
                <c:pt idx="59">
                  <c:v>2.8658666666666666E-2</c:v>
                </c:pt>
                <c:pt idx="60">
                  <c:v>7.1972600000000012E-2</c:v>
                </c:pt>
                <c:pt idx="61">
                  <c:v>0.131906</c:v>
                </c:pt>
                <c:pt idx="62">
                  <c:v>3.2368999999999995E-2</c:v>
                </c:pt>
                <c:pt idx="63">
                  <c:v>5.2499000000000004E-2</c:v>
                </c:pt>
                <c:pt idx="64">
                  <c:v>0.11455799999999999</c:v>
                </c:pt>
                <c:pt idx="65">
                  <c:v>4.4875999999999999E-2</c:v>
                </c:pt>
                <c:pt idx="66">
                  <c:v>0</c:v>
                </c:pt>
                <c:pt idx="67">
                  <c:v>1.7757999999999999E-2</c:v>
                </c:pt>
                <c:pt idx="68">
                  <c:v>0</c:v>
                </c:pt>
                <c:pt idx="69">
                  <c:v>4.5613714285714292E-2</c:v>
                </c:pt>
                <c:pt idx="70">
                  <c:v>5.2000999999999999E-2</c:v>
                </c:pt>
                <c:pt idx="71">
                  <c:v>3.5560499999999995E-2</c:v>
                </c:pt>
                <c:pt idx="72">
                  <c:v>2.3574333333333333E-2</c:v>
                </c:pt>
                <c:pt idx="73">
                  <c:v>8.3126000000000005E-2</c:v>
                </c:pt>
                <c:pt idx="74">
                  <c:v>4.3913000000000001E-2</c:v>
                </c:pt>
                <c:pt idx="75">
                  <c:v>2.2956000000000001E-2</c:v>
                </c:pt>
                <c:pt idx="76">
                  <c:v>7.8206999999999999E-2</c:v>
                </c:pt>
                <c:pt idx="77">
                  <c:v>2.2484000000000001E-2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7.1694499999999994E-2</c:v>
                </c:pt>
                <c:pt idx="83">
                  <c:v>0</c:v>
                </c:pt>
                <c:pt idx="84">
                  <c:v>0</c:v>
                </c:pt>
                <c:pt idx="85">
                  <c:v>4.2382333333333334E-2</c:v>
                </c:pt>
                <c:pt idx="86">
                  <c:v>0</c:v>
                </c:pt>
                <c:pt idx="87">
                  <c:v>0</c:v>
                </c:pt>
                <c:pt idx="88">
                  <c:v>5.6237500000000003E-2</c:v>
                </c:pt>
                <c:pt idx="89">
                  <c:v>2.7472E-2</c:v>
                </c:pt>
                <c:pt idx="90">
                  <c:v>6.0461000000000001E-2</c:v>
                </c:pt>
                <c:pt idx="91">
                  <c:v>3.7359249999999997E-2</c:v>
                </c:pt>
                <c:pt idx="92">
                  <c:v>0</c:v>
                </c:pt>
                <c:pt idx="93">
                  <c:v>4.8288749999999998E-2</c:v>
                </c:pt>
                <c:pt idx="94">
                  <c:v>3.152633333333333E-2</c:v>
                </c:pt>
                <c:pt idx="95">
                  <c:v>0</c:v>
                </c:pt>
                <c:pt idx="96">
                  <c:v>4.5582333333333336E-2</c:v>
                </c:pt>
                <c:pt idx="97">
                  <c:v>4.5991999999999998E-2</c:v>
                </c:pt>
                <c:pt idx="98">
                  <c:v>4.0315333333333335E-2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D54F-9DE4-D897C817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09008"/>
        <c:axId val="1159441024"/>
      </c:lineChart>
      <c:catAx>
        <c:axId val="1165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1024"/>
        <c:crosses val="autoZero"/>
        <c:auto val="1"/>
        <c:lblAlgn val="ctr"/>
        <c:lblOffset val="100"/>
        <c:noMultiLvlLbl val="0"/>
      </c:catAx>
      <c:valAx>
        <c:axId val="115944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Communication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718522</xdr:colOff>
      <xdr:row>47</xdr:row>
      <xdr:rowOff>60416</xdr:rowOff>
    </xdr:from>
    <xdr:to>
      <xdr:col>45</xdr:col>
      <xdr:colOff>610886</xdr:colOff>
      <xdr:row>96</xdr:row>
      <xdr:rowOff>129352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756522</xdr:colOff>
      <xdr:row>4</xdr:row>
      <xdr:rowOff>93989</xdr:rowOff>
    </xdr:from>
    <xdr:to>
      <xdr:col>45</xdr:col>
      <xdr:colOff>530506</xdr:colOff>
      <xdr:row>47</xdr:row>
      <xdr:rowOff>179127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8FCE1-A552-B145-B164-86451BAA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L178"/>
  <sheetViews>
    <sheetView showGridLines="0" tabSelected="1" topLeftCell="F1" zoomScale="79" zoomScaleNormal="79" workbookViewId="0">
      <selection activeCell="K25" sqref="K25"/>
    </sheetView>
  </sheetViews>
  <sheetFormatPr baseColWidth="10" defaultRowHeight="16" x14ac:dyDescent="0.2"/>
  <cols>
    <col min="2" max="2" width="13.33203125" customWidth="1"/>
    <col min="3" max="3" width="13.1640625" customWidth="1"/>
    <col min="5" max="5" width="16.1640625" customWidth="1"/>
  </cols>
  <sheetData>
    <row r="1" spans="1:12" ht="51" x14ac:dyDescent="0.2">
      <c r="A1" s="27" t="s">
        <v>0</v>
      </c>
      <c r="B1" s="27" t="s">
        <v>6</v>
      </c>
      <c r="C1" s="27" t="s">
        <v>1</v>
      </c>
      <c r="D1" s="27" t="s">
        <v>2</v>
      </c>
      <c r="E1" s="27" t="s">
        <v>10</v>
      </c>
      <c r="F1" s="27"/>
    </row>
    <row r="2" spans="1:12" x14ac:dyDescent="0.2">
      <c r="A2">
        <v>1</v>
      </c>
      <c r="B2">
        <v>3</v>
      </c>
      <c r="C2">
        <v>3</v>
      </c>
      <c r="D2">
        <v>1</v>
      </c>
      <c r="E2">
        <v>7.5003E-2</v>
      </c>
    </row>
    <row r="3" spans="1:12" x14ac:dyDescent="0.2">
      <c r="A3">
        <v>1</v>
      </c>
      <c r="B3">
        <v>6</v>
      </c>
      <c r="C3">
        <v>3</v>
      </c>
      <c r="D3">
        <v>2</v>
      </c>
      <c r="E3">
        <v>9.2091000000000006E-2</v>
      </c>
      <c r="F3" t="s">
        <v>3</v>
      </c>
      <c r="G3" t="s">
        <v>4</v>
      </c>
      <c r="I3" t="s">
        <v>5</v>
      </c>
      <c r="K3" t="s">
        <v>11</v>
      </c>
    </row>
    <row r="4" spans="1:12" x14ac:dyDescent="0.2">
      <c r="A4">
        <v>2</v>
      </c>
      <c r="B4">
        <v>9</v>
      </c>
      <c r="C4">
        <v>3</v>
      </c>
      <c r="D4">
        <v>3</v>
      </c>
      <c r="E4">
        <v>6.0155E-2</v>
      </c>
      <c r="F4">
        <v>1</v>
      </c>
      <c r="G4">
        <f>COUNTIF($A$2:$A$460,1)</f>
        <v>2</v>
      </c>
      <c r="I4">
        <f>SUMIF($A$2:$A$460,1,$C$2:$C$460)</f>
        <v>6</v>
      </c>
      <c r="K4">
        <f>SUMIF($A$2:$A$460,1,$E$2:$E$460)</f>
        <v>0.16709400000000002</v>
      </c>
      <c r="L4">
        <f>K4/G4</f>
        <v>8.354700000000001E-2</v>
      </c>
    </row>
    <row r="5" spans="1:12" x14ac:dyDescent="0.2">
      <c r="A5">
        <v>2</v>
      </c>
      <c r="B5">
        <v>12</v>
      </c>
      <c r="C5">
        <v>3</v>
      </c>
      <c r="D5">
        <v>4</v>
      </c>
      <c r="E5">
        <v>3.5038E-2</v>
      </c>
      <c r="F5">
        <v>2</v>
      </c>
      <c r="G5">
        <f>COUNTIF($A$2:$A$460,2)</f>
        <v>2</v>
      </c>
      <c r="I5">
        <f>SUMIF($A$2:$A$460,2,$C$2:$C$460)</f>
        <v>6</v>
      </c>
      <c r="K5">
        <f>SUMIF($A$2:$A$460,2,$E$2:$E$460)</f>
        <v>9.5193E-2</v>
      </c>
      <c r="L5">
        <f t="shared" ref="L5:L68" si="0">K5/G5</f>
        <v>4.75965E-2</v>
      </c>
    </row>
    <row r="6" spans="1:12" x14ac:dyDescent="0.2">
      <c r="A6">
        <v>3</v>
      </c>
      <c r="B6">
        <v>15</v>
      </c>
      <c r="C6">
        <v>3</v>
      </c>
      <c r="D6">
        <v>5</v>
      </c>
      <c r="E6">
        <v>2.5419000000000001E-2</v>
      </c>
      <c r="F6">
        <v>3</v>
      </c>
      <c r="G6">
        <f>COUNTIF($A$2:$A$460,3)</f>
        <v>1</v>
      </c>
      <c r="I6">
        <f>SUMIF($A$2:$A$460,3,$C$2:$C$460)</f>
        <v>3</v>
      </c>
      <c r="K6">
        <f>SUMIF($A$2:$A$460,3,$E$2:$E$460)</f>
        <v>2.5419000000000001E-2</v>
      </c>
      <c r="L6">
        <f t="shared" si="0"/>
        <v>2.5419000000000001E-2</v>
      </c>
    </row>
    <row r="7" spans="1:12" x14ac:dyDescent="0.2">
      <c r="A7">
        <v>4</v>
      </c>
      <c r="B7">
        <v>18</v>
      </c>
      <c r="C7">
        <v>3</v>
      </c>
      <c r="D7">
        <v>6</v>
      </c>
      <c r="E7">
        <v>8.4238999999999994E-2</v>
      </c>
      <c r="F7">
        <v>4</v>
      </c>
      <c r="G7">
        <f>COUNTIF($A$2:$A$460,4)</f>
        <v>4</v>
      </c>
      <c r="I7">
        <f>SUMIF($A$2:$A$460,4,$C$2:$C$460)</f>
        <v>12</v>
      </c>
      <c r="K7">
        <f>SUMIF($A$2:$A$460,4,$E$2:$E$460)</f>
        <v>0.15726199999999999</v>
      </c>
      <c r="L7">
        <f t="shared" si="0"/>
        <v>3.9315499999999996E-2</v>
      </c>
    </row>
    <row r="8" spans="1:12" x14ac:dyDescent="0.2">
      <c r="A8">
        <v>4</v>
      </c>
      <c r="B8">
        <v>21</v>
      </c>
      <c r="C8">
        <v>3</v>
      </c>
      <c r="D8">
        <v>7</v>
      </c>
      <c r="E8">
        <v>4.0052999999999998E-2</v>
      </c>
      <c r="F8">
        <v>5</v>
      </c>
      <c r="G8">
        <f>COUNTIF($A$2:$A$460,5)</f>
        <v>0</v>
      </c>
      <c r="I8">
        <f>SUMIF($A$2:$A$460,5,$C$2:$C$460)</f>
        <v>0</v>
      </c>
      <c r="K8">
        <f>SUMIF($A$2:$A$460,5,$E$2:$E$460)</f>
        <v>0</v>
      </c>
      <c r="L8">
        <v>0</v>
      </c>
    </row>
    <row r="9" spans="1:12" x14ac:dyDescent="0.2">
      <c r="A9">
        <v>4</v>
      </c>
      <c r="B9">
        <v>24</v>
      </c>
      <c r="C9">
        <v>3</v>
      </c>
      <c r="D9">
        <v>8</v>
      </c>
      <c r="E9">
        <v>1.7728000000000001E-2</v>
      </c>
      <c r="F9">
        <v>6</v>
      </c>
      <c r="G9">
        <f>COUNTIF($A$2:$A$460,6)</f>
        <v>4</v>
      </c>
      <c r="I9">
        <f>SUMIF($A$2:$A$460,6,$C$2:$C$460)</f>
        <v>12</v>
      </c>
      <c r="K9">
        <f>SUMIF($A$2:$A$460,6,$E$2:$E$460)</f>
        <v>0.10943800000000001</v>
      </c>
      <c r="L9">
        <f t="shared" si="0"/>
        <v>2.7359500000000002E-2</v>
      </c>
    </row>
    <row r="10" spans="1:12" x14ac:dyDescent="0.2">
      <c r="A10">
        <v>4</v>
      </c>
      <c r="B10">
        <v>27</v>
      </c>
      <c r="C10">
        <v>3</v>
      </c>
      <c r="D10">
        <v>9</v>
      </c>
      <c r="E10">
        <v>1.5242E-2</v>
      </c>
      <c r="F10">
        <v>7</v>
      </c>
      <c r="G10">
        <f>COUNTIF($A$2:$A$460,7)</f>
        <v>1</v>
      </c>
      <c r="I10">
        <f>SUMIF($A$2:$A$460,7,$C$2:$C$460)</f>
        <v>3</v>
      </c>
      <c r="K10">
        <f>SUMIF($A$2:$A$460,7,$E$2:$E$460)</f>
        <v>2.2036E-2</v>
      </c>
      <c r="L10">
        <f t="shared" si="0"/>
        <v>2.2036E-2</v>
      </c>
    </row>
    <row r="11" spans="1:12" x14ac:dyDescent="0.2">
      <c r="A11">
        <v>6</v>
      </c>
      <c r="B11">
        <v>30</v>
      </c>
      <c r="C11">
        <v>3</v>
      </c>
      <c r="D11">
        <v>10</v>
      </c>
      <c r="E11">
        <v>2.1562000000000001E-2</v>
      </c>
      <c r="F11">
        <v>8</v>
      </c>
      <c r="G11">
        <f>COUNTIF($A$2:$A$460,8)</f>
        <v>2</v>
      </c>
      <c r="I11">
        <f>SUMIF($A$2:$A$460,8,$C$2:$C$460)</f>
        <v>6</v>
      </c>
      <c r="K11">
        <f>SUMIF($A$2:$A$460,8,$E$2:$E$460)</f>
        <v>5.6773000000000004E-2</v>
      </c>
      <c r="L11">
        <f t="shared" si="0"/>
        <v>2.8386500000000002E-2</v>
      </c>
    </row>
    <row r="12" spans="1:12" x14ac:dyDescent="0.2">
      <c r="A12">
        <v>6</v>
      </c>
      <c r="B12">
        <v>33</v>
      </c>
      <c r="C12">
        <v>3</v>
      </c>
      <c r="D12">
        <v>11</v>
      </c>
      <c r="E12">
        <v>2.4323000000000001E-2</v>
      </c>
      <c r="F12">
        <v>9</v>
      </c>
      <c r="G12">
        <f>COUNTIF($A$2:$A$460,9)</f>
        <v>2</v>
      </c>
      <c r="I12">
        <f>SUMIF($A$2:$A$460,9,$C$2:$C$460)</f>
        <v>6</v>
      </c>
      <c r="K12">
        <f>SUMIF($A$2:$A$460,9,$E$2:$E$460)</f>
        <v>3.7865999999999997E-2</v>
      </c>
      <c r="L12">
        <f t="shared" si="0"/>
        <v>1.8932999999999998E-2</v>
      </c>
    </row>
    <row r="13" spans="1:12" x14ac:dyDescent="0.2">
      <c r="A13">
        <v>6</v>
      </c>
      <c r="B13">
        <v>36</v>
      </c>
      <c r="C13">
        <v>3</v>
      </c>
      <c r="D13">
        <v>12</v>
      </c>
      <c r="E13">
        <v>3.5684E-2</v>
      </c>
      <c r="F13">
        <v>10</v>
      </c>
      <c r="G13">
        <f>COUNTIF($A$2:$A$460,10)</f>
        <v>2</v>
      </c>
      <c r="I13">
        <f>SUMIF($A$2:$A$460,10,$C$2:$C$460)</f>
        <v>6</v>
      </c>
      <c r="K13">
        <f>SUMIF($A$2:$A$460,10,$E$2:$E$460)</f>
        <v>0.10571899999999999</v>
      </c>
      <c r="L13">
        <f t="shared" si="0"/>
        <v>5.2859499999999997E-2</v>
      </c>
    </row>
    <row r="14" spans="1:12" x14ac:dyDescent="0.2">
      <c r="A14">
        <v>7</v>
      </c>
      <c r="B14">
        <v>39</v>
      </c>
      <c r="C14">
        <v>3</v>
      </c>
      <c r="D14">
        <v>13</v>
      </c>
      <c r="E14">
        <v>2.2036E-2</v>
      </c>
      <c r="F14">
        <v>11</v>
      </c>
      <c r="G14">
        <f>COUNTIF($A$2:$A$460,11)</f>
        <v>1</v>
      </c>
      <c r="I14">
        <f>SUMIF($A$2:$A$460,11,$C$2:$C$460)</f>
        <v>3</v>
      </c>
      <c r="K14">
        <f>SUMIF($A$2:$A$460,11,$E$2:$E$460)</f>
        <v>3.3503999999999999E-2</v>
      </c>
      <c r="L14">
        <f t="shared" si="0"/>
        <v>3.3503999999999999E-2</v>
      </c>
    </row>
    <row r="15" spans="1:12" x14ac:dyDescent="0.2">
      <c r="A15">
        <v>6</v>
      </c>
      <c r="B15">
        <v>42</v>
      </c>
      <c r="C15">
        <v>3</v>
      </c>
      <c r="D15">
        <v>14</v>
      </c>
      <c r="E15">
        <v>2.7869000000000001E-2</v>
      </c>
      <c r="F15">
        <v>12</v>
      </c>
      <c r="G15">
        <f>COUNTIF($A$2:$A$460,12)</f>
        <v>3</v>
      </c>
      <c r="I15">
        <f>SUMIF($A$2:$A$460,12,$C$2:$C$460)</f>
        <v>9</v>
      </c>
      <c r="K15">
        <f>SUMIF($A$2:$A$460,12,$E$2:$E$460)</f>
        <v>0.20410500000000001</v>
      </c>
      <c r="L15">
        <f t="shared" si="0"/>
        <v>6.8034999999999998E-2</v>
      </c>
    </row>
    <row r="16" spans="1:12" x14ac:dyDescent="0.2">
      <c r="A16">
        <v>8</v>
      </c>
      <c r="B16">
        <v>45</v>
      </c>
      <c r="C16">
        <v>3</v>
      </c>
      <c r="D16">
        <v>15</v>
      </c>
      <c r="E16">
        <v>2.6251E-2</v>
      </c>
      <c r="F16">
        <v>13</v>
      </c>
      <c r="G16">
        <f>COUNTIF($A$2:$A$460,13)</f>
        <v>0</v>
      </c>
      <c r="I16">
        <f>SUMIF($A$2:$A$460,13,$C$2:$C$460)</f>
        <v>0</v>
      </c>
      <c r="K16">
        <f>SUMIF($A$2:$A$460,13,$E$2:$E$460)</f>
        <v>0</v>
      </c>
      <c r="L16">
        <v>0</v>
      </c>
    </row>
    <row r="17" spans="1:12" x14ac:dyDescent="0.2">
      <c r="A17">
        <v>8</v>
      </c>
      <c r="B17">
        <v>48</v>
      </c>
      <c r="C17">
        <v>3</v>
      </c>
      <c r="D17">
        <v>16</v>
      </c>
      <c r="E17">
        <v>3.0522000000000001E-2</v>
      </c>
      <c r="F17">
        <v>14</v>
      </c>
      <c r="G17">
        <f>COUNTIF($A$2:$A$460,14)</f>
        <v>5</v>
      </c>
      <c r="I17">
        <f>SUMIF($A$2:$A$460,4,$C$2:$C$460)</f>
        <v>12</v>
      </c>
      <c r="K17">
        <f>SUMIF($A$2:$A$460,4,$E$2:$E$460)</f>
        <v>0.15726199999999999</v>
      </c>
      <c r="L17">
        <f t="shared" si="0"/>
        <v>3.1452399999999998E-2</v>
      </c>
    </row>
    <row r="18" spans="1:12" x14ac:dyDescent="0.2">
      <c r="A18">
        <v>9</v>
      </c>
      <c r="B18">
        <v>51</v>
      </c>
      <c r="C18">
        <v>3</v>
      </c>
      <c r="D18">
        <v>17</v>
      </c>
      <c r="E18">
        <v>1.9085999999999999E-2</v>
      </c>
      <c r="F18">
        <v>15</v>
      </c>
      <c r="G18">
        <f>COUNTIF($A$2:$A$460,15)</f>
        <v>2</v>
      </c>
      <c r="I18">
        <f>SUMIF($A$2:$A$460,15,$C$2:$C$460)</f>
        <v>6</v>
      </c>
      <c r="K18">
        <f>SUMIF($A$2:$A$460,15,$E$2:$E$460)</f>
        <v>4.7012999999999999E-2</v>
      </c>
      <c r="L18">
        <f t="shared" si="0"/>
        <v>2.35065E-2</v>
      </c>
    </row>
    <row r="19" spans="1:12" x14ac:dyDescent="0.2">
      <c r="A19">
        <v>10</v>
      </c>
      <c r="B19">
        <v>54</v>
      </c>
      <c r="C19">
        <v>3</v>
      </c>
      <c r="D19">
        <v>18</v>
      </c>
      <c r="E19">
        <v>8.9055999999999996E-2</v>
      </c>
      <c r="F19">
        <v>16</v>
      </c>
      <c r="G19">
        <f>COUNTIF($A$2:$A$460,16)</f>
        <v>4</v>
      </c>
      <c r="I19">
        <f>SUMIF($A$2:$A$460,16,$C$2:$C$460)</f>
        <v>12</v>
      </c>
      <c r="K19">
        <f>SUMIF($A$2:$A$460,16,$E$2:$E$460)</f>
        <v>0.29225000000000001</v>
      </c>
      <c r="L19">
        <f t="shared" si="0"/>
        <v>7.3062500000000002E-2</v>
      </c>
    </row>
    <row r="20" spans="1:12" x14ac:dyDescent="0.2">
      <c r="A20">
        <v>9</v>
      </c>
      <c r="B20">
        <v>57</v>
      </c>
      <c r="C20">
        <v>3</v>
      </c>
      <c r="D20">
        <v>19</v>
      </c>
      <c r="E20">
        <v>1.8780000000000002E-2</v>
      </c>
      <c r="F20">
        <v>17</v>
      </c>
      <c r="G20">
        <f>COUNTIF($A$2:$A$460,17)</f>
        <v>4</v>
      </c>
      <c r="I20">
        <f>SUMIF($A$2:$A$460,17,$C$2:$C$460)</f>
        <v>12</v>
      </c>
      <c r="K20">
        <f>SUMIF($A$2:$A$460,17,$E$2:$E$460)</f>
        <v>0.22219899999999998</v>
      </c>
      <c r="L20">
        <f t="shared" si="0"/>
        <v>5.5549749999999995E-2</v>
      </c>
    </row>
    <row r="21" spans="1:12" x14ac:dyDescent="0.2">
      <c r="A21">
        <v>11</v>
      </c>
      <c r="B21">
        <v>60</v>
      </c>
      <c r="C21">
        <v>3</v>
      </c>
      <c r="D21">
        <v>20</v>
      </c>
      <c r="E21">
        <v>3.3503999999999999E-2</v>
      </c>
      <c r="F21">
        <v>18</v>
      </c>
      <c r="G21">
        <f>COUNTIF($A$2:$A$460,18)</f>
        <v>2</v>
      </c>
      <c r="I21">
        <f>SUMIF($A$2:$A$460,18,$C$2:$C$460)</f>
        <v>6</v>
      </c>
      <c r="K21">
        <f>SUMIF($A$2:$A$460,18,$E$2:$E$460)</f>
        <v>0.11965200000000001</v>
      </c>
      <c r="L21">
        <f t="shared" si="0"/>
        <v>5.9826000000000004E-2</v>
      </c>
    </row>
    <row r="22" spans="1:12" x14ac:dyDescent="0.2">
      <c r="A22">
        <v>10</v>
      </c>
      <c r="B22">
        <v>63</v>
      </c>
      <c r="C22">
        <v>3</v>
      </c>
      <c r="D22">
        <v>21</v>
      </c>
      <c r="E22">
        <v>1.6663000000000001E-2</v>
      </c>
      <c r="F22">
        <v>19</v>
      </c>
      <c r="G22">
        <f>COUNTIF($A$2:$A$460,19)</f>
        <v>1</v>
      </c>
      <c r="I22">
        <f>SUMIF($A$2:$A$460,19,$C$2:$C$460)</f>
        <v>3</v>
      </c>
      <c r="K22">
        <f>SUMIF($A$2:$A$460,19,$E$2:$E$460)</f>
        <v>2.6446999999999998E-2</v>
      </c>
      <c r="L22">
        <f t="shared" si="0"/>
        <v>2.6446999999999998E-2</v>
      </c>
    </row>
    <row r="23" spans="1:12" x14ac:dyDescent="0.2">
      <c r="A23">
        <v>12</v>
      </c>
      <c r="B23">
        <v>66</v>
      </c>
      <c r="C23">
        <v>3</v>
      </c>
      <c r="D23">
        <v>22</v>
      </c>
      <c r="E23">
        <v>9.2138999999999999E-2</v>
      </c>
      <c r="F23">
        <v>20</v>
      </c>
      <c r="G23">
        <f>COUNTIF($A$2:$A$460,20)</f>
        <v>3</v>
      </c>
      <c r="I23">
        <f>SUMIF($A$2:$A$460,20,$C$2:$C$460)</f>
        <v>9</v>
      </c>
      <c r="K23">
        <f>SUMIF($A$2:$A$460,20,$E$2:$E$460)</f>
        <v>0.131301</v>
      </c>
      <c r="L23">
        <f t="shared" si="0"/>
        <v>4.3767E-2</v>
      </c>
    </row>
    <row r="24" spans="1:12" x14ac:dyDescent="0.2">
      <c r="A24">
        <v>12</v>
      </c>
      <c r="B24">
        <v>69</v>
      </c>
      <c r="C24">
        <v>3</v>
      </c>
      <c r="D24">
        <v>23</v>
      </c>
      <c r="E24">
        <v>1.8737E-2</v>
      </c>
      <c r="F24">
        <v>21</v>
      </c>
      <c r="G24">
        <f>COUNTIF($A$2:$A$460,21)</f>
        <v>1</v>
      </c>
      <c r="I24">
        <f>SUMIF($A$2:$A$460,21,$C$2:$C$460)</f>
        <v>3</v>
      </c>
      <c r="K24">
        <f>SUMIF($A$2:$A$460,21,$E$2:$E$460)</f>
        <v>5.4345999999999998E-2</v>
      </c>
      <c r="L24">
        <f t="shared" si="0"/>
        <v>5.4345999999999998E-2</v>
      </c>
    </row>
    <row r="25" spans="1:12" x14ac:dyDescent="0.2">
      <c r="A25">
        <v>12</v>
      </c>
      <c r="B25">
        <v>72</v>
      </c>
      <c r="C25">
        <v>3</v>
      </c>
      <c r="D25">
        <v>24</v>
      </c>
      <c r="E25">
        <v>9.3229000000000006E-2</v>
      </c>
      <c r="F25">
        <v>22</v>
      </c>
      <c r="G25">
        <f>COUNTIF($A$2:$A$460,22)</f>
        <v>4</v>
      </c>
      <c r="I25">
        <f>SUMIF($A$2:$A$460,22,$C$2:$C$460)</f>
        <v>12</v>
      </c>
      <c r="K25">
        <f>SUMIF($A$2:$A$460,22,$E$2:$E$460)</f>
        <v>0.19927</v>
      </c>
      <c r="L25">
        <f t="shared" si="0"/>
        <v>4.9817500000000001E-2</v>
      </c>
    </row>
    <row r="26" spans="1:12" x14ac:dyDescent="0.2">
      <c r="A26">
        <v>14</v>
      </c>
      <c r="B26">
        <v>75</v>
      </c>
      <c r="C26">
        <v>3</v>
      </c>
      <c r="D26">
        <v>25</v>
      </c>
      <c r="E26">
        <v>9.0777999999999998E-2</v>
      </c>
      <c r="F26">
        <v>23</v>
      </c>
      <c r="G26">
        <f>COUNTIF($A$2:$A$460,23)</f>
        <v>0</v>
      </c>
      <c r="I26">
        <f>SUMIF($A$2:$A$460,23,$C$2:$C$460)</f>
        <v>0</v>
      </c>
      <c r="K26">
        <f>SUMIF($A$2:$A$460,23,$E$2:$E$460)</f>
        <v>0</v>
      </c>
      <c r="L26">
        <v>0</v>
      </c>
    </row>
    <row r="27" spans="1:12" x14ac:dyDescent="0.2">
      <c r="A27">
        <v>14</v>
      </c>
      <c r="B27">
        <v>79</v>
      </c>
      <c r="C27">
        <v>4</v>
      </c>
      <c r="D27">
        <v>26</v>
      </c>
      <c r="E27">
        <v>5.4184999999999997E-2</v>
      </c>
      <c r="F27">
        <v>24</v>
      </c>
      <c r="G27">
        <f>COUNTIF($A$2:$A$460,24)</f>
        <v>2</v>
      </c>
      <c r="I27">
        <f>SUMIF($A$2:$A$460,24,$C$2:$C$460)</f>
        <v>6</v>
      </c>
      <c r="K27">
        <f>SUMIF($A$2:$A$460,24,$E$2:$E$460)</f>
        <v>3.6643999999999996E-2</v>
      </c>
      <c r="L27">
        <f t="shared" si="0"/>
        <v>1.8321999999999998E-2</v>
      </c>
    </row>
    <row r="28" spans="1:12" x14ac:dyDescent="0.2">
      <c r="A28">
        <v>14</v>
      </c>
      <c r="B28">
        <v>82</v>
      </c>
      <c r="C28">
        <v>3</v>
      </c>
      <c r="D28">
        <v>27</v>
      </c>
      <c r="E28">
        <v>2.9739000000000002E-2</v>
      </c>
      <c r="F28">
        <v>25</v>
      </c>
      <c r="G28">
        <f>COUNTIF($A$2:$A$460,25)</f>
        <v>0</v>
      </c>
      <c r="I28">
        <f>SUMIF($A$2:$A$460,25,$C$2:$C$460)</f>
        <v>0</v>
      </c>
      <c r="K28">
        <f>SUMIF($A$2:$A$460,25,$E$2:$E$460)</f>
        <v>0</v>
      </c>
      <c r="L28">
        <v>0</v>
      </c>
    </row>
    <row r="29" spans="1:12" x14ac:dyDescent="0.2">
      <c r="A29">
        <v>14</v>
      </c>
      <c r="B29">
        <v>85</v>
      </c>
      <c r="C29">
        <v>3</v>
      </c>
      <c r="D29">
        <v>28</v>
      </c>
      <c r="E29">
        <v>1.5438E-2</v>
      </c>
      <c r="F29">
        <v>26</v>
      </c>
      <c r="G29">
        <f>COUNTIF($A$2:$A$460,26)</f>
        <v>2</v>
      </c>
      <c r="I29">
        <f>SUMIF($A$2:$A$460,26,$C$2:$C$460)</f>
        <v>6</v>
      </c>
      <c r="K29">
        <f>SUMIF($A$2:$A$460,26,$E$2:$E$460)</f>
        <v>0.11429800000000001</v>
      </c>
      <c r="L29">
        <f t="shared" si="0"/>
        <v>5.7149000000000005E-2</v>
      </c>
    </row>
    <row r="30" spans="1:12" x14ac:dyDescent="0.2">
      <c r="A30">
        <v>15</v>
      </c>
      <c r="B30">
        <v>88</v>
      </c>
      <c r="C30">
        <v>3</v>
      </c>
      <c r="D30">
        <v>29</v>
      </c>
      <c r="E30">
        <v>2.1828E-2</v>
      </c>
      <c r="F30">
        <v>27</v>
      </c>
      <c r="G30">
        <f>COUNTIF($A$2:$A$460,27)</f>
        <v>2</v>
      </c>
      <c r="I30">
        <f>SUMIF($A$2:$A$460,27,$C$2:$C$460)</f>
        <v>6</v>
      </c>
      <c r="K30">
        <f>SUMIF($A$2:$A$460,27,$E$2:$E$460)</f>
        <v>7.011400000000001E-2</v>
      </c>
      <c r="L30">
        <f t="shared" si="0"/>
        <v>3.5057000000000005E-2</v>
      </c>
    </row>
    <row r="31" spans="1:12" x14ac:dyDescent="0.2">
      <c r="A31">
        <v>14</v>
      </c>
      <c r="B31">
        <v>91</v>
      </c>
      <c r="C31">
        <v>3</v>
      </c>
      <c r="D31">
        <v>30</v>
      </c>
      <c r="E31">
        <v>3.1615999999999998E-2</v>
      </c>
      <c r="F31">
        <v>28</v>
      </c>
      <c r="G31">
        <f>COUNTIF($A$2:$A$460,28)</f>
        <v>0</v>
      </c>
      <c r="I31">
        <f>SUMIF($A$2:$A$460,28,$C$2:$C$460)</f>
        <v>0</v>
      </c>
      <c r="K31">
        <f>SUMIF($A$2:$A$460,28,$E$2:$E$460)</f>
        <v>0</v>
      </c>
      <c r="L31">
        <v>0</v>
      </c>
    </row>
    <row r="32" spans="1:12" x14ac:dyDescent="0.2">
      <c r="A32">
        <v>16</v>
      </c>
      <c r="B32">
        <v>94</v>
      </c>
      <c r="C32">
        <v>3</v>
      </c>
      <c r="D32">
        <v>31</v>
      </c>
      <c r="E32">
        <v>7.8615000000000004E-2</v>
      </c>
      <c r="F32">
        <v>29</v>
      </c>
      <c r="G32">
        <f>COUNTIF($A$2:$A$460,29)</f>
        <v>3</v>
      </c>
      <c r="I32">
        <f>SUMIF($A$2:$A$460,29,$C$2:$C$460)</f>
        <v>9</v>
      </c>
      <c r="K32">
        <f>SUMIF($A$2:$A$460,29,$E$2:$E$460)</f>
        <v>9.6892000000000006E-2</v>
      </c>
      <c r="L32">
        <f t="shared" si="0"/>
        <v>3.2297333333333338E-2</v>
      </c>
    </row>
    <row r="33" spans="1:12" x14ac:dyDescent="0.2">
      <c r="A33">
        <v>16</v>
      </c>
      <c r="B33">
        <v>97</v>
      </c>
      <c r="C33">
        <v>3</v>
      </c>
      <c r="D33">
        <v>32</v>
      </c>
      <c r="E33">
        <v>2.8419E-2</v>
      </c>
      <c r="F33">
        <v>30</v>
      </c>
      <c r="G33">
        <f>COUNTIF($A$2:$A$460,30)</f>
        <v>1</v>
      </c>
      <c r="I33">
        <f>SUMIF($A$2:$A$460,30,$C$2:$C$460)</f>
        <v>3</v>
      </c>
      <c r="K33">
        <f>SUMIF($A$2:$A$460,30,$E$2:$E$460)</f>
        <v>1.6969000000000001E-2</v>
      </c>
      <c r="L33">
        <f t="shared" si="0"/>
        <v>1.6969000000000001E-2</v>
      </c>
    </row>
    <row r="34" spans="1:12" x14ac:dyDescent="0.2">
      <c r="A34">
        <v>15</v>
      </c>
      <c r="B34">
        <v>100</v>
      </c>
      <c r="C34">
        <v>3</v>
      </c>
      <c r="D34">
        <v>33</v>
      </c>
      <c r="E34">
        <v>2.5184999999999999E-2</v>
      </c>
      <c r="F34">
        <v>31</v>
      </c>
      <c r="G34">
        <f>COUNTIF($A$2:$A$460,31)</f>
        <v>0</v>
      </c>
      <c r="I34">
        <f>SUMIF($A$2:$A$460,31,$C$2:$C$460)</f>
        <v>0</v>
      </c>
      <c r="K34">
        <f>SUMIF($A$2:$A$460,31,$E$2:$E$460)</f>
        <v>0</v>
      </c>
      <c r="L34">
        <v>0</v>
      </c>
    </row>
    <row r="35" spans="1:12" x14ac:dyDescent="0.2">
      <c r="A35">
        <v>17</v>
      </c>
      <c r="B35">
        <v>103</v>
      </c>
      <c r="C35">
        <v>3</v>
      </c>
      <c r="D35">
        <v>34</v>
      </c>
      <c r="E35">
        <v>7.5794E-2</v>
      </c>
      <c r="F35">
        <v>32</v>
      </c>
      <c r="G35">
        <f>COUNTIF($A$2:$A$460,32)</f>
        <v>1</v>
      </c>
      <c r="I35">
        <f>SUMIF($A$2:$A$460,32,$C$2:$C$460)</f>
        <v>3</v>
      </c>
      <c r="K35">
        <f>SUMIF($A$2:$A$460,32,$E$2:$E$460)</f>
        <v>1.6395E-2</v>
      </c>
      <c r="L35">
        <f t="shared" si="0"/>
        <v>1.6395E-2</v>
      </c>
    </row>
    <row r="36" spans="1:12" x14ac:dyDescent="0.2">
      <c r="A36">
        <v>16</v>
      </c>
      <c r="B36">
        <v>106</v>
      </c>
      <c r="C36">
        <v>3</v>
      </c>
      <c r="D36">
        <v>35</v>
      </c>
      <c r="E36">
        <v>9.9958000000000005E-2</v>
      </c>
      <c r="F36">
        <v>33</v>
      </c>
      <c r="G36">
        <f>COUNTIF($A$2:$A$460,33)</f>
        <v>1</v>
      </c>
      <c r="I36">
        <f>SUMIF($A$2:$A$460,33,$C$2:$C$460)</f>
        <v>3</v>
      </c>
      <c r="K36">
        <f>SUMIF($A$2:$A$460,33,$E$2:$E$460)</f>
        <v>1.7479999999999999E-2</v>
      </c>
      <c r="L36">
        <f t="shared" si="0"/>
        <v>1.7479999999999999E-2</v>
      </c>
    </row>
    <row r="37" spans="1:12" x14ac:dyDescent="0.2">
      <c r="A37">
        <v>16</v>
      </c>
      <c r="B37">
        <v>109</v>
      </c>
      <c r="C37">
        <v>3</v>
      </c>
      <c r="D37">
        <v>36</v>
      </c>
      <c r="E37">
        <v>8.5258E-2</v>
      </c>
      <c r="F37">
        <v>34</v>
      </c>
      <c r="G37">
        <f>COUNTIF($A$2:$A$460,34)</f>
        <v>2</v>
      </c>
      <c r="I37">
        <f>SUMIF($A$2:$A$460,34,$C$2:$C$460)</f>
        <v>6</v>
      </c>
      <c r="K37">
        <f>SUMIF($A$2:$A$460,34,$E$2:$E$460)</f>
        <v>3.9849999999999997E-2</v>
      </c>
      <c r="L37">
        <f t="shared" si="0"/>
        <v>1.9924999999999998E-2</v>
      </c>
    </row>
    <row r="38" spans="1:12" x14ac:dyDescent="0.2">
      <c r="A38">
        <v>17</v>
      </c>
      <c r="B38">
        <v>112</v>
      </c>
      <c r="C38">
        <v>3</v>
      </c>
      <c r="D38">
        <v>37</v>
      </c>
      <c r="E38">
        <v>2.3167E-2</v>
      </c>
      <c r="F38">
        <v>35</v>
      </c>
      <c r="G38">
        <f>COUNTIF($A$2:$A$460,35)</f>
        <v>3</v>
      </c>
      <c r="I38">
        <f>SUMIF($A$2:$A$460,35,$C$2:$C$460)</f>
        <v>9</v>
      </c>
      <c r="K38">
        <f>SUMIF($A$2:$A$460,35,$E$2:$E$460)</f>
        <v>0.100649</v>
      </c>
      <c r="L38">
        <f t="shared" si="0"/>
        <v>3.3549666666666665E-2</v>
      </c>
    </row>
    <row r="39" spans="1:12" x14ac:dyDescent="0.2">
      <c r="A39">
        <v>17</v>
      </c>
      <c r="B39">
        <v>115</v>
      </c>
      <c r="C39">
        <v>3</v>
      </c>
      <c r="D39">
        <v>38</v>
      </c>
      <c r="E39">
        <v>9.1638999999999998E-2</v>
      </c>
      <c r="F39">
        <v>36</v>
      </c>
      <c r="G39">
        <f>COUNTIF($A$2:$A$460,36)</f>
        <v>3</v>
      </c>
      <c r="I39">
        <f>SUMIF($A$2:$A$460,36,$C$2:$C$460)</f>
        <v>9</v>
      </c>
      <c r="K39">
        <f>SUMIF($A$2:$A$460,36,$E$2:$E$460)</f>
        <v>0.127303</v>
      </c>
      <c r="L39">
        <f t="shared" si="0"/>
        <v>4.2434333333333331E-2</v>
      </c>
    </row>
    <row r="40" spans="1:12" x14ac:dyDescent="0.2">
      <c r="A40">
        <v>17</v>
      </c>
      <c r="B40">
        <v>118</v>
      </c>
      <c r="C40">
        <v>3</v>
      </c>
      <c r="D40">
        <v>39</v>
      </c>
      <c r="E40">
        <v>3.1599000000000002E-2</v>
      </c>
      <c r="F40">
        <v>37</v>
      </c>
      <c r="G40">
        <f>COUNTIF($A$2:$A$460,37)</f>
        <v>1</v>
      </c>
      <c r="I40">
        <f>SUMIF($A$2:$A$460,37,$C$2:$C$460)</f>
        <v>3</v>
      </c>
      <c r="K40">
        <f>SUMIF($A$2:$A$460,37,$E$2:$E$460)</f>
        <v>4.1683999999999999E-2</v>
      </c>
      <c r="L40">
        <f t="shared" si="0"/>
        <v>4.1683999999999999E-2</v>
      </c>
    </row>
    <row r="41" spans="1:12" x14ac:dyDescent="0.2">
      <c r="A41">
        <v>18</v>
      </c>
      <c r="B41">
        <v>121</v>
      </c>
      <c r="C41">
        <v>3</v>
      </c>
      <c r="D41">
        <v>40</v>
      </c>
      <c r="E41">
        <v>8.6914000000000005E-2</v>
      </c>
      <c r="F41">
        <v>38</v>
      </c>
      <c r="G41">
        <f>COUNTIF($A$2:$A$460,38)</f>
        <v>2</v>
      </c>
      <c r="I41">
        <f>SUMIF($A$2:$A$460,38,$C$2:$C$460)</f>
        <v>6</v>
      </c>
      <c r="K41">
        <f>SUMIF($A$2:$A$460,38,$E$2:$E$460)</f>
        <v>6.5934999999999994E-2</v>
      </c>
      <c r="L41">
        <f t="shared" si="0"/>
        <v>3.2967499999999997E-2</v>
      </c>
    </row>
    <row r="42" spans="1:12" x14ac:dyDescent="0.2">
      <c r="A42">
        <v>18</v>
      </c>
      <c r="B42">
        <v>124</v>
      </c>
      <c r="C42">
        <v>3</v>
      </c>
      <c r="D42">
        <v>41</v>
      </c>
      <c r="E42">
        <v>3.2738000000000003E-2</v>
      </c>
      <c r="F42">
        <v>39</v>
      </c>
      <c r="G42">
        <f>COUNTIF($A$2:$A$460,39)</f>
        <v>0</v>
      </c>
      <c r="I42">
        <f>SUMIF($A$2:$A$460,39,$C$2:$C$460)</f>
        <v>0</v>
      </c>
      <c r="K42">
        <f>SUMIF($A$2:$A$460,39,$E$2:$E$460)</f>
        <v>0</v>
      </c>
      <c r="L42">
        <v>0</v>
      </c>
    </row>
    <row r="43" spans="1:12" x14ac:dyDescent="0.2">
      <c r="A43">
        <v>19</v>
      </c>
      <c r="B43">
        <v>127</v>
      </c>
      <c r="C43">
        <v>3</v>
      </c>
      <c r="D43">
        <v>42</v>
      </c>
      <c r="E43">
        <v>2.6446999999999998E-2</v>
      </c>
      <c r="F43">
        <v>40</v>
      </c>
      <c r="G43">
        <f>COUNTIF($A$2:$A$460,40)</f>
        <v>1</v>
      </c>
      <c r="I43">
        <f>SUMIF($A$2:$A$460,40,$C$2:$C$460)</f>
        <v>3</v>
      </c>
      <c r="K43">
        <f>SUMIF($A$2:$A$460,40,$E$2:$E$460)</f>
        <v>1.5778E-2</v>
      </c>
      <c r="L43">
        <f t="shared" si="0"/>
        <v>1.5778E-2</v>
      </c>
    </row>
    <row r="44" spans="1:12" x14ac:dyDescent="0.2">
      <c r="A44">
        <v>20</v>
      </c>
      <c r="B44">
        <v>130</v>
      </c>
      <c r="C44">
        <v>3</v>
      </c>
      <c r="D44">
        <v>43</v>
      </c>
      <c r="E44">
        <v>6.5755999999999995E-2</v>
      </c>
      <c r="F44">
        <v>41</v>
      </c>
      <c r="G44">
        <f>COUNTIF($A$2:$A$460,41)</f>
        <v>2</v>
      </c>
      <c r="I44">
        <f>SUMIF($A$2:$A$460,41,$C$2:$C$460)</f>
        <v>6</v>
      </c>
      <c r="K44">
        <f>SUMIF($A$2:$A$460,41,$E$2:$E$460)</f>
        <v>0.13492100000000001</v>
      </c>
      <c r="L44">
        <f t="shared" si="0"/>
        <v>6.7460500000000007E-2</v>
      </c>
    </row>
    <row r="45" spans="1:12" x14ac:dyDescent="0.2">
      <c r="A45">
        <v>20</v>
      </c>
      <c r="B45">
        <v>133</v>
      </c>
      <c r="C45">
        <v>3</v>
      </c>
      <c r="D45">
        <v>44</v>
      </c>
      <c r="E45">
        <v>2.5866E-2</v>
      </c>
      <c r="F45">
        <v>42</v>
      </c>
      <c r="G45">
        <f>COUNTIF($A$2:$A$460,42)</f>
        <v>1</v>
      </c>
      <c r="I45">
        <f>SUMIF($A$2:$A$460,42,$C$2:$C$460)</f>
        <v>3</v>
      </c>
      <c r="K45">
        <f>SUMIF($A$2:$A$460,42,$E$2:$E$460)</f>
        <v>4.6953000000000002E-2</v>
      </c>
      <c r="L45">
        <f t="shared" si="0"/>
        <v>4.6953000000000002E-2</v>
      </c>
    </row>
    <row r="46" spans="1:12" x14ac:dyDescent="0.2">
      <c r="A46">
        <v>20</v>
      </c>
      <c r="B46">
        <v>136</v>
      </c>
      <c r="C46">
        <v>3</v>
      </c>
      <c r="D46">
        <v>45</v>
      </c>
      <c r="E46">
        <v>3.9678999999999999E-2</v>
      </c>
      <c r="F46">
        <v>43</v>
      </c>
      <c r="G46">
        <f>COUNTIF($A$2:$A$460,43)</f>
        <v>1</v>
      </c>
      <c r="I46">
        <f>SUMIF($A$2:$A$460,43,$C$2:$C$460)</f>
        <v>3</v>
      </c>
      <c r="K46">
        <f>SUMIF($A$2:$A$460,43,$E$2:$E$460)</f>
        <v>2.6610000000000002E-2</v>
      </c>
      <c r="L46">
        <f t="shared" si="0"/>
        <v>2.6610000000000002E-2</v>
      </c>
    </row>
    <row r="47" spans="1:12" x14ac:dyDescent="0.2">
      <c r="A47">
        <v>22</v>
      </c>
      <c r="B47">
        <v>139</v>
      </c>
      <c r="C47">
        <v>3</v>
      </c>
      <c r="D47">
        <v>46</v>
      </c>
      <c r="E47">
        <v>9.1245999999999994E-2</v>
      </c>
      <c r="F47">
        <v>44</v>
      </c>
      <c r="G47">
        <f>COUNTIF($A$2:$A$460,44)</f>
        <v>2</v>
      </c>
      <c r="I47">
        <f>SUMIF($A$2:$A$460,44,$C$2:$C$460)</f>
        <v>6</v>
      </c>
      <c r="K47">
        <f>SUMIF($A$2:$A$460,44,$E$2:$E$460)</f>
        <v>0.15121600000000002</v>
      </c>
      <c r="L47">
        <f t="shared" si="0"/>
        <v>7.5608000000000009E-2</v>
      </c>
    </row>
    <row r="48" spans="1:12" x14ac:dyDescent="0.2">
      <c r="A48">
        <v>22</v>
      </c>
      <c r="B48">
        <v>142</v>
      </c>
      <c r="C48">
        <v>3</v>
      </c>
      <c r="D48">
        <v>47</v>
      </c>
      <c r="E48">
        <v>4.8777000000000001E-2</v>
      </c>
      <c r="F48">
        <v>45</v>
      </c>
      <c r="G48">
        <f>COUNTIF($A$2:$A$460,45)</f>
        <v>3</v>
      </c>
      <c r="I48">
        <f>SUMIF($A$2:$A$460,45,$C$2:$C$460)</f>
        <v>9</v>
      </c>
      <c r="K48">
        <f>SUMIF($A$2:$A$460,45,$E$2:$E$460)</f>
        <v>0.14924900000000002</v>
      </c>
      <c r="L48">
        <f t="shared" si="0"/>
        <v>4.9749666666666671E-2</v>
      </c>
    </row>
    <row r="49" spans="1:12" x14ac:dyDescent="0.2">
      <c r="A49">
        <v>21</v>
      </c>
      <c r="B49">
        <v>145</v>
      </c>
      <c r="C49">
        <v>3</v>
      </c>
      <c r="D49">
        <v>48</v>
      </c>
      <c r="E49">
        <v>5.4345999999999998E-2</v>
      </c>
      <c r="F49">
        <v>46</v>
      </c>
      <c r="G49">
        <f>COUNTIF($A$2:$A$460,46)</f>
        <v>1</v>
      </c>
      <c r="I49">
        <f>SUMIF($A$2:$A$460,46,$C$2:$C$460)</f>
        <v>3</v>
      </c>
      <c r="K49">
        <f>SUMIF($A$2:$A$460,46,$E$2:$E$460)</f>
        <v>8.0097000000000002E-2</v>
      </c>
      <c r="L49">
        <f t="shared" si="0"/>
        <v>8.0097000000000002E-2</v>
      </c>
    </row>
    <row r="50" spans="1:12" x14ac:dyDescent="0.2">
      <c r="A50">
        <v>22</v>
      </c>
      <c r="B50">
        <v>148</v>
      </c>
      <c r="C50">
        <v>3</v>
      </c>
      <c r="D50">
        <v>49</v>
      </c>
      <c r="E50">
        <v>3.0195E-2</v>
      </c>
      <c r="F50">
        <v>47</v>
      </c>
      <c r="G50">
        <f>COUNTIF($A$2:$A$460,47)</f>
        <v>4</v>
      </c>
      <c r="I50">
        <f>SUMIF($A$2:$A$460,47,$C$2:$C$460)</f>
        <v>12</v>
      </c>
      <c r="K50">
        <f>SUMIF($A$2:$A$460,47,$E$2:$E$460)</f>
        <v>0.23583900000000002</v>
      </c>
      <c r="L50">
        <f t="shared" si="0"/>
        <v>5.8959750000000005E-2</v>
      </c>
    </row>
    <row r="51" spans="1:12" x14ac:dyDescent="0.2">
      <c r="A51">
        <v>22</v>
      </c>
      <c r="B51">
        <v>151</v>
      </c>
      <c r="C51">
        <v>3</v>
      </c>
      <c r="D51">
        <v>50</v>
      </c>
      <c r="E51">
        <v>2.9052000000000001E-2</v>
      </c>
      <c r="F51">
        <v>48</v>
      </c>
      <c r="G51">
        <f>COUNTIF($A$2:$A$460,48)</f>
        <v>1</v>
      </c>
      <c r="I51">
        <f>SUMIF($A$2:$A$460,48,$C$2:$C$460)</f>
        <v>3</v>
      </c>
      <c r="K51">
        <f>SUMIF($A$2:$A$460,48,$E$2:$E$460)</f>
        <v>6.6170999999999994E-2</v>
      </c>
      <c r="L51">
        <f t="shared" si="0"/>
        <v>6.6170999999999994E-2</v>
      </c>
    </row>
    <row r="52" spans="1:12" x14ac:dyDescent="0.2">
      <c r="A52">
        <v>24</v>
      </c>
      <c r="B52">
        <v>154</v>
      </c>
      <c r="C52">
        <v>3</v>
      </c>
      <c r="D52">
        <v>51</v>
      </c>
      <c r="E52">
        <v>2.0879999999999999E-2</v>
      </c>
      <c r="F52">
        <v>49</v>
      </c>
      <c r="G52">
        <f>COUNTIF($A$2:$A$460,49)</f>
        <v>1</v>
      </c>
      <c r="I52">
        <f>SUMIF($A$2:$A$460,49,$C$2:$C$460)</f>
        <v>3</v>
      </c>
      <c r="K52">
        <f>SUMIF($A$2:$A$460,49,$E$2:$E$460)</f>
        <v>1.6733000000000001E-2</v>
      </c>
      <c r="L52">
        <f t="shared" si="0"/>
        <v>1.6733000000000001E-2</v>
      </c>
    </row>
    <row r="53" spans="1:12" x14ac:dyDescent="0.2">
      <c r="A53">
        <v>24</v>
      </c>
      <c r="B53">
        <v>157</v>
      </c>
      <c r="C53">
        <v>3</v>
      </c>
      <c r="D53">
        <v>52</v>
      </c>
      <c r="E53">
        <v>1.5764E-2</v>
      </c>
      <c r="F53">
        <v>50</v>
      </c>
      <c r="G53">
        <f>COUNTIF($A$2:$A$460,50)</f>
        <v>1</v>
      </c>
      <c r="I53">
        <f>SUMIF($A$2:$A$460,50,$C$2:$C$460)</f>
        <v>3</v>
      </c>
      <c r="K53">
        <f>SUMIF($A$2:$A$460,50,$E$2:$E$460)</f>
        <v>1.8093000000000001E-2</v>
      </c>
      <c r="L53">
        <f t="shared" si="0"/>
        <v>1.8093000000000001E-2</v>
      </c>
    </row>
    <row r="54" spans="1:12" x14ac:dyDescent="0.2">
      <c r="A54">
        <v>26</v>
      </c>
      <c r="B54">
        <v>160</v>
      </c>
      <c r="C54">
        <v>3</v>
      </c>
      <c r="D54">
        <v>53</v>
      </c>
      <c r="E54">
        <v>9.5905000000000004E-2</v>
      </c>
      <c r="F54">
        <v>51</v>
      </c>
      <c r="G54">
        <f>COUNTIF($A$2:$A$460,51)</f>
        <v>2</v>
      </c>
      <c r="I54">
        <f>SUMIF($A$2:$A$460,51,$C$2:$C$460)</f>
        <v>6</v>
      </c>
      <c r="K54">
        <f>SUMIF($A$2:$A$460,51,$E$2:$E$460)</f>
        <v>4.5760000000000002E-2</v>
      </c>
      <c r="L54">
        <f t="shared" si="0"/>
        <v>2.2880000000000001E-2</v>
      </c>
    </row>
    <row r="55" spans="1:12" x14ac:dyDescent="0.2">
      <c r="A55">
        <v>26</v>
      </c>
      <c r="B55">
        <v>163</v>
      </c>
      <c r="C55">
        <v>3</v>
      </c>
      <c r="D55">
        <v>54</v>
      </c>
      <c r="E55">
        <v>1.8393E-2</v>
      </c>
      <c r="F55">
        <v>52</v>
      </c>
      <c r="G55">
        <f>COUNTIF($A$2:$A$460,52)</f>
        <v>2</v>
      </c>
      <c r="I55">
        <f>SUMIF($A$2:$A$460,52,$C$2:$C$460)</f>
        <v>6</v>
      </c>
      <c r="K55">
        <f>SUMIF($A$2:$A$460,52,$E$2:$E$460)</f>
        <v>0.123086</v>
      </c>
      <c r="L55">
        <f t="shared" si="0"/>
        <v>6.1543E-2</v>
      </c>
    </row>
    <row r="56" spans="1:12" x14ac:dyDescent="0.2">
      <c r="A56">
        <v>27</v>
      </c>
      <c r="B56">
        <v>166</v>
      </c>
      <c r="C56">
        <v>3</v>
      </c>
      <c r="D56">
        <v>55</v>
      </c>
      <c r="E56">
        <v>5.0867000000000002E-2</v>
      </c>
      <c r="F56">
        <v>53</v>
      </c>
      <c r="G56">
        <f>COUNTIF($A$2:$A$460,53)</f>
        <v>0</v>
      </c>
      <c r="I56">
        <f>SUMIF($A$2:$A$460,53,$C$2:$C$460)</f>
        <v>0</v>
      </c>
      <c r="K56">
        <f>SUMIF($A$2:$A$460,53,$E$2:$E$460)</f>
        <v>0</v>
      </c>
      <c r="L56">
        <v>0</v>
      </c>
    </row>
    <row r="57" spans="1:12" x14ac:dyDescent="0.2">
      <c r="A57">
        <v>27</v>
      </c>
      <c r="B57">
        <v>169</v>
      </c>
      <c r="C57">
        <v>3</v>
      </c>
      <c r="D57">
        <v>56</v>
      </c>
      <c r="E57">
        <v>1.9247E-2</v>
      </c>
      <c r="F57">
        <v>54</v>
      </c>
      <c r="G57">
        <f>COUNTIF($A$2:$A$460,54)</f>
        <v>3</v>
      </c>
      <c r="I57">
        <f>SUMIF($A$2:$A$460,54,$C$2:$C$460)</f>
        <v>9</v>
      </c>
      <c r="K57">
        <f>SUMIF($A$2:$A$460,54,$E$2:$E$460)</f>
        <v>0.152972</v>
      </c>
      <c r="L57">
        <f t="shared" si="0"/>
        <v>5.0990666666666663E-2</v>
      </c>
    </row>
    <row r="58" spans="1:12" x14ac:dyDescent="0.2">
      <c r="A58">
        <v>29</v>
      </c>
      <c r="B58">
        <v>172</v>
      </c>
      <c r="C58">
        <v>3</v>
      </c>
      <c r="D58">
        <v>57</v>
      </c>
      <c r="E58">
        <v>3.6072E-2</v>
      </c>
      <c r="F58">
        <v>55</v>
      </c>
      <c r="G58">
        <f>COUNTIF($A$2:$A$460,55)</f>
        <v>2</v>
      </c>
      <c r="I58">
        <f>SUMIF($A$2:$A$460,55,$C$2:$C$460)</f>
        <v>6</v>
      </c>
      <c r="K58">
        <f>SUMIF($A$2:$A$460,55,$E$2:$E$460)</f>
        <v>6.8762000000000004E-2</v>
      </c>
      <c r="L58">
        <f t="shared" si="0"/>
        <v>3.4381000000000002E-2</v>
      </c>
    </row>
    <row r="59" spans="1:12" x14ac:dyDescent="0.2">
      <c r="A59">
        <v>29</v>
      </c>
      <c r="B59">
        <v>175</v>
      </c>
      <c r="C59">
        <v>3</v>
      </c>
      <c r="D59">
        <v>58</v>
      </c>
      <c r="E59">
        <v>4.2111999999999997E-2</v>
      </c>
      <c r="F59">
        <v>56</v>
      </c>
      <c r="G59">
        <f>COUNTIF($A$2:$A$460,56)</f>
        <v>1</v>
      </c>
      <c r="I59">
        <f>SUMIF($A$2:$A$460,56,$C$2:$C$460)</f>
        <v>3</v>
      </c>
      <c r="K59">
        <f>SUMIF($A$2:$A$460,56,$E$2:$E$460)</f>
        <v>0.117062</v>
      </c>
      <c r="L59">
        <f t="shared" si="0"/>
        <v>0.117062</v>
      </c>
    </row>
    <row r="60" spans="1:12" x14ac:dyDescent="0.2">
      <c r="A60">
        <v>29</v>
      </c>
      <c r="B60">
        <v>178</v>
      </c>
      <c r="C60">
        <v>3</v>
      </c>
      <c r="D60">
        <v>59</v>
      </c>
      <c r="E60">
        <v>1.8707999999999999E-2</v>
      </c>
      <c r="F60">
        <v>57</v>
      </c>
      <c r="G60">
        <f>COUNTIF($A$2:$A$460,57)</f>
        <v>2</v>
      </c>
      <c r="I60">
        <f>SUMIF($A$2:$A$460,57,$C$2:$C$460)</f>
        <v>6</v>
      </c>
      <c r="K60">
        <f>SUMIF($A$2:$A$460,57,$E$2:$E$460)</f>
        <v>0.18876100000000001</v>
      </c>
      <c r="L60">
        <f t="shared" si="0"/>
        <v>9.4380500000000006E-2</v>
      </c>
    </row>
    <row r="61" spans="1:12" x14ac:dyDescent="0.2">
      <c r="A61">
        <v>30</v>
      </c>
      <c r="B61">
        <v>181</v>
      </c>
      <c r="C61">
        <v>3</v>
      </c>
      <c r="D61">
        <v>60</v>
      </c>
      <c r="E61">
        <v>1.6969000000000001E-2</v>
      </c>
      <c r="F61">
        <v>58</v>
      </c>
      <c r="G61">
        <f>COUNTIF($A$2:$A$460,58)</f>
        <v>5</v>
      </c>
      <c r="I61">
        <f>SUMIF($A$2:$A$460,58,$C$2:$C$460)</f>
        <v>16</v>
      </c>
      <c r="K61">
        <f>SUMIF($A$2:$A$460,58,$E$2:$E$460)</f>
        <v>0.14755400000000002</v>
      </c>
      <c r="L61">
        <f t="shared" si="0"/>
        <v>2.9510800000000004E-2</v>
      </c>
    </row>
    <row r="62" spans="1:12" x14ac:dyDescent="0.2">
      <c r="A62">
        <v>32</v>
      </c>
      <c r="B62">
        <v>184</v>
      </c>
      <c r="C62">
        <v>3</v>
      </c>
      <c r="D62">
        <v>61</v>
      </c>
      <c r="E62">
        <v>1.6395E-2</v>
      </c>
      <c r="F62">
        <v>59</v>
      </c>
      <c r="G62">
        <f>COUNTIF($A$2:$A$460,59)</f>
        <v>1</v>
      </c>
      <c r="I62">
        <f>SUMIF($A$2:$A$460,59,$C$2:$C$460)</f>
        <v>3</v>
      </c>
      <c r="K62">
        <f>SUMIF($A$2:$A$460,59,$E$2:$E$460)</f>
        <v>0.124415</v>
      </c>
      <c r="L62">
        <f t="shared" si="0"/>
        <v>0.124415</v>
      </c>
    </row>
    <row r="63" spans="1:12" x14ac:dyDescent="0.2">
      <c r="A63">
        <v>33</v>
      </c>
      <c r="B63">
        <v>187</v>
      </c>
      <c r="C63">
        <v>3</v>
      </c>
      <c r="D63">
        <v>62</v>
      </c>
      <c r="E63">
        <v>1.7479999999999999E-2</v>
      </c>
      <c r="F63">
        <v>60</v>
      </c>
      <c r="G63">
        <f>COUNTIF($A$2:$A$460,60)</f>
        <v>3</v>
      </c>
      <c r="I63">
        <f>SUMIF($A$2:$A$460,60,$C$2:$C$460)</f>
        <v>9</v>
      </c>
      <c r="K63">
        <f>SUMIF($A$2:$A$460,60,$E$2:$E$460)</f>
        <v>8.5975999999999997E-2</v>
      </c>
      <c r="L63">
        <f t="shared" si="0"/>
        <v>2.8658666666666666E-2</v>
      </c>
    </row>
    <row r="64" spans="1:12" x14ac:dyDescent="0.2">
      <c r="A64">
        <v>34</v>
      </c>
      <c r="B64">
        <v>190</v>
      </c>
      <c r="C64">
        <v>3</v>
      </c>
      <c r="D64">
        <v>63</v>
      </c>
      <c r="E64">
        <v>2.0642000000000001E-2</v>
      </c>
      <c r="F64">
        <v>61</v>
      </c>
      <c r="G64">
        <f>COUNTIF($A$2:$A$460,61)</f>
        <v>5</v>
      </c>
      <c r="I64">
        <f>SUMIF($A$2:$A$460,61,$C$2:$C$460)</f>
        <v>15</v>
      </c>
      <c r="K64">
        <f>SUMIF($A$2:$A$460,61,$E$2:$E$460)</f>
        <v>0.35986300000000004</v>
      </c>
      <c r="L64">
        <f t="shared" si="0"/>
        <v>7.1972600000000012E-2</v>
      </c>
    </row>
    <row r="65" spans="1:12" x14ac:dyDescent="0.2">
      <c r="A65">
        <v>34</v>
      </c>
      <c r="B65">
        <v>193</v>
      </c>
      <c r="C65">
        <v>3</v>
      </c>
      <c r="D65">
        <v>64</v>
      </c>
      <c r="E65">
        <v>1.9207999999999999E-2</v>
      </c>
      <c r="F65">
        <v>62</v>
      </c>
      <c r="G65">
        <f>COUNTIF($A$2:$A$460,62)</f>
        <v>1</v>
      </c>
      <c r="I65">
        <f>SUMIF($A$2:$A$460,62,$C$2:$C$460)</f>
        <v>3</v>
      </c>
      <c r="K65">
        <f>SUMIF($A$2:$A$460,62,$E$2:$E$460)</f>
        <v>0.131906</v>
      </c>
      <c r="L65">
        <f t="shared" si="0"/>
        <v>0.131906</v>
      </c>
    </row>
    <row r="66" spans="1:12" x14ac:dyDescent="0.2">
      <c r="A66">
        <v>36</v>
      </c>
      <c r="B66">
        <v>196</v>
      </c>
      <c r="C66">
        <v>3</v>
      </c>
      <c r="D66">
        <v>65</v>
      </c>
      <c r="E66">
        <v>5.7764999999999997E-2</v>
      </c>
      <c r="F66">
        <v>63</v>
      </c>
      <c r="G66">
        <f>COUNTIF($A$2:$A$460,63)</f>
        <v>2</v>
      </c>
      <c r="I66">
        <f>SUMIF($A$2:$A$460,63,$C$2:$C$460)</f>
        <v>6</v>
      </c>
      <c r="K66">
        <f>SUMIF($A$2:$A$460,63,$E$2:$E$460)</f>
        <v>6.473799999999999E-2</v>
      </c>
      <c r="L66">
        <f t="shared" si="0"/>
        <v>3.2368999999999995E-2</v>
      </c>
    </row>
    <row r="67" spans="1:12" x14ac:dyDescent="0.2">
      <c r="A67">
        <v>36</v>
      </c>
      <c r="B67">
        <v>199</v>
      </c>
      <c r="C67">
        <v>3</v>
      </c>
      <c r="D67">
        <v>66</v>
      </c>
      <c r="E67">
        <v>3.9120000000000002E-2</v>
      </c>
      <c r="F67">
        <v>64</v>
      </c>
      <c r="G67">
        <f>COUNTIF($A$2:$A$460,64)</f>
        <v>2</v>
      </c>
      <c r="I67">
        <f>SUMIF($A$2:$A$460,64,$C$2:$C$460)</f>
        <v>6</v>
      </c>
      <c r="K67">
        <f>SUMIF($A$2:$A$460,64,$E$2:$E$460)</f>
        <v>0.10499800000000001</v>
      </c>
      <c r="L67">
        <f t="shared" si="0"/>
        <v>5.2499000000000004E-2</v>
      </c>
    </row>
    <row r="68" spans="1:12" x14ac:dyDescent="0.2">
      <c r="A68">
        <v>35</v>
      </c>
      <c r="B68">
        <v>202</v>
      </c>
      <c r="C68">
        <v>3</v>
      </c>
      <c r="D68">
        <v>67</v>
      </c>
      <c r="E68">
        <v>5.1839000000000003E-2</v>
      </c>
      <c r="F68">
        <v>65</v>
      </c>
      <c r="G68">
        <f>COUNTIF($A$2:$A$460,65)</f>
        <v>1</v>
      </c>
      <c r="I68">
        <f>SUMIF($A$2:$A$460,65,$C$2:$C$460)</f>
        <v>3</v>
      </c>
      <c r="K68">
        <f>SUMIF($A$2:$A$460,65,$E$2:$E$460)</f>
        <v>0.11455799999999999</v>
      </c>
      <c r="L68">
        <f t="shared" si="0"/>
        <v>0.11455799999999999</v>
      </c>
    </row>
    <row r="69" spans="1:12" x14ac:dyDescent="0.2">
      <c r="A69">
        <v>35</v>
      </c>
      <c r="B69">
        <v>205</v>
      </c>
      <c r="C69">
        <v>3</v>
      </c>
      <c r="D69">
        <v>68</v>
      </c>
      <c r="E69">
        <v>2.8055E-2</v>
      </c>
      <c r="F69">
        <v>66</v>
      </c>
      <c r="G69">
        <f>COUNTIF($A$2:$A$460,66)</f>
        <v>4</v>
      </c>
      <c r="I69">
        <f>SUMIF($A$2:$A$460,66,$C$2:$C$460)</f>
        <v>12</v>
      </c>
      <c r="K69">
        <f>SUMIF($A$2:$A$460,66,$E$2:$E$460)</f>
        <v>0.179504</v>
      </c>
      <c r="L69">
        <f t="shared" ref="L69:L103" si="1">K69/G69</f>
        <v>4.4875999999999999E-2</v>
      </c>
    </row>
    <row r="70" spans="1:12" x14ac:dyDescent="0.2">
      <c r="A70">
        <v>35</v>
      </c>
      <c r="B70">
        <v>208</v>
      </c>
      <c r="C70">
        <v>3</v>
      </c>
      <c r="D70">
        <v>69</v>
      </c>
      <c r="E70">
        <v>2.0754999999999999E-2</v>
      </c>
      <c r="F70">
        <v>67</v>
      </c>
      <c r="G70">
        <f>COUNTIF($A$2:$A$460,67)</f>
        <v>2</v>
      </c>
      <c r="I70">
        <f>SUMIF($A$2:$A$460,671,$C$2:$C$460)</f>
        <v>0</v>
      </c>
      <c r="K70">
        <f>SUMIF($A$2:$A$460,671,$E$2:$E$460)</f>
        <v>0</v>
      </c>
      <c r="L70">
        <f t="shared" si="1"/>
        <v>0</v>
      </c>
    </row>
    <row r="71" spans="1:12" x14ac:dyDescent="0.2">
      <c r="A71">
        <v>36</v>
      </c>
      <c r="B71">
        <v>211</v>
      </c>
      <c r="C71">
        <v>3</v>
      </c>
      <c r="D71">
        <v>70</v>
      </c>
      <c r="E71">
        <v>3.0418000000000001E-2</v>
      </c>
      <c r="F71">
        <v>68</v>
      </c>
      <c r="G71">
        <f>COUNTIF($A$2:$A$460,68)</f>
        <v>1</v>
      </c>
      <c r="I71">
        <f>SUMIF($A$2:$A$460,68,$C$2:$C$460)</f>
        <v>3</v>
      </c>
      <c r="K71">
        <f>SUMIF($A$2:$A$460,68,$E$2:$E$460)</f>
        <v>1.7757999999999999E-2</v>
      </c>
      <c r="L71">
        <f t="shared" si="1"/>
        <v>1.7757999999999999E-2</v>
      </c>
    </row>
    <row r="72" spans="1:12" x14ac:dyDescent="0.2">
      <c r="A72">
        <v>37</v>
      </c>
      <c r="B72">
        <v>214</v>
      </c>
      <c r="C72">
        <v>3</v>
      </c>
      <c r="D72">
        <v>71</v>
      </c>
      <c r="E72">
        <v>4.1683999999999999E-2</v>
      </c>
      <c r="F72">
        <v>69</v>
      </c>
      <c r="G72">
        <f>COUNTIF($A$2:$A$460,69)</f>
        <v>0</v>
      </c>
      <c r="I72">
        <f>SUMIF($A$2:$A$460,69,$C$2:$C$460)</f>
        <v>0</v>
      </c>
      <c r="K72">
        <f>SUMIF($A$2:$A$460,69,$E$2:$E$460)</f>
        <v>0</v>
      </c>
      <c r="L72">
        <v>0</v>
      </c>
    </row>
    <row r="73" spans="1:12" x14ac:dyDescent="0.2">
      <c r="A73">
        <v>38</v>
      </c>
      <c r="B73">
        <v>217</v>
      </c>
      <c r="C73">
        <v>3</v>
      </c>
      <c r="D73">
        <v>72</v>
      </c>
      <c r="E73">
        <v>4.02E-2</v>
      </c>
      <c r="F73">
        <v>70</v>
      </c>
      <c r="G73">
        <f>COUNTIF($A$2:$A$460,70)</f>
        <v>7</v>
      </c>
      <c r="I73">
        <f>SUMIF($A$2:$A$460,70,$C$2:$C$460)</f>
        <v>21</v>
      </c>
      <c r="K73">
        <f>SUMIF($A$2:$A$460,70,$E$2:$E$460)</f>
        <v>0.31929600000000002</v>
      </c>
      <c r="L73">
        <f t="shared" si="1"/>
        <v>4.5613714285714292E-2</v>
      </c>
    </row>
    <row r="74" spans="1:12" x14ac:dyDescent="0.2">
      <c r="A74">
        <v>38</v>
      </c>
      <c r="B74">
        <v>220</v>
      </c>
      <c r="C74">
        <v>3</v>
      </c>
      <c r="D74">
        <v>73</v>
      </c>
      <c r="E74">
        <v>2.5735000000000001E-2</v>
      </c>
      <c r="F74">
        <v>71</v>
      </c>
      <c r="G74">
        <f>COUNTIF($A$2:$A$460,71)</f>
        <v>1</v>
      </c>
      <c r="I74">
        <f>SUMIF($A$2:$A$460,71,$C$2:$C$460)</f>
        <v>3</v>
      </c>
      <c r="K74">
        <f>SUMIF($A$2:$A$460,71,$E$2:$E$460)</f>
        <v>5.2000999999999999E-2</v>
      </c>
      <c r="L74">
        <f t="shared" si="1"/>
        <v>5.2000999999999999E-2</v>
      </c>
    </row>
    <row r="75" spans="1:12" x14ac:dyDescent="0.2">
      <c r="A75">
        <v>40</v>
      </c>
      <c r="B75">
        <v>223</v>
      </c>
      <c r="C75">
        <v>3</v>
      </c>
      <c r="D75">
        <v>74</v>
      </c>
      <c r="E75">
        <v>1.5778E-2</v>
      </c>
      <c r="F75">
        <v>72</v>
      </c>
      <c r="G75">
        <f>COUNTIF($A$2:$A$460,72)</f>
        <v>2</v>
      </c>
      <c r="I75">
        <f>SUMIF($A$2:$A$460,72,$C$2:$C$460)</f>
        <v>6</v>
      </c>
      <c r="K75">
        <f>SUMIF($A$2:$A$460,72,$E$2:$E$460)</f>
        <v>7.112099999999999E-2</v>
      </c>
      <c r="L75">
        <f t="shared" si="1"/>
        <v>3.5560499999999995E-2</v>
      </c>
    </row>
    <row r="76" spans="1:12" x14ac:dyDescent="0.2">
      <c r="A76">
        <v>41</v>
      </c>
      <c r="B76">
        <v>226</v>
      </c>
      <c r="C76">
        <v>3</v>
      </c>
      <c r="D76">
        <v>75</v>
      </c>
      <c r="E76">
        <v>0.117192</v>
      </c>
      <c r="F76">
        <v>73</v>
      </c>
      <c r="G76">
        <f>COUNTIF($A$2:$A$460,73)</f>
        <v>3</v>
      </c>
      <c r="I76">
        <f>SUMIF($A$2:$A$460,73,$C$2:$C$460)</f>
        <v>9</v>
      </c>
      <c r="K76">
        <f>SUMIF($A$2:$A$460,73,$E$2:$E$460)</f>
        <v>7.0722999999999994E-2</v>
      </c>
      <c r="L76">
        <f t="shared" si="1"/>
        <v>2.3574333333333333E-2</v>
      </c>
    </row>
    <row r="77" spans="1:12" x14ac:dyDescent="0.2">
      <c r="A77">
        <v>41</v>
      </c>
      <c r="B77">
        <v>229</v>
      </c>
      <c r="C77">
        <v>3</v>
      </c>
      <c r="D77">
        <v>76</v>
      </c>
      <c r="E77">
        <v>1.7729000000000002E-2</v>
      </c>
      <c r="F77">
        <v>74</v>
      </c>
      <c r="G77">
        <f>COUNTIF($A$2:$A$460,74)</f>
        <v>1</v>
      </c>
      <c r="I77">
        <f>SUMIF($A$2:$A$460,74,$C$2:$C$460)</f>
        <v>3</v>
      </c>
      <c r="K77">
        <f>SUMIF($A$2:$A$460,74,$E$2:$E$460)</f>
        <v>8.3126000000000005E-2</v>
      </c>
      <c r="L77">
        <f t="shared" si="1"/>
        <v>8.3126000000000005E-2</v>
      </c>
    </row>
    <row r="78" spans="1:12" x14ac:dyDescent="0.2">
      <c r="A78">
        <v>42</v>
      </c>
      <c r="B78">
        <v>232</v>
      </c>
      <c r="C78">
        <v>3</v>
      </c>
      <c r="D78">
        <v>77</v>
      </c>
      <c r="E78">
        <v>4.6953000000000002E-2</v>
      </c>
      <c r="F78">
        <v>75</v>
      </c>
      <c r="G78">
        <f>COUNTIF($A$2:$A$460,75)</f>
        <v>1</v>
      </c>
      <c r="I78">
        <f>SUMIF($A$2:$A$460,75,$C$2:$C$460)</f>
        <v>3</v>
      </c>
      <c r="K78">
        <f>SUMIF($A$2:$A$460,75,$E$2:$E$460)</f>
        <v>4.3913000000000001E-2</v>
      </c>
      <c r="L78">
        <f t="shared" si="1"/>
        <v>4.3913000000000001E-2</v>
      </c>
    </row>
    <row r="79" spans="1:12" x14ac:dyDescent="0.2">
      <c r="A79">
        <v>43</v>
      </c>
      <c r="B79">
        <v>235</v>
      </c>
      <c r="C79">
        <v>3</v>
      </c>
      <c r="D79">
        <v>78</v>
      </c>
      <c r="E79">
        <v>2.6610000000000002E-2</v>
      </c>
      <c r="F79">
        <v>76</v>
      </c>
      <c r="G79">
        <f>COUNTIF($A$2:$A$460,76)</f>
        <v>1</v>
      </c>
      <c r="I79">
        <f>SUMIF($A$2:$A$460,76,$C$2:$C$460)</f>
        <v>3</v>
      </c>
      <c r="K79">
        <f>SUMIF($A$2:$A$460,76,$E$2:$E$460)</f>
        <v>2.2956000000000001E-2</v>
      </c>
      <c r="L79">
        <f t="shared" si="1"/>
        <v>2.2956000000000001E-2</v>
      </c>
    </row>
    <row r="80" spans="1:12" x14ac:dyDescent="0.2">
      <c r="A80">
        <v>44</v>
      </c>
      <c r="B80">
        <v>238</v>
      </c>
      <c r="C80">
        <v>3</v>
      </c>
      <c r="D80">
        <v>79</v>
      </c>
      <c r="E80">
        <v>0.110294</v>
      </c>
      <c r="F80">
        <v>77</v>
      </c>
      <c r="G80">
        <f>COUNTIF($A$2:$A$460,77)</f>
        <v>1</v>
      </c>
      <c r="I80">
        <f>SUMIF($A$2:$A$460,77,$C$2:$C$460)</f>
        <v>3</v>
      </c>
      <c r="K80">
        <f>SUMIF($A$2:$A$460,77,$E$2:$E$460)</f>
        <v>7.8206999999999999E-2</v>
      </c>
      <c r="L80">
        <f t="shared" si="1"/>
        <v>7.8206999999999999E-2</v>
      </c>
    </row>
    <row r="81" spans="1:12" x14ac:dyDescent="0.2">
      <c r="A81">
        <v>44</v>
      </c>
      <c r="B81">
        <v>241</v>
      </c>
      <c r="C81">
        <v>3</v>
      </c>
      <c r="D81">
        <v>80</v>
      </c>
      <c r="E81">
        <v>4.0922E-2</v>
      </c>
      <c r="F81">
        <v>78</v>
      </c>
      <c r="G81">
        <f>COUNTIF($A$2:$A$460,78)</f>
        <v>1</v>
      </c>
      <c r="I81">
        <f>SUMIF($A$2:$A$460,78,$C$2:$C$460)</f>
        <v>3</v>
      </c>
      <c r="K81">
        <f>SUMIF($A$2:$A$460,78,$E$2:$E$460)</f>
        <v>2.2484000000000001E-2</v>
      </c>
      <c r="L81">
        <f t="shared" si="1"/>
        <v>2.2484000000000001E-2</v>
      </c>
    </row>
    <row r="82" spans="1:12" x14ac:dyDescent="0.2">
      <c r="A82">
        <v>45</v>
      </c>
      <c r="B82">
        <v>244</v>
      </c>
      <c r="C82">
        <v>3</v>
      </c>
      <c r="D82">
        <v>81</v>
      </c>
      <c r="E82">
        <v>7.9998E-2</v>
      </c>
      <c r="F82">
        <v>79</v>
      </c>
      <c r="G82">
        <f>COUNTIF($A$2:$A$460,79)</f>
        <v>0</v>
      </c>
      <c r="I82">
        <f>SUMIF($A$2:$A$460,79,$C$2:$C$460)</f>
        <v>0</v>
      </c>
      <c r="K82">
        <f>SUMIF($A$2:$A$460,79,$E$2:$E$460)</f>
        <v>0</v>
      </c>
      <c r="L82">
        <v>0</v>
      </c>
    </row>
    <row r="83" spans="1:12" x14ac:dyDescent="0.2">
      <c r="A83">
        <v>45</v>
      </c>
      <c r="B83">
        <v>247</v>
      </c>
      <c r="C83">
        <v>3</v>
      </c>
      <c r="D83">
        <v>82</v>
      </c>
      <c r="E83">
        <v>1.8588E-2</v>
      </c>
      <c r="F83">
        <v>80</v>
      </c>
      <c r="G83">
        <f>COUNTIF($A$2:$A$460,80)</f>
        <v>0</v>
      </c>
      <c r="I83">
        <f>SUMIF($A$2:$A$460,80,$C$2:$C$460)</f>
        <v>0</v>
      </c>
      <c r="K83">
        <f>SUMIF($A$2:$A$460,80,$E$2:$E$460)</f>
        <v>0</v>
      </c>
      <c r="L83">
        <v>0</v>
      </c>
    </row>
    <row r="84" spans="1:12" x14ac:dyDescent="0.2">
      <c r="A84">
        <v>45</v>
      </c>
      <c r="B84">
        <v>250</v>
      </c>
      <c r="C84">
        <v>3</v>
      </c>
      <c r="D84">
        <v>83</v>
      </c>
      <c r="E84">
        <v>5.0663E-2</v>
      </c>
      <c r="F84">
        <v>81</v>
      </c>
      <c r="G84">
        <f>COUNTIF($A$2:$A$460,81)</f>
        <v>0</v>
      </c>
      <c r="I84">
        <f>SUMIF($A$2:$A$460,81,$C$2:$C$460)</f>
        <v>0</v>
      </c>
      <c r="K84">
        <f>SUMIF($A$2:$A$460,81,$E$2:$E$460)</f>
        <v>0</v>
      </c>
      <c r="L84">
        <v>0</v>
      </c>
    </row>
    <row r="85" spans="1:12" x14ac:dyDescent="0.2">
      <c r="A85">
        <v>46</v>
      </c>
      <c r="B85">
        <v>253</v>
      </c>
      <c r="C85">
        <v>3</v>
      </c>
      <c r="D85">
        <v>84</v>
      </c>
      <c r="E85">
        <v>8.0097000000000002E-2</v>
      </c>
      <c r="F85">
        <v>82</v>
      </c>
      <c r="G85">
        <f>COUNTIF($A$2:$A$460,82)</f>
        <v>0</v>
      </c>
      <c r="I85">
        <f>SUMIF($A$2:$A$460,82,$C$2:$C$460)</f>
        <v>0</v>
      </c>
      <c r="K85">
        <f>SUMIF($A$2:$A$460,82,$E$2:$E$460)</f>
        <v>0</v>
      </c>
      <c r="L85">
        <v>0</v>
      </c>
    </row>
    <row r="86" spans="1:12" x14ac:dyDescent="0.2">
      <c r="A86">
        <v>47</v>
      </c>
      <c r="B86">
        <v>256</v>
      </c>
      <c r="C86">
        <v>3</v>
      </c>
      <c r="D86">
        <v>85</v>
      </c>
      <c r="E86">
        <v>0.128389</v>
      </c>
      <c r="F86">
        <v>83</v>
      </c>
      <c r="G86">
        <f>COUNTIF($A$2:$A$460,83)</f>
        <v>2</v>
      </c>
      <c r="I86">
        <f>SUMIF($A$2:$A$460,83,$C$2:$C$460)</f>
        <v>6</v>
      </c>
      <c r="K86">
        <f>SUMIF($A$2:$A$460,83,$E$2:$E$460)</f>
        <v>0.14338899999999999</v>
      </c>
      <c r="L86">
        <f t="shared" si="1"/>
        <v>7.1694499999999994E-2</v>
      </c>
    </row>
    <row r="87" spans="1:12" x14ac:dyDescent="0.2">
      <c r="A87">
        <v>47</v>
      </c>
      <c r="B87">
        <v>259</v>
      </c>
      <c r="C87">
        <v>3</v>
      </c>
      <c r="D87">
        <v>86</v>
      </c>
      <c r="E87">
        <v>1.7062000000000001E-2</v>
      </c>
      <c r="F87">
        <v>84</v>
      </c>
      <c r="G87">
        <f>COUNTIF($A$2:$A$460,84)</f>
        <v>0</v>
      </c>
      <c r="I87">
        <f>SUMIF($A$2:$A$460,84,$C$2:$C$460)</f>
        <v>0</v>
      </c>
      <c r="K87">
        <f>SUMIF($A$2:$A$460,84,$E$2:$E$460)</f>
        <v>0</v>
      </c>
      <c r="L87">
        <v>0</v>
      </c>
    </row>
    <row r="88" spans="1:12" x14ac:dyDescent="0.2">
      <c r="A88">
        <v>47</v>
      </c>
      <c r="B88">
        <v>262</v>
      </c>
      <c r="C88">
        <v>3</v>
      </c>
      <c r="D88">
        <v>87</v>
      </c>
      <c r="E88">
        <v>6.9259000000000001E-2</v>
      </c>
      <c r="F88">
        <v>85</v>
      </c>
      <c r="G88">
        <f>COUNTIF($A$2:$A$460,85)</f>
        <v>0</v>
      </c>
      <c r="I88">
        <f>SUMIF($A$2:$A$460,85,$C$2:$C$460)</f>
        <v>0</v>
      </c>
      <c r="K88">
        <f>SUMIF($A$2:$A$460,85,$C$2:$C$460)</f>
        <v>0</v>
      </c>
      <c r="L88">
        <v>0</v>
      </c>
    </row>
    <row r="89" spans="1:12" x14ac:dyDescent="0.2">
      <c r="A89">
        <v>48</v>
      </c>
      <c r="B89">
        <v>265</v>
      </c>
      <c r="C89">
        <v>3</v>
      </c>
      <c r="D89">
        <v>88</v>
      </c>
      <c r="E89">
        <v>6.6170999999999994E-2</v>
      </c>
      <c r="F89">
        <v>86</v>
      </c>
      <c r="G89">
        <f>COUNTIF($A$2:$A$460,86)</f>
        <v>3</v>
      </c>
      <c r="I89">
        <f>SUMIF($A$2:$A$460,86,$C$2:$C$460)</f>
        <v>9</v>
      </c>
      <c r="K89">
        <f>SUMIF($A$2:$A$460,86,$E$2:$E$460)</f>
        <v>0.12714700000000001</v>
      </c>
      <c r="L89">
        <f t="shared" si="1"/>
        <v>4.2382333333333334E-2</v>
      </c>
    </row>
    <row r="90" spans="1:12" x14ac:dyDescent="0.2">
      <c r="A90">
        <v>47</v>
      </c>
      <c r="B90">
        <v>268</v>
      </c>
      <c r="C90">
        <v>3</v>
      </c>
      <c r="D90">
        <v>89</v>
      </c>
      <c r="E90">
        <v>2.1128999999999998E-2</v>
      </c>
      <c r="F90">
        <v>87</v>
      </c>
      <c r="G90">
        <f>COUNTIF($A$2:$A$460,87)</f>
        <v>0</v>
      </c>
      <c r="I90">
        <f>SUMIF($A$2:$A$460,87,$C$2:$C$460)</f>
        <v>0</v>
      </c>
      <c r="K90">
        <f>SUMIF($A$2:$A$460,87,$C$2:$C$460)</f>
        <v>0</v>
      </c>
      <c r="L90">
        <v>0</v>
      </c>
    </row>
    <row r="91" spans="1:12" x14ac:dyDescent="0.2">
      <c r="A91">
        <v>49</v>
      </c>
      <c r="B91">
        <v>271</v>
      </c>
      <c r="C91">
        <v>3</v>
      </c>
      <c r="D91">
        <v>90</v>
      </c>
      <c r="E91">
        <v>1.6733000000000001E-2</v>
      </c>
      <c r="F91">
        <v>88</v>
      </c>
      <c r="G91">
        <f>COUNTIF($A$2:$A$460,88)</f>
        <v>0</v>
      </c>
      <c r="I91">
        <f>SUMIF($A$2:$A$460,88,$C$2:$C$460)</f>
        <v>0</v>
      </c>
      <c r="K91">
        <f>SUMIF($A$2:$A$460,88,$C$2:$C$460)</f>
        <v>0</v>
      </c>
      <c r="L91">
        <v>0</v>
      </c>
    </row>
    <row r="92" spans="1:12" x14ac:dyDescent="0.2">
      <c r="A92">
        <v>51</v>
      </c>
      <c r="B92">
        <v>274</v>
      </c>
      <c r="C92">
        <v>3</v>
      </c>
      <c r="D92">
        <v>91</v>
      </c>
      <c r="E92">
        <v>2.23E-2</v>
      </c>
      <c r="F92">
        <v>89</v>
      </c>
      <c r="G92">
        <f>COUNTIF($A$2:$A$460,89)</f>
        <v>2</v>
      </c>
      <c r="I92">
        <f>SUMIF($A$2:$A$460,89,$C$2:$C$460)</f>
        <v>6</v>
      </c>
      <c r="K92">
        <f>SUMIF($A$2:$A$460,89,$E$2:$E$460)</f>
        <v>0.11247500000000001</v>
      </c>
      <c r="L92">
        <f t="shared" si="1"/>
        <v>5.6237500000000003E-2</v>
      </c>
    </row>
    <row r="93" spans="1:12" x14ac:dyDescent="0.2">
      <c r="A93">
        <v>51</v>
      </c>
      <c r="B93">
        <v>277</v>
      </c>
      <c r="C93">
        <v>3</v>
      </c>
      <c r="D93">
        <v>92</v>
      </c>
      <c r="E93">
        <v>2.3460000000000002E-2</v>
      </c>
      <c r="F93">
        <v>90</v>
      </c>
      <c r="G93">
        <f>COUNTIF($A$2:$A$460,90)</f>
        <v>1</v>
      </c>
      <c r="I93">
        <f>SUMIF($A$2:$A$460,90,$C$2:$C$460)</f>
        <v>3</v>
      </c>
      <c r="K93">
        <f>SUMIF($A$2:$A$460,90,$E$2:$E$460)</f>
        <v>2.7472E-2</v>
      </c>
      <c r="L93">
        <f t="shared" si="1"/>
        <v>2.7472E-2</v>
      </c>
    </row>
    <row r="94" spans="1:12" x14ac:dyDescent="0.2">
      <c r="A94">
        <v>50</v>
      </c>
      <c r="B94">
        <v>280</v>
      </c>
      <c r="C94">
        <v>3</v>
      </c>
      <c r="D94">
        <v>93</v>
      </c>
      <c r="E94">
        <v>1.8093000000000001E-2</v>
      </c>
      <c r="F94">
        <v>91</v>
      </c>
      <c r="G94">
        <f>COUNTIF($A$2:$A$460,91)</f>
        <v>2</v>
      </c>
      <c r="I94">
        <f>SUMIF($A$2:$A$460,91,$C$2:$C$460)</f>
        <v>6</v>
      </c>
      <c r="K94">
        <f>SUMIF($A$2:$A$460,91,$E$2:$E$460)</f>
        <v>0.120922</v>
      </c>
      <c r="L94">
        <f t="shared" si="1"/>
        <v>6.0461000000000001E-2</v>
      </c>
    </row>
    <row r="95" spans="1:12" x14ac:dyDescent="0.2">
      <c r="A95">
        <v>52</v>
      </c>
      <c r="B95">
        <v>283</v>
      </c>
      <c r="C95">
        <v>3</v>
      </c>
      <c r="D95">
        <v>94</v>
      </c>
      <c r="E95">
        <v>1.5236E-2</v>
      </c>
      <c r="F95">
        <v>92</v>
      </c>
      <c r="G95">
        <f>COUNTIF($A$2:$A$460,92)</f>
        <v>4</v>
      </c>
      <c r="I95">
        <f>SUMIF($A$2:$A$460,92,$C$2:$C$460)</f>
        <v>12</v>
      </c>
      <c r="K95">
        <f>SUMIF($A$2:$A$460,92,$E$2:$E$460)</f>
        <v>0.14943699999999999</v>
      </c>
      <c r="L95">
        <f t="shared" si="1"/>
        <v>3.7359249999999997E-2</v>
      </c>
    </row>
    <row r="96" spans="1:12" x14ac:dyDescent="0.2">
      <c r="A96">
        <v>52</v>
      </c>
      <c r="B96">
        <v>286</v>
      </c>
      <c r="C96">
        <v>3</v>
      </c>
      <c r="D96">
        <v>95</v>
      </c>
      <c r="E96">
        <v>0.10785</v>
      </c>
      <c r="F96">
        <v>93</v>
      </c>
      <c r="G96">
        <f>COUNTIF($A$2:$A$460,93)</f>
        <v>0</v>
      </c>
      <c r="I96">
        <f>SUMIF($A$2:$A$460,93,$C$2:$C$460)</f>
        <v>0</v>
      </c>
      <c r="K96">
        <f>SUMIF($A$2:$A$460,93,$E$2:$E$460)</f>
        <v>0</v>
      </c>
      <c r="L96">
        <v>0</v>
      </c>
    </row>
    <row r="97" spans="1:12" x14ac:dyDescent="0.2">
      <c r="A97">
        <v>54</v>
      </c>
      <c r="B97">
        <v>289</v>
      </c>
      <c r="C97">
        <v>3</v>
      </c>
      <c r="D97">
        <v>96</v>
      </c>
      <c r="E97">
        <v>2.9564E-2</v>
      </c>
      <c r="F97">
        <v>94</v>
      </c>
      <c r="G97">
        <f>COUNTIF($A$2:$A$460,94)</f>
        <v>4</v>
      </c>
      <c r="I97">
        <f>SUMIF($A$2:$A$460,94,$C$2:$C$460)</f>
        <v>12</v>
      </c>
      <c r="K97">
        <f>SUMIF($A$2:$A$460,94,$E$2:$E$460)</f>
        <v>0.19315499999999999</v>
      </c>
      <c r="L97">
        <f t="shared" si="1"/>
        <v>4.8288749999999998E-2</v>
      </c>
    </row>
    <row r="98" spans="1:12" x14ac:dyDescent="0.2">
      <c r="A98">
        <v>54</v>
      </c>
      <c r="B98">
        <v>292</v>
      </c>
      <c r="C98">
        <v>3</v>
      </c>
      <c r="D98">
        <v>97</v>
      </c>
      <c r="E98">
        <v>9.1805999999999999E-2</v>
      </c>
      <c r="F98">
        <v>95</v>
      </c>
      <c r="G98">
        <f>COUNTIF($A$2:$A$460,95)</f>
        <v>3</v>
      </c>
      <c r="I98">
        <f>SUMIF($A$2:$A$460,95,$C$2:$C$460)</f>
        <v>9</v>
      </c>
      <c r="K98">
        <f>SUMIF($A$2:$A$460,95,$E$2:$E$460)</f>
        <v>9.4578999999999996E-2</v>
      </c>
      <c r="L98">
        <f t="shared" si="1"/>
        <v>3.152633333333333E-2</v>
      </c>
    </row>
    <row r="99" spans="1:12" x14ac:dyDescent="0.2">
      <c r="A99">
        <v>55</v>
      </c>
      <c r="B99">
        <v>295</v>
      </c>
      <c r="C99">
        <v>3</v>
      </c>
      <c r="D99">
        <v>98</v>
      </c>
      <c r="E99">
        <v>3.8827E-2</v>
      </c>
      <c r="F99">
        <v>96</v>
      </c>
      <c r="G99">
        <f>COUNTIF($A$2:$A$460,96)</f>
        <v>0</v>
      </c>
      <c r="I99">
        <f>SUMIF($A$2:$A$460,96,$C$2:$C$460)</f>
        <v>0</v>
      </c>
      <c r="K99">
        <f>SUMIF($A$2:$A$460,96,$E$2:$E$460)</f>
        <v>0</v>
      </c>
      <c r="L99">
        <v>0</v>
      </c>
    </row>
    <row r="100" spans="1:12" x14ac:dyDescent="0.2">
      <c r="A100">
        <v>54</v>
      </c>
      <c r="B100">
        <v>298</v>
      </c>
      <c r="C100">
        <v>3</v>
      </c>
      <c r="D100">
        <v>99</v>
      </c>
      <c r="E100">
        <v>3.1601999999999998E-2</v>
      </c>
      <c r="F100">
        <v>97</v>
      </c>
      <c r="G100">
        <f>COUNTIF($A$2:$A$460,97)</f>
        <v>3</v>
      </c>
      <c r="I100">
        <f>SUMIF($A$2:$A$460,97,$C$2:$C$460)</f>
        <v>9</v>
      </c>
      <c r="K100">
        <f>SUMIF($A$2:$A$460,97,$E$2:$E$460)</f>
        <v>0.13674700000000001</v>
      </c>
      <c r="L100">
        <f t="shared" si="1"/>
        <v>4.5582333333333336E-2</v>
      </c>
    </row>
    <row r="101" spans="1:12" x14ac:dyDescent="0.2">
      <c r="A101">
        <v>55</v>
      </c>
      <c r="B101">
        <v>301</v>
      </c>
      <c r="C101">
        <v>3</v>
      </c>
      <c r="D101">
        <v>100</v>
      </c>
      <c r="E101">
        <v>2.9935E-2</v>
      </c>
      <c r="F101">
        <v>98</v>
      </c>
      <c r="G101">
        <f>COUNTIF($A$2:$A$460,98)</f>
        <v>2</v>
      </c>
      <c r="I101">
        <f>SUMIF($A$2:$A$460,98,$C$2:$C$460)</f>
        <v>6</v>
      </c>
      <c r="K101">
        <f>SUMIF($A$2:$A$460,98,$E$2:$E$460)</f>
        <v>9.1983999999999996E-2</v>
      </c>
      <c r="L101">
        <f t="shared" si="1"/>
        <v>4.5991999999999998E-2</v>
      </c>
    </row>
    <row r="102" spans="1:12" x14ac:dyDescent="0.2">
      <c r="A102">
        <v>56</v>
      </c>
      <c r="B102">
        <v>304</v>
      </c>
      <c r="C102">
        <v>3</v>
      </c>
      <c r="D102">
        <v>101</v>
      </c>
      <c r="E102">
        <v>0.117062</v>
      </c>
      <c r="F102">
        <v>99</v>
      </c>
      <c r="G102">
        <f>COUNTIF($A$2:$A$460,99)</f>
        <v>3</v>
      </c>
      <c r="I102">
        <f>SUMIF($A$2:$A$460,99,$C$2:$C$460)</f>
        <v>9</v>
      </c>
      <c r="K102">
        <f>SUMIF($A$2:$A$460,99,$E$2:$E$460)</f>
        <v>0.120946</v>
      </c>
      <c r="L102">
        <f t="shared" si="1"/>
        <v>4.0315333333333335E-2</v>
      </c>
    </row>
    <row r="103" spans="1:12" x14ac:dyDescent="0.2">
      <c r="A103">
        <v>57</v>
      </c>
      <c r="B103">
        <v>307</v>
      </c>
      <c r="C103">
        <v>3</v>
      </c>
      <c r="D103">
        <v>102</v>
      </c>
      <c r="E103">
        <v>0.13475300000000001</v>
      </c>
      <c r="F103">
        <v>100</v>
      </c>
      <c r="G103">
        <f>COUNTIF($A$2:$A$460,100)</f>
        <v>0</v>
      </c>
      <c r="I103">
        <f>SUMIF($A$2:$A$460,100,$C$2:$C$460)</f>
        <v>0</v>
      </c>
      <c r="K103">
        <f>SUMIF($A$2:$A$460,100,$E$2:$E$460)</f>
        <v>0</v>
      </c>
      <c r="L103">
        <v>0</v>
      </c>
    </row>
    <row r="104" spans="1:12" x14ac:dyDescent="0.2">
      <c r="A104">
        <v>57</v>
      </c>
      <c r="B104">
        <v>310</v>
      </c>
      <c r="C104">
        <v>3</v>
      </c>
      <c r="D104">
        <v>103</v>
      </c>
      <c r="E104">
        <v>5.4008E-2</v>
      </c>
    </row>
    <row r="105" spans="1:12" x14ac:dyDescent="0.2">
      <c r="A105">
        <v>58</v>
      </c>
      <c r="B105">
        <v>313</v>
      </c>
      <c r="C105">
        <v>3</v>
      </c>
      <c r="D105">
        <v>104</v>
      </c>
      <c r="E105">
        <v>3.5348999999999998E-2</v>
      </c>
    </row>
    <row r="106" spans="1:12" x14ac:dyDescent="0.2">
      <c r="A106">
        <v>58</v>
      </c>
      <c r="B106">
        <v>316</v>
      </c>
      <c r="C106">
        <v>3</v>
      </c>
      <c r="D106">
        <v>105</v>
      </c>
      <c r="E106">
        <v>3.3263000000000001E-2</v>
      </c>
    </row>
    <row r="107" spans="1:12" x14ac:dyDescent="0.2">
      <c r="A107">
        <v>58</v>
      </c>
      <c r="B107">
        <v>319</v>
      </c>
      <c r="C107">
        <v>3</v>
      </c>
      <c r="D107">
        <v>106</v>
      </c>
      <c r="E107">
        <v>3.7033000000000003E-2</v>
      </c>
    </row>
    <row r="108" spans="1:12" x14ac:dyDescent="0.2">
      <c r="A108">
        <v>58</v>
      </c>
      <c r="B108">
        <v>323</v>
      </c>
      <c r="C108">
        <v>4</v>
      </c>
      <c r="D108">
        <v>107</v>
      </c>
      <c r="E108">
        <v>2.1836999999999999E-2</v>
      </c>
    </row>
    <row r="109" spans="1:12" x14ac:dyDescent="0.2">
      <c r="A109">
        <v>58</v>
      </c>
      <c r="B109">
        <v>326</v>
      </c>
      <c r="C109">
        <v>3</v>
      </c>
      <c r="D109">
        <v>108</v>
      </c>
      <c r="E109">
        <v>2.0072E-2</v>
      </c>
    </row>
    <row r="110" spans="1:12" x14ac:dyDescent="0.2">
      <c r="A110">
        <v>59</v>
      </c>
      <c r="B110">
        <v>329</v>
      </c>
      <c r="C110">
        <v>3</v>
      </c>
      <c r="D110">
        <v>109</v>
      </c>
      <c r="E110">
        <v>0.124415</v>
      </c>
    </row>
    <row r="111" spans="1:12" x14ac:dyDescent="0.2">
      <c r="A111">
        <v>60</v>
      </c>
      <c r="B111">
        <v>332</v>
      </c>
      <c r="C111">
        <v>3</v>
      </c>
      <c r="D111">
        <v>110</v>
      </c>
      <c r="E111">
        <v>2.0878000000000001E-2</v>
      </c>
    </row>
    <row r="112" spans="1:12" x14ac:dyDescent="0.2">
      <c r="A112">
        <v>60</v>
      </c>
      <c r="B112">
        <v>335</v>
      </c>
      <c r="C112">
        <v>3</v>
      </c>
      <c r="D112">
        <v>111</v>
      </c>
      <c r="E112">
        <v>4.7613000000000003E-2</v>
      </c>
    </row>
    <row r="113" spans="1:5" x14ac:dyDescent="0.2">
      <c r="A113">
        <v>60</v>
      </c>
      <c r="B113">
        <v>338</v>
      </c>
      <c r="C113">
        <v>3</v>
      </c>
      <c r="D113">
        <v>112</v>
      </c>
      <c r="E113">
        <v>1.7485000000000001E-2</v>
      </c>
    </row>
    <row r="114" spans="1:5" x14ac:dyDescent="0.2">
      <c r="A114">
        <v>61</v>
      </c>
      <c r="B114">
        <v>341</v>
      </c>
      <c r="C114">
        <v>3</v>
      </c>
      <c r="D114">
        <v>113</v>
      </c>
      <c r="E114">
        <v>0.163246</v>
      </c>
    </row>
    <row r="115" spans="1:5" x14ac:dyDescent="0.2">
      <c r="A115">
        <v>61</v>
      </c>
      <c r="B115">
        <v>344</v>
      </c>
      <c r="C115">
        <v>3</v>
      </c>
      <c r="D115">
        <v>114</v>
      </c>
      <c r="E115">
        <v>3.7447000000000001E-2</v>
      </c>
    </row>
    <row r="116" spans="1:5" x14ac:dyDescent="0.2">
      <c r="A116">
        <v>61</v>
      </c>
      <c r="B116">
        <v>347</v>
      </c>
      <c r="C116">
        <v>3</v>
      </c>
      <c r="D116">
        <v>115</v>
      </c>
      <c r="E116">
        <v>4.7629999999999999E-2</v>
      </c>
    </row>
    <row r="117" spans="1:5" x14ac:dyDescent="0.2">
      <c r="A117">
        <v>61</v>
      </c>
      <c r="B117">
        <v>350</v>
      </c>
      <c r="C117">
        <v>3</v>
      </c>
      <c r="D117">
        <v>116</v>
      </c>
      <c r="E117">
        <v>9.3310000000000004E-2</v>
      </c>
    </row>
    <row r="118" spans="1:5" x14ac:dyDescent="0.2">
      <c r="A118">
        <v>62</v>
      </c>
      <c r="B118">
        <v>353</v>
      </c>
      <c r="C118">
        <v>3</v>
      </c>
      <c r="D118">
        <v>117</v>
      </c>
      <c r="E118">
        <v>0.131906</v>
      </c>
    </row>
    <row r="119" spans="1:5" x14ac:dyDescent="0.2">
      <c r="A119">
        <v>61</v>
      </c>
      <c r="B119">
        <v>356</v>
      </c>
      <c r="C119">
        <v>3</v>
      </c>
      <c r="D119">
        <v>118</v>
      </c>
      <c r="E119">
        <v>1.823E-2</v>
      </c>
    </row>
    <row r="120" spans="1:5" x14ac:dyDescent="0.2">
      <c r="A120">
        <v>63</v>
      </c>
      <c r="B120">
        <v>359</v>
      </c>
      <c r="C120">
        <v>3</v>
      </c>
      <c r="D120">
        <v>119</v>
      </c>
      <c r="E120">
        <v>3.3814999999999998E-2</v>
      </c>
    </row>
    <row r="121" spans="1:5" x14ac:dyDescent="0.2">
      <c r="A121">
        <v>63</v>
      </c>
      <c r="B121">
        <v>362</v>
      </c>
      <c r="C121">
        <v>3</v>
      </c>
      <c r="D121">
        <v>120</v>
      </c>
      <c r="E121">
        <v>3.0922999999999999E-2</v>
      </c>
    </row>
    <row r="122" spans="1:5" x14ac:dyDescent="0.2">
      <c r="A122">
        <v>64</v>
      </c>
      <c r="B122">
        <v>365</v>
      </c>
      <c r="C122">
        <v>3</v>
      </c>
      <c r="D122">
        <v>121</v>
      </c>
      <c r="E122">
        <v>8.0739000000000005E-2</v>
      </c>
    </row>
    <row r="123" spans="1:5" x14ac:dyDescent="0.2">
      <c r="A123">
        <v>64</v>
      </c>
      <c r="B123">
        <v>368</v>
      </c>
      <c r="C123">
        <v>3</v>
      </c>
      <c r="D123">
        <v>122</v>
      </c>
      <c r="E123">
        <v>2.4258999999999999E-2</v>
      </c>
    </row>
    <row r="124" spans="1:5" x14ac:dyDescent="0.2">
      <c r="A124">
        <v>66</v>
      </c>
      <c r="B124">
        <v>371</v>
      </c>
      <c r="C124">
        <v>3</v>
      </c>
      <c r="D124">
        <v>123</v>
      </c>
      <c r="E124">
        <v>8.7579000000000004E-2</v>
      </c>
    </row>
    <row r="125" spans="1:5" x14ac:dyDescent="0.2">
      <c r="A125">
        <v>65</v>
      </c>
      <c r="B125">
        <v>374</v>
      </c>
      <c r="C125">
        <v>3</v>
      </c>
      <c r="D125">
        <v>124</v>
      </c>
      <c r="E125">
        <v>0.11455799999999999</v>
      </c>
    </row>
    <row r="126" spans="1:5" x14ac:dyDescent="0.2">
      <c r="A126">
        <v>66</v>
      </c>
      <c r="B126">
        <v>377</v>
      </c>
      <c r="C126">
        <v>3</v>
      </c>
      <c r="D126">
        <v>125</v>
      </c>
      <c r="E126">
        <v>3.1095000000000001E-2</v>
      </c>
    </row>
    <row r="127" spans="1:5" x14ac:dyDescent="0.2">
      <c r="A127">
        <v>66</v>
      </c>
      <c r="B127">
        <v>380</v>
      </c>
      <c r="C127">
        <v>3</v>
      </c>
      <c r="D127">
        <v>126</v>
      </c>
      <c r="E127">
        <v>2.5783E-2</v>
      </c>
    </row>
    <row r="128" spans="1:5" x14ac:dyDescent="0.2">
      <c r="A128">
        <v>66</v>
      </c>
      <c r="B128">
        <v>383</v>
      </c>
      <c r="C128">
        <v>3</v>
      </c>
      <c r="D128">
        <v>127</v>
      </c>
      <c r="E128">
        <v>3.5047000000000002E-2</v>
      </c>
    </row>
    <row r="129" spans="1:5" x14ac:dyDescent="0.2">
      <c r="A129">
        <v>67</v>
      </c>
      <c r="B129">
        <v>386</v>
      </c>
      <c r="C129">
        <v>3</v>
      </c>
      <c r="D129">
        <v>128</v>
      </c>
      <c r="E129">
        <v>2.6134999999999999E-2</v>
      </c>
    </row>
    <row r="130" spans="1:5" x14ac:dyDescent="0.2">
      <c r="A130">
        <v>67</v>
      </c>
      <c r="B130">
        <v>389</v>
      </c>
      <c r="C130">
        <v>3</v>
      </c>
      <c r="D130">
        <v>129</v>
      </c>
      <c r="E130">
        <v>1.8013999999999999E-2</v>
      </c>
    </row>
    <row r="131" spans="1:5" x14ac:dyDescent="0.2">
      <c r="A131">
        <v>68</v>
      </c>
      <c r="B131">
        <v>392</v>
      </c>
      <c r="C131">
        <v>3</v>
      </c>
      <c r="D131">
        <v>130</v>
      </c>
      <c r="E131">
        <v>1.7757999999999999E-2</v>
      </c>
    </row>
    <row r="132" spans="1:5" x14ac:dyDescent="0.2">
      <c r="A132">
        <v>70</v>
      </c>
      <c r="B132">
        <v>395</v>
      </c>
      <c r="C132">
        <v>3</v>
      </c>
      <c r="D132">
        <v>131</v>
      </c>
      <c r="E132">
        <v>0.10713300000000001</v>
      </c>
    </row>
    <row r="133" spans="1:5" x14ac:dyDescent="0.2">
      <c r="A133">
        <v>70</v>
      </c>
      <c r="B133">
        <v>398</v>
      </c>
      <c r="C133">
        <v>3</v>
      </c>
      <c r="D133">
        <v>132</v>
      </c>
      <c r="E133">
        <v>4.8425999999999997E-2</v>
      </c>
    </row>
    <row r="134" spans="1:5" x14ac:dyDescent="0.2">
      <c r="A134">
        <v>70</v>
      </c>
      <c r="B134">
        <v>401</v>
      </c>
      <c r="C134">
        <v>3</v>
      </c>
      <c r="D134">
        <v>133</v>
      </c>
      <c r="E134">
        <v>1.8763999999999999E-2</v>
      </c>
    </row>
    <row r="135" spans="1:5" x14ac:dyDescent="0.2">
      <c r="A135">
        <v>70</v>
      </c>
      <c r="B135">
        <v>404</v>
      </c>
      <c r="C135">
        <v>3</v>
      </c>
      <c r="D135">
        <v>134</v>
      </c>
      <c r="E135">
        <v>2.7074999999999998E-2</v>
      </c>
    </row>
    <row r="136" spans="1:5" x14ac:dyDescent="0.2">
      <c r="A136">
        <v>70</v>
      </c>
      <c r="B136">
        <v>407</v>
      </c>
      <c r="C136">
        <v>3</v>
      </c>
      <c r="D136">
        <v>135</v>
      </c>
      <c r="E136">
        <v>4.4431999999999999E-2</v>
      </c>
    </row>
    <row r="137" spans="1:5" x14ac:dyDescent="0.2">
      <c r="A137">
        <v>71</v>
      </c>
      <c r="B137">
        <v>410</v>
      </c>
      <c r="C137">
        <v>3</v>
      </c>
      <c r="D137">
        <v>136</v>
      </c>
      <c r="E137">
        <v>5.2000999999999999E-2</v>
      </c>
    </row>
    <row r="138" spans="1:5" x14ac:dyDescent="0.2">
      <c r="A138">
        <v>70</v>
      </c>
      <c r="B138">
        <v>413</v>
      </c>
      <c r="C138">
        <v>3</v>
      </c>
      <c r="D138">
        <v>137</v>
      </c>
      <c r="E138">
        <v>2.5465000000000002E-2</v>
      </c>
    </row>
    <row r="139" spans="1:5" x14ac:dyDescent="0.2">
      <c r="A139">
        <v>70</v>
      </c>
      <c r="B139">
        <v>416</v>
      </c>
      <c r="C139">
        <v>3</v>
      </c>
      <c r="D139">
        <v>138</v>
      </c>
      <c r="E139">
        <v>4.8001000000000002E-2</v>
      </c>
    </row>
    <row r="140" spans="1:5" x14ac:dyDescent="0.2">
      <c r="A140">
        <v>72</v>
      </c>
      <c r="B140">
        <v>419</v>
      </c>
      <c r="C140">
        <v>3</v>
      </c>
      <c r="D140">
        <v>139</v>
      </c>
      <c r="E140">
        <v>2.9604999999999999E-2</v>
      </c>
    </row>
    <row r="141" spans="1:5" x14ac:dyDescent="0.2">
      <c r="A141">
        <v>72</v>
      </c>
      <c r="B141">
        <v>422</v>
      </c>
      <c r="C141">
        <v>3</v>
      </c>
      <c r="D141">
        <v>140</v>
      </c>
      <c r="E141">
        <v>4.1515999999999997E-2</v>
      </c>
    </row>
    <row r="142" spans="1:5" x14ac:dyDescent="0.2">
      <c r="A142">
        <v>73</v>
      </c>
      <c r="B142">
        <v>425</v>
      </c>
      <c r="C142">
        <v>3</v>
      </c>
      <c r="D142">
        <v>141</v>
      </c>
      <c r="E142">
        <v>2.9565999999999999E-2</v>
      </c>
    </row>
    <row r="143" spans="1:5" x14ac:dyDescent="0.2">
      <c r="A143">
        <v>73</v>
      </c>
      <c r="B143">
        <v>428</v>
      </c>
      <c r="C143">
        <v>3</v>
      </c>
      <c r="D143">
        <v>142</v>
      </c>
      <c r="E143">
        <v>2.0386000000000001E-2</v>
      </c>
    </row>
    <row r="144" spans="1:5" x14ac:dyDescent="0.2">
      <c r="A144">
        <v>74</v>
      </c>
      <c r="B144">
        <v>431</v>
      </c>
      <c r="C144">
        <v>3</v>
      </c>
      <c r="D144">
        <v>143</v>
      </c>
      <c r="E144">
        <v>8.3126000000000005E-2</v>
      </c>
    </row>
    <row r="145" spans="1:5" x14ac:dyDescent="0.2">
      <c r="A145">
        <v>73</v>
      </c>
      <c r="B145">
        <v>434</v>
      </c>
      <c r="C145">
        <v>3</v>
      </c>
      <c r="D145">
        <v>144</v>
      </c>
      <c r="E145">
        <v>2.0771000000000001E-2</v>
      </c>
    </row>
    <row r="146" spans="1:5" x14ac:dyDescent="0.2">
      <c r="A146">
        <v>75</v>
      </c>
      <c r="B146">
        <v>437</v>
      </c>
      <c r="C146">
        <v>3</v>
      </c>
      <c r="D146">
        <v>145</v>
      </c>
      <c r="E146">
        <v>4.3913000000000001E-2</v>
      </c>
    </row>
    <row r="147" spans="1:5" x14ac:dyDescent="0.2">
      <c r="A147">
        <v>76</v>
      </c>
      <c r="B147">
        <v>440</v>
      </c>
      <c r="C147">
        <v>3</v>
      </c>
      <c r="D147">
        <v>146</v>
      </c>
      <c r="E147">
        <v>2.2956000000000001E-2</v>
      </c>
    </row>
    <row r="148" spans="1:5" x14ac:dyDescent="0.2">
      <c r="A148">
        <v>77</v>
      </c>
      <c r="B148">
        <v>443</v>
      </c>
      <c r="C148">
        <v>3</v>
      </c>
      <c r="D148">
        <v>147</v>
      </c>
      <c r="E148">
        <v>7.8206999999999999E-2</v>
      </c>
    </row>
    <row r="149" spans="1:5" x14ac:dyDescent="0.2">
      <c r="A149">
        <v>78</v>
      </c>
      <c r="B149">
        <v>446</v>
      </c>
      <c r="C149">
        <v>3</v>
      </c>
      <c r="D149">
        <v>148</v>
      </c>
      <c r="E149">
        <v>2.2484000000000001E-2</v>
      </c>
    </row>
    <row r="150" spans="1:5" x14ac:dyDescent="0.2">
      <c r="A150">
        <v>83</v>
      </c>
      <c r="B150">
        <v>449</v>
      </c>
      <c r="C150">
        <v>3</v>
      </c>
      <c r="D150">
        <v>149</v>
      </c>
      <c r="E150">
        <v>8.1687999999999997E-2</v>
      </c>
    </row>
    <row r="151" spans="1:5" x14ac:dyDescent="0.2">
      <c r="A151">
        <v>83</v>
      </c>
      <c r="B151">
        <v>452</v>
      </c>
      <c r="C151">
        <v>3</v>
      </c>
      <c r="D151">
        <v>150</v>
      </c>
      <c r="E151">
        <v>6.1700999999999999E-2</v>
      </c>
    </row>
    <row r="152" spans="1:5" x14ac:dyDescent="0.2">
      <c r="A152">
        <v>86</v>
      </c>
      <c r="B152">
        <v>455</v>
      </c>
      <c r="C152">
        <v>3</v>
      </c>
      <c r="D152">
        <v>151</v>
      </c>
      <c r="E152">
        <v>6.4144000000000007E-2</v>
      </c>
    </row>
    <row r="153" spans="1:5" x14ac:dyDescent="0.2">
      <c r="A153">
        <v>86</v>
      </c>
      <c r="B153">
        <v>458</v>
      </c>
      <c r="C153">
        <v>3</v>
      </c>
      <c r="D153">
        <v>152</v>
      </c>
      <c r="E153">
        <v>2.656E-2</v>
      </c>
    </row>
    <row r="154" spans="1:5" x14ac:dyDescent="0.2">
      <c r="A154">
        <v>86</v>
      </c>
      <c r="B154">
        <v>461</v>
      </c>
      <c r="C154">
        <v>3</v>
      </c>
      <c r="D154">
        <v>153</v>
      </c>
      <c r="E154">
        <v>3.6443000000000003E-2</v>
      </c>
    </row>
    <row r="155" spans="1:5" x14ac:dyDescent="0.2">
      <c r="A155">
        <v>89</v>
      </c>
      <c r="B155">
        <v>464</v>
      </c>
      <c r="C155">
        <v>3</v>
      </c>
      <c r="D155">
        <v>154</v>
      </c>
      <c r="E155">
        <v>9.8205000000000001E-2</v>
      </c>
    </row>
    <row r="156" spans="1:5" x14ac:dyDescent="0.2">
      <c r="A156">
        <v>89</v>
      </c>
      <c r="B156">
        <v>467</v>
      </c>
      <c r="C156">
        <v>3</v>
      </c>
      <c r="D156">
        <v>155</v>
      </c>
      <c r="E156">
        <v>1.427E-2</v>
      </c>
    </row>
    <row r="157" spans="1:5" x14ac:dyDescent="0.2">
      <c r="A157">
        <v>91</v>
      </c>
      <c r="B157">
        <v>470</v>
      </c>
      <c r="C157">
        <v>3</v>
      </c>
      <c r="D157">
        <v>156</v>
      </c>
      <c r="E157">
        <v>8.6856000000000003E-2</v>
      </c>
    </row>
    <row r="158" spans="1:5" x14ac:dyDescent="0.2">
      <c r="A158">
        <v>91</v>
      </c>
      <c r="B158">
        <v>473</v>
      </c>
      <c r="C158">
        <v>3</v>
      </c>
      <c r="D158">
        <v>157</v>
      </c>
      <c r="E158">
        <v>3.4065999999999999E-2</v>
      </c>
    </row>
    <row r="159" spans="1:5" x14ac:dyDescent="0.2">
      <c r="A159">
        <v>90</v>
      </c>
      <c r="B159">
        <v>476</v>
      </c>
      <c r="C159">
        <v>3</v>
      </c>
      <c r="D159">
        <v>158</v>
      </c>
      <c r="E159">
        <v>2.7472E-2</v>
      </c>
    </row>
    <row r="160" spans="1:5" x14ac:dyDescent="0.2">
      <c r="A160">
        <v>92</v>
      </c>
      <c r="B160">
        <v>479</v>
      </c>
      <c r="C160">
        <v>3</v>
      </c>
      <c r="D160">
        <v>159</v>
      </c>
      <c r="E160">
        <v>7.7408000000000005E-2</v>
      </c>
    </row>
    <row r="161" spans="1:5" x14ac:dyDescent="0.2">
      <c r="A161">
        <v>92</v>
      </c>
      <c r="B161">
        <v>482</v>
      </c>
      <c r="C161">
        <v>3</v>
      </c>
      <c r="D161">
        <v>160</v>
      </c>
      <c r="E161">
        <v>2.4572E-2</v>
      </c>
    </row>
    <row r="162" spans="1:5" x14ac:dyDescent="0.2">
      <c r="A162">
        <v>92</v>
      </c>
      <c r="B162">
        <v>485</v>
      </c>
      <c r="C162">
        <v>3</v>
      </c>
      <c r="D162">
        <v>161</v>
      </c>
      <c r="E162">
        <v>1.7328E-2</v>
      </c>
    </row>
    <row r="163" spans="1:5" x14ac:dyDescent="0.2">
      <c r="A163">
        <v>92</v>
      </c>
      <c r="B163">
        <v>488</v>
      </c>
      <c r="C163">
        <v>3</v>
      </c>
      <c r="D163">
        <v>162</v>
      </c>
      <c r="E163">
        <v>3.0129E-2</v>
      </c>
    </row>
    <row r="164" spans="1:5" x14ac:dyDescent="0.2">
      <c r="A164">
        <v>94</v>
      </c>
      <c r="B164">
        <v>491</v>
      </c>
      <c r="C164">
        <v>3</v>
      </c>
      <c r="D164">
        <v>163</v>
      </c>
      <c r="E164">
        <v>0.107805</v>
      </c>
    </row>
    <row r="165" spans="1:5" x14ac:dyDescent="0.2">
      <c r="A165">
        <v>94</v>
      </c>
      <c r="B165">
        <v>494</v>
      </c>
      <c r="C165">
        <v>3</v>
      </c>
      <c r="D165">
        <v>164</v>
      </c>
      <c r="E165">
        <v>1.6628E-2</v>
      </c>
    </row>
    <row r="166" spans="1:5" x14ac:dyDescent="0.2">
      <c r="A166">
        <v>95</v>
      </c>
      <c r="B166">
        <v>497</v>
      </c>
      <c r="C166">
        <v>3</v>
      </c>
      <c r="D166">
        <v>165</v>
      </c>
      <c r="E166">
        <v>4.2721000000000002E-2</v>
      </c>
    </row>
    <row r="167" spans="1:5" x14ac:dyDescent="0.2">
      <c r="A167">
        <v>94</v>
      </c>
      <c r="B167">
        <v>500</v>
      </c>
      <c r="C167">
        <v>3</v>
      </c>
      <c r="D167">
        <v>166</v>
      </c>
      <c r="E167">
        <v>2.3296000000000001E-2</v>
      </c>
    </row>
    <row r="168" spans="1:5" x14ac:dyDescent="0.2">
      <c r="A168">
        <v>94</v>
      </c>
      <c r="B168">
        <v>503</v>
      </c>
      <c r="C168">
        <v>3</v>
      </c>
      <c r="D168">
        <v>167</v>
      </c>
      <c r="E168">
        <v>4.5426000000000001E-2</v>
      </c>
    </row>
    <row r="169" spans="1:5" x14ac:dyDescent="0.2">
      <c r="A169">
        <v>95</v>
      </c>
      <c r="B169">
        <v>506</v>
      </c>
      <c r="C169">
        <v>3</v>
      </c>
      <c r="D169">
        <v>168</v>
      </c>
      <c r="E169">
        <v>1.9657999999999998E-2</v>
      </c>
    </row>
    <row r="170" spans="1:5" x14ac:dyDescent="0.2">
      <c r="A170">
        <v>95</v>
      </c>
      <c r="B170">
        <v>509</v>
      </c>
      <c r="C170">
        <v>3</v>
      </c>
      <c r="D170">
        <v>169</v>
      </c>
      <c r="E170">
        <v>3.2199999999999999E-2</v>
      </c>
    </row>
    <row r="171" spans="1:5" x14ac:dyDescent="0.2">
      <c r="A171">
        <v>97</v>
      </c>
      <c r="B171">
        <v>512</v>
      </c>
      <c r="C171">
        <v>3</v>
      </c>
      <c r="D171">
        <v>170</v>
      </c>
      <c r="E171">
        <v>0.10498399999999999</v>
      </c>
    </row>
    <row r="172" spans="1:5" x14ac:dyDescent="0.2">
      <c r="A172">
        <v>97</v>
      </c>
      <c r="B172">
        <v>515</v>
      </c>
      <c r="C172">
        <v>3</v>
      </c>
      <c r="D172">
        <v>171</v>
      </c>
      <c r="E172">
        <v>1.3993E-2</v>
      </c>
    </row>
    <row r="173" spans="1:5" x14ac:dyDescent="0.2">
      <c r="A173">
        <v>97</v>
      </c>
      <c r="B173">
        <v>518</v>
      </c>
      <c r="C173">
        <v>3</v>
      </c>
      <c r="D173">
        <v>172</v>
      </c>
      <c r="E173">
        <v>1.7770000000000001E-2</v>
      </c>
    </row>
    <row r="174" spans="1:5" x14ac:dyDescent="0.2">
      <c r="A174">
        <v>98</v>
      </c>
      <c r="B174">
        <v>521</v>
      </c>
      <c r="C174">
        <v>3</v>
      </c>
      <c r="D174">
        <v>173</v>
      </c>
      <c r="E174">
        <v>6.8966E-2</v>
      </c>
    </row>
    <row r="175" spans="1:5" x14ac:dyDescent="0.2">
      <c r="A175">
        <v>98</v>
      </c>
      <c r="B175">
        <v>524</v>
      </c>
      <c r="C175">
        <v>3</v>
      </c>
      <c r="D175">
        <v>174</v>
      </c>
      <c r="E175">
        <v>2.3018E-2</v>
      </c>
    </row>
    <row r="176" spans="1:5" x14ac:dyDescent="0.2">
      <c r="A176">
        <v>99</v>
      </c>
      <c r="B176">
        <v>527</v>
      </c>
      <c r="C176">
        <v>3</v>
      </c>
      <c r="D176">
        <v>175</v>
      </c>
      <c r="E176">
        <v>5.0255000000000001E-2</v>
      </c>
    </row>
    <row r="177" spans="1:5" x14ac:dyDescent="0.2">
      <c r="A177">
        <v>99</v>
      </c>
      <c r="B177">
        <v>530</v>
      </c>
      <c r="C177">
        <v>3</v>
      </c>
      <c r="D177">
        <v>176</v>
      </c>
      <c r="E177">
        <v>3.7296000000000003E-2</v>
      </c>
    </row>
    <row r="178" spans="1:5" x14ac:dyDescent="0.2">
      <c r="A178">
        <v>99</v>
      </c>
      <c r="B178">
        <v>533</v>
      </c>
      <c r="C178">
        <v>3</v>
      </c>
      <c r="D178">
        <v>177</v>
      </c>
      <c r="E178">
        <v>3.3395000000000001E-2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A3:R32"/>
  <sheetViews>
    <sheetView showGridLines="0" zoomScale="156" zoomScaleNormal="156" workbookViewId="0">
      <selection activeCell="I10" sqref="I10"/>
    </sheetView>
  </sheetViews>
  <sheetFormatPr baseColWidth="10" defaultRowHeight="16" x14ac:dyDescent="0.2"/>
  <cols>
    <col min="1" max="1" width="6.83203125" customWidth="1"/>
    <col min="2" max="2" width="22.33203125" customWidth="1"/>
    <col min="3" max="3" width="12.83203125" customWidth="1"/>
    <col min="4" max="4" width="13.33203125" customWidth="1"/>
    <col min="5" max="5" width="1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3" spans="1:18" x14ac:dyDescent="0.2"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"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4" customHeight="1" x14ac:dyDescent="0.2">
      <c r="I5" s="25"/>
      <c r="J5" s="8"/>
      <c r="K5" s="8"/>
      <c r="L5" s="8"/>
      <c r="M5" s="8"/>
      <c r="N5" s="25"/>
      <c r="O5" s="25"/>
      <c r="P5" s="25"/>
      <c r="Q5" s="25"/>
      <c r="R5" s="25"/>
    </row>
    <row r="6" spans="1:18" ht="50" customHeight="1" x14ac:dyDescent="0.2">
      <c r="B6" s="20"/>
      <c r="C6" s="20" t="s">
        <v>23</v>
      </c>
      <c r="D6" s="20" t="s">
        <v>22</v>
      </c>
      <c r="E6" s="20" t="s">
        <v>24</v>
      </c>
      <c r="I6" s="25"/>
      <c r="J6" s="8"/>
      <c r="K6" s="9"/>
      <c r="L6" s="9"/>
      <c r="M6" s="9"/>
      <c r="N6" s="25"/>
      <c r="O6" s="25"/>
      <c r="P6" s="25"/>
      <c r="Q6" s="25"/>
      <c r="R6" s="25"/>
    </row>
    <row r="7" spans="1:18" ht="34" x14ac:dyDescent="0.2">
      <c r="B7" s="16" t="s">
        <v>20</v>
      </c>
      <c r="C7" s="12">
        <v>112</v>
      </c>
      <c r="D7" s="12">
        <v>105</v>
      </c>
      <c r="E7" s="12">
        <v>177</v>
      </c>
      <c r="I7" s="25"/>
      <c r="J7" s="8"/>
      <c r="K7" s="9"/>
      <c r="L7" s="9"/>
      <c r="M7" s="9"/>
      <c r="N7" s="25"/>
      <c r="O7" s="25"/>
      <c r="P7" s="25"/>
      <c r="Q7" s="25"/>
      <c r="R7" s="25"/>
    </row>
    <row r="8" spans="1:18" x14ac:dyDescent="0.2">
      <c r="B8" s="17" t="s">
        <v>15</v>
      </c>
      <c r="C8" s="13">
        <v>2.8102848214285714E-2</v>
      </c>
      <c r="D8" s="13">
        <v>3.0489800000000015E-2</v>
      </c>
      <c r="E8" s="13">
        <v>2.9907073446327693E-2</v>
      </c>
      <c r="I8" s="25"/>
      <c r="J8" s="8"/>
      <c r="K8" s="9"/>
      <c r="L8" s="9"/>
      <c r="M8" s="9"/>
      <c r="N8" s="25"/>
      <c r="O8" s="25"/>
      <c r="P8" s="25"/>
      <c r="Q8" s="25"/>
      <c r="R8" s="25"/>
    </row>
    <row r="9" spans="1:18" x14ac:dyDescent="0.2">
      <c r="B9" s="18" t="s">
        <v>21</v>
      </c>
      <c r="C9" s="14"/>
      <c r="D9" s="14">
        <f>C8/D8</f>
        <v>0.92171310452301103</v>
      </c>
      <c r="E9" s="14">
        <f>C8/E8</f>
        <v>0.93967229072814806</v>
      </c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x14ac:dyDescent="0.2">
      <c r="B10" s="17" t="s">
        <v>16</v>
      </c>
      <c r="C10" s="13">
        <v>2.5244017857142854E-2</v>
      </c>
      <c r="D10" s="13">
        <v>1.5428999999999995E-2</v>
      </c>
      <c r="E10" s="13">
        <v>1.3659333333333338E-2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x14ac:dyDescent="0.2">
      <c r="B11" s="18" t="s">
        <v>17</v>
      </c>
      <c r="C11" s="14"/>
      <c r="D11" s="14">
        <f>C10/D10</f>
        <v>1.6361408942344198</v>
      </c>
      <c r="E11" s="14">
        <f>C10/E10</f>
        <v>1.8481149292651797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ht="34" x14ac:dyDescent="0.2">
      <c r="B12" s="16" t="s">
        <v>18</v>
      </c>
      <c r="C12" s="13">
        <f>C8+C10</f>
        <v>5.3346866071428564E-2</v>
      </c>
      <c r="D12" s="13">
        <f>D8+D10</f>
        <v>4.591880000000001E-2</v>
      </c>
      <c r="E12" s="13">
        <f>E8+E10</f>
        <v>4.3566406779661032E-2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x14ac:dyDescent="0.2">
      <c r="B13" s="19" t="s">
        <v>19</v>
      </c>
      <c r="C13" s="15"/>
      <c r="D13" s="15">
        <f>C12/D12</f>
        <v>1.161765248034107</v>
      </c>
      <c r="E13" s="15">
        <f>C12/E12</f>
        <v>1.2244954315657159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2">
      <c r="A15" s="22"/>
      <c r="B15" s="22"/>
      <c r="C15" s="22"/>
      <c r="D15" s="22"/>
      <c r="E15" s="22"/>
      <c r="I15" s="25"/>
      <c r="J15" s="26"/>
      <c r="K15" s="26"/>
      <c r="L15" s="26"/>
      <c r="M15" s="26"/>
      <c r="N15" s="25"/>
      <c r="O15" s="25"/>
      <c r="P15" s="25"/>
      <c r="Q15" s="25"/>
      <c r="R15" s="25"/>
    </row>
    <row r="16" spans="1:18" x14ac:dyDescent="0.2">
      <c r="A16" s="22"/>
      <c r="B16" s="23"/>
      <c r="C16" s="23"/>
      <c r="D16" s="23"/>
      <c r="E16" s="23"/>
      <c r="I16" s="25"/>
      <c r="J16" s="25"/>
      <c r="K16" s="8"/>
      <c r="L16" s="8"/>
      <c r="M16" s="8"/>
      <c r="N16" s="25"/>
      <c r="O16" s="25"/>
      <c r="P16" s="25"/>
      <c r="Q16" s="25"/>
      <c r="R16" s="25"/>
    </row>
    <row r="17" spans="1:18" x14ac:dyDescent="0.2">
      <c r="A17" s="22"/>
      <c r="B17" s="25"/>
      <c r="C17" s="8"/>
      <c r="D17" s="8"/>
      <c r="E17" s="8"/>
      <c r="I17" s="25"/>
      <c r="J17" s="8"/>
      <c r="K17" s="25"/>
      <c r="L17" s="25"/>
      <c r="M17" s="25"/>
      <c r="N17" s="25"/>
      <c r="O17" s="25"/>
      <c r="P17" s="25"/>
      <c r="Q17" s="25"/>
      <c r="R17" s="25"/>
    </row>
    <row r="18" spans="1:18" x14ac:dyDescent="0.2">
      <c r="A18" s="22"/>
      <c r="B18" s="24"/>
      <c r="C18" s="22"/>
      <c r="D18" s="22"/>
      <c r="E18" s="22"/>
      <c r="I18" s="25"/>
      <c r="J18" s="8"/>
      <c r="K18" s="25"/>
      <c r="L18" s="25"/>
      <c r="M18" s="25"/>
      <c r="N18" s="25"/>
      <c r="O18" s="25"/>
      <c r="P18" s="25"/>
      <c r="Q18" s="25"/>
      <c r="R18" s="25"/>
    </row>
    <row r="19" spans="1:18" x14ac:dyDescent="0.2">
      <c r="A19" s="22"/>
      <c r="B19" s="24"/>
      <c r="C19" s="22"/>
      <c r="D19" s="22"/>
      <c r="E19" s="22"/>
      <c r="I19" s="25"/>
      <c r="J19" s="8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A20" s="22"/>
      <c r="B20" s="24"/>
      <c r="C20" s="22"/>
      <c r="D20" s="22"/>
      <c r="E20" s="22"/>
      <c r="I20" s="25"/>
      <c r="J20" s="8"/>
      <c r="K20" s="9"/>
      <c r="L20" s="9"/>
      <c r="M20" s="9"/>
      <c r="N20" s="25"/>
      <c r="O20" s="25"/>
      <c r="P20" s="25"/>
      <c r="Q20" s="25"/>
      <c r="R20" s="25"/>
    </row>
    <row r="21" spans="1:18" x14ac:dyDescent="0.2">
      <c r="A21" s="22"/>
      <c r="B21" s="8"/>
      <c r="C21" s="9"/>
      <c r="D21" s="9"/>
      <c r="E21" s="9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x14ac:dyDescent="0.2">
      <c r="A22" s="22"/>
      <c r="B22" s="22"/>
      <c r="C22" s="22"/>
      <c r="D22" s="22"/>
      <c r="E22" s="22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x14ac:dyDescent="0.2">
      <c r="A23" s="22"/>
      <c r="B23" s="22"/>
      <c r="C23" s="22"/>
      <c r="D23" s="22"/>
      <c r="E23" s="22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x14ac:dyDescent="0.2">
      <c r="A24" s="22"/>
      <c r="B24" s="22"/>
      <c r="C24" s="22"/>
      <c r="D24" s="22"/>
      <c r="E24" s="22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x14ac:dyDescent="0.2">
      <c r="A25" s="22"/>
      <c r="B25" s="22"/>
      <c r="C25" s="22"/>
      <c r="D25" s="22"/>
      <c r="E25" s="22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x14ac:dyDescent="0.2">
      <c r="A26" s="22"/>
      <c r="B26" s="22"/>
      <c r="C26" s="22"/>
      <c r="D26" s="22"/>
      <c r="E26" s="22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x14ac:dyDescent="0.2">
      <c r="A27" s="22"/>
      <c r="B27" s="22"/>
      <c r="C27" s="22"/>
      <c r="D27" s="22"/>
      <c r="E27" s="2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x14ac:dyDescent="0.2">
      <c r="A28" s="22"/>
      <c r="B28" s="22"/>
      <c r="C28" s="22"/>
      <c r="D28" s="22"/>
      <c r="E28" s="22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x14ac:dyDescent="0.2">
      <c r="A29" s="22"/>
      <c r="B29" s="22"/>
      <c r="C29" s="22"/>
      <c r="D29" s="22"/>
      <c r="E29" s="22"/>
    </row>
    <row r="30" spans="1:18" x14ac:dyDescent="0.2">
      <c r="A30" s="22"/>
      <c r="B30" s="22"/>
      <c r="C30" s="22"/>
      <c r="D30" s="22"/>
      <c r="E30" s="22"/>
    </row>
    <row r="31" spans="1:18" x14ac:dyDescent="0.2">
      <c r="A31" s="22"/>
      <c r="B31" s="22"/>
      <c r="C31" s="22"/>
      <c r="D31" s="22"/>
      <c r="E31" s="22"/>
    </row>
    <row r="32" spans="1:18" x14ac:dyDescent="0.2">
      <c r="A32" s="22"/>
      <c r="B32" s="22"/>
      <c r="C32" s="22"/>
      <c r="D32" s="22"/>
      <c r="E32" s="22"/>
    </row>
  </sheetData>
  <mergeCells count="2">
    <mergeCell ref="B16:E16"/>
    <mergeCell ref="J15:M15"/>
  </mergeCells>
  <pageMargins left="0.7" right="0.7" top="0.75" bottom="0.75" header="0.3" footer="0.3"/>
  <ignoredErrors>
    <ignoredError sqref="D12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B2:R256"/>
  <sheetViews>
    <sheetView showGridLines="0" topLeftCell="A154" workbookViewId="0">
      <selection activeCell="J165" sqref="J165"/>
    </sheetView>
  </sheetViews>
  <sheetFormatPr baseColWidth="10" defaultRowHeight="16" x14ac:dyDescent="0.2"/>
  <cols>
    <col min="1" max="1" width="5.33203125" customWidth="1"/>
    <col min="5" max="5" width="6.33203125" customWidth="1"/>
    <col min="6" max="6" width="12.83203125" customWidth="1"/>
  </cols>
  <sheetData>
    <row r="2" spans="2:8" x14ac:dyDescent="0.2">
      <c r="B2" s="21" t="s">
        <v>12</v>
      </c>
      <c r="C2" s="21"/>
      <c r="D2" s="21"/>
      <c r="E2" s="21"/>
      <c r="F2" s="21"/>
      <c r="G2" s="21"/>
      <c r="H2" s="21"/>
    </row>
    <row r="3" spans="2:8" ht="22" customHeight="1" x14ac:dyDescent="0.2"/>
    <row r="4" spans="2:8" x14ac:dyDescent="0.2">
      <c r="B4" s="10" t="s">
        <v>13</v>
      </c>
      <c r="C4" s="10"/>
      <c r="D4" s="10"/>
      <c r="F4" s="10" t="s">
        <v>14</v>
      </c>
      <c r="G4" s="10"/>
      <c r="H4" s="10"/>
    </row>
    <row r="5" spans="2:8" ht="7" customHeight="1" x14ac:dyDescent="0.2">
      <c r="B5" s="10"/>
      <c r="C5" s="10"/>
      <c r="D5" s="10"/>
      <c r="F5" s="10"/>
      <c r="G5" s="10"/>
      <c r="H5" s="10"/>
    </row>
    <row r="6" spans="2:8" x14ac:dyDescent="0.2">
      <c r="B6" s="11" t="s">
        <v>7</v>
      </c>
      <c r="C6" s="2" t="s">
        <v>8</v>
      </c>
      <c r="D6" s="2" t="s">
        <v>9</v>
      </c>
      <c r="F6" s="11" t="s">
        <v>7</v>
      </c>
      <c r="G6" s="2" t="s">
        <v>8</v>
      </c>
      <c r="H6" s="2" t="s">
        <v>9</v>
      </c>
    </row>
    <row r="7" spans="2:8" x14ac:dyDescent="0.2">
      <c r="B7" s="5">
        <v>4.2157E-2</v>
      </c>
      <c r="C7" s="5">
        <v>6.4874000000000001E-2</v>
      </c>
      <c r="D7" s="5">
        <v>3.7648000000000001E-2</v>
      </c>
      <c r="F7" s="5">
        <v>2.4079E-2</v>
      </c>
      <c r="G7" s="5">
        <v>8.8170000000000002E-3</v>
      </c>
      <c r="H7" s="5">
        <v>6.0670000000000003E-3</v>
      </c>
    </row>
    <row r="8" spans="2:8" x14ac:dyDescent="0.2">
      <c r="B8" s="6">
        <v>2.2866999999999998E-2</v>
      </c>
      <c r="C8" s="6">
        <v>2.8416E-2</v>
      </c>
      <c r="D8" s="6">
        <v>4.6286000000000001E-2</v>
      </c>
      <c r="F8" s="6">
        <v>2.2882E-2</v>
      </c>
      <c r="G8" s="6">
        <v>1.1610000000000001E-2</v>
      </c>
      <c r="H8" s="6">
        <v>9.7040000000000008E-3</v>
      </c>
    </row>
    <row r="9" spans="2:8" x14ac:dyDescent="0.2">
      <c r="B9" s="6">
        <v>4.2063999999999997E-2</v>
      </c>
      <c r="C9" s="6">
        <v>2.8233000000000001E-2</v>
      </c>
      <c r="D9" s="6">
        <v>1.3476E-2</v>
      </c>
      <c r="F9" s="6">
        <v>2.2318999999999999E-2</v>
      </c>
      <c r="G9" s="6">
        <v>7.6350000000000003E-3</v>
      </c>
      <c r="H9" s="6">
        <v>1.9949000000000001E-2</v>
      </c>
    </row>
    <row r="10" spans="2:8" x14ac:dyDescent="0.2">
      <c r="B10" s="6">
        <v>3.8360999999999999E-2</v>
      </c>
      <c r="C10" s="6">
        <v>2.9439E-2</v>
      </c>
      <c r="D10" s="6">
        <v>4.7153E-2</v>
      </c>
      <c r="F10" s="6">
        <v>2.2513999999999999E-2</v>
      </c>
      <c r="G10" s="6">
        <v>1.0579E-2</v>
      </c>
      <c r="H10" s="6">
        <v>8.5819999999999994E-3</v>
      </c>
    </row>
    <row r="11" spans="2:8" x14ac:dyDescent="0.2">
      <c r="B11" s="6">
        <v>4.2082000000000001E-2</v>
      </c>
      <c r="C11" s="6">
        <v>4.6627000000000002E-2</v>
      </c>
      <c r="D11" s="6">
        <v>4.3978999999999997E-2</v>
      </c>
      <c r="F11" s="6">
        <v>2.2918999999999998E-2</v>
      </c>
      <c r="G11" s="6">
        <v>2.4902000000000001E-2</v>
      </c>
      <c r="H11" s="6">
        <v>6.9329999999999999E-3</v>
      </c>
    </row>
    <row r="12" spans="2:8" x14ac:dyDescent="0.2">
      <c r="B12" s="6">
        <v>2.2858E-2</v>
      </c>
      <c r="C12" s="6">
        <v>6.7973000000000006E-2</v>
      </c>
      <c r="D12" s="6">
        <v>6.8265999999999993E-2</v>
      </c>
      <c r="F12" s="6">
        <v>2.2848E-2</v>
      </c>
      <c r="G12" s="6">
        <v>2.0996999999999998E-2</v>
      </c>
      <c r="H12" s="6">
        <v>3.3864999999999999E-2</v>
      </c>
    </row>
    <row r="13" spans="2:8" x14ac:dyDescent="0.2">
      <c r="B13" s="6">
        <v>4.1642999999999999E-2</v>
      </c>
      <c r="C13" s="6">
        <v>6.7293000000000006E-2</v>
      </c>
      <c r="D13" s="6">
        <v>4.6167E-2</v>
      </c>
      <c r="F13" s="6">
        <v>2.2856000000000001E-2</v>
      </c>
      <c r="G13" s="6">
        <v>7.5849999999999997E-3</v>
      </c>
      <c r="H13" s="6">
        <v>2.7587E-2</v>
      </c>
    </row>
    <row r="14" spans="2:8" x14ac:dyDescent="0.2">
      <c r="B14" s="6">
        <v>4.2014999999999997E-2</v>
      </c>
      <c r="C14" s="6">
        <v>8.4883E-2</v>
      </c>
      <c r="D14" s="6">
        <v>2.8854000000000001E-2</v>
      </c>
      <c r="F14" s="6">
        <v>2.3563000000000001E-2</v>
      </c>
      <c r="G14" s="6">
        <v>1.2253E-2</v>
      </c>
      <c r="H14" s="6">
        <v>9.1599999999999997E-3</v>
      </c>
    </row>
    <row r="15" spans="2:8" x14ac:dyDescent="0.2">
      <c r="B15" s="6">
        <v>4.2537999999999999E-2</v>
      </c>
      <c r="C15" s="6">
        <v>3.4160000000000003E-2</v>
      </c>
      <c r="D15" s="6">
        <v>6.7117999999999997E-2</v>
      </c>
      <c r="F15" s="6">
        <v>2.2842999999999999E-2</v>
      </c>
      <c r="G15" s="6">
        <v>7.4850000000000003E-3</v>
      </c>
      <c r="H15" s="6">
        <v>7.6369999999999997E-3</v>
      </c>
    </row>
    <row r="16" spans="2:8" x14ac:dyDescent="0.2">
      <c r="B16" s="6">
        <v>4.0828999999999997E-2</v>
      </c>
      <c r="C16" s="6">
        <v>2.7806999999999998E-2</v>
      </c>
      <c r="D16" s="6">
        <v>5.9353999999999997E-2</v>
      </c>
      <c r="F16" s="6">
        <v>2.9167999999999999E-2</v>
      </c>
      <c r="G16" s="6">
        <v>2.6748000000000001E-2</v>
      </c>
      <c r="H16" s="6">
        <v>8.5749999999999993E-3</v>
      </c>
    </row>
    <row r="17" spans="2:8" x14ac:dyDescent="0.2">
      <c r="B17" s="6">
        <v>4.1251999999999997E-2</v>
      </c>
      <c r="C17" s="6">
        <v>1.2277E-2</v>
      </c>
      <c r="D17" s="6">
        <v>2.8066000000000001E-2</v>
      </c>
      <c r="F17" s="6">
        <v>2.2870000000000001E-2</v>
      </c>
      <c r="G17" s="6">
        <v>8.6610000000000003E-3</v>
      </c>
      <c r="H17" s="6">
        <v>7.1609999999999998E-3</v>
      </c>
    </row>
    <row r="18" spans="2:8" x14ac:dyDescent="0.2">
      <c r="B18" s="6">
        <v>4.2083000000000002E-2</v>
      </c>
      <c r="C18" s="6">
        <v>2.5437999999999999E-2</v>
      </c>
      <c r="D18" s="6">
        <v>7.3482000000000006E-2</v>
      </c>
      <c r="F18" s="6">
        <v>2.2408999999999998E-2</v>
      </c>
      <c r="G18" s="6">
        <v>7.5859999999999999E-3</v>
      </c>
      <c r="H18" s="6">
        <v>9.5689999999999994E-3</v>
      </c>
    </row>
    <row r="19" spans="2:8" x14ac:dyDescent="0.2">
      <c r="B19" s="6">
        <v>4.1246999999999999E-2</v>
      </c>
      <c r="C19" s="6">
        <v>2.3996E-2</v>
      </c>
      <c r="D19" s="6">
        <v>6.7979999999999999E-2</v>
      </c>
      <c r="F19" s="6">
        <v>2.2852999999999998E-2</v>
      </c>
      <c r="G19" s="6">
        <v>6.5500000000000003E-3</v>
      </c>
      <c r="H19" s="6">
        <v>8.8129999999999997E-3</v>
      </c>
    </row>
    <row r="20" spans="2:8" x14ac:dyDescent="0.2">
      <c r="B20" s="6">
        <v>4.2671000000000001E-2</v>
      </c>
      <c r="C20" s="6">
        <v>1.4534999999999999E-2</v>
      </c>
      <c r="D20" s="6">
        <v>3.4491000000000001E-2</v>
      </c>
      <c r="F20" s="6">
        <v>3.8982000000000003E-2</v>
      </c>
      <c r="G20" s="6">
        <v>2.3337E-2</v>
      </c>
      <c r="H20" s="6">
        <v>7.4390000000000003E-3</v>
      </c>
    </row>
    <row r="21" spans="2:8" x14ac:dyDescent="0.2">
      <c r="B21" s="6">
        <v>2.2883000000000001E-2</v>
      </c>
      <c r="C21" s="6">
        <v>2.9082E-2</v>
      </c>
      <c r="D21" s="6">
        <v>4.5718000000000002E-2</v>
      </c>
      <c r="F21" s="6">
        <v>2.2852000000000001E-2</v>
      </c>
      <c r="G21" s="6">
        <v>1.4560999999999999E-2</v>
      </c>
      <c r="H21" s="6">
        <v>1.021E-2</v>
      </c>
    </row>
    <row r="22" spans="2:8" x14ac:dyDescent="0.2">
      <c r="B22" s="6">
        <v>2.2922999999999999E-2</v>
      </c>
      <c r="C22" s="6">
        <v>9.75E-3</v>
      </c>
      <c r="D22" s="6">
        <v>7.5927999999999995E-2</v>
      </c>
      <c r="F22" s="6">
        <v>2.2859000000000001E-2</v>
      </c>
      <c r="G22" s="6">
        <v>7.5030000000000001E-3</v>
      </c>
      <c r="H22" s="6">
        <v>7.8720000000000005E-3</v>
      </c>
    </row>
    <row r="23" spans="2:8" x14ac:dyDescent="0.2">
      <c r="B23" s="6">
        <v>2.2856999999999999E-2</v>
      </c>
      <c r="C23" s="6">
        <v>1.014E-2</v>
      </c>
      <c r="D23" s="6">
        <v>5.9936999999999997E-2</v>
      </c>
      <c r="F23" s="6">
        <v>2.2702E-2</v>
      </c>
      <c r="G23" s="6">
        <v>7.5649999999999997E-3</v>
      </c>
      <c r="H23" s="6">
        <v>1.0255E-2</v>
      </c>
    </row>
    <row r="24" spans="2:8" x14ac:dyDescent="0.2">
      <c r="B24" s="6">
        <v>2.2879E-2</v>
      </c>
      <c r="C24" s="6">
        <v>1.1861999999999999E-2</v>
      </c>
      <c r="D24" s="6">
        <v>7.6738000000000001E-2</v>
      </c>
      <c r="F24" s="6">
        <v>2.2584E-2</v>
      </c>
      <c r="G24" s="6">
        <v>1.37E-2</v>
      </c>
      <c r="H24" s="6">
        <v>4.1855000000000003E-2</v>
      </c>
    </row>
    <row r="25" spans="2:8" x14ac:dyDescent="0.2">
      <c r="B25" s="6">
        <v>2.3108E-2</v>
      </c>
      <c r="C25" s="6">
        <v>2.5484E-2</v>
      </c>
      <c r="D25" s="6">
        <v>7.8779000000000002E-2</v>
      </c>
      <c r="F25" s="6">
        <v>2.2539E-2</v>
      </c>
      <c r="G25" s="6">
        <v>1.1775000000000001E-2</v>
      </c>
      <c r="H25" s="6">
        <v>9.1129999999999996E-3</v>
      </c>
    </row>
    <row r="26" spans="2:8" x14ac:dyDescent="0.2">
      <c r="B26" s="6">
        <v>2.2967999999999999E-2</v>
      </c>
      <c r="C26" s="6">
        <v>1.1875E-2</v>
      </c>
      <c r="D26" s="6">
        <v>9.0296000000000001E-2</v>
      </c>
      <c r="F26" s="6">
        <v>4.2070000000000003E-2</v>
      </c>
      <c r="G26" s="6">
        <v>1.3481E-2</v>
      </c>
      <c r="H26" s="6">
        <v>1.7253999999999999E-2</v>
      </c>
    </row>
    <row r="27" spans="2:8" x14ac:dyDescent="0.2">
      <c r="B27" s="6">
        <v>2.3063E-2</v>
      </c>
      <c r="C27" s="6">
        <v>2.9569000000000002E-2</v>
      </c>
      <c r="D27" s="6">
        <v>5.8531E-2</v>
      </c>
      <c r="F27" s="6">
        <v>2.2849000000000001E-2</v>
      </c>
      <c r="G27" s="6">
        <v>1.2503E-2</v>
      </c>
      <c r="H27" s="6">
        <v>7.8659999999999997E-3</v>
      </c>
    </row>
    <row r="28" spans="2:8" x14ac:dyDescent="0.2">
      <c r="B28" s="6">
        <v>2.2931E-2</v>
      </c>
      <c r="C28" s="6">
        <v>2.7432000000000002E-2</v>
      </c>
      <c r="D28" s="6">
        <v>6.7848000000000006E-2</v>
      </c>
      <c r="F28" s="6">
        <v>2.3824000000000001E-2</v>
      </c>
      <c r="G28" s="6">
        <v>1.1757999999999999E-2</v>
      </c>
      <c r="H28" s="6">
        <v>1.2165E-2</v>
      </c>
    </row>
    <row r="29" spans="2:8" x14ac:dyDescent="0.2">
      <c r="B29" s="6">
        <v>2.2877000000000002E-2</v>
      </c>
      <c r="C29" s="6">
        <v>1.2683E-2</v>
      </c>
      <c r="D29" s="6">
        <v>8.5596000000000005E-2</v>
      </c>
      <c r="F29" s="6">
        <v>2.2851E-2</v>
      </c>
      <c r="G29" s="6">
        <v>1.239E-2</v>
      </c>
      <c r="H29" s="6">
        <v>7.8499999999999993E-3</v>
      </c>
    </row>
    <row r="30" spans="2:8" x14ac:dyDescent="0.2">
      <c r="B30" s="6">
        <v>2.8846E-2</v>
      </c>
      <c r="C30" s="6">
        <v>1.184E-2</v>
      </c>
      <c r="D30" s="6">
        <v>1.2423999999999999E-2</v>
      </c>
      <c r="F30" s="6">
        <v>2.2845000000000001E-2</v>
      </c>
      <c r="G30" s="6">
        <v>1.1724E-2</v>
      </c>
      <c r="H30" s="6">
        <v>9.6259999999999991E-3</v>
      </c>
    </row>
    <row r="31" spans="2:8" x14ac:dyDescent="0.2">
      <c r="B31" s="6">
        <v>2.3494000000000001E-2</v>
      </c>
      <c r="C31" s="6">
        <v>1.0518E-2</v>
      </c>
      <c r="D31" s="6">
        <v>1.3199000000000001E-2</v>
      </c>
      <c r="F31" s="6">
        <v>4.2123000000000001E-2</v>
      </c>
      <c r="G31" s="6">
        <v>1.1778E-2</v>
      </c>
      <c r="H31" s="6">
        <v>4.6773000000000002E-2</v>
      </c>
    </row>
    <row r="32" spans="2:8" x14ac:dyDescent="0.2">
      <c r="B32" s="6">
        <v>2.7014E-2</v>
      </c>
      <c r="C32" s="6">
        <v>1.7278999999999999E-2</v>
      </c>
      <c r="D32" s="6">
        <v>2.2629E-2</v>
      </c>
      <c r="F32" s="6">
        <v>2.2845000000000001E-2</v>
      </c>
      <c r="G32" s="6">
        <v>2.2124999999999999E-2</v>
      </c>
      <c r="H32" s="6">
        <v>1.1842999999999999E-2</v>
      </c>
    </row>
    <row r="33" spans="2:8" x14ac:dyDescent="0.2">
      <c r="B33" s="6">
        <v>2.9295999999999999E-2</v>
      </c>
      <c r="C33" s="6">
        <v>1.1814E-2</v>
      </c>
      <c r="D33" s="6">
        <v>8.8100000000000001E-3</v>
      </c>
      <c r="F33" s="6">
        <v>2.2841E-2</v>
      </c>
      <c r="G33" s="6">
        <v>1.1764E-2</v>
      </c>
      <c r="H33" s="6">
        <v>1.0586999999999999E-2</v>
      </c>
    </row>
    <row r="34" spans="2:8" x14ac:dyDescent="0.2">
      <c r="B34" s="6">
        <v>2.2846000000000002E-2</v>
      </c>
      <c r="C34" s="6">
        <v>9.6080000000000002E-3</v>
      </c>
      <c r="D34" s="6">
        <v>1.9245000000000002E-2</v>
      </c>
      <c r="F34" s="6">
        <v>4.2072999999999999E-2</v>
      </c>
      <c r="G34" s="6">
        <v>2.3467999999999999E-2</v>
      </c>
      <c r="H34" s="6">
        <v>7.6480000000000003E-3</v>
      </c>
    </row>
    <row r="35" spans="2:8" x14ac:dyDescent="0.2">
      <c r="B35" s="6">
        <v>2.2876000000000001E-2</v>
      </c>
      <c r="C35" s="6">
        <v>3.2947999999999998E-2</v>
      </c>
      <c r="D35" s="6">
        <v>1.8533999999999998E-2</v>
      </c>
      <c r="F35" s="6">
        <v>2.2863000000000001E-2</v>
      </c>
      <c r="G35" s="6">
        <v>7.7929999999999996E-3</v>
      </c>
      <c r="H35" s="6">
        <v>1.102E-2</v>
      </c>
    </row>
    <row r="36" spans="2:8" x14ac:dyDescent="0.2">
      <c r="B36" s="6">
        <v>2.3944E-2</v>
      </c>
      <c r="C36" s="6">
        <v>1.1835999999999999E-2</v>
      </c>
      <c r="D36" s="6">
        <v>2.4004999999999999E-2</v>
      </c>
      <c r="F36" s="6">
        <v>2.2846999999999999E-2</v>
      </c>
      <c r="G36" s="6">
        <v>1.6535999999999999E-2</v>
      </c>
      <c r="H36" s="6">
        <v>1.0070000000000001E-2</v>
      </c>
    </row>
    <row r="37" spans="2:8" x14ac:dyDescent="0.2">
      <c r="B37" s="6">
        <v>2.2849999999999999E-2</v>
      </c>
      <c r="C37" s="6">
        <v>3.5712000000000001E-2</v>
      </c>
      <c r="D37" s="6">
        <v>3.2478E-2</v>
      </c>
      <c r="F37" s="6">
        <v>4.4826999999999999E-2</v>
      </c>
      <c r="G37" s="6">
        <v>1.1413E-2</v>
      </c>
      <c r="H37" s="6">
        <v>1.0329E-2</v>
      </c>
    </row>
    <row r="38" spans="2:8" x14ac:dyDescent="0.2">
      <c r="B38" s="6">
        <v>2.3191E-2</v>
      </c>
      <c r="C38" s="6">
        <v>1.2356000000000001E-2</v>
      </c>
      <c r="D38" s="6">
        <v>9.1140000000000006E-3</v>
      </c>
      <c r="F38" s="6">
        <v>2.9339E-2</v>
      </c>
      <c r="G38" s="6">
        <v>2.1465999999999999E-2</v>
      </c>
      <c r="H38" s="6">
        <v>9.8689999999999993E-3</v>
      </c>
    </row>
    <row r="39" spans="2:8" x14ac:dyDescent="0.2">
      <c r="B39" s="6">
        <v>2.2534999999999999E-2</v>
      </c>
      <c r="C39" s="6">
        <v>8.7679999999999998E-3</v>
      </c>
      <c r="D39" s="6">
        <v>2.1049999999999999E-2</v>
      </c>
      <c r="F39" s="6">
        <v>2.2658999999999999E-2</v>
      </c>
      <c r="G39" s="6">
        <v>1.636E-2</v>
      </c>
      <c r="H39" s="6">
        <v>8.2349999999999993E-3</v>
      </c>
    </row>
    <row r="40" spans="2:8" x14ac:dyDescent="0.2">
      <c r="B40" s="6">
        <v>4.4347999999999999E-2</v>
      </c>
      <c r="C40" s="6">
        <v>3.1739999999999997E-2</v>
      </c>
      <c r="D40" s="6">
        <v>1.4501E-2</v>
      </c>
      <c r="F40" s="6">
        <v>2.2971999999999999E-2</v>
      </c>
      <c r="G40" s="6">
        <v>1.0584E-2</v>
      </c>
      <c r="H40" s="6">
        <v>1.5984999999999999E-2</v>
      </c>
    </row>
    <row r="41" spans="2:8" x14ac:dyDescent="0.2">
      <c r="B41" s="6">
        <v>2.4226000000000001E-2</v>
      </c>
      <c r="C41" s="6">
        <v>8.2400000000000008E-3</v>
      </c>
      <c r="D41" s="6">
        <v>1.4408000000000001E-2</v>
      </c>
      <c r="F41" s="6">
        <v>2.2957999999999999E-2</v>
      </c>
      <c r="G41" s="6">
        <v>2.5541999999999999E-2</v>
      </c>
      <c r="H41" s="6">
        <v>3.5992999999999997E-2</v>
      </c>
    </row>
    <row r="42" spans="2:8" x14ac:dyDescent="0.2">
      <c r="B42" s="6">
        <v>2.3046000000000001E-2</v>
      </c>
      <c r="C42" s="6">
        <v>1.0029E-2</v>
      </c>
      <c r="D42" s="6">
        <v>8.9119999999999998E-3</v>
      </c>
      <c r="F42" s="6">
        <v>2.2858E-2</v>
      </c>
      <c r="G42" s="6">
        <v>8.3499999999999998E-3</v>
      </c>
      <c r="H42" s="6">
        <v>2.3935999999999999E-2</v>
      </c>
    </row>
    <row r="43" spans="2:8" x14ac:dyDescent="0.2">
      <c r="B43" s="6">
        <v>4.2054000000000001E-2</v>
      </c>
      <c r="C43" s="6">
        <v>4.6225000000000002E-2</v>
      </c>
      <c r="D43" s="6">
        <v>1.308E-2</v>
      </c>
      <c r="F43" s="6">
        <v>2.2849000000000001E-2</v>
      </c>
      <c r="G43" s="6">
        <v>7.5319999999999996E-3</v>
      </c>
      <c r="H43" s="6">
        <v>1.2252000000000001E-2</v>
      </c>
    </row>
    <row r="44" spans="2:8" x14ac:dyDescent="0.2">
      <c r="B44" s="6">
        <v>3.4782E-2</v>
      </c>
      <c r="C44" s="6">
        <v>5.058E-2</v>
      </c>
      <c r="D44" s="6">
        <v>1.0399E-2</v>
      </c>
      <c r="F44" s="6">
        <v>2.2852999999999998E-2</v>
      </c>
      <c r="G44" s="6">
        <v>7.4900000000000001E-3</v>
      </c>
      <c r="H44" s="6">
        <v>1.4872E-2</v>
      </c>
    </row>
    <row r="45" spans="2:8" x14ac:dyDescent="0.2">
      <c r="B45" s="6">
        <v>4.2893000000000001E-2</v>
      </c>
      <c r="C45" s="6">
        <v>5.7131000000000001E-2</v>
      </c>
      <c r="D45" s="6">
        <v>2.6585000000000001E-2</v>
      </c>
      <c r="F45" s="6">
        <v>4.2093999999999999E-2</v>
      </c>
      <c r="G45" s="6">
        <v>2.6284999999999999E-2</v>
      </c>
      <c r="H45" s="6">
        <v>1.1893000000000001E-2</v>
      </c>
    </row>
    <row r="46" spans="2:8" x14ac:dyDescent="0.2">
      <c r="B46" s="6">
        <v>4.2061000000000001E-2</v>
      </c>
      <c r="C46" s="6">
        <v>4.8122999999999999E-2</v>
      </c>
      <c r="D46" s="6">
        <v>1.1868999999999999E-2</v>
      </c>
      <c r="F46" s="6">
        <v>2.2838000000000001E-2</v>
      </c>
      <c r="G46" s="6">
        <v>8.8090000000000009E-3</v>
      </c>
      <c r="H46" s="6">
        <v>1.0905E-2</v>
      </c>
    </row>
    <row r="47" spans="2:8" x14ac:dyDescent="0.2">
      <c r="B47" s="6">
        <v>3.8642000000000003E-2</v>
      </c>
      <c r="C47" s="6">
        <v>3.3336999999999999E-2</v>
      </c>
      <c r="D47" s="6">
        <v>1.06E-2</v>
      </c>
      <c r="F47" s="6">
        <v>2.2852999999999998E-2</v>
      </c>
      <c r="G47" s="6">
        <v>9.2860000000000009E-3</v>
      </c>
      <c r="H47" s="6">
        <v>1.438E-2</v>
      </c>
    </row>
    <row r="48" spans="2:8" x14ac:dyDescent="0.2">
      <c r="B48" s="6">
        <v>2.2852999999999998E-2</v>
      </c>
      <c r="C48" s="6">
        <v>8.4508E-2</v>
      </c>
      <c r="D48" s="6">
        <v>1.325E-2</v>
      </c>
      <c r="F48" s="6">
        <v>4.2074E-2</v>
      </c>
      <c r="G48" s="6">
        <v>7.5129999999999997E-3</v>
      </c>
      <c r="H48" s="6">
        <v>7.8600000000000007E-3</v>
      </c>
    </row>
    <row r="49" spans="2:8" x14ac:dyDescent="0.2">
      <c r="B49" s="6">
        <v>2.2860999999999999E-2</v>
      </c>
      <c r="C49" s="6">
        <v>7.4111999999999997E-2</v>
      </c>
      <c r="D49" s="6">
        <v>3.4402000000000002E-2</v>
      </c>
      <c r="F49" s="6">
        <v>2.7338000000000001E-2</v>
      </c>
      <c r="G49" s="6">
        <v>2.4385E-2</v>
      </c>
      <c r="H49" s="6">
        <v>9.9500000000000005E-3</v>
      </c>
    </row>
    <row r="50" spans="2:8" x14ac:dyDescent="0.2">
      <c r="B50" s="6">
        <v>2.2852000000000001E-2</v>
      </c>
      <c r="C50" s="6">
        <v>0.105559</v>
      </c>
      <c r="D50" s="6">
        <v>3.8248999999999998E-2</v>
      </c>
      <c r="F50" s="6">
        <v>2.3324000000000001E-2</v>
      </c>
      <c r="G50" s="6">
        <v>1.3316E-2</v>
      </c>
      <c r="H50" s="6">
        <v>8.6119999999999999E-3</v>
      </c>
    </row>
    <row r="51" spans="2:8" x14ac:dyDescent="0.2">
      <c r="B51" s="6">
        <v>2.2856999999999999E-2</v>
      </c>
      <c r="C51" s="6">
        <v>9.5976000000000006E-2</v>
      </c>
      <c r="D51" s="6">
        <v>2.2501E-2</v>
      </c>
      <c r="F51" s="6">
        <v>2.291E-2</v>
      </c>
      <c r="G51" s="6">
        <v>1.8450000000000001E-2</v>
      </c>
      <c r="H51" s="6">
        <v>7.9369999999999996E-3</v>
      </c>
    </row>
    <row r="52" spans="2:8" x14ac:dyDescent="0.2">
      <c r="B52" s="6">
        <v>2.2356999999999998E-2</v>
      </c>
      <c r="C52" s="6">
        <v>9.7379999999999994E-2</v>
      </c>
      <c r="D52" s="6">
        <v>9.0869999999999996E-3</v>
      </c>
      <c r="F52" s="6">
        <v>4.2074E-2</v>
      </c>
      <c r="G52" s="6">
        <v>6.7539999999999996E-3</v>
      </c>
      <c r="H52" s="6">
        <v>4.4351000000000002E-2</v>
      </c>
    </row>
    <row r="53" spans="2:8" x14ac:dyDescent="0.2">
      <c r="B53" s="6">
        <v>2.2866999999999998E-2</v>
      </c>
      <c r="C53" s="6">
        <v>1.0935E-2</v>
      </c>
      <c r="D53" s="6">
        <v>2.1055999999999998E-2</v>
      </c>
      <c r="F53" s="6">
        <v>2.3220999999999999E-2</v>
      </c>
      <c r="G53" s="6">
        <v>2.5486999999999999E-2</v>
      </c>
      <c r="H53" s="6">
        <v>1.1025999999999999E-2</v>
      </c>
    </row>
    <row r="54" spans="2:8" x14ac:dyDescent="0.2">
      <c r="B54" s="6">
        <v>2.325E-2</v>
      </c>
      <c r="C54" s="6">
        <v>2.9645000000000001E-2</v>
      </c>
      <c r="D54" s="6">
        <v>6.1029999999999999E-3</v>
      </c>
      <c r="F54" s="6">
        <v>2.2488000000000001E-2</v>
      </c>
      <c r="G54" s="6">
        <v>1.4407E-2</v>
      </c>
      <c r="H54" s="6">
        <v>8.3219999999999995E-3</v>
      </c>
    </row>
    <row r="55" spans="2:8" x14ac:dyDescent="0.2">
      <c r="B55" s="6">
        <v>4.6511999999999998E-2</v>
      </c>
      <c r="C55" s="6">
        <v>2.3463000000000001E-2</v>
      </c>
      <c r="D55" s="6">
        <v>1.0741000000000001E-2</v>
      </c>
      <c r="F55" s="6">
        <v>2.2911000000000001E-2</v>
      </c>
      <c r="G55" s="6">
        <v>1.2048E-2</v>
      </c>
      <c r="H55" s="6">
        <v>7.4929999999999997E-3</v>
      </c>
    </row>
    <row r="56" spans="2:8" x14ac:dyDescent="0.2">
      <c r="B56" s="6">
        <v>2.5544000000000001E-2</v>
      </c>
      <c r="C56" s="6">
        <v>7.9299999999999995E-3</v>
      </c>
      <c r="D56" s="6">
        <v>2.6089000000000001E-2</v>
      </c>
      <c r="F56" s="6">
        <v>2.2884000000000002E-2</v>
      </c>
      <c r="G56" s="6">
        <v>1.1754000000000001E-2</v>
      </c>
      <c r="H56" s="6">
        <v>6.0629999999999998E-3</v>
      </c>
    </row>
    <row r="57" spans="2:8" x14ac:dyDescent="0.2">
      <c r="B57" s="6">
        <v>2.2886E-2</v>
      </c>
      <c r="C57" s="6">
        <v>1.2083E-2</v>
      </c>
      <c r="D57" s="6">
        <v>1.6219000000000001E-2</v>
      </c>
      <c r="F57" s="6">
        <v>2.2894000000000001E-2</v>
      </c>
      <c r="G57" s="6">
        <v>2.3987000000000001E-2</v>
      </c>
      <c r="H57" s="6">
        <v>1.1526E-2</v>
      </c>
    </row>
    <row r="58" spans="2:8" x14ac:dyDescent="0.2">
      <c r="B58" s="6">
        <v>2.2880000000000001E-2</v>
      </c>
      <c r="C58" s="6">
        <v>5.9630000000000004E-3</v>
      </c>
      <c r="D58" s="6">
        <v>1.0885000000000001E-2</v>
      </c>
      <c r="F58" s="6">
        <v>2.2884999999999999E-2</v>
      </c>
      <c r="G58" s="6">
        <v>3.0547000000000001E-2</v>
      </c>
      <c r="H58" s="6">
        <v>7.9830000000000005E-3</v>
      </c>
    </row>
    <row r="59" spans="2:8" x14ac:dyDescent="0.2">
      <c r="B59" s="6">
        <v>2.3115E-2</v>
      </c>
      <c r="C59" s="6">
        <v>3.3947999999999999E-2</v>
      </c>
      <c r="D59" s="6">
        <v>3.5367000000000003E-2</v>
      </c>
      <c r="F59" s="6">
        <v>2.2806E-2</v>
      </c>
      <c r="G59" s="6">
        <v>1.3096E-2</v>
      </c>
      <c r="H59" s="6">
        <v>2.4511999999999999E-2</v>
      </c>
    </row>
    <row r="60" spans="2:8" x14ac:dyDescent="0.2">
      <c r="B60" s="6">
        <v>2.2852000000000001E-2</v>
      </c>
      <c r="C60" s="6">
        <v>1.0546E-2</v>
      </c>
      <c r="D60" s="6">
        <v>1.3096E-2</v>
      </c>
      <c r="F60" s="6">
        <v>2.2179000000000001E-2</v>
      </c>
      <c r="G60" s="6">
        <v>1.1743E-2</v>
      </c>
      <c r="H60" s="6">
        <v>8.567E-3</v>
      </c>
    </row>
    <row r="61" spans="2:8" x14ac:dyDescent="0.2">
      <c r="B61" s="6">
        <v>2.2863999999999999E-2</v>
      </c>
      <c r="C61" s="6">
        <v>1.1838E-2</v>
      </c>
      <c r="D61" s="6">
        <v>2.7151000000000002E-2</v>
      </c>
      <c r="F61" s="6">
        <v>2.3105000000000001E-2</v>
      </c>
      <c r="G61" s="6">
        <v>1.2489E-2</v>
      </c>
      <c r="H61" s="6">
        <v>1.2224E-2</v>
      </c>
    </row>
    <row r="62" spans="2:8" x14ac:dyDescent="0.2">
      <c r="B62" s="6">
        <v>2.3692000000000001E-2</v>
      </c>
      <c r="C62" s="6">
        <v>2.3921000000000001E-2</v>
      </c>
      <c r="D62" s="6">
        <v>3.8143000000000003E-2</v>
      </c>
      <c r="F62" s="6">
        <v>2.2974999999999999E-2</v>
      </c>
      <c r="G62" s="6">
        <v>1.1752E-2</v>
      </c>
      <c r="H62" s="6">
        <v>9.0860000000000003E-3</v>
      </c>
    </row>
    <row r="63" spans="2:8" x14ac:dyDescent="0.2">
      <c r="B63" s="6">
        <v>2.2641000000000001E-2</v>
      </c>
      <c r="C63" s="6">
        <v>1.0678999999999999E-2</v>
      </c>
      <c r="D63" s="6">
        <v>1.4459E-2</v>
      </c>
      <c r="F63" s="6">
        <v>2.2610999999999999E-2</v>
      </c>
      <c r="G63" s="6">
        <v>1.175E-2</v>
      </c>
      <c r="H63" s="6">
        <v>1.1072E-2</v>
      </c>
    </row>
    <row r="64" spans="2:8" x14ac:dyDescent="0.2">
      <c r="B64" s="6">
        <v>2.2853999999999999E-2</v>
      </c>
      <c r="C64" s="6">
        <v>1.0179000000000001E-2</v>
      </c>
      <c r="D64" s="6">
        <v>3.8032000000000003E-2</v>
      </c>
      <c r="F64" s="6">
        <v>2.3248000000000001E-2</v>
      </c>
      <c r="G64" s="6">
        <v>1.1778E-2</v>
      </c>
      <c r="H64" s="6">
        <v>9.6050000000000007E-3</v>
      </c>
    </row>
    <row r="65" spans="2:18" x14ac:dyDescent="0.2">
      <c r="B65" s="6">
        <v>2.2839999999999999E-2</v>
      </c>
      <c r="C65" s="6">
        <v>1.0106E-2</v>
      </c>
      <c r="D65" s="6">
        <v>9.1039999999999992E-3</v>
      </c>
      <c r="F65" s="6">
        <v>2.3741999999999999E-2</v>
      </c>
      <c r="G65" s="6">
        <v>7.5160000000000001E-3</v>
      </c>
      <c r="H65" s="6">
        <v>7.6899999999999998E-3</v>
      </c>
    </row>
    <row r="66" spans="2:18" x14ac:dyDescent="0.2">
      <c r="B66" s="6">
        <v>2.2858E-2</v>
      </c>
      <c r="C66" s="6">
        <v>1.1766E-2</v>
      </c>
      <c r="D66" s="6">
        <v>1.0163999999999999E-2</v>
      </c>
      <c r="F66" s="6">
        <v>2.3123000000000001E-2</v>
      </c>
      <c r="G66" s="6">
        <v>1.1129999999999999E-2</v>
      </c>
      <c r="H66" s="6">
        <v>9.1459999999999996E-3</v>
      </c>
      <c r="P66" s="1"/>
      <c r="Q66" s="1"/>
      <c r="R66" s="1"/>
    </row>
    <row r="67" spans="2:18" x14ac:dyDescent="0.2">
      <c r="B67" s="6">
        <v>2.2862E-2</v>
      </c>
      <c r="C67" s="6">
        <v>1.1820000000000001E-2</v>
      </c>
      <c r="D67" s="6">
        <v>1.5244000000000001E-2</v>
      </c>
      <c r="F67" s="6">
        <v>2.3345000000000001E-2</v>
      </c>
      <c r="G67" s="6">
        <v>7.5449999999999996E-3</v>
      </c>
      <c r="H67" s="6">
        <v>6.4689999999999999E-3</v>
      </c>
      <c r="P67" s="1"/>
      <c r="Q67" s="1"/>
      <c r="R67" s="1"/>
    </row>
    <row r="68" spans="2:18" x14ac:dyDescent="0.2">
      <c r="B68" s="6">
        <v>2.2852000000000001E-2</v>
      </c>
      <c r="C68" s="6">
        <v>7.5259999999999997E-3</v>
      </c>
      <c r="D68" s="6">
        <v>1.9880999999999999E-2</v>
      </c>
      <c r="F68" s="6">
        <v>4.2514999999999997E-2</v>
      </c>
      <c r="G68" s="6">
        <v>9.3069999999999993E-3</v>
      </c>
      <c r="H68" s="6">
        <v>6.4419999999999998E-3</v>
      </c>
      <c r="O68" s="4"/>
      <c r="P68" s="1"/>
      <c r="Q68" s="1"/>
      <c r="R68" s="1"/>
    </row>
    <row r="69" spans="2:18" x14ac:dyDescent="0.2">
      <c r="B69" s="6">
        <v>2.3175999999999999E-2</v>
      </c>
      <c r="C69" s="6">
        <v>1.5671999999999998E-2</v>
      </c>
      <c r="D69" s="6">
        <v>9.6760000000000006E-3</v>
      </c>
      <c r="F69" s="6">
        <v>2.2849000000000001E-2</v>
      </c>
      <c r="G69" s="6">
        <v>8.5000000000000006E-3</v>
      </c>
      <c r="H69" s="6">
        <v>9.7350000000000006E-3</v>
      </c>
      <c r="P69" s="1"/>
      <c r="Q69" s="1"/>
      <c r="R69" s="1"/>
    </row>
    <row r="70" spans="2:18" x14ac:dyDescent="0.2">
      <c r="B70" s="6">
        <v>2.3400000000000001E-2</v>
      </c>
      <c r="C70" s="6">
        <v>1.1186E-2</v>
      </c>
      <c r="D70" s="6">
        <v>3.1688000000000001E-2</v>
      </c>
      <c r="F70" s="6">
        <v>2.2853999999999999E-2</v>
      </c>
      <c r="G70" s="6">
        <v>3.7935999999999998E-2</v>
      </c>
      <c r="H70" s="6">
        <v>9.1140000000000006E-3</v>
      </c>
      <c r="P70" s="1"/>
      <c r="Q70" s="1"/>
      <c r="R70" s="1"/>
    </row>
    <row r="71" spans="2:18" x14ac:dyDescent="0.2">
      <c r="B71" s="6">
        <v>2.2839999999999999E-2</v>
      </c>
      <c r="C71" s="6">
        <v>4.6206999999999998E-2</v>
      </c>
      <c r="D71" s="6">
        <v>1.1662E-2</v>
      </c>
      <c r="F71" s="6">
        <v>2.2852000000000001E-2</v>
      </c>
      <c r="G71" s="6">
        <v>3.9272000000000001E-2</v>
      </c>
      <c r="H71" s="6">
        <v>3.7368999999999999E-2</v>
      </c>
      <c r="P71" s="1"/>
      <c r="Q71" s="1"/>
      <c r="R71" s="1"/>
    </row>
    <row r="72" spans="2:18" x14ac:dyDescent="0.2">
      <c r="B72" s="6">
        <v>2.2915000000000001E-2</v>
      </c>
      <c r="C72" s="6">
        <v>1.1860000000000001E-2</v>
      </c>
      <c r="D72" s="6">
        <v>1.7534000000000001E-2</v>
      </c>
      <c r="F72" s="6">
        <v>2.2849000000000001E-2</v>
      </c>
      <c r="G72" s="6">
        <v>2.1172E-2</v>
      </c>
      <c r="H72" s="6">
        <v>2.4910000000000002E-2</v>
      </c>
      <c r="P72" s="1"/>
      <c r="Q72" s="1"/>
      <c r="R72" s="1"/>
    </row>
    <row r="73" spans="2:18" x14ac:dyDescent="0.2">
      <c r="B73" s="6">
        <v>3.8094000000000003E-2</v>
      </c>
      <c r="C73" s="6">
        <v>1.0491E-2</v>
      </c>
      <c r="D73" s="6">
        <v>9.6539999999999994E-3</v>
      </c>
      <c r="F73" s="6">
        <v>2.2852000000000001E-2</v>
      </c>
      <c r="G73" s="6">
        <v>3.7383E-2</v>
      </c>
      <c r="H73" s="6">
        <v>1.0184E-2</v>
      </c>
      <c r="P73" s="1"/>
      <c r="Q73" s="1"/>
      <c r="R73" s="1"/>
    </row>
    <row r="74" spans="2:18" x14ac:dyDescent="0.2">
      <c r="B74" s="6">
        <v>4.0230000000000002E-2</v>
      </c>
      <c r="C74" s="6">
        <v>5.4767999999999997E-2</v>
      </c>
      <c r="D74" s="6">
        <v>1.3223E-2</v>
      </c>
      <c r="F74" s="6">
        <v>2.2863000000000001E-2</v>
      </c>
      <c r="G74" s="6">
        <v>3.9190000000000003E-2</v>
      </c>
      <c r="H74" s="6">
        <v>8.2470000000000009E-3</v>
      </c>
      <c r="P74" s="1"/>
      <c r="Q74" s="1"/>
      <c r="R74" s="1"/>
    </row>
    <row r="75" spans="2:18" x14ac:dyDescent="0.2">
      <c r="B75" s="6">
        <v>4.1416000000000001E-2</v>
      </c>
      <c r="C75" s="6">
        <v>3.5616000000000002E-2</v>
      </c>
      <c r="D75" s="6">
        <v>5.4178999999999998E-2</v>
      </c>
      <c r="F75" s="6">
        <v>2.2839999999999999E-2</v>
      </c>
      <c r="G75" s="6">
        <v>2.7616000000000002E-2</v>
      </c>
      <c r="H75" s="6">
        <v>8.26E-3</v>
      </c>
    </row>
    <row r="76" spans="2:18" x14ac:dyDescent="0.2">
      <c r="B76" s="6">
        <v>3.2153000000000001E-2</v>
      </c>
      <c r="C76" s="6">
        <v>9.9476999999999996E-2</v>
      </c>
      <c r="D76" s="6">
        <v>7.2525000000000006E-2</v>
      </c>
      <c r="F76" s="6">
        <v>2.2849000000000001E-2</v>
      </c>
      <c r="G76" s="6">
        <v>1.0534E-2</v>
      </c>
      <c r="H76" s="6">
        <v>9.0790000000000003E-3</v>
      </c>
    </row>
    <row r="77" spans="2:18" x14ac:dyDescent="0.2">
      <c r="B77" s="6">
        <v>2.3406E-2</v>
      </c>
      <c r="C77" s="6">
        <v>3.075E-2</v>
      </c>
      <c r="D77" s="6">
        <v>3.8108999999999997E-2</v>
      </c>
      <c r="F77" s="6">
        <v>2.2845000000000001E-2</v>
      </c>
      <c r="G77" s="6">
        <v>2.5770000000000001E-2</v>
      </c>
      <c r="H77" s="6">
        <v>1.452E-2</v>
      </c>
    </row>
    <row r="78" spans="2:18" x14ac:dyDescent="0.2">
      <c r="B78" s="6">
        <v>2.2901999999999999E-2</v>
      </c>
      <c r="C78" s="6">
        <v>6.5957000000000002E-2</v>
      </c>
      <c r="D78" s="6">
        <v>5.4137999999999999E-2</v>
      </c>
      <c r="F78" s="6">
        <v>4.2119999999999998E-2</v>
      </c>
      <c r="G78" s="6">
        <v>1.6251000000000002E-2</v>
      </c>
      <c r="H78" s="6">
        <v>1.1308E-2</v>
      </c>
    </row>
    <row r="79" spans="2:18" x14ac:dyDescent="0.2">
      <c r="B79" s="6">
        <v>3.6277999999999998E-2</v>
      </c>
      <c r="C79" s="6">
        <v>1.0562E-2</v>
      </c>
      <c r="D79" s="6">
        <v>5.9007999999999998E-2</v>
      </c>
      <c r="F79" s="6">
        <v>2.2852999999999998E-2</v>
      </c>
      <c r="G79" s="6">
        <v>1.1834000000000001E-2</v>
      </c>
      <c r="H79" s="6">
        <v>1.1209999999999999E-2</v>
      </c>
    </row>
    <row r="80" spans="2:18" x14ac:dyDescent="0.2">
      <c r="B80" s="6">
        <v>2.3727000000000002E-2</v>
      </c>
      <c r="C80" s="6">
        <v>2.5795999999999999E-2</v>
      </c>
      <c r="D80" s="6">
        <v>4.5734999999999998E-2</v>
      </c>
      <c r="F80" s="6">
        <v>2.3664000000000001E-2</v>
      </c>
      <c r="G80" s="6">
        <v>1.3752E-2</v>
      </c>
      <c r="H80" s="6">
        <v>8.0420000000000005E-3</v>
      </c>
    </row>
    <row r="81" spans="2:8" x14ac:dyDescent="0.2">
      <c r="B81" s="6">
        <v>2.2963999999999998E-2</v>
      </c>
      <c r="C81" s="6">
        <v>9.6279999999999994E-3</v>
      </c>
      <c r="D81" s="6">
        <v>5.1770999999999998E-2</v>
      </c>
      <c r="F81" s="6">
        <v>2.3650999999999998E-2</v>
      </c>
      <c r="G81" s="6">
        <v>7.4599999999999996E-3</v>
      </c>
      <c r="H81" s="6">
        <v>2.6623000000000001E-2</v>
      </c>
    </row>
    <row r="82" spans="2:8" x14ac:dyDescent="0.2">
      <c r="B82" s="6">
        <v>2.2851E-2</v>
      </c>
      <c r="C82" s="6">
        <v>1.0540000000000001E-2</v>
      </c>
      <c r="D82" s="6">
        <v>3.236E-2</v>
      </c>
      <c r="F82" s="6">
        <v>2.2901000000000001E-2</v>
      </c>
      <c r="G82" s="6">
        <v>7.5669999999999999E-3</v>
      </c>
      <c r="H82" s="6">
        <v>7.6740000000000003E-3</v>
      </c>
    </row>
    <row r="83" spans="2:8" x14ac:dyDescent="0.2">
      <c r="B83" s="6">
        <v>2.2851E-2</v>
      </c>
      <c r="C83" s="6">
        <v>1.9906E-2</v>
      </c>
      <c r="D83" s="6">
        <v>7.4621000000000007E-2</v>
      </c>
      <c r="F83" s="6">
        <v>2.2336000000000002E-2</v>
      </c>
      <c r="G83" s="6">
        <v>4.8767999999999999E-2</v>
      </c>
      <c r="H83" s="6">
        <v>1.2508E-2</v>
      </c>
    </row>
    <row r="84" spans="2:8" x14ac:dyDescent="0.2">
      <c r="B84" s="6">
        <v>2.2839999999999999E-2</v>
      </c>
      <c r="C84" s="6">
        <v>1.6625999999999998E-2</v>
      </c>
      <c r="D84" s="6">
        <v>9.9971000000000004E-2</v>
      </c>
      <c r="F84" s="6">
        <v>2.3300000000000001E-2</v>
      </c>
      <c r="G84" s="6">
        <v>1.7927999999999999E-2</v>
      </c>
      <c r="H84" s="6">
        <v>1.2182999999999999E-2</v>
      </c>
    </row>
    <row r="85" spans="2:8" x14ac:dyDescent="0.2">
      <c r="B85" s="6">
        <v>2.2872E-2</v>
      </c>
      <c r="C85" s="6">
        <v>1.1788E-2</v>
      </c>
      <c r="D85" s="6">
        <v>0.111971</v>
      </c>
      <c r="F85" s="6">
        <v>4.0329999999999998E-2</v>
      </c>
      <c r="G85" s="6">
        <v>8.4899999999999993E-3</v>
      </c>
      <c r="H85" s="6">
        <v>1.6774000000000001E-2</v>
      </c>
    </row>
    <row r="86" spans="2:8" x14ac:dyDescent="0.2">
      <c r="B86" s="6">
        <v>2.3E-2</v>
      </c>
      <c r="C86" s="6">
        <v>2.3148999999999999E-2</v>
      </c>
      <c r="D86" s="6">
        <v>0.10523399999999999</v>
      </c>
      <c r="F86" s="6">
        <v>2.3236E-2</v>
      </c>
      <c r="G86" s="6">
        <v>1.4296E-2</v>
      </c>
      <c r="H86" s="6">
        <v>1.0148000000000001E-2</v>
      </c>
    </row>
    <row r="87" spans="2:8" x14ac:dyDescent="0.2">
      <c r="B87" s="6">
        <v>2.2398000000000001E-2</v>
      </c>
      <c r="C87" s="6">
        <v>1.0096000000000001E-2</v>
      </c>
      <c r="D87" s="6">
        <v>0.10104100000000001</v>
      </c>
      <c r="F87" s="6">
        <v>2.2912999999999999E-2</v>
      </c>
      <c r="G87" s="6">
        <v>9.75E-3</v>
      </c>
      <c r="H87" s="6">
        <v>4.7606999999999997E-2</v>
      </c>
    </row>
    <row r="88" spans="2:8" x14ac:dyDescent="0.2">
      <c r="B88" s="6">
        <v>2.3163E-2</v>
      </c>
      <c r="C88" s="6">
        <v>1.1455999999999999E-2</v>
      </c>
      <c r="D88" s="6">
        <v>8.4773000000000001E-2</v>
      </c>
      <c r="F88" s="6">
        <v>2.3439000000000002E-2</v>
      </c>
      <c r="G88" s="6">
        <v>1.005E-2</v>
      </c>
      <c r="H88" s="6">
        <v>9.6629999999999997E-3</v>
      </c>
    </row>
    <row r="89" spans="2:8" x14ac:dyDescent="0.2">
      <c r="B89" s="6">
        <v>2.2918999999999998E-2</v>
      </c>
      <c r="C89" s="6">
        <v>7.6819999999999996E-3</v>
      </c>
      <c r="D89" s="6">
        <v>6.3394000000000006E-2</v>
      </c>
      <c r="F89" s="6">
        <v>2.8472999999999998E-2</v>
      </c>
      <c r="G89" s="6">
        <v>7.4879999999999999E-3</v>
      </c>
      <c r="H89" s="6">
        <v>1.2484E-2</v>
      </c>
    </row>
    <row r="90" spans="2:8" x14ac:dyDescent="0.2">
      <c r="B90" s="6">
        <v>2.2838000000000001E-2</v>
      </c>
      <c r="C90" s="6">
        <v>2.4292000000000001E-2</v>
      </c>
      <c r="D90" s="6">
        <v>8.8970999999999995E-2</v>
      </c>
      <c r="F90" s="6">
        <v>2.307E-2</v>
      </c>
      <c r="G90" s="6">
        <v>1.1656E-2</v>
      </c>
      <c r="H90" s="6">
        <v>1.295E-2</v>
      </c>
    </row>
    <row r="91" spans="2:8" x14ac:dyDescent="0.2">
      <c r="B91" s="6">
        <v>2.2679999999999999E-2</v>
      </c>
      <c r="C91" s="6">
        <v>1.8200000000000001E-2</v>
      </c>
      <c r="D91" s="6">
        <v>2.1048999999999998E-2</v>
      </c>
      <c r="F91" s="6">
        <v>2.2790000000000001E-2</v>
      </c>
      <c r="G91" s="6">
        <v>3.4169999999999999E-2</v>
      </c>
      <c r="H91" s="6">
        <v>3.8056E-2</v>
      </c>
    </row>
    <row r="92" spans="2:8" x14ac:dyDescent="0.2">
      <c r="B92" s="6">
        <v>2.3689999999999999E-2</v>
      </c>
      <c r="C92" s="6">
        <v>3.4269000000000001E-2</v>
      </c>
      <c r="D92" s="6">
        <v>8.5520000000000006E-3</v>
      </c>
      <c r="F92" s="6">
        <v>2.2842000000000001E-2</v>
      </c>
      <c r="G92" s="6">
        <v>1.0014E-2</v>
      </c>
      <c r="H92" s="6">
        <v>8.0040000000000007E-3</v>
      </c>
    </row>
    <row r="93" spans="2:8" x14ac:dyDescent="0.2">
      <c r="B93" s="6">
        <v>2.3528E-2</v>
      </c>
      <c r="C93" s="6">
        <v>1.6563999999999999E-2</v>
      </c>
      <c r="D93" s="6">
        <v>7.5770000000000004E-3</v>
      </c>
      <c r="F93" s="6">
        <v>2.2859999999999998E-2</v>
      </c>
      <c r="G93" s="6">
        <v>9.9469999999999992E-3</v>
      </c>
      <c r="H93" s="6">
        <v>9.8829999999999994E-3</v>
      </c>
    </row>
    <row r="94" spans="2:8" x14ac:dyDescent="0.2">
      <c r="B94" s="6">
        <v>2.2873999999999999E-2</v>
      </c>
      <c r="C94" s="6">
        <v>2.0125000000000001E-2</v>
      </c>
      <c r="D94" s="6">
        <v>1.2962E-2</v>
      </c>
      <c r="F94" s="6">
        <v>2.2866999999999998E-2</v>
      </c>
      <c r="G94" s="6">
        <v>5.8389999999999996E-3</v>
      </c>
      <c r="H94" s="6">
        <v>2.4899000000000001E-2</v>
      </c>
    </row>
    <row r="95" spans="2:8" x14ac:dyDescent="0.2">
      <c r="B95" s="6">
        <v>2.2852000000000001E-2</v>
      </c>
      <c r="C95" s="6">
        <v>2.1662000000000001E-2</v>
      </c>
      <c r="D95" s="6">
        <v>1.6022000000000002E-2</v>
      </c>
      <c r="F95" s="6">
        <v>2.2846999999999999E-2</v>
      </c>
      <c r="G95" s="6">
        <v>1.1351E-2</v>
      </c>
      <c r="H95" s="6">
        <v>8.0140000000000003E-3</v>
      </c>
    </row>
    <row r="96" spans="2:8" x14ac:dyDescent="0.2">
      <c r="B96" s="6">
        <v>2.2852000000000001E-2</v>
      </c>
      <c r="C96" s="6">
        <v>1.9035E-2</v>
      </c>
      <c r="D96" s="6">
        <v>1.0867E-2</v>
      </c>
      <c r="F96" s="6">
        <v>2.2852000000000001E-2</v>
      </c>
      <c r="G96" s="6">
        <v>1.6406E-2</v>
      </c>
      <c r="H96" s="6">
        <v>7.6169999999999996E-3</v>
      </c>
    </row>
    <row r="97" spans="2:8" x14ac:dyDescent="0.2">
      <c r="B97" s="6">
        <v>2.3151000000000001E-2</v>
      </c>
      <c r="C97" s="6">
        <v>1.0577E-2</v>
      </c>
      <c r="D97" s="6">
        <v>1.9667E-2</v>
      </c>
      <c r="F97" s="6">
        <v>2.2879E-2</v>
      </c>
      <c r="G97" s="6">
        <v>7.5680000000000001E-3</v>
      </c>
      <c r="H97" s="6">
        <v>1.1854999999999999E-2</v>
      </c>
    </row>
    <row r="98" spans="2:8" x14ac:dyDescent="0.2">
      <c r="B98" s="6">
        <v>2.3727999999999999E-2</v>
      </c>
      <c r="C98" s="6">
        <v>9.6439999999999998E-3</v>
      </c>
      <c r="D98" s="6">
        <v>1.7332E-2</v>
      </c>
      <c r="F98" s="6">
        <v>2.2789E-2</v>
      </c>
      <c r="G98" s="6">
        <v>1.0579E-2</v>
      </c>
      <c r="H98" s="6">
        <v>1.0102E-2</v>
      </c>
    </row>
    <row r="99" spans="2:8" x14ac:dyDescent="0.2">
      <c r="B99" s="6">
        <v>2.2934E-2</v>
      </c>
      <c r="C99" s="6">
        <v>1.2394000000000001E-2</v>
      </c>
      <c r="D99" s="6">
        <v>7.7470000000000004E-3</v>
      </c>
      <c r="F99" s="6">
        <v>2.2841E-2</v>
      </c>
      <c r="G99" s="6">
        <v>4.6822000000000003E-2</v>
      </c>
      <c r="H99" s="6">
        <v>9.025E-3</v>
      </c>
    </row>
    <row r="100" spans="2:8" x14ac:dyDescent="0.2">
      <c r="B100" s="6">
        <v>2.2780000000000002E-2</v>
      </c>
      <c r="C100" s="6">
        <v>1.2064999999999999E-2</v>
      </c>
      <c r="D100" s="6">
        <v>9.8130000000000005E-3</v>
      </c>
      <c r="F100" s="6">
        <v>2.2852000000000001E-2</v>
      </c>
      <c r="G100" s="6">
        <v>7.5550000000000001E-3</v>
      </c>
      <c r="H100" s="6">
        <v>6.1710000000000003E-3</v>
      </c>
    </row>
    <row r="101" spans="2:8" x14ac:dyDescent="0.2">
      <c r="B101" s="6">
        <v>2.2963999999999998E-2</v>
      </c>
      <c r="C101" s="6">
        <v>6.2447000000000003E-2</v>
      </c>
      <c r="D101" s="6">
        <v>1.4182E-2</v>
      </c>
      <c r="F101" s="6">
        <v>2.2852000000000001E-2</v>
      </c>
      <c r="G101" s="6">
        <v>7.1370000000000001E-3</v>
      </c>
      <c r="H101" s="6">
        <v>9.9220000000000003E-3</v>
      </c>
    </row>
    <row r="102" spans="2:8" x14ac:dyDescent="0.2">
      <c r="B102" s="6">
        <v>2.2984000000000001E-2</v>
      </c>
      <c r="C102" s="6">
        <v>0.124219</v>
      </c>
      <c r="D102" s="6">
        <v>7.7169999999999999E-3</v>
      </c>
      <c r="F102" s="6">
        <v>2.2787999999999999E-2</v>
      </c>
      <c r="G102" s="6">
        <v>1.0592000000000001E-2</v>
      </c>
      <c r="H102" s="6">
        <v>1.0595E-2</v>
      </c>
    </row>
    <row r="103" spans="2:8" x14ac:dyDescent="0.2">
      <c r="B103" s="6">
        <v>2.3063E-2</v>
      </c>
      <c r="C103" s="6">
        <v>6.0847999999999999E-2</v>
      </c>
      <c r="D103" s="6">
        <v>1.0031E-2</v>
      </c>
      <c r="F103" s="6">
        <v>2.3635E-2</v>
      </c>
      <c r="G103" s="6">
        <v>7.9050000000000006E-3</v>
      </c>
      <c r="H103" s="6">
        <v>3.7581000000000003E-2</v>
      </c>
    </row>
    <row r="104" spans="2:8" x14ac:dyDescent="0.2">
      <c r="B104" s="6">
        <v>2.2846999999999999E-2</v>
      </c>
      <c r="C104" s="6">
        <v>7.5970999999999997E-2</v>
      </c>
      <c r="D104" s="6">
        <v>9.0290000000000006E-3</v>
      </c>
      <c r="F104" s="6">
        <v>2.3084E-2</v>
      </c>
      <c r="G104" s="6">
        <v>7.5620000000000001E-3</v>
      </c>
      <c r="H104" s="6">
        <v>1.8501E-2</v>
      </c>
    </row>
    <row r="105" spans="2:8" x14ac:dyDescent="0.2">
      <c r="B105" s="6">
        <v>4.2085999999999998E-2</v>
      </c>
      <c r="C105" s="6">
        <v>8.4058999999999995E-2</v>
      </c>
      <c r="D105" s="6">
        <v>8.5520000000000006E-3</v>
      </c>
      <c r="F105" s="6">
        <v>2.5149000000000001E-2</v>
      </c>
      <c r="G105" s="6">
        <v>3.6450000000000003E-2</v>
      </c>
      <c r="H105" s="6">
        <v>9.6830000000000006E-3</v>
      </c>
    </row>
    <row r="106" spans="2:8" x14ac:dyDescent="0.2">
      <c r="B106" s="6">
        <v>4.2882000000000003E-2</v>
      </c>
      <c r="C106" s="6">
        <v>3.4206E-2</v>
      </c>
      <c r="D106" s="6">
        <v>2.0302000000000001E-2</v>
      </c>
      <c r="F106" s="6">
        <v>2.2991000000000001E-2</v>
      </c>
      <c r="G106" s="6">
        <v>3.9597E-2</v>
      </c>
      <c r="H106" s="6">
        <v>8.9580000000000007E-3</v>
      </c>
    </row>
    <row r="107" spans="2:8" x14ac:dyDescent="0.2">
      <c r="B107" s="6">
        <v>4.2098999999999998E-2</v>
      </c>
      <c r="C107" s="6">
        <v>2.8052000000000001E-2</v>
      </c>
      <c r="D107" s="6">
        <v>1.8657E-2</v>
      </c>
      <c r="F107" s="6">
        <v>2.4448999999999999E-2</v>
      </c>
      <c r="G107" s="6">
        <v>3.5526000000000002E-2</v>
      </c>
      <c r="H107" s="6">
        <v>4.24E-2</v>
      </c>
    </row>
    <row r="108" spans="2:8" x14ac:dyDescent="0.2">
      <c r="B108" s="6">
        <v>3.8209E-2</v>
      </c>
      <c r="C108" s="6">
        <v>2.9069999999999999E-2</v>
      </c>
      <c r="D108" s="6">
        <v>2.4354000000000001E-2</v>
      </c>
      <c r="F108" s="6">
        <v>2.5725999999999999E-2</v>
      </c>
      <c r="G108" s="6">
        <v>9.9970000000000007E-3</v>
      </c>
      <c r="H108" s="6">
        <v>3.4741000000000001E-2</v>
      </c>
    </row>
    <row r="109" spans="2:8" x14ac:dyDescent="0.2">
      <c r="B109" s="6">
        <v>3.8452E-2</v>
      </c>
      <c r="C109" s="6">
        <v>3.1976999999999998E-2</v>
      </c>
      <c r="D109" s="6">
        <v>2.2710999999999999E-2</v>
      </c>
      <c r="F109" s="6">
        <v>2.2908000000000001E-2</v>
      </c>
      <c r="G109" s="6">
        <v>7.9450000000000007E-3</v>
      </c>
      <c r="H109" s="6">
        <v>1.2370000000000001E-2</v>
      </c>
    </row>
    <row r="110" spans="2:8" x14ac:dyDescent="0.2">
      <c r="B110" s="6">
        <v>4.1035000000000002E-2</v>
      </c>
      <c r="C110" s="6">
        <v>3.5668999999999999E-2</v>
      </c>
      <c r="D110" s="6">
        <v>9.5110000000000004E-3</v>
      </c>
      <c r="F110" s="6">
        <v>2.3033999999999999E-2</v>
      </c>
      <c r="G110" s="6">
        <v>7.5690000000000002E-3</v>
      </c>
      <c r="H110" s="6">
        <v>7.7190000000000002E-3</v>
      </c>
    </row>
    <row r="111" spans="2:8" x14ac:dyDescent="0.2">
      <c r="B111" s="6">
        <v>2.2858E-2</v>
      </c>
      <c r="C111" s="6">
        <v>3.5076000000000003E-2</v>
      </c>
      <c r="D111" s="6">
        <v>1.0113E-2</v>
      </c>
      <c r="F111" s="6">
        <v>2.3007E-2</v>
      </c>
      <c r="G111" s="6">
        <v>1.1811E-2</v>
      </c>
      <c r="H111" s="6">
        <v>6.4260000000000003E-3</v>
      </c>
    </row>
    <row r="112" spans="2:8" x14ac:dyDescent="0.2">
      <c r="B112" s="6">
        <v>2.2834E-2</v>
      </c>
      <c r="C112" s="6"/>
      <c r="D112" s="6">
        <v>3.1078000000000001E-2</v>
      </c>
      <c r="F112" s="6">
        <v>2.3744999999999999E-2</v>
      </c>
      <c r="G112" s="6"/>
      <c r="H112" s="6">
        <v>6.3229999999999996E-3</v>
      </c>
    </row>
    <row r="113" spans="2:8" x14ac:dyDescent="0.2">
      <c r="B113" s="6">
        <v>2.2841E-2</v>
      </c>
      <c r="C113" s="6"/>
      <c r="D113" s="6">
        <v>6.0350000000000004E-3</v>
      </c>
      <c r="F113" s="6">
        <v>2.3438000000000001E-2</v>
      </c>
      <c r="G113" s="6"/>
      <c r="H113" s="6">
        <v>9.9430000000000004E-3</v>
      </c>
    </row>
    <row r="114" spans="2:8" x14ac:dyDescent="0.2">
      <c r="B114" s="6">
        <v>2.2884000000000002E-2</v>
      </c>
      <c r="C114" s="6"/>
      <c r="D114" s="6">
        <v>9.1149999999999998E-3</v>
      </c>
      <c r="F114" s="6">
        <v>2.2495999999999999E-2</v>
      </c>
      <c r="G114" s="6"/>
      <c r="H114" s="6">
        <v>8.2740000000000001E-3</v>
      </c>
    </row>
    <row r="115" spans="2:8" x14ac:dyDescent="0.2">
      <c r="B115" s="6">
        <v>2.2839000000000002E-2</v>
      </c>
      <c r="C115" s="6"/>
      <c r="D115" s="6">
        <v>2.9420999999999999E-2</v>
      </c>
      <c r="F115" s="6">
        <v>4.2071999999999998E-2</v>
      </c>
      <c r="G115" s="6"/>
      <c r="H115" s="6">
        <v>1.1372E-2</v>
      </c>
    </row>
    <row r="116" spans="2:8" x14ac:dyDescent="0.2">
      <c r="B116" s="6">
        <v>2.419E-2</v>
      </c>
      <c r="C116" s="6"/>
      <c r="D116" s="6">
        <v>1.9376999999999998E-2</v>
      </c>
      <c r="F116" s="6">
        <v>2.2863000000000001E-2</v>
      </c>
      <c r="G116" s="6"/>
      <c r="H116" s="6">
        <v>1.0264000000000001E-2</v>
      </c>
    </row>
    <row r="117" spans="2:8" x14ac:dyDescent="0.2">
      <c r="B117" s="6">
        <v>4.2049000000000003E-2</v>
      </c>
      <c r="C117" s="6"/>
      <c r="D117" s="6">
        <v>3.1487000000000001E-2</v>
      </c>
      <c r="F117" s="6">
        <v>2.3630000000000002E-2</v>
      </c>
      <c r="G117" s="6"/>
      <c r="H117" s="6">
        <v>1.1105E-2</v>
      </c>
    </row>
    <row r="118" spans="2:8" x14ac:dyDescent="0.2">
      <c r="B118" s="6">
        <v>2.2852000000000001E-2</v>
      </c>
      <c r="C118" s="6"/>
      <c r="D118" s="6">
        <v>1.8325999999999999E-2</v>
      </c>
      <c r="F118" s="6">
        <v>2.2681E-2</v>
      </c>
      <c r="G118" s="6"/>
      <c r="H118" s="6">
        <v>9.7009999999999996E-3</v>
      </c>
    </row>
    <row r="119" spans="2:8" x14ac:dyDescent="0.2">
      <c r="B119" s="6"/>
      <c r="C119" s="6"/>
      <c r="D119" s="6">
        <v>1.0984000000000001E-2</v>
      </c>
      <c r="F119" s="6"/>
      <c r="G119" s="6"/>
      <c r="H119" s="6">
        <v>5.7095E-2</v>
      </c>
    </row>
    <row r="120" spans="2:8" x14ac:dyDescent="0.2">
      <c r="B120" s="6"/>
      <c r="C120" s="6"/>
      <c r="D120" s="6">
        <v>7.7799999999999996E-3</v>
      </c>
      <c r="F120" s="6"/>
      <c r="G120" s="6"/>
      <c r="H120" s="6">
        <v>1.3076000000000001E-2</v>
      </c>
    </row>
    <row r="121" spans="2:8" x14ac:dyDescent="0.2">
      <c r="B121" s="6"/>
      <c r="C121" s="6"/>
      <c r="D121" s="6">
        <v>9.9059999999999999E-3</v>
      </c>
      <c r="F121" s="6"/>
      <c r="G121" s="6"/>
      <c r="H121" s="6">
        <v>7.8589999999999997E-3</v>
      </c>
    </row>
    <row r="122" spans="2:8" x14ac:dyDescent="0.2">
      <c r="B122" s="6"/>
      <c r="C122" s="6"/>
      <c r="D122" s="6">
        <v>1.1021E-2</v>
      </c>
      <c r="F122" s="6"/>
      <c r="G122" s="6"/>
      <c r="H122" s="6">
        <v>4.6989999999999997E-2</v>
      </c>
    </row>
    <row r="123" spans="2:8" x14ac:dyDescent="0.2">
      <c r="B123" s="6"/>
      <c r="C123" s="6"/>
      <c r="D123" s="6">
        <v>3.4408000000000001E-2</v>
      </c>
      <c r="F123" s="6"/>
      <c r="G123" s="6"/>
      <c r="H123" s="6">
        <v>3.0851E-2</v>
      </c>
    </row>
    <row r="124" spans="2:8" x14ac:dyDescent="0.2">
      <c r="B124" s="6"/>
      <c r="C124" s="6"/>
      <c r="D124" s="6">
        <v>3.0759000000000002E-2</v>
      </c>
      <c r="F124" s="6"/>
      <c r="G124" s="6"/>
      <c r="H124" s="6">
        <v>9.1129999999999996E-3</v>
      </c>
    </row>
    <row r="125" spans="2:8" x14ac:dyDescent="0.2">
      <c r="B125" s="6"/>
      <c r="C125" s="6"/>
      <c r="D125" s="6">
        <v>9.0760000000000007E-3</v>
      </c>
      <c r="F125" s="6"/>
      <c r="G125" s="6"/>
      <c r="H125" s="6">
        <v>1.1087E-2</v>
      </c>
    </row>
    <row r="126" spans="2:8" x14ac:dyDescent="0.2">
      <c r="B126" s="6"/>
      <c r="C126" s="6"/>
      <c r="D126" s="6">
        <v>1.0694E-2</v>
      </c>
      <c r="F126" s="6"/>
      <c r="G126" s="6"/>
      <c r="H126" s="6">
        <v>9.6679999999999995E-3</v>
      </c>
    </row>
    <row r="127" spans="2:8" x14ac:dyDescent="0.2">
      <c r="B127" s="6"/>
      <c r="C127" s="6"/>
      <c r="D127" s="6">
        <v>7.7710000000000001E-3</v>
      </c>
      <c r="F127" s="6"/>
      <c r="G127" s="6"/>
      <c r="H127" s="6">
        <v>1.5989E-2</v>
      </c>
    </row>
    <row r="128" spans="2:8" x14ac:dyDescent="0.2">
      <c r="B128" s="6"/>
      <c r="C128" s="6"/>
      <c r="D128" s="6">
        <v>1.8293E-2</v>
      </c>
      <c r="F128" s="6"/>
      <c r="G128" s="6"/>
      <c r="H128" s="6">
        <v>9.6380000000000007E-3</v>
      </c>
    </row>
    <row r="129" spans="2:8" x14ac:dyDescent="0.2">
      <c r="B129" s="6"/>
      <c r="C129" s="6"/>
      <c r="D129" s="6">
        <v>1.7793E-2</v>
      </c>
      <c r="F129" s="6"/>
      <c r="G129" s="6"/>
      <c r="H129" s="6">
        <v>1.405E-2</v>
      </c>
    </row>
    <row r="130" spans="2:8" x14ac:dyDescent="0.2">
      <c r="B130" s="6"/>
      <c r="C130" s="6"/>
      <c r="D130" s="6">
        <v>1.2329E-2</v>
      </c>
      <c r="F130" s="6"/>
      <c r="G130" s="6"/>
      <c r="H130" s="6">
        <v>4.0629999999999999E-2</v>
      </c>
    </row>
    <row r="131" spans="2:8" x14ac:dyDescent="0.2">
      <c r="B131" s="6"/>
      <c r="C131" s="6"/>
      <c r="D131" s="6">
        <v>9.2929999999999992E-3</v>
      </c>
      <c r="F131" s="6"/>
      <c r="G131" s="6"/>
      <c r="H131" s="6">
        <v>9.7059999999999994E-3</v>
      </c>
    </row>
    <row r="132" spans="2:8" x14ac:dyDescent="0.2">
      <c r="B132" s="6"/>
      <c r="C132" s="6"/>
      <c r="D132" s="6">
        <v>1.1010000000000001E-2</v>
      </c>
      <c r="F132" s="6"/>
      <c r="G132" s="6"/>
      <c r="H132" s="6">
        <v>7.4549999999999998E-3</v>
      </c>
    </row>
    <row r="133" spans="2:8" x14ac:dyDescent="0.2">
      <c r="B133" s="6"/>
      <c r="C133" s="6"/>
      <c r="D133" s="6">
        <v>1.0628E-2</v>
      </c>
      <c r="F133" s="6"/>
      <c r="G133" s="6"/>
      <c r="H133" s="6">
        <v>6.1110000000000001E-3</v>
      </c>
    </row>
    <row r="134" spans="2:8" x14ac:dyDescent="0.2">
      <c r="B134" s="6"/>
      <c r="C134" s="6"/>
      <c r="D134" s="6">
        <v>1.4493000000000001E-2</v>
      </c>
      <c r="F134" s="6"/>
      <c r="G134" s="6"/>
      <c r="H134" s="6">
        <v>8.3210000000000003E-3</v>
      </c>
    </row>
    <row r="135" spans="2:8" x14ac:dyDescent="0.2">
      <c r="B135" s="6"/>
      <c r="C135" s="6"/>
      <c r="D135" s="6">
        <v>1.0000999999999999E-2</v>
      </c>
      <c r="F135" s="6"/>
      <c r="G135" s="6"/>
      <c r="H135" s="6">
        <v>8.0979999999999993E-3</v>
      </c>
    </row>
    <row r="136" spans="2:8" x14ac:dyDescent="0.2">
      <c r="B136" s="6"/>
      <c r="C136" s="6"/>
      <c r="D136" s="6">
        <v>1.1143E-2</v>
      </c>
      <c r="F136" s="6"/>
      <c r="G136" s="6"/>
      <c r="H136" s="6">
        <v>8.2140000000000008E-3</v>
      </c>
    </row>
    <row r="137" spans="2:8" x14ac:dyDescent="0.2">
      <c r="B137" s="6"/>
      <c r="C137" s="6"/>
      <c r="D137" s="6">
        <v>4.6844999999999998E-2</v>
      </c>
      <c r="F137" s="6"/>
      <c r="G137" s="6"/>
      <c r="H137" s="6">
        <v>2.2322999999999999E-2</v>
      </c>
    </row>
    <row r="138" spans="2:8" x14ac:dyDescent="0.2">
      <c r="B138" s="6"/>
      <c r="C138" s="6"/>
      <c r="D138" s="6">
        <v>7.5934000000000001E-2</v>
      </c>
      <c r="F138" s="6"/>
      <c r="G138" s="6"/>
      <c r="H138" s="6">
        <v>1.3998E-2</v>
      </c>
    </row>
    <row r="139" spans="2:8" x14ac:dyDescent="0.2">
      <c r="B139" s="6"/>
      <c r="C139" s="6"/>
      <c r="D139" s="6">
        <v>8.3571000000000006E-2</v>
      </c>
      <c r="F139" s="6"/>
      <c r="G139" s="6"/>
      <c r="H139" s="6">
        <v>8.6350000000000003E-3</v>
      </c>
    </row>
    <row r="140" spans="2:8" x14ac:dyDescent="0.2">
      <c r="B140" s="6"/>
      <c r="C140" s="6"/>
      <c r="D140" s="6">
        <v>5.5777E-2</v>
      </c>
      <c r="F140" s="6"/>
      <c r="G140" s="6"/>
      <c r="H140" s="6">
        <v>7.2709999999999997E-3</v>
      </c>
    </row>
    <row r="141" spans="2:8" x14ac:dyDescent="0.2">
      <c r="B141" s="6"/>
      <c r="C141" s="6"/>
      <c r="D141" s="6">
        <v>6.7402000000000004E-2</v>
      </c>
      <c r="F141" s="6"/>
      <c r="G141" s="6"/>
      <c r="H141" s="6">
        <v>6.2529999999999999E-3</v>
      </c>
    </row>
    <row r="142" spans="2:8" x14ac:dyDescent="0.2">
      <c r="B142" s="6"/>
      <c r="C142" s="6"/>
      <c r="D142" s="6">
        <v>9.0525999999999995E-2</v>
      </c>
      <c r="F142" s="6"/>
      <c r="G142" s="6"/>
      <c r="H142" s="6">
        <v>1.3857E-2</v>
      </c>
    </row>
    <row r="143" spans="2:8" x14ac:dyDescent="0.2">
      <c r="B143" s="6"/>
      <c r="C143" s="6"/>
      <c r="D143" s="6">
        <v>9.1520000000000004E-3</v>
      </c>
      <c r="F143" s="6"/>
      <c r="G143" s="6"/>
      <c r="H143" s="6">
        <v>1.0194E-2</v>
      </c>
    </row>
    <row r="144" spans="2:8" x14ac:dyDescent="0.2">
      <c r="B144" s="6"/>
      <c r="C144" s="6"/>
      <c r="D144" s="6">
        <v>1.1780000000000001E-2</v>
      </c>
      <c r="F144" s="6"/>
      <c r="G144" s="6"/>
      <c r="H144" s="6">
        <v>9.7389999999999994E-3</v>
      </c>
    </row>
    <row r="145" spans="2:8" x14ac:dyDescent="0.2">
      <c r="B145" s="6"/>
      <c r="C145" s="6"/>
      <c r="D145" s="6">
        <v>1.6027E-2</v>
      </c>
      <c r="F145" s="6"/>
      <c r="G145" s="6"/>
      <c r="H145" s="6">
        <v>1.0135999999999999E-2</v>
      </c>
    </row>
    <row r="146" spans="2:8" x14ac:dyDescent="0.2">
      <c r="B146" s="6"/>
      <c r="C146" s="6"/>
      <c r="D146" s="6">
        <v>1.0776000000000001E-2</v>
      </c>
      <c r="F146" s="6"/>
      <c r="G146" s="6"/>
      <c r="H146" s="6">
        <v>9.6349999999999995E-3</v>
      </c>
    </row>
    <row r="147" spans="2:8" x14ac:dyDescent="0.2">
      <c r="B147" s="6"/>
      <c r="C147" s="6"/>
      <c r="D147" s="6">
        <v>9.5890000000000003E-3</v>
      </c>
      <c r="F147" s="6"/>
      <c r="G147" s="6"/>
      <c r="H147" s="6">
        <v>9.6640000000000007E-3</v>
      </c>
    </row>
    <row r="148" spans="2:8" x14ac:dyDescent="0.2">
      <c r="B148" s="6"/>
      <c r="C148" s="6"/>
      <c r="D148" s="6">
        <v>1.7219999999999999E-2</v>
      </c>
      <c r="F148" s="6"/>
      <c r="G148" s="6"/>
      <c r="H148" s="6">
        <v>9.1210000000000006E-3</v>
      </c>
    </row>
    <row r="149" spans="2:8" x14ac:dyDescent="0.2">
      <c r="B149" s="6"/>
      <c r="C149" s="6"/>
      <c r="D149" s="6">
        <v>1.1367E-2</v>
      </c>
      <c r="F149" s="6"/>
      <c r="G149" s="6"/>
      <c r="H149" s="6">
        <v>1.1119E-2</v>
      </c>
    </row>
    <row r="150" spans="2:8" x14ac:dyDescent="0.2">
      <c r="B150" s="6"/>
      <c r="C150" s="6"/>
      <c r="D150" s="6">
        <v>1.0133E-2</v>
      </c>
      <c r="F150" s="6"/>
      <c r="G150" s="6"/>
      <c r="H150" s="6">
        <v>1.1067E-2</v>
      </c>
    </row>
    <row r="151" spans="2:8" x14ac:dyDescent="0.2">
      <c r="B151" s="6"/>
      <c r="C151" s="6"/>
      <c r="D151" s="6">
        <v>7.8399999999999997E-3</v>
      </c>
      <c r="F151" s="6"/>
      <c r="G151" s="6"/>
      <c r="H151" s="6">
        <v>1.2197E-2</v>
      </c>
    </row>
    <row r="152" spans="2:8" x14ac:dyDescent="0.2">
      <c r="B152" s="6"/>
      <c r="C152" s="6"/>
      <c r="D152" s="6">
        <v>2.2953000000000001E-2</v>
      </c>
      <c r="F152" s="6"/>
      <c r="G152" s="6"/>
      <c r="H152" s="6">
        <v>1.1917000000000001E-2</v>
      </c>
    </row>
    <row r="153" spans="2:8" x14ac:dyDescent="0.2">
      <c r="B153" s="6"/>
      <c r="C153" s="6"/>
      <c r="D153" s="6">
        <v>1.1442000000000001E-2</v>
      </c>
      <c r="F153" s="6"/>
      <c r="G153" s="6"/>
      <c r="H153" s="6">
        <v>4.3695999999999999E-2</v>
      </c>
    </row>
    <row r="154" spans="2:8" x14ac:dyDescent="0.2">
      <c r="B154" s="6"/>
      <c r="C154" s="6"/>
      <c r="D154" s="6">
        <v>9.0469999999999995E-3</v>
      </c>
      <c r="F154" s="6"/>
      <c r="G154" s="6"/>
      <c r="H154" s="6">
        <v>1.0796999999999999E-2</v>
      </c>
    </row>
    <row r="155" spans="2:8" x14ac:dyDescent="0.2">
      <c r="B155" s="6"/>
      <c r="C155" s="6"/>
      <c r="D155" s="6">
        <v>1.1769999999999999E-2</v>
      </c>
      <c r="F155" s="6"/>
      <c r="G155" s="6"/>
      <c r="H155" s="6">
        <v>2.7525000000000001E-2</v>
      </c>
    </row>
    <row r="156" spans="2:8" x14ac:dyDescent="0.2">
      <c r="B156" s="6"/>
      <c r="C156" s="6"/>
      <c r="D156" s="6">
        <v>1.4605E-2</v>
      </c>
      <c r="F156" s="6"/>
      <c r="G156" s="6"/>
      <c r="H156" s="6">
        <v>9.7020000000000006E-3</v>
      </c>
    </row>
    <row r="157" spans="2:8" x14ac:dyDescent="0.2">
      <c r="B157" s="6"/>
      <c r="C157" s="6"/>
      <c r="D157" s="6">
        <v>9.8820000000000002E-3</v>
      </c>
      <c r="F157" s="6"/>
      <c r="G157" s="6"/>
      <c r="H157" s="6">
        <v>9.9080000000000001E-3</v>
      </c>
    </row>
    <row r="158" spans="2:8" x14ac:dyDescent="0.2">
      <c r="B158" s="6"/>
      <c r="C158" s="6"/>
      <c r="D158" s="6">
        <v>1.4432E-2</v>
      </c>
      <c r="F158" s="6"/>
      <c r="G158" s="6"/>
      <c r="H158" s="6">
        <v>1.1157E-2</v>
      </c>
    </row>
    <row r="159" spans="2:8" x14ac:dyDescent="0.2">
      <c r="B159" s="6"/>
      <c r="C159" s="6"/>
      <c r="D159" s="6">
        <v>9.6460000000000001E-3</v>
      </c>
      <c r="F159" s="6"/>
      <c r="G159" s="6"/>
      <c r="H159" s="6">
        <v>9.6589999999999992E-3</v>
      </c>
    </row>
    <row r="160" spans="2:8" x14ac:dyDescent="0.2">
      <c r="B160" s="6"/>
      <c r="C160" s="6"/>
      <c r="D160" s="6">
        <v>8.7779999999999993E-3</v>
      </c>
      <c r="F160" s="6"/>
      <c r="G160" s="6"/>
      <c r="H160" s="6">
        <v>3.0311999999999999E-2</v>
      </c>
    </row>
    <row r="161" spans="2:14" x14ac:dyDescent="0.2">
      <c r="B161" s="6"/>
      <c r="C161" s="6"/>
      <c r="D161" s="6">
        <v>7.7780000000000002E-3</v>
      </c>
      <c r="F161" s="6"/>
      <c r="G161" s="6"/>
      <c r="H161" s="6">
        <v>8.208E-3</v>
      </c>
    </row>
    <row r="162" spans="2:14" x14ac:dyDescent="0.2">
      <c r="B162" s="6"/>
      <c r="C162" s="6"/>
      <c r="D162" s="6">
        <v>3.7719999999999997E-2</v>
      </c>
      <c r="F162" s="6"/>
      <c r="G162" s="6"/>
      <c r="H162" s="6">
        <v>1.0201999999999999E-2</v>
      </c>
    </row>
    <row r="163" spans="2:14" x14ac:dyDescent="0.2">
      <c r="B163" s="6"/>
      <c r="C163" s="6"/>
      <c r="D163" s="6">
        <v>9.3159999999999996E-3</v>
      </c>
      <c r="F163" s="6"/>
      <c r="G163" s="6"/>
      <c r="H163" s="6">
        <v>1.1544E-2</v>
      </c>
    </row>
    <row r="164" spans="2:14" x14ac:dyDescent="0.2">
      <c r="B164" s="6"/>
      <c r="C164" s="6"/>
      <c r="D164" s="6">
        <v>1.1006999999999999E-2</v>
      </c>
      <c r="F164" s="6"/>
      <c r="G164" s="6"/>
      <c r="H164" s="6">
        <v>7.8150000000000008E-3</v>
      </c>
    </row>
    <row r="165" spans="2:14" x14ac:dyDescent="0.2">
      <c r="B165" s="6"/>
      <c r="C165" s="6"/>
      <c r="D165" s="6">
        <v>1.0881999999999999E-2</v>
      </c>
      <c r="F165" s="6"/>
      <c r="G165" s="6"/>
      <c r="H165" s="6">
        <v>1.0238000000000001E-2</v>
      </c>
    </row>
    <row r="166" spans="2:14" x14ac:dyDescent="0.2">
      <c r="B166" s="6"/>
      <c r="C166" s="6"/>
      <c r="D166" s="6">
        <v>2.1892000000000002E-2</v>
      </c>
      <c r="F166" s="6"/>
      <c r="G166" s="6"/>
      <c r="H166" s="6">
        <v>1.1062000000000001E-2</v>
      </c>
    </row>
    <row r="167" spans="2:14" x14ac:dyDescent="0.2">
      <c r="B167" s="6"/>
      <c r="C167" s="6"/>
      <c r="D167" s="6">
        <v>2.1361999999999999E-2</v>
      </c>
      <c r="F167" s="6"/>
      <c r="G167" s="6"/>
      <c r="H167" s="6">
        <v>8.2299999999999995E-3</v>
      </c>
    </row>
    <row r="168" spans="2:14" x14ac:dyDescent="0.2">
      <c r="B168" s="6"/>
      <c r="C168" s="6"/>
      <c r="D168" s="6">
        <v>2.6002000000000001E-2</v>
      </c>
      <c r="F168" s="6"/>
      <c r="G168" s="6"/>
      <c r="H168" s="6">
        <v>9.0519999999999993E-3</v>
      </c>
    </row>
    <row r="169" spans="2:14" x14ac:dyDescent="0.2">
      <c r="B169" s="6"/>
      <c r="C169" s="6"/>
      <c r="D169" s="6">
        <v>1.9449999999999999E-2</v>
      </c>
      <c r="F169" s="6"/>
      <c r="G169" s="6"/>
      <c r="H169" s="6">
        <v>1.9994000000000001E-2</v>
      </c>
    </row>
    <row r="170" spans="2:14" x14ac:dyDescent="0.2">
      <c r="B170" s="6"/>
      <c r="C170" s="6"/>
      <c r="D170" s="6">
        <v>1.1665E-2</v>
      </c>
      <c r="F170" s="6"/>
      <c r="G170" s="6"/>
      <c r="H170" s="6">
        <v>7.4980000000000003E-3</v>
      </c>
    </row>
    <row r="171" spans="2:14" x14ac:dyDescent="0.2">
      <c r="B171" s="6"/>
      <c r="C171" s="6"/>
      <c r="D171" s="6">
        <v>3.9978E-2</v>
      </c>
      <c r="F171" s="6"/>
      <c r="G171" s="6"/>
      <c r="H171" s="6">
        <v>1.0862E-2</v>
      </c>
    </row>
    <row r="172" spans="2:14" x14ac:dyDescent="0.2">
      <c r="B172" s="6"/>
      <c r="C172" s="6"/>
      <c r="D172" s="6">
        <v>7.6762999999999998E-2</v>
      </c>
      <c r="F172" s="6"/>
      <c r="G172" s="6"/>
      <c r="H172" s="6">
        <v>1.1606E-2</v>
      </c>
    </row>
    <row r="173" spans="2:14" x14ac:dyDescent="0.2">
      <c r="B173" s="6"/>
      <c r="C173" s="6"/>
      <c r="D173" s="6">
        <v>7.1981000000000003E-2</v>
      </c>
      <c r="F173" s="6"/>
      <c r="G173" s="6"/>
      <c r="H173" s="6">
        <v>9.6270000000000001E-3</v>
      </c>
      <c r="N173" s="4"/>
    </row>
    <row r="174" spans="2:14" x14ac:dyDescent="0.2">
      <c r="B174" s="6"/>
      <c r="C174" s="6"/>
      <c r="D174" s="6">
        <v>9.7889000000000004E-2</v>
      </c>
      <c r="F174" s="6"/>
      <c r="G174" s="6"/>
      <c r="H174" s="6">
        <v>9.639E-3</v>
      </c>
      <c r="N174" s="4"/>
    </row>
    <row r="175" spans="2:14" x14ac:dyDescent="0.2">
      <c r="B175" s="6"/>
      <c r="C175" s="6"/>
      <c r="D175" s="6">
        <v>4.0500000000000001E-2</v>
      </c>
      <c r="F175" s="6"/>
      <c r="G175" s="6"/>
      <c r="H175" s="6">
        <v>9.0849999999999993E-3</v>
      </c>
      <c r="N175" s="4"/>
    </row>
    <row r="176" spans="2:14" x14ac:dyDescent="0.2">
      <c r="B176" s="6"/>
      <c r="C176" s="6"/>
      <c r="D176" s="6">
        <v>2.1992999999999999E-2</v>
      </c>
      <c r="F176" s="6"/>
      <c r="G176" s="6"/>
      <c r="H176" s="6">
        <v>1.5997000000000001E-2</v>
      </c>
      <c r="N176" s="4"/>
    </row>
    <row r="177" spans="2:14" x14ac:dyDescent="0.2">
      <c r="B177" s="6"/>
      <c r="C177" s="6"/>
      <c r="D177" s="6">
        <v>9.8659999999999998E-3</v>
      </c>
      <c r="F177" s="6"/>
      <c r="G177" s="6"/>
      <c r="H177" s="6">
        <v>7.8740000000000008E-3</v>
      </c>
      <c r="N177" s="4"/>
    </row>
    <row r="178" spans="2:14" x14ac:dyDescent="0.2">
      <c r="B178" s="6"/>
      <c r="C178" s="6"/>
      <c r="D178" s="6">
        <v>4.1604000000000002E-2</v>
      </c>
      <c r="F178" s="6"/>
      <c r="G178" s="6"/>
      <c r="H178" s="6">
        <v>8.0979999999999993E-3</v>
      </c>
      <c r="N178" s="4"/>
    </row>
    <row r="179" spans="2:14" x14ac:dyDescent="0.2">
      <c r="B179" s="6"/>
      <c r="C179" s="6"/>
      <c r="D179" s="6">
        <v>4.0147000000000002E-2</v>
      </c>
      <c r="F179" s="6"/>
      <c r="G179" s="6"/>
      <c r="H179" s="6">
        <v>9.9030000000000003E-3</v>
      </c>
      <c r="N179" s="4"/>
    </row>
    <row r="180" spans="2:14" x14ac:dyDescent="0.2">
      <c r="B180" s="6"/>
      <c r="C180" s="6"/>
      <c r="D180" s="6">
        <v>3.0151000000000001E-2</v>
      </c>
      <c r="F180" s="6"/>
      <c r="G180" s="6"/>
      <c r="H180" s="6">
        <v>1.1854999999999999E-2</v>
      </c>
      <c r="N180" s="4"/>
    </row>
    <row r="181" spans="2:14" x14ac:dyDescent="0.2">
      <c r="B181" s="6"/>
      <c r="C181" s="6"/>
      <c r="D181" s="6">
        <v>1.8932000000000001E-2</v>
      </c>
      <c r="F181" s="6"/>
      <c r="G181" s="6"/>
      <c r="H181" s="6">
        <v>1.0253E-2</v>
      </c>
      <c r="N181" s="4"/>
    </row>
    <row r="182" spans="2:14" x14ac:dyDescent="0.2">
      <c r="B182" s="6"/>
      <c r="C182" s="6"/>
      <c r="D182" s="6">
        <v>2.5375999999999999E-2</v>
      </c>
      <c r="F182" s="6"/>
      <c r="G182" s="6"/>
      <c r="H182" s="6">
        <v>9.2460000000000007E-3</v>
      </c>
      <c r="N182" s="4"/>
    </row>
    <row r="183" spans="2:14" x14ac:dyDescent="0.2">
      <c r="B183" s="7"/>
      <c r="C183" s="7"/>
      <c r="D183" s="7">
        <v>3.1842000000000002E-2</v>
      </c>
      <c r="F183" s="7"/>
      <c r="G183" s="7"/>
      <c r="H183" s="7">
        <v>8.2520000000000007E-3</v>
      </c>
      <c r="N183" s="4"/>
    </row>
    <row r="184" spans="2:14" x14ac:dyDescent="0.2">
      <c r="B184" s="3">
        <f>AVERAGE(B7:B118)</f>
        <v>2.8102848214285714E-2</v>
      </c>
      <c r="C184" s="3">
        <f>AVERAGE(C7:C111)</f>
        <v>3.0489800000000015E-2</v>
      </c>
      <c r="D184" s="3">
        <f>AVERAGE(D7:D183)</f>
        <v>2.9907073446327693E-2</v>
      </c>
      <c r="F184" s="3">
        <f>AVERAGE(F7:F118)</f>
        <v>2.5244017857142854E-2</v>
      </c>
      <c r="G184" s="3">
        <f>AVERAGE(G7:G111)</f>
        <v>1.5428999999999995E-2</v>
      </c>
      <c r="H184" s="3">
        <f>AVERAGE(H7:H183)</f>
        <v>1.3659333333333338E-2</v>
      </c>
      <c r="N184" s="4"/>
    </row>
    <row r="185" spans="2:14" x14ac:dyDescent="0.2">
      <c r="B185" s="3">
        <f>COUNT(B7:B118)</f>
        <v>112</v>
      </c>
      <c r="C185" s="3">
        <f>COUNT(C7:C111)</f>
        <v>105</v>
      </c>
      <c r="D185" s="3">
        <f>COUNT(D7:D183)</f>
        <v>177</v>
      </c>
      <c r="F185" s="3">
        <f>COUNT(F7:F118)</f>
        <v>112</v>
      </c>
      <c r="G185" s="3">
        <f>COUNT(G7:G111)</f>
        <v>105</v>
      </c>
      <c r="H185" s="3">
        <f>COUNT(H7:H183)</f>
        <v>177</v>
      </c>
      <c r="N185" s="4"/>
    </row>
    <row r="186" spans="2:14" x14ac:dyDescent="0.2">
      <c r="N186" s="4"/>
    </row>
    <row r="187" spans="2:14" x14ac:dyDescent="0.2">
      <c r="N187" s="4"/>
    </row>
    <row r="188" spans="2:14" x14ac:dyDescent="0.2">
      <c r="N188" s="4"/>
    </row>
    <row r="189" spans="2:14" x14ac:dyDescent="0.2">
      <c r="N189" s="4"/>
    </row>
    <row r="190" spans="2:14" x14ac:dyDescent="0.2">
      <c r="N190" s="4"/>
    </row>
    <row r="191" spans="2:14" x14ac:dyDescent="0.2">
      <c r="N191" s="4"/>
    </row>
    <row r="192" spans="2:14" x14ac:dyDescent="0.2">
      <c r="N192" s="4"/>
    </row>
    <row r="193" spans="14:14" x14ac:dyDescent="0.2">
      <c r="N193" s="4"/>
    </row>
    <row r="194" spans="14:14" x14ac:dyDescent="0.2">
      <c r="N194" s="4"/>
    </row>
    <row r="195" spans="14:14" x14ac:dyDescent="0.2">
      <c r="N195" s="4"/>
    </row>
    <row r="196" spans="14:14" x14ac:dyDescent="0.2">
      <c r="N196" s="4"/>
    </row>
    <row r="197" spans="14:14" x14ac:dyDescent="0.2">
      <c r="N197" s="4"/>
    </row>
    <row r="198" spans="14:14" x14ac:dyDescent="0.2">
      <c r="N198" s="4"/>
    </row>
    <row r="199" spans="14:14" x14ac:dyDescent="0.2">
      <c r="N199" s="4"/>
    </row>
    <row r="200" spans="14:14" x14ac:dyDescent="0.2">
      <c r="N200" s="4"/>
    </row>
    <row r="201" spans="14:14" x14ac:dyDescent="0.2">
      <c r="N201" s="4"/>
    </row>
    <row r="202" spans="14:14" x14ac:dyDescent="0.2">
      <c r="N202" s="4"/>
    </row>
    <row r="203" spans="14:14" x14ac:dyDescent="0.2">
      <c r="N203" s="4"/>
    </row>
    <row r="204" spans="14:14" x14ac:dyDescent="0.2">
      <c r="N204" s="4"/>
    </row>
    <row r="205" spans="14:14" x14ac:dyDescent="0.2">
      <c r="N205" s="4"/>
    </row>
    <row r="206" spans="14:14" x14ac:dyDescent="0.2">
      <c r="N206" s="4"/>
    </row>
    <row r="207" spans="14:14" x14ac:dyDescent="0.2">
      <c r="N207" s="4"/>
    </row>
    <row r="208" spans="14:14" x14ac:dyDescent="0.2">
      <c r="N208" s="4"/>
    </row>
    <row r="209" spans="14:14" x14ac:dyDescent="0.2">
      <c r="N209" s="4"/>
    </row>
    <row r="210" spans="14:14" x14ac:dyDescent="0.2">
      <c r="N210" s="4"/>
    </row>
    <row r="211" spans="14:14" x14ac:dyDescent="0.2">
      <c r="N211" s="4"/>
    </row>
    <row r="212" spans="14:14" x14ac:dyDescent="0.2">
      <c r="N212" s="4"/>
    </row>
    <row r="213" spans="14:14" x14ac:dyDescent="0.2">
      <c r="N213" s="4"/>
    </row>
    <row r="214" spans="14:14" x14ac:dyDescent="0.2">
      <c r="N214" s="4"/>
    </row>
    <row r="215" spans="14:14" x14ac:dyDescent="0.2">
      <c r="N215" s="4"/>
    </row>
    <row r="216" spans="14:14" x14ac:dyDescent="0.2">
      <c r="N216" s="4"/>
    </row>
    <row r="217" spans="14:14" x14ac:dyDescent="0.2">
      <c r="N217" s="4"/>
    </row>
    <row r="218" spans="14:14" x14ac:dyDescent="0.2">
      <c r="N218" s="4"/>
    </row>
    <row r="219" spans="14:14" x14ac:dyDescent="0.2">
      <c r="N219" s="4"/>
    </row>
    <row r="220" spans="14:14" x14ac:dyDescent="0.2">
      <c r="N220" s="4"/>
    </row>
    <row r="221" spans="14:14" x14ac:dyDescent="0.2">
      <c r="N221" s="4"/>
    </row>
    <row r="222" spans="14:14" x14ac:dyDescent="0.2">
      <c r="N222" s="4"/>
    </row>
    <row r="223" spans="14:14" x14ac:dyDescent="0.2">
      <c r="N223" s="4"/>
    </row>
    <row r="224" spans="14:14" x14ac:dyDescent="0.2">
      <c r="N224" s="4"/>
    </row>
    <row r="225" spans="14:14" x14ac:dyDescent="0.2">
      <c r="N225" s="4"/>
    </row>
    <row r="226" spans="14:14" x14ac:dyDescent="0.2">
      <c r="N226" s="4"/>
    </row>
    <row r="227" spans="14:14" x14ac:dyDescent="0.2">
      <c r="N227" s="4"/>
    </row>
    <row r="228" spans="14:14" x14ac:dyDescent="0.2">
      <c r="N228" s="4"/>
    </row>
    <row r="229" spans="14:14" x14ac:dyDescent="0.2">
      <c r="N229" s="4"/>
    </row>
    <row r="230" spans="14:14" x14ac:dyDescent="0.2">
      <c r="N230" s="4"/>
    </row>
    <row r="231" spans="14:14" x14ac:dyDescent="0.2">
      <c r="N231" s="4"/>
    </row>
    <row r="232" spans="14:14" x14ac:dyDescent="0.2">
      <c r="N232" s="4"/>
    </row>
    <row r="233" spans="14:14" x14ac:dyDescent="0.2">
      <c r="N233" s="4"/>
    </row>
    <row r="234" spans="14:14" x14ac:dyDescent="0.2">
      <c r="N234" s="4"/>
    </row>
    <row r="235" spans="14:14" x14ac:dyDescent="0.2">
      <c r="N235" s="4"/>
    </row>
    <row r="236" spans="14:14" x14ac:dyDescent="0.2">
      <c r="N236" s="4"/>
    </row>
    <row r="237" spans="14:14" x14ac:dyDescent="0.2">
      <c r="N237" s="4"/>
    </row>
    <row r="238" spans="14:14" x14ac:dyDescent="0.2">
      <c r="N238" s="4"/>
    </row>
    <row r="239" spans="14:14" x14ac:dyDescent="0.2">
      <c r="N239" s="4"/>
    </row>
    <row r="240" spans="14:14" x14ac:dyDescent="0.2">
      <c r="N240" s="4"/>
    </row>
    <row r="241" spans="14:14" x14ac:dyDescent="0.2">
      <c r="N241" s="4"/>
    </row>
    <row r="242" spans="14:14" x14ac:dyDescent="0.2">
      <c r="N242" s="4"/>
    </row>
    <row r="243" spans="14:14" x14ac:dyDescent="0.2">
      <c r="N243" s="4"/>
    </row>
    <row r="244" spans="14:14" x14ac:dyDescent="0.2">
      <c r="N244" s="4"/>
    </row>
    <row r="245" spans="14:14" x14ac:dyDescent="0.2">
      <c r="N245" s="4"/>
    </row>
    <row r="246" spans="14:14" x14ac:dyDescent="0.2">
      <c r="N246" s="4"/>
    </row>
    <row r="247" spans="14:14" x14ac:dyDescent="0.2">
      <c r="N247" s="4"/>
    </row>
    <row r="248" spans="14:14" x14ac:dyDescent="0.2">
      <c r="N248" s="4"/>
    </row>
    <row r="249" spans="14:14" x14ac:dyDescent="0.2">
      <c r="N249" s="4"/>
    </row>
    <row r="250" spans="14:14" x14ac:dyDescent="0.2">
      <c r="N250" s="4"/>
    </row>
    <row r="251" spans="14:14" x14ac:dyDescent="0.2">
      <c r="N251" s="4"/>
    </row>
    <row r="252" spans="14:14" x14ac:dyDescent="0.2">
      <c r="N252" s="4"/>
    </row>
    <row r="253" spans="14:14" x14ac:dyDescent="0.2">
      <c r="N253" s="4"/>
    </row>
    <row r="254" spans="14:14" x14ac:dyDescent="0.2">
      <c r="N254" s="4"/>
    </row>
    <row r="255" spans="14:14" x14ac:dyDescent="0.2">
      <c r="N255" s="4"/>
    </row>
    <row r="256" spans="14:14" x14ac:dyDescent="0.2">
      <c r="N256" s="4"/>
    </row>
  </sheetData>
  <mergeCells count="3">
    <mergeCell ref="B4:D5"/>
    <mergeCell ref="F4:H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 Analysis</vt:lpstr>
      <vt:lpstr>Speed Up Analysis</vt:lpstr>
      <vt:lpstr>OpenMP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2019-10-17T12:14:38Z</dcterms:modified>
</cp:coreProperties>
</file>