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drawings/drawing11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LOCAL_WSPACE\teradyne\TBCO\"/>
    </mc:Choice>
  </mc:AlternateContent>
  <bookViews>
    <workbookView xWindow="21600" yWindow="0" windowWidth="7665" windowHeight="3195" tabRatio="874" firstSheet="21" activeTab="32"/>
  </bookViews>
  <sheets>
    <sheet name="-Home-" sheetId="636" r:id="rId1"/>
    <sheet name="ChangeLog" sheetId="391" r:id="rId2"/>
    <sheet name="Pinmap_x4" sheetId="536" r:id="rId3"/>
    <sheet name="Chanmap_x4" sheetId="537" r:id="rId4"/>
    <sheet name="Global Specs" sheetId="9" r:id="rId5"/>
    <sheet name="DC_Specs" sheetId="365" r:id="rId6"/>
    <sheet name="Levels" sheetId="433" r:id="rId7"/>
    <sheet name="Levels_Scan" sheetId="434" r:id="rId8"/>
    <sheet name="Levels_Scan_debug" sheetId="597" r:id="rId9"/>
    <sheet name="Level_Conti_Isink" sheetId="435" r:id="rId10"/>
    <sheet name="Level_Conti_Isrc" sheetId="436" r:id="rId11"/>
    <sheet name="TSB_SRAM_100ns" sheetId="540" r:id="rId12"/>
    <sheet name="TSB_SRAM_20ns" sheetId="541" r:id="rId13"/>
    <sheet name="TSB_GPIO_Slow" sheetId="543" r:id="rId14"/>
    <sheet name="TSB_ChainTest_80ns" sheetId="544" r:id="rId15"/>
    <sheet name="TSB_ChainTest_50ns" sheetId="545" r:id="rId16"/>
    <sheet name="TSB_COMP2_trans" sheetId="585" r:id="rId17"/>
    <sheet name="TSB_COMP2_stuck" sheetId="584" r:id="rId18"/>
    <sheet name="TSB_COMP_trans" sheetId="583" r:id="rId19"/>
    <sheet name="TSB_COMP_stuck" sheetId="582" r:id="rId20"/>
    <sheet name="TSB_Bscan" sheetId="581" r:id="rId21"/>
    <sheet name="TSB_Scan" sheetId="547" r:id="rId22"/>
    <sheet name="TSB_pat_basic" sheetId="604" r:id="rId23"/>
    <sheet name="TSB_Conti" sheetId="412" r:id="rId24"/>
    <sheet name="TSB_20ns" sheetId="549" r:id="rId25"/>
    <sheet name="TSB" sheetId="579" r:id="rId26"/>
    <sheet name="DevChar" sheetId="122" r:id="rId27"/>
    <sheet name="Test Instances" sheetId="216" r:id="rId28"/>
    <sheet name="Flow Table" sheetId="217" r:id="rId29"/>
    <sheet name="Job List" sheetId="97" r:id="rId30"/>
    <sheet name="VbiasDAC_Isweep" sheetId="520" r:id="rId31"/>
    <sheet name="RTD Data" sheetId="625" r:id="rId32"/>
    <sheet name="VbiasDAC_OC" sheetId="387" r:id="rId33"/>
  </sheets>
  <externalReferences>
    <externalReference r:id="rId34"/>
  </externalReferences>
  <definedNames>
    <definedName name="_avee">DC_Specs!$C$11</definedName>
    <definedName name="_cont_Isink">DC_Specs!$C$47</definedName>
    <definedName name="_cont_Isrc">DC_Specs!$C$44</definedName>
    <definedName name="_xlnm._FilterDatabase" localSheetId="9" hidden="1">Level_Conti_Isink!$D$3:$D$4</definedName>
    <definedName name="_xlnm._FilterDatabase" localSheetId="10" hidden="1">Level_Conti_Isrc!$D$3:$D$4</definedName>
    <definedName name="_xlnm._FilterDatabase" localSheetId="6" hidden="1">Levels!$D$3:$D$4</definedName>
    <definedName name="_xlnm._FilterDatabase" localSheetId="7" hidden="1">Levels_Scan!$D$3:$D$4</definedName>
    <definedName name="_xlnm._FilterDatabase" localSheetId="8" hidden="1">Levels_Scan_debug!$D$3:$D$4</definedName>
    <definedName name="_xlnm._FilterDatabase" localSheetId="2" hidden="1">Pinmap_x4!$C$3:$C$4</definedName>
    <definedName name="_xlnm._FilterDatabase" localSheetId="27" hidden="1">'Test Instances'!$D$4:$D$5</definedName>
    <definedName name="_xlnm._FilterDatabase" localSheetId="25" hidden="1">TSB!$E$6:$E$7</definedName>
    <definedName name="_xlnm._FilterDatabase" localSheetId="24" hidden="1">TSB_20ns!$E$6:$E$7</definedName>
    <definedName name="_xlnm._FilterDatabase" localSheetId="20" hidden="1">TSB_Bscan!$E$6:$E$7</definedName>
    <definedName name="_xlnm._FilterDatabase" localSheetId="15" hidden="1">TSB_ChainTest_50ns!$E$6:$E$7</definedName>
    <definedName name="_xlnm._FilterDatabase" localSheetId="14" hidden="1">TSB_ChainTest_80ns!$E$6:$E$7</definedName>
    <definedName name="_xlnm._FilterDatabase" localSheetId="19" hidden="1">TSB_COMP_stuck!$E$6:$E$7</definedName>
    <definedName name="_xlnm._FilterDatabase" localSheetId="18" hidden="1">TSB_COMP_trans!$E$6:$E$7</definedName>
    <definedName name="_xlnm._FilterDatabase" localSheetId="17" hidden="1">TSB_COMP2_stuck!$E$6:$E$7</definedName>
    <definedName name="_xlnm._FilterDatabase" localSheetId="16" hidden="1">TSB_COMP2_trans!$E$6:$E$7</definedName>
    <definedName name="_xlnm._FilterDatabase" localSheetId="23" hidden="1">TSB_Conti!$E$6:$E$7</definedName>
    <definedName name="_xlnm._FilterDatabase" localSheetId="13" hidden="1">TSB_GPIO_Slow!$E$6:$E$7</definedName>
    <definedName name="_xlnm._FilterDatabase" localSheetId="22" hidden="1">TSB_pat_basic!$E$6:$E$7</definedName>
    <definedName name="_xlnm._FilterDatabase" localSheetId="21" hidden="1">TSB_Scan!$E$6:$E$7</definedName>
    <definedName name="_xlnm._FilterDatabase" localSheetId="11" hidden="1">TSB_SRAM_100ns!$E$6:$E$7</definedName>
    <definedName name="_xlnm._FilterDatabase" localSheetId="12" hidden="1">TSB_SRAM_20ns!$E$6:$E$7</definedName>
    <definedName name="_gpio_Isink">DC_Specs!$C$62</definedName>
    <definedName name="_gpio_Isrc">DC_Specs!$C$59</definedName>
    <definedName name="_Iph_default">'Global Specs'!$D$7</definedName>
    <definedName name="_irq_voh">DC_Specs!$C$77</definedName>
    <definedName name="_irq_vol">DC_Specs!$C$80</definedName>
    <definedName name="_irqout_Isink">DC_Specs!$C$68</definedName>
    <definedName name="_irqout_Isrc">DC_Specs!$C$65</definedName>
    <definedName name="_miso_Isink">DC_Specs!$C$56</definedName>
    <definedName name="_miso_Isrc">DC_Specs!$C$53</definedName>
    <definedName name="_tdo_Isink">DC_Specs!$C$74</definedName>
    <definedName name="_tdo_Isrc">DC_Specs!$C$71</definedName>
    <definedName name="_Tpr_default">'Global Specs'!$D$8</definedName>
    <definedName name="_Vch_default">'Global Specs'!$D$5</definedName>
    <definedName name="_Vcl_default">'Global Specs'!$D$4</definedName>
    <definedName name="_vdd10">DC_Specs!$C$5</definedName>
    <definedName name="_vdd18io">DC_Specs!$C$8</definedName>
    <definedName name="_Vfph_default">'Global Specs'!$D$9</definedName>
    <definedName name="_vih_input">DC_Specs!$C$14</definedName>
    <definedName name="_vih_pif">DC_Specs!$C$38</definedName>
    <definedName name="_vil_input">DC_Specs!$C$17</definedName>
    <definedName name="_vil_pif">DC_Specs!$C$41</definedName>
    <definedName name="_voh_miso">DC_Specs!$C$20</definedName>
    <definedName name="_voh_other">DC_Specs!$C$32</definedName>
    <definedName name="_voh_tdo">DC_Specs!$C$26</definedName>
    <definedName name="_vol_miso">DC_Specs!$C$23</definedName>
    <definedName name="_vol_other">DC_Specs!$C$35</definedName>
    <definedName name="_vol_tdo">DC_Specs!$C$29</definedName>
    <definedName name="_Vph_default">'Global Specs'!$D$6</definedName>
    <definedName name="_vqps">DC_Specs!$C$50</definedName>
    <definedName name="A">1</definedName>
    <definedName name="Db">1</definedName>
    <definedName name="FlowTableOpcodes" hidden="1">[1]Sheet1!$B$1:$B$26</definedName>
    <definedName name="GHz">1000000000</definedName>
    <definedName name="Hz">1</definedName>
    <definedName name="KHz">1000</definedName>
    <definedName name="mA">0.001</definedName>
    <definedName name="MHz">1000000</definedName>
    <definedName name="ms">0.001</definedName>
    <definedName name="mV">0.001</definedName>
    <definedName name="nA">0.000000001</definedName>
    <definedName name="ns">0.000000001</definedName>
    <definedName name="nV">0.000000001</definedName>
    <definedName name="pA">0.000000000001</definedName>
    <definedName name="ps">0.000000000001</definedName>
    <definedName name="s">1</definedName>
    <definedName name="uA">0.000001</definedName>
    <definedName name="us">0.000001</definedName>
    <definedName name="uV">0.000001</definedName>
    <definedName name="V">1</definedName>
  </definedNames>
  <calcPr calcId="162913"/>
</workbook>
</file>

<file path=xl/calcChain.xml><?xml version="1.0" encoding="utf-8"?>
<calcChain xmlns="http://schemas.openxmlformats.org/spreadsheetml/2006/main">
  <c r="C14" i="365" l="1"/>
  <c r="C15" i="365"/>
  <c r="C16" i="365"/>
  <c r="C19" i="365"/>
  <c r="C23" i="365"/>
  <c r="C25" i="365"/>
  <c r="C40" i="365"/>
  <c r="C56" i="365"/>
  <c r="C57" i="365"/>
  <c r="C58" i="365"/>
  <c r="C62" i="365"/>
  <c r="C63" i="365"/>
  <c r="C64" i="365"/>
  <c r="C68" i="365"/>
  <c r="C69" i="365"/>
  <c r="C70" i="365"/>
  <c r="C77" i="365"/>
  <c r="C78" i="365"/>
  <c r="C79" i="365"/>
  <c r="C80" i="365"/>
  <c r="C81" i="365"/>
  <c r="C82" i="365"/>
  <c r="D327" i="625"/>
  <c r="D325" i="625"/>
  <c r="D324" i="625"/>
  <c r="D328" i="625" s="1"/>
  <c r="C327" i="625"/>
  <c r="C325" i="625"/>
  <c r="C324" i="625"/>
  <c r="C328" i="625" s="1"/>
  <c r="C326" i="625" l="1"/>
  <c r="D326" i="625"/>
  <c r="AK15" i="216"/>
  <c r="AJ15" i="216"/>
  <c r="AH15" i="216"/>
  <c r="AG15" i="216"/>
  <c r="AF15" i="216"/>
  <c r="AE15" i="216"/>
  <c r="AD15" i="216"/>
  <c r="AC15" i="216"/>
  <c r="AB15" i="216"/>
  <c r="AA15" i="216"/>
  <c r="Z15" i="216"/>
  <c r="Y15" i="216"/>
  <c r="X15" i="216"/>
  <c r="W15" i="216"/>
  <c r="V15" i="216"/>
  <c r="U15" i="216"/>
  <c r="T15" i="216"/>
  <c r="S15" i="216"/>
  <c r="AK14" i="216"/>
  <c r="AJ14" i="216"/>
  <c r="AH14" i="216"/>
  <c r="AG14" i="216"/>
  <c r="AF14" i="216"/>
  <c r="AE14" i="216"/>
  <c r="AD14" i="216"/>
  <c r="AC14" i="216"/>
  <c r="AB14" i="216"/>
  <c r="AA14" i="216"/>
  <c r="Z14" i="216"/>
  <c r="Y14" i="216"/>
  <c r="X14" i="216"/>
  <c r="W14" i="216"/>
  <c r="V14" i="216"/>
  <c r="U14" i="216"/>
  <c r="T14" i="216"/>
  <c r="S14" i="216"/>
  <c r="Q41" i="216" l="1"/>
  <c r="Q40" i="216"/>
  <c r="R39" i="216" l="1"/>
  <c r="U18" i="216" l="1"/>
  <c r="T18" i="216"/>
  <c r="S18" i="216"/>
  <c r="R18" i="216"/>
  <c r="Q18" i="216"/>
  <c r="P18" i="216"/>
  <c r="O18" i="216"/>
  <c r="AK17" i="216" l="1"/>
  <c r="AJ17" i="216"/>
  <c r="AH17" i="216"/>
  <c r="AG17" i="216"/>
  <c r="AF17" i="216"/>
  <c r="AE17" i="216"/>
  <c r="AD17" i="216"/>
  <c r="AC17" i="216"/>
  <c r="AB17" i="216"/>
  <c r="AA17" i="216"/>
  <c r="Z17" i="216"/>
  <c r="Y17" i="216"/>
  <c r="X17" i="216"/>
  <c r="W17" i="216"/>
  <c r="V17" i="216"/>
  <c r="U17" i="216"/>
  <c r="T17" i="216"/>
  <c r="S17" i="216"/>
  <c r="Q17" i="216"/>
  <c r="V13" i="216" l="1"/>
  <c r="U13" i="216"/>
  <c r="T13" i="216"/>
  <c r="S13" i="216"/>
  <c r="R13" i="216"/>
  <c r="Q13" i="216"/>
  <c r="P13" i="216"/>
  <c r="O13" i="216"/>
  <c r="V19" i="216" l="1"/>
  <c r="U19" i="216"/>
  <c r="T19" i="216"/>
  <c r="S19" i="216"/>
  <c r="R19" i="216"/>
  <c r="Q19" i="216"/>
  <c r="S33" i="216" l="1"/>
  <c r="R33" i="216"/>
  <c r="Q33" i="216"/>
  <c r="P33" i="216"/>
  <c r="C7" i="540" l="1"/>
  <c r="C8" i="540"/>
  <c r="C9" i="540"/>
  <c r="C10" i="540"/>
  <c r="C11" i="540"/>
  <c r="C12" i="540"/>
  <c r="C13" i="540"/>
  <c r="C14" i="540"/>
  <c r="C15" i="540"/>
  <c r="C16" i="540"/>
  <c r="C17" i="540"/>
  <c r="C18" i="540"/>
  <c r="C19" i="540"/>
  <c r="C20" i="540"/>
  <c r="C21" i="540"/>
  <c r="C22" i="540"/>
  <c r="C23" i="540"/>
  <c r="C24" i="540"/>
  <c r="C25" i="540"/>
  <c r="C26" i="540"/>
  <c r="C27" i="540"/>
  <c r="C28" i="540"/>
  <c r="C29" i="540"/>
  <c r="C30" i="540"/>
  <c r="C31" i="540"/>
  <c r="C32" i="540"/>
  <c r="C33" i="540"/>
  <c r="C34" i="540"/>
  <c r="C35" i="540"/>
  <c r="C36" i="540"/>
  <c r="C37" i="540"/>
  <c r="C38" i="540"/>
  <c r="C39" i="540"/>
  <c r="C40" i="540"/>
  <c r="C41" i="540"/>
  <c r="C42" i="540"/>
  <c r="C43" i="540"/>
  <c r="C44" i="540"/>
  <c r="C45" i="540"/>
  <c r="C46" i="540"/>
  <c r="C47" i="540"/>
  <c r="C48" i="540"/>
  <c r="C49" i="540"/>
  <c r="C50" i="540"/>
  <c r="C51" i="540"/>
  <c r="C52" i="540"/>
  <c r="C53" i="540"/>
  <c r="C54" i="540"/>
  <c r="C55" i="540"/>
  <c r="C56" i="540"/>
  <c r="C57" i="540"/>
  <c r="C58" i="540"/>
  <c r="C59" i="540"/>
  <c r="C60" i="540"/>
  <c r="C61" i="540"/>
  <c r="C62" i="540"/>
  <c r="C63" i="540"/>
  <c r="C64" i="540"/>
  <c r="C65" i="540"/>
  <c r="C66" i="540"/>
  <c r="C67" i="540"/>
  <c r="C68" i="540"/>
  <c r="C69" i="540"/>
  <c r="C70" i="540"/>
  <c r="C71" i="540"/>
  <c r="C72" i="540"/>
  <c r="C73" i="540"/>
  <c r="C74" i="540"/>
  <c r="C75" i="540"/>
  <c r="C76" i="540"/>
  <c r="C77" i="540"/>
  <c r="C78" i="540"/>
  <c r="C79" i="540"/>
  <c r="C80" i="540"/>
  <c r="C81" i="540"/>
  <c r="C82" i="540"/>
  <c r="C83" i="540"/>
  <c r="C84" i="540"/>
  <c r="C85" i="540"/>
  <c r="C86" i="540"/>
  <c r="N84" i="540"/>
  <c r="N83" i="540"/>
  <c r="J82" i="540"/>
  <c r="C7" i="541"/>
  <c r="C8" i="541"/>
  <c r="C9" i="541"/>
  <c r="C10" i="541"/>
  <c r="C11" i="541"/>
  <c r="C12" i="541"/>
  <c r="C13" i="541"/>
  <c r="C14" i="541"/>
  <c r="C15" i="541"/>
  <c r="C16" i="541"/>
  <c r="C17" i="541"/>
  <c r="C18" i="541"/>
  <c r="C19" i="541"/>
  <c r="C20" i="541"/>
  <c r="C21" i="541"/>
  <c r="C22" i="541"/>
  <c r="C23" i="541"/>
  <c r="C24" i="541"/>
  <c r="C25" i="541"/>
  <c r="C26" i="541"/>
  <c r="C27" i="541"/>
  <c r="C28" i="541"/>
  <c r="C29" i="541"/>
  <c r="C30" i="541"/>
  <c r="C31" i="541"/>
  <c r="C32" i="541"/>
  <c r="C33" i="541"/>
  <c r="C34" i="541"/>
  <c r="C35" i="541"/>
  <c r="C36" i="541"/>
  <c r="C37" i="541"/>
  <c r="C38" i="541"/>
  <c r="C39" i="541"/>
  <c r="C40" i="541"/>
  <c r="C41" i="541"/>
  <c r="C42" i="541"/>
  <c r="C43" i="541"/>
  <c r="C44" i="541"/>
  <c r="C45" i="541"/>
  <c r="C46" i="541"/>
  <c r="C47" i="541"/>
  <c r="C48" i="541"/>
  <c r="C49" i="541"/>
  <c r="C50" i="541"/>
  <c r="C51" i="541"/>
  <c r="C52" i="541"/>
  <c r="C53" i="541"/>
  <c r="C54" i="541"/>
  <c r="C55" i="541"/>
  <c r="C56" i="541"/>
  <c r="C57" i="541"/>
  <c r="C58" i="541"/>
  <c r="C59" i="541"/>
  <c r="C60" i="541"/>
  <c r="C61" i="541"/>
  <c r="C62" i="541"/>
  <c r="C63" i="541"/>
  <c r="C64" i="541"/>
  <c r="C65" i="541"/>
  <c r="C66" i="541"/>
  <c r="C67" i="541"/>
  <c r="C68" i="541"/>
  <c r="C69" i="541"/>
  <c r="C70" i="541"/>
  <c r="C71" i="541"/>
  <c r="C72" i="541"/>
  <c r="C73" i="541"/>
  <c r="C74" i="541"/>
  <c r="C75" i="541"/>
  <c r="C76" i="541"/>
  <c r="C77" i="541"/>
  <c r="C78" i="541"/>
  <c r="C79" i="541"/>
  <c r="C80" i="541"/>
  <c r="C81" i="541"/>
  <c r="C82" i="541"/>
  <c r="C83" i="541"/>
  <c r="C84" i="541"/>
  <c r="C85" i="541"/>
  <c r="C86" i="541"/>
  <c r="N84" i="541"/>
  <c r="N83" i="541"/>
  <c r="J82" i="541"/>
  <c r="C84" i="543"/>
  <c r="N84" i="543" s="1"/>
  <c r="C83" i="543"/>
  <c r="N83" i="543" s="1"/>
  <c r="C82" i="543"/>
  <c r="J82" i="543" s="1"/>
  <c r="C86" i="604"/>
  <c r="N86" i="604" s="1"/>
  <c r="C85" i="604"/>
  <c r="N85" i="604" s="1"/>
  <c r="C84" i="604"/>
  <c r="N84" i="604" s="1"/>
  <c r="C83" i="604"/>
  <c r="N83" i="604" s="1"/>
  <c r="C82" i="604"/>
  <c r="J82" i="604" s="1"/>
  <c r="C81" i="604"/>
  <c r="J81" i="604" s="1"/>
  <c r="C80" i="604"/>
  <c r="J80" i="604" s="1"/>
  <c r="C79" i="604"/>
  <c r="J79" i="604" s="1"/>
  <c r="C78" i="604"/>
  <c r="J78" i="604" s="1"/>
  <c r="C77" i="604"/>
  <c r="J77" i="604" s="1"/>
  <c r="C76" i="604"/>
  <c r="J76" i="604" s="1"/>
  <c r="C75" i="604"/>
  <c r="J75" i="604" s="1"/>
  <c r="C74" i="604"/>
  <c r="J74" i="604" s="1"/>
  <c r="C73" i="604"/>
  <c r="J73" i="604" s="1"/>
  <c r="C72" i="604"/>
  <c r="J72" i="604" s="1"/>
  <c r="C71" i="604"/>
  <c r="J71" i="604" s="1"/>
  <c r="C70" i="604"/>
  <c r="J70" i="604" s="1"/>
  <c r="C69" i="604"/>
  <c r="J69" i="604" s="1"/>
  <c r="C68" i="604"/>
  <c r="J68" i="604" s="1"/>
  <c r="C67" i="604"/>
  <c r="J67" i="604" s="1"/>
  <c r="C66" i="604"/>
  <c r="J66" i="604" s="1"/>
  <c r="C65" i="604"/>
  <c r="J65" i="604" s="1"/>
  <c r="C64" i="604"/>
  <c r="J64" i="604" s="1"/>
  <c r="C63" i="604"/>
  <c r="J63" i="604" s="1"/>
  <c r="C62" i="604"/>
  <c r="J62" i="604" s="1"/>
  <c r="C61" i="604"/>
  <c r="J61" i="604" s="1"/>
  <c r="C60" i="604"/>
  <c r="J60" i="604" s="1"/>
  <c r="C59" i="604"/>
  <c r="J59" i="604" s="1"/>
  <c r="C58" i="604"/>
  <c r="J58" i="604" s="1"/>
  <c r="C57" i="604"/>
  <c r="J57" i="604" s="1"/>
  <c r="C56" i="604"/>
  <c r="J56" i="604" s="1"/>
  <c r="C55" i="604"/>
  <c r="J55" i="604" s="1"/>
  <c r="C54" i="604"/>
  <c r="J54" i="604" s="1"/>
  <c r="C53" i="604"/>
  <c r="J53" i="604" s="1"/>
  <c r="C52" i="604"/>
  <c r="J52" i="604" s="1"/>
  <c r="C51" i="604"/>
  <c r="J51" i="604" s="1"/>
  <c r="C50" i="604"/>
  <c r="J50" i="604" s="1"/>
  <c r="C49" i="604"/>
  <c r="J49" i="604" s="1"/>
  <c r="C48" i="604"/>
  <c r="J48" i="604" s="1"/>
  <c r="C47" i="604"/>
  <c r="J47" i="604" s="1"/>
  <c r="C46" i="604"/>
  <c r="J46" i="604" s="1"/>
  <c r="C45" i="604"/>
  <c r="J45" i="604" s="1"/>
  <c r="C44" i="604"/>
  <c r="J44" i="604" s="1"/>
  <c r="C43" i="604"/>
  <c r="J43" i="604" s="1"/>
  <c r="C42" i="604"/>
  <c r="J42" i="604" s="1"/>
  <c r="C41" i="604"/>
  <c r="J41" i="604" s="1"/>
  <c r="C40" i="604"/>
  <c r="J40" i="604" s="1"/>
  <c r="C39" i="604"/>
  <c r="J39" i="604" s="1"/>
  <c r="C38" i="604"/>
  <c r="J38" i="604" s="1"/>
  <c r="C37" i="604"/>
  <c r="J37" i="604" s="1"/>
  <c r="C36" i="604"/>
  <c r="J36" i="604" s="1"/>
  <c r="C35" i="604"/>
  <c r="J35" i="604" s="1"/>
  <c r="C34" i="604"/>
  <c r="N34" i="604" s="1"/>
  <c r="C33" i="604"/>
  <c r="N33" i="604" s="1"/>
  <c r="C32" i="604"/>
  <c r="N32" i="604" s="1"/>
  <c r="C31" i="604"/>
  <c r="N31" i="604" s="1"/>
  <c r="C30" i="604"/>
  <c r="N30" i="604" s="1"/>
  <c r="C29" i="604"/>
  <c r="N29" i="604" s="1"/>
  <c r="C28" i="604"/>
  <c r="N28" i="604" s="1"/>
  <c r="C27" i="604"/>
  <c r="N27" i="604" s="1"/>
  <c r="C26" i="604"/>
  <c r="N26" i="604" s="1"/>
  <c r="C25" i="604"/>
  <c r="N25" i="604" s="1"/>
  <c r="C24" i="604"/>
  <c r="N24" i="604" s="1"/>
  <c r="C23" i="604"/>
  <c r="N23" i="604" s="1"/>
  <c r="C22" i="604"/>
  <c r="N22" i="604" s="1"/>
  <c r="C21" i="604"/>
  <c r="N21" i="604" s="1"/>
  <c r="C20" i="604"/>
  <c r="N20" i="604" s="1"/>
  <c r="C19" i="604"/>
  <c r="C18" i="604"/>
  <c r="N18" i="604" s="1"/>
  <c r="C17" i="604"/>
  <c r="J17" i="604" s="1"/>
  <c r="C16" i="604"/>
  <c r="J16" i="604" s="1"/>
  <c r="C15" i="604"/>
  <c r="N15" i="604" s="1"/>
  <c r="C14" i="604"/>
  <c r="J14" i="604" s="1"/>
  <c r="C13" i="604"/>
  <c r="J13" i="604" s="1"/>
  <c r="C12" i="604"/>
  <c r="J12" i="604" s="1"/>
  <c r="C11" i="604"/>
  <c r="N11" i="604" s="1"/>
  <c r="C10" i="604"/>
  <c r="N10" i="604" s="1"/>
  <c r="C9" i="604"/>
  <c r="N9" i="604" s="1"/>
  <c r="C8" i="604"/>
  <c r="N8" i="604" s="1"/>
  <c r="C7" i="604"/>
  <c r="J7" i="604" s="1"/>
  <c r="I3" i="604"/>
  <c r="F3" i="604"/>
  <c r="C166" i="581"/>
  <c r="N166" i="581" s="1"/>
  <c r="C165" i="581"/>
  <c r="N165" i="581" s="1"/>
  <c r="C164" i="581"/>
  <c r="N164" i="581" s="1"/>
  <c r="C163" i="581"/>
  <c r="N163" i="581" s="1"/>
  <c r="C162" i="581"/>
  <c r="N162" i="581" s="1"/>
  <c r="C161" i="581"/>
  <c r="N161" i="581" s="1"/>
  <c r="C160" i="581"/>
  <c r="N160" i="581" s="1"/>
  <c r="C159" i="581"/>
  <c r="N159" i="581" s="1"/>
  <c r="C158" i="581"/>
  <c r="N158" i="581" s="1"/>
  <c r="C157" i="581"/>
  <c r="N157" i="581" s="1"/>
  <c r="C156" i="581"/>
  <c r="N156" i="581" s="1"/>
  <c r="C155" i="581"/>
  <c r="N155" i="581" s="1"/>
  <c r="C154" i="581"/>
  <c r="N154" i="581" s="1"/>
  <c r="C153" i="581"/>
  <c r="N153" i="581" s="1"/>
  <c r="C152" i="581"/>
  <c r="N152" i="581" s="1"/>
  <c r="C151" i="581"/>
  <c r="N151" i="581" s="1"/>
  <c r="C150" i="581"/>
  <c r="N150" i="581" s="1"/>
  <c r="C149" i="581"/>
  <c r="N149" i="581" s="1"/>
  <c r="C148" i="581"/>
  <c r="N148" i="581" s="1"/>
  <c r="C147" i="581"/>
  <c r="N147" i="581" s="1"/>
  <c r="C146" i="581"/>
  <c r="C145" i="581"/>
  <c r="N145" i="581" s="1"/>
  <c r="C144" i="581"/>
  <c r="N144" i="581" s="1"/>
  <c r="C143" i="581"/>
  <c r="N143" i="581" s="1"/>
  <c r="C142" i="581"/>
  <c r="N142" i="581" s="1"/>
  <c r="C141" i="581"/>
  <c r="N141" i="581" s="1"/>
  <c r="C140" i="581"/>
  <c r="N140" i="581" s="1"/>
  <c r="C139" i="581"/>
  <c r="N139" i="581" s="1"/>
  <c r="C138" i="581"/>
  <c r="N138" i="581" s="1"/>
  <c r="C137" i="581"/>
  <c r="N137" i="581" s="1"/>
  <c r="C136" i="581"/>
  <c r="N136" i="581" s="1"/>
  <c r="C135" i="581"/>
  <c r="N135" i="581" s="1"/>
  <c r="C134" i="581"/>
  <c r="N134" i="581" s="1"/>
  <c r="C133" i="581"/>
  <c r="N133" i="581" s="1"/>
  <c r="C132" i="581"/>
  <c r="N132" i="581" s="1"/>
  <c r="C131" i="581"/>
  <c r="N131" i="581" s="1"/>
  <c r="C130" i="581"/>
  <c r="N130" i="581" s="1"/>
  <c r="C129" i="581"/>
  <c r="N129" i="581" s="1"/>
  <c r="C128" i="581"/>
  <c r="N128" i="581" s="1"/>
  <c r="C127" i="581"/>
  <c r="N127" i="581" s="1"/>
  <c r="C126" i="581"/>
  <c r="N126" i="581" s="1"/>
  <c r="C125" i="581"/>
  <c r="N125" i="581" s="1"/>
  <c r="C124" i="581"/>
  <c r="N124" i="581" s="1"/>
  <c r="C123" i="581"/>
  <c r="N123" i="581" s="1"/>
  <c r="C122" i="581"/>
  <c r="N122" i="581" s="1"/>
  <c r="C121" i="581"/>
  <c r="N121" i="581" s="1"/>
  <c r="C120" i="581"/>
  <c r="N120" i="581" s="1"/>
  <c r="C119" i="581"/>
  <c r="N119" i="581" s="1"/>
  <c r="C118" i="581"/>
  <c r="N118" i="581" s="1"/>
  <c r="C117" i="581"/>
  <c r="N117" i="581" s="1"/>
  <c r="C116" i="581"/>
  <c r="N116" i="581" s="1"/>
  <c r="C115" i="581"/>
  <c r="N115" i="581" s="1"/>
  <c r="C114" i="581"/>
  <c r="N114" i="581" s="1"/>
  <c r="C113" i="581"/>
  <c r="N113" i="581" s="1"/>
  <c r="C112" i="581"/>
  <c r="N112" i="581" s="1"/>
  <c r="C111" i="581"/>
  <c r="N111" i="581" s="1"/>
  <c r="C110" i="581"/>
  <c r="N110" i="581" s="1"/>
  <c r="C109" i="581"/>
  <c r="N109" i="581" s="1"/>
  <c r="C108" i="581"/>
  <c r="N108" i="581" s="1"/>
  <c r="C107" i="581"/>
  <c r="N107" i="581" s="1"/>
  <c r="C106" i="581"/>
  <c r="N106" i="581" s="1"/>
  <c r="C105" i="581"/>
  <c r="N105" i="581" s="1"/>
  <c r="C104" i="581"/>
  <c r="N104" i="581" s="1"/>
  <c r="C103" i="581"/>
  <c r="C102" i="581"/>
  <c r="N102" i="581" s="1"/>
  <c r="C101" i="581"/>
  <c r="N101" i="581" s="1"/>
  <c r="C100" i="581"/>
  <c r="N100" i="581" s="1"/>
  <c r="C99" i="581"/>
  <c r="N99" i="581" s="1"/>
  <c r="C98" i="581"/>
  <c r="N98" i="581" s="1"/>
  <c r="C97" i="581"/>
  <c r="N97" i="581" s="1"/>
  <c r="C96" i="581"/>
  <c r="N96" i="581" s="1"/>
  <c r="C95" i="581"/>
  <c r="N95" i="581" s="1"/>
  <c r="C94" i="581"/>
  <c r="N94" i="581" s="1"/>
  <c r="C93" i="581"/>
  <c r="N93" i="581" s="1"/>
  <c r="C92" i="581"/>
  <c r="N92" i="581" s="1"/>
  <c r="C91" i="581"/>
  <c r="N91" i="581" s="1"/>
  <c r="C90" i="581"/>
  <c r="N90" i="581" s="1"/>
  <c r="C89" i="581"/>
  <c r="N89" i="581" s="1"/>
  <c r="C88" i="581"/>
  <c r="N88" i="581" s="1"/>
  <c r="C87" i="581"/>
  <c r="N87" i="581" s="1"/>
  <c r="C86" i="579"/>
  <c r="J86" i="579" s="1"/>
  <c r="C80" i="579"/>
  <c r="L80" i="579" s="1"/>
  <c r="C81" i="579"/>
  <c r="N81" i="579" s="1"/>
  <c r="C86" i="549"/>
  <c r="N86" i="549" s="1"/>
  <c r="C81" i="549"/>
  <c r="N81" i="549" s="1"/>
  <c r="C80" i="549"/>
  <c r="L80" i="549" s="1"/>
  <c r="E129" i="597"/>
  <c r="E126" i="597"/>
  <c r="E120" i="597"/>
  <c r="E117" i="597"/>
  <c r="E116" i="597"/>
  <c r="F112" i="597"/>
  <c r="E112" i="597"/>
  <c r="E111" i="597"/>
  <c r="E110" i="597"/>
  <c r="E104" i="597"/>
  <c r="E103" i="597"/>
  <c r="E102" i="597"/>
  <c r="E101" i="597"/>
  <c r="E100" i="597"/>
  <c r="E96" i="597"/>
  <c r="E95" i="597"/>
  <c r="E94" i="597"/>
  <c r="E93" i="597"/>
  <c r="E92" i="597"/>
  <c r="E88" i="597"/>
  <c r="E87" i="597"/>
  <c r="E86" i="597"/>
  <c r="E85" i="597"/>
  <c r="E84" i="597"/>
  <c r="E80" i="597"/>
  <c r="E79" i="597"/>
  <c r="E78" i="597"/>
  <c r="E77" i="597"/>
  <c r="E76" i="597"/>
  <c r="E74" i="597"/>
  <c r="E73" i="597"/>
  <c r="E72" i="597"/>
  <c r="E71" i="597"/>
  <c r="E68" i="597"/>
  <c r="E67" i="597"/>
  <c r="E66" i="597"/>
  <c r="E65" i="597"/>
  <c r="E64" i="597"/>
  <c r="E62" i="597"/>
  <c r="E60" i="597"/>
  <c r="E59" i="597"/>
  <c r="E58" i="597"/>
  <c r="E57" i="597"/>
  <c r="E54" i="597"/>
  <c r="E53" i="597"/>
  <c r="E52" i="597"/>
  <c r="E51" i="597"/>
  <c r="E48" i="597"/>
  <c r="E46" i="597"/>
  <c r="E45" i="597"/>
  <c r="E44" i="597"/>
  <c r="E43" i="597"/>
  <c r="E41" i="597"/>
  <c r="E39" i="597"/>
  <c r="E38" i="597"/>
  <c r="E37" i="597"/>
  <c r="E36" i="597"/>
  <c r="E35" i="597"/>
  <c r="E34" i="597"/>
  <c r="E32" i="597"/>
  <c r="E31" i="597"/>
  <c r="E30" i="597"/>
  <c r="E29" i="597"/>
  <c r="E27" i="597"/>
  <c r="E24" i="597"/>
  <c r="E23" i="597"/>
  <c r="E21" i="597"/>
  <c r="E20" i="597"/>
  <c r="E19" i="597"/>
  <c r="E18" i="597"/>
  <c r="E17" i="597"/>
  <c r="E16" i="597"/>
  <c r="E13" i="597"/>
  <c r="E12" i="597"/>
  <c r="E9" i="597"/>
  <c r="E8" i="597"/>
  <c r="E5" i="597"/>
  <c r="E4" i="597"/>
  <c r="E63" i="597"/>
  <c r="E109" i="597"/>
  <c r="E108" i="597"/>
  <c r="N106" i="584"/>
  <c r="C88" i="583"/>
  <c r="C89" i="583"/>
  <c r="C90" i="583"/>
  <c r="C91" i="583"/>
  <c r="C92" i="583"/>
  <c r="C93" i="583"/>
  <c r="C94" i="583"/>
  <c r="C95" i="583"/>
  <c r="C96" i="583"/>
  <c r="C97" i="583"/>
  <c r="C98" i="583"/>
  <c r="C99" i="583"/>
  <c r="C100" i="583"/>
  <c r="C101" i="583"/>
  <c r="C102" i="583"/>
  <c r="C103" i="583"/>
  <c r="C104" i="583"/>
  <c r="C105" i="583"/>
  <c r="C106" i="583"/>
  <c r="C107" i="583"/>
  <c r="C108" i="583"/>
  <c r="C109" i="583"/>
  <c r="C110" i="583"/>
  <c r="C111" i="583"/>
  <c r="C112" i="583"/>
  <c r="C113" i="583"/>
  <c r="C114" i="583"/>
  <c r="C115" i="583"/>
  <c r="C116" i="583"/>
  <c r="C117" i="583"/>
  <c r="C118" i="583"/>
  <c r="C119" i="583"/>
  <c r="C120" i="583"/>
  <c r="C121" i="583"/>
  <c r="C122" i="583"/>
  <c r="C123" i="583"/>
  <c r="C124" i="583"/>
  <c r="C125" i="583"/>
  <c r="C126" i="583"/>
  <c r="C127" i="583"/>
  <c r="C128" i="583"/>
  <c r="C129" i="583"/>
  <c r="C130" i="583"/>
  <c r="C131" i="583"/>
  <c r="C132" i="583"/>
  <c r="C133" i="583"/>
  <c r="C134" i="583"/>
  <c r="C135" i="583"/>
  <c r="C136" i="583"/>
  <c r="C137" i="583"/>
  <c r="C138" i="583"/>
  <c r="C139" i="583"/>
  <c r="C140" i="583"/>
  <c r="C141" i="583"/>
  <c r="C142" i="583"/>
  <c r="C143" i="583"/>
  <c r="C144" i="583"/>
  <c r="C145" i="583"/>
  <c r="C146" i="583"/>
  <c r="C147" i="583"/>
  <c r="C148" i="583"/>
  <c r="C149" i="583"/>
  <c r="C150" i="583"/>
  <c r="C151" i="583"/>
  <c r="C152" i="583"/>
  <c r="C153" i="583"/>
  <c r="C154" i="583"/>
  <c r="C155" i="583"/>
  <c r="C156" i="583"/>
  <c r="L156" i="583" s="1"/>
  <c r="C157" i="583"/>
  <c r="L157" i="583" s="1"/>
  <c r="C158" i="583"/>
  <c r="C159" i="583"/>
  <c r="C160" i="583"/>
  <c r="C161" i="583"/>
  <c r="C162" i="583"/>
  <c r="C163" i="583"/>
  <c r="C164" i="583"/>
  <c r="N164" i="583" s="1"/>
  <c r="C165" i="583"/>
  <c r="C166" i="583"/>
  <c r="C87" i="583"/>
  <c r="C8" i="583"/>
  <c r="C9" i="583"/>
  <c r="C10" i="583"/>
  <c r="C11" i="583"/>
  <c r="C12" i="583"/>
  <c r="C13" i="583"/>
  <c r="C14" i="583"/>
  <c r="C15" i="583"/>
  <c r="C16" i="583"/>
  <c r="C17" i="583"/>
  <c r="C18" i="583"/>
  <c r="C19" i="583"/>
  <c r="C20" i="583"/>
  <c r="C21" i="583"/>
  <c r="C22" i="583"/>
  <c r="C23" i="583"/>
  <c r="C24" i="583"/>
  <c r="C25" i="583"/>
  <c r="C26" i="583"/>
  <c r="C27" i="583"/>
  <c r="C28" i="583"/>
  <c r="C29" i="583"/>
  <c r="C30" i="583"/>
  <c r="C31" i="583"/>
  <c r="C32" i="583"/>
  <c r="C33" i="583"/>
  <c r="C34" i="583"/>
  <c r="C35" i="583"/>
  <c r="C36" i="583"/>
  <c r="C37" i="583"/>
  <c r="C38" i="583"/>
  <c r="C39" i="583"/>
  <c r="C40" i="583"/>
  <c r="C41" i="583"/>
  <c r="C42" i="583"/>
  <c r="C43" i="583"/>
  <c r="C44" i="583"/>
  <c r="C45" i="583"/>
  <c r="C46" i="583"/>
  <c r="C47" i="583"/>
  <c r="C48" i="583"/>
  <c r="C49" i="583"/>
  <c r="C50" i="583"/>
  <c r="C51" i="583"/>
  <c r="C52" i="583"/>
  <c r="C53" i="583"/>
  <c r="C54" i="583"/>
  <c r="C55" i="583"/>
  <c r="C56" i="583"/>
  <c r="C57" i="583"/>
  <c r="C58" i="583"/>
  <c r="C59" i="583"/>
  <c r="C60" i="583"/>
  <c r="C61" i="583"/>
  <c r="C62" i="583"/>
  <c r="C63" i="583"/>
  <c r="C64" i="583"/>
  <c r="C65" i="583"/>
  <c r="C66" i="583"/>
  <c r="C67" i="583"/>
  <c r="C68" i="583"/>
  <c r="C69" i="583"/>
  <c r="C70" i="583"/>
  <c r="C71" i="583"/>
  <c r="C72" i="583"/>
  <c r="C73" i="583"/>
  <c r="C74" i="583"/>
  <c r="C75" i="583"/>
  <c r="C76" i="583"/>
  <c r="C77" i="583"/>
  <c r="C78" i="583"/>
  <c r="C79" i="583"/>
  <c r="C80" i="583"/>
  <c r="C81" i="583"/>
  <c r="C82" i="583"/>
  <c r="C83" i="583"/>
  <c r="C84" i="583"/>
  <c r="C85" i="583"/>
  <c r="C86" i="583"/>
  <c r="C7" i="583"/>
  <c r="N7" i="583" s="1"/>
  <c r="C88" i="584"/>
  <c r="C89" i="584"/>
  <c r="C90" i="584"/>
  <c r="N90" i="584" s="1"/>
  <c r="C91" i="584"/>
  <c r="N91" i="584" s="1"/>
  <c r="C92" i="584"/>
  <c r="N92" i="584" s="1"/>
  <c r="C93" i="584"/>
  <c r="N93" i="584" s="1"/>
  <c r="C94" i="584"/>
  <c r="N94" i="584" s="1"/>
  <c r="C95" i="584"/>
  <c r="N95" i="584" s="1"/>
  <c r="C96" i="584"/>
  <c r="N96" i="584" s="1"/>
  <c r="C97" i="584"/>
  <c r="N97" i="584" s="1"/>
  <c r="C98" i="584"/>
  <c r="N98" i="584" s="1"/>
  <c r="C99" i="584"/>
  <c r="N99" i="584" s="1"/>
  <c r="C100" i="584"/>
  <c r="N100" i="584" s="1"/>
  <c r="C101" i="584"/>
  <c r="N101" i="584" s="1"/>
  <c r="C102" i="584"/>
  <c r="N102" i="584" s="1"/>
  <c r="C103" i="584"/>
  <c r="N103" i="584" s="1"/>
  <c r="C104" i="584"/>
  <c r="N104" i="584" s="1"/>
  <c r="C105" i="584"/>
  <c r="N105" i="584" s="1"/>
  <c r="C106" i="584"/>
  <c r="C107" i="584"/>
  <c r="N107" i="584" s="1"/>
  <c r="C108" i="584"/>
  <c r="C109" i="584"/>
  <c r="C110" i="584"/>
  <c r="N110" i="584" s="1"/>
  <c r="C111" i="584"/>
  <c r="N111" i="584" s="1"/>
  <c r="C112" i="584"/>
  <c r="N112" i="584" s="1"/>
  <c r="C113" i="584"/>
  <c r="N113" i="584" s="1"/>
  <c r="C114" i="584"/>
  <c r="N114" i="584" s="1"/>
  <c r="C115" i="584"/>
  <c r="N115" i="584" s="1"/>
  <c r="C116" i="584"/>
  <c r="N116" i="584" s="1"/>
  <c r="C117" i="584"/>
  <c r="N117" i="584" s="1"/>
  <c r="C118" i="584"/>
  <c r="N118" i="584" s="1"/>
  <c r="C119" i="584"/>
  <c r="N119" i="584" s="1"/>
  <c r="C120" i="584"/>
  <c r="N120" i="584" s="1"/>
  <c r="C121" i="584"/>
  <c r="N121" i="584" s="1"/>
  <c r="C122" i="584"/>
  <c r="N122" i="584" s="1"/>
  <c r="C123" i="584"/>
  <c r="N123" i="584" s="1"/>
  <c r="C124" i="584"/>
  <c r="N124" i="584" s="1"/>
  <c r="C125" i="584"/>
  <c r="N125" i="584" s="1"/>
  <c r="C126" i="584"/>
  <c r="N126" i="584" s="1"/>
  <c r="C127" i="584"/>
  <c r="N127" i="584" s="1"/>
  <c r="C128" i="584"/>
  <c r="N128" i="584" s="1"/>
  <c r="C129" i="584"/>
  <c r="N129" i="584" s="1"/>
  <c r="C130" i="584"/>
  <c r="N130" i="584" s="1"/>
  <c r="C131" i="584"/>
  <c r="N131" i="584" s="1"/>
  <c r="C132" i="584"/>
  <c r="N132" i="584" s="1"/>
  <c r="C133" i="584"/>
  <c r="N133" i="584" s="1"/>
  <c r="C134" i="584"/>
  <c r="N134" i="584" s="1"/>
  <c r="C135" i="584"/>
  <c r="N135" i="584" s="1"/>
  <c r="C136" i="584"/>
  <c r="N136" i="584" s="1"/>
  <c r="C137" i="584"/>
  <c r="N137" i="584" s="1"/>
  <c r="C138" i="584"/>
  <c r="N138" i="584" s="1"/>
  <c r="C139" i="584"/>
  <c r="N139" i="584" s="1"/>
  <c r="C140" i="584"/>
  <c r="N140" i="584" s="1"/>
  <c r="C141" i="584"/>
  <c r="N141" i="584" s="1"/>
  <c r="C142" i="584"/>
  <c r="N142" i="584" s="1"/>
  <c r="C143" i="584"/>
  <c r="N143" i="584" s="1"/>
  <c r="C144" i="584"/>
  <c r="N144" i="584" s="1"/>
  <c r="C145" i="584"/>
  <c r="N145" i="584" s="1"/>
  <c r="C146" i="584"/>
  <c r="N146" i="584" s="1"/>
  <c r="C147" i="584"/>
  <c r="N147" i="584" s="1"/>
  <c r="C148" i="584"/>
  <c r="N148" i="584" s="1"/>
  <c r="C149" i="584"/>
  <c r="N149" i="584" s="1"/>
  <c r="C150" i="584"/>
  <c r="N150" i="584" s="1"/>
  <c r="C151" i="584"/>
  <c r="N151" i="584" s="1"/>
  <c r="C152" i="584"/>
  <c r="C153" i="584"/>
  <c r="N153" i="584" s="1"/>
  <c r="C154" i="584"/>
  <c r="N154" i="584" s="1"/>
  <c r="C155" i="584"/>
  <c r="N155" i="584" s="1"/>
  <c r="C156" i="584"/>
  <c r="N156" i="584" s="1"/>
  <c r="C157" i="584"/>
  <c r="N157" i="584" s="1"/>
  <c r="C158" i="584"/>
  <c r="N158" i="584" s="1"/>
  <c r="C159" i="584"/>
  <c r="C160" i="584"/>
  <c r="N160" i="584" s="1"/>
  <c r="C161" i="584"/>
  <c r="N161" i="584" s="1"/>
  <c r="C162" i="584"/>
  <c r="N162" i="584" s="1"/>
  <c r="C163" i="584"/>
  <c r="N163" i="584" s="1"/>
  <c r="C164" i="584"/>
  <c r="N164" i="584" s="1"/>
  <c r="C165" i="584"/>
  <c r="N165" i="584" s="1"/>
  <c r="C166" i="584"/>
  <c r="N166" i="584" s="1"/>
  <c r="C87" i="584"/>
  <c r="C8" i="584"/>
  <c r="C9" i="584"/>
  <c r="C10" i="584"/>
  <c r="C11" i="584"/>
  <c r="C12" i="584"/>
  <c r="C13" i="584"/>
  <c r="C14" i="584"/>
  <c r="C15" i="584"/>
  <c r="C16" i="584"/>
  <c r="C17" i="584"/>
  <c r="C18" i="584"/>
  <c r="C19" i="584"/>
  <c r="C20" i="584"/>
  <c r="C21" i="584"/>
  <c r="C22" i="584"/>
  <c r="C23" i="584"/>
  <c r="C24" i="584"/>
  <c r="C25" i="584"/>
  <c r="C26" i="584"/>
  <c r="N26" i="584" s="1"/>
  <c r="C27" i="584"/>
  <c r="C28" i="584"/>
  <c r="C29" i="584"/>
  <c r="C30" i="584"/>
  <c r="N30" i="584" s="1"/>
  <c r="C31" i="584"/>
  <c r="N31" i="584" s="1"/>
  <c r="C32" i="584"/>
  <c r="N32" i="584" s="1"/>
  <c r="C33" i="584"/>
  <c r="N33" i="584" s="1"/>
  <c r="C34" i="584"/>
  <c r="N34" i="584" s="1"/>
  <c r="C35" i="584"/>
  <c r="N35" i="584" s="1"/>
  <c r="C36" i="584"/>
  <c r="N36" i="584" s="1"/>
  <c r="C37" i="584"/>
  <c r="N37" i="584" s="1"/>
  <c r="C38" i="584"/>
  <c r="C39" i="584"/>
  <c r="N39" i="584" s="1"/>
  <c r="C40" i="584"/>
  <c r="N40" i="584" s="1"/>
  <c r="C41" i="584"/>
  <c r="N41" i="584" s="1"/>
  <c r="C42" i="584"/>
  <c r="N42" i="584" s="1"/>
  <c r="C43" i="584"/>
  <c r="N43" i="584" s="1"/>
  <c r="C44" i="584"/>
  <c r="N44" i="584" s="1"/>
  <c r="C45" i="584"/>
  <c r="N45" i="584" s="1"/>
  <c r="C46" i="584"/>
  <c r="N46" i="584" s="1"/>
  <c r="C47" i="584"/>
  <c r="N47" i="584" s="1"/>
  <c r="C48" i="584"/>
  <c r="N48" i="584" s="1"/>
  <c r="C49" i="584"/>
  <c r="N49" i="584" s="1"/>
  <c r="C50" i="584"/>
  <c r="N50" i="584" s="1"/>
  <c r="C51" i="584"/>
  <c r="N51" i="584" s="1"/>
  <c r="C52" i="584"/>
  <c r="N52" i="584" s="1"/>
  <c r="C53" i="584"/>
  <c r="N53" i="584" s="1"/>
  <c r="C54" i="584"/>
  <c r="N54" i="584" s="1"/>
  <c r="C55" i="584"/>
  <c r="N55" i="584" s="1"/>
  <c r="C56" i="584"/>
  <c r="N56" i="584" s="1"/>
  <c r="C57" i="584"/>
  <c r="N57" i="584" s="1"/>
  <c r="C58" i="584"/>
  <c r="N58" i="584" s="1"/>
  <c r="C59" i="584"/>
  <c r="N59" i="584" s="1"/>
  <c r="C60" i="584"/>
  <c r="N60" i="584" s="1"/>
  <c r="C61" i="584"/>
  <c r="N61" i="584" s="1"/>
  <c r="C62" i="584"/>
  <c r="N62" i="584" s="1"/>
  <c r="C63" i="584"/>
  <c r="N63" i="584" s="1"/>
  <c r="C64" i="584"/>
  <c r="N64" i="584" s="1"/>
  <c r="C65" i="584"/>
  <c r="N65" i="584" s="1"/>
  <c r="C66" i="584"/>
  <c r="N66" i="584" s="1"/>
  <c r="C67" i="584"/>
  <c r="N67" i="584" s="1"/>
  <c r="C68" i="584"/>
  <c r="N68" i="584" s="1"/>
  <c r="C69" i="584"/>
  <c r="N69" i="584" s="1"/>
  <c r="C70" i="584"/>
  <c r="N70" i="584" s="1"/>
  <c r="C71" i="584"/>
  <c r="N71" i="584" s="1"/>
  <c r="C72" i="584"/>
  <c r="C73" i="584"/>
  <c r="N73" i="584" s="1"/>
  <c r="C74" i="584"/>
  <c r="C75" i="584"/>
  <c r="N75" i="584" s="1"/>
  <c r="C76" i="584"/>
  <c r="C77" i="584"/>
  <c r="C78" i="584"/>
  <c r="N78" i="584" s="1"/>
  <c r="C79" i="584"/>
  <c r="C80" i="584"/>
  <c r="N80" i="584" s="1"/>
  <c r="C81" i="584"/>
  <c r="C82" i="584"/>
  <c r="N82" i="584" s="1"/>
  <c r="C83" i="584"/>
  <c r="C84" i="584"/>
  <c r="N84" i="584" s="1"/>
  <c r="C85" i="584"/>
  <c r="N85" i="584" s="1"/>
  <c r="C86" i="584"/>
  <c r="C7" i="584"/>
  <c r="C88" i="585"/>
  <c r="C89" i="585"/>
  <c r="C90" i="585"/>
  <c r="N90" i="585" s="1"/>
  <c r="C91" i="585"/>
  <c r="N91" i="585" s="1"/>
  <c r="C92" i="585"/>
  <c r="N92" i="585" s="1"/>
  <c r="C93" i="585"/>
  <c r="N93" i="585" s="1"/>
  <c r="C94" i="585"/>
  <c r="N94" i="585" s="1"/>
  <c r="C95" i="585"/>
  <c r="N95" i="585" s="1"/>
  <c r="C96" i="585"/>
  <c r="N96" i="585" s="1"/>
  <c r="C97" i="585"/>
  <c r="N97" i="585" s="1"/>
  <c r="C98" i="585"/>
  <c r="N98" i="585" s="1"/>
  <c r="C99" i="585"/>
  <c r="N99" i="585" s="1"/>
  <c r="C100" i="585"/>
  <c r="N100" i="585" s="1"/>
  <c r="C101" i="585"/>
  <c r="N101" i="585" s="1"/>
  <c r="C102" i="585"/>
  <c r="N102" i="585" s="1"/>
  <c r="C103" i="585"/>
  <c r="N103" i="585" s="1"/>
  <c r="C104" i="585"/>
  <c r="N104" i="585" s="1"/>
  <c r="C105" i="585"/>
  <c r="N106" i="585" s="1"/>
  <c r="C106" i="585"/>
  <c r="C107" i="585"/>
  <c r="N107" i="585" s="1"/>
  <c r="C108" i="585"/>
  <c r="C109" i="585"/>
  <c r="C110" i="585"/>
  <c r="C111" i="585"/>
  <c r="C112" i="585"/>
  <c r="C113" i="585"/>
  <c r="C114" i="585"/>
  <c r="C115" i="585"/>
  <c r="C116" i="585"/>
  <c r="C117" i="585"/>
  <c r="C118" i="585"/>
  <c r="J118" i="585" s="1"/>
  <c r="C119" i="585"/>
  <c r="C120" i="585"/>
  <c r="C121" i="585"/>
  <c r="C122" i="585"/>
  <c r="C123" i="585"/>
  <c r="C124" i="585"/>
  <c r="C125" i="585"/>
  <c r="C126" i="585"/>
  <c r="C127" i="585"/>
  <c r="C128" i="585"/>
  <c r="C129" i="585"/>
  <c r="C130" i="585"/>
  <c r="C131" i="585"/>
  <c r="C132" i="585"/>
  <c r="C133" i="585"/>
  <c r="C134" i="585"/>
  <c r="C135" i="585"/>
  <c r="C136" i="585"/>
  <c r="C137" i="585"/>
  <c r="C138" i="585"/>
  <c r="C139" i="585"/>
  <c r="C140" i="585"/>
  <c r="C141" i="585"/>
  <c r="C142" i="585"/>
  <c r="C143" i="585"/>
  <c r="C144" i="585"/>
  <c r="C145" i="585"/>
  <c r="C146" i="585"/>
  <c r="C147" i="585"/>
  <c r="C148" i="585"/>
  <c r="C149" i="585"/>
  <c r="C150" i="585"/>
  <c r="C151" i="585"/>
  <c r="C152" i="585"/>
  <c r="C153" i="585"/>
  <c r="C154" i="585"/>
  <c r="J154" i="585" s="1"/>
  <c r="C155" i="585"/>
  <c r="C156" i="585"/>
  <c r="J156" i="585" s="1"/>
  <c r="C157" i="585"/>
  <c r="J157" i="585" s="1"/>
  <c r="C158" i="585"/>
  <c r="C159" i="585"/>
  <c r="C160" i="585"/>
  <c r="C161" i="585"/>
  <c r="C162" i="585"/>
  <c r="C163" i="585"/>
  <c r="J163" i="585" s="1"/>
  <c r="C164" i="585"/>
  <c r="C165" i="585"/>
  <c r="C166" i="585"/>
  <c r="J166" i="585" s="1"/>
  <c r="C87" i="585"/>
  <c r="C8" i="585"/>
  <c r="C9" i="585"/>
  <c r="C10" i="585"/>
  <c r="L10" i="585" s="1"/>
  <c r="C11" i="585"/>
  <c r="L11" i="585" s="1"/>
  <c r="C12" i="585"/>
  <c r="L12" i="585" s="1"/>
  <c r="C13" i="585"/>
  <c r="L13" i="585" s="1"/>
  <c r="C14" i="585"/>
  <c r="L14" i="585" s="1"/>
  <c r="C15" i="585"/>
  <c r="L15" i="585" s="1"/>
  <c r="C16" i="585"/>
  <c r="L16" i="585" s="1"/>
  <c r="C17" i="585"/>
  <c r="L17" i="585" s="1"/>
  <c r="C18" i="585"/>
  <c r="L18" i="585" s="1"/>
  <c r="C19" i="585"/>
  <c r="L19" i="585" s="1"/>
  <c r="C20" i="585"/>
  <c r="L20" i="585" s="1"/>
  <c r="C21" i="585"/>
  <c r="L21" i="585" s="1"/>
  <c r="C22" i="585"/>
  <c r="L22" i="585" s="1"/>
  <c r="C23" i="585"/>
  <c r="L23" i="585" s="1"/>
  <c r="C24" i="585"/>
  <c r="L24" i="585" s="1"/>
  <c r="C25" i="585"/>
  <c r="L25" i="585" s="1"/>
  <c r="C26" i="585"/>
  <c r="C27" i="585"/>
  <c r="L27" i="585" s="1"/>
  <c r="C28" i="585"/>
  <c r="C29" i="585"/>
  <c r="C30" i="585"/>
  <c r="C31" i="585"/>
  <c r="C32" i="585"/>
  <c r="C33" i="585"/>
  <c r="C34" i="585"/>
  <c r="C35" i="585"/>
  <c r="C36" i="585"/>
  <c r="C37" i="585"/>
  <c r="C38" i="585"/>
  <c r="L38" i="585" s="1"/>
  <c r="C39" i="585"/>
  <c r="C40" i="585"/>
  <c r="C41" i="585"/>
  <c r="C42" i="585"/>
  <c r="C43" i="585"/>
  <c r="C44" i="585"/>
  <c r="C45" i="585"/>
  <c r="C46" i="585"/>
  <c r="C47" i="585"/>
  <c r="C48" i="585"/>
  <c r="C49" i="585"/>
  <c r="C50" i="585"/>
  <c r="C51" i="585"/>
  <c r="C52" i="585"/>
  <c r="C53" i="585"/>
  <c r="C54" i="585"/>
  <c r="C55" i="585"/>
  <c r="C56" i="585"/>
  <c r="C57" i="585"/>
  <c r="C58" i="585"/>
  <c r="C59" i="585"/>
  <c r="C60" i="585"/>
  <c r="C61" i="585"/>
  <c r="C62" i="585"/>
  <c r="C63" i="585"/>
  <c r="C64" i="585"/>
  <c r="C65" i="585"/>
  <c r="C66" i="585"/>
  <c r="C67" i="585"/>
  <c r="C68" i="585"/>
  <c r="C69" i="585"/>
  <c r="C70" i="585"/>
  <c r="C71" i="585"/>
  <c r="C72" i="585"/>
  <c r="C73" i="585"/>
  <c r="C74" i="585"/>
  <c r="J74" i="585" s="1"/>
  <c r="C75" i="585"/>
  <c r="C76" i="585"/>
  <c r="J76" i="585" s="1"/>
  <c r="C77" i="585"/>
  <c r="J77" i="585" s="1"/>
  <c r="C78" i="585"/>
  <c r="C79" i="585"/>
  <c r="C80" i="585"/>
  <c r="C81" i="585"/>
  <c r="C82" i="585"/>
  <c r="C83" i="585"/>
  <c r="J83" i="585" s="1"/>
  <c r="C84" i="585"/>
  <c r="C85" i="585"/>
  <c r="C86" i="585"/>
  <c r="J86" i="585" s="1"/>
  <c r="C7" i="585"/>
  <c r="C89" i="582"/>
  <c r="J89" i="582" s="1"/>
  <c r="C9" i="582"/>
  <c r="N9" i="582" s="1"/>
  <c r="C7" i="582"/>
  <c r="N7" i="582" s="1"/>
  <c r="C8" i="582"/>
  <c r="N8" i="582" s="1"/>
  <c r="C10" i="582"/>
  <c r="N10" i="582" s="1"/>
  <c r="C11" i="582"/>
  <c r="N11" i="582" s="1"/>
  <c r="C12" i="582"/>
  <c r="N12" i="582" s="1"/>
  <c r="C13" i="582"/>
  <c r="N13" i="582" s="1"/>
  <c r="C14" i="582"/>
  <c r="N14" i="582" s="1"/>
  <c r="C15" i="582"/>
  <c r="N15" i="582" s="1"/>
  <c r="C16" i="582"/>
  <c r="N16" i="582" s="1"/>
  <c r="C17" i="582"/>
  <c r="N17" i="582" s="1"/>
  <c r="C18" i="582"/>
  <c r="N18" i="582" s="1"/>
  <c r="C19" i="582"/>
  <c r="N19" i="582" s="1"/>
  <c r="C20" i="582"/>
  <c r="N20" i="582" s="1"/>
  <c r="C21" i="582"/>
  <c r="N21" i="582" s="1"/>
  <c r="C22" i="582"/>
  <c r="N22" i="582" s="1"/>
  <c r="C23" i="582"/>
  <c r="N23" i="582" s="1"/>
  <c r="C24" i="582"/>
  <c r="N24" i="582" s="1"/>
  <c r="C25" i="582"/>
  <c r="N25" i="582" s="1"/>
  <c r="C26" i="582"/>
  <c r="N26" i="582" s="1"/>
  <c r="C27" i="582"/>
  <c r="N27" i="582" s="1"/>
  <c r="C28" i="582"/>
  <c r="N28" i="582" s="1"/>
  <c r="C29" i="582"/>
  <c r="N29" i="582" s="1"/>
  <c r="C30" i="582"/>
  <c r="N30" i="582" s="1"/>
  <c r="C31" i="582"/>
  <c r="N31" i="582" s="1"/>
  <c r="C32" i="582"/>
  <c r="N32" i="582" s="1"/>
  <c r="C33" i="582"/>
  <c r="N33" i="582" s="1"/>
  <c r="C34" i="582"/>
  <c r="N34" i="582" s="1"/>
  <c r="C35" i="582"/>
  <c r="N35" i="582" s="1"/>
  <c r="C36" i="582"/>
  <c r="N36" i="582" s="1"/>
  <c r="C37" i="582"/>
  <c r="N37" i="582" s="1"/>
  <c r="C38" i="582"/>
  <c r="N38" i="582" s="1"/>
  <c r="C39" i="582"/>
  <c r="N39" i="582" s="1"/>
  <c r="C40" i="582"/>
  <c r="N40" i="582" s="1"/>
  <c r="C41" i="582"/>
  <c r="N41" i="582" s="1"/>
  <c r="C42" i="582"/>
  <c r="N42" i="582" s="1"/>
  <c r="C43" i="582"/>
  <c r="N43" i="582" s="1"/>
  <c r="C44" i="582"/>
  <c r="N44" i="582" s="1"/>
  <c r="C45" i="582"/>
  <c r="N45" i="582" s="1"/>
  <c r="C46" i="582"/>
  <c r="N46" i="582" s="1"/>
  <c r="C47" i="582"/>
  <c r="N47" i="582" s="1"/>
  <c r="C48" i="582"/>
  <c r="N48" i="582" s="1"/>
  <c r="C49" i="582"/>
  <c r="N49" i="582" s="1"/>
  <c r="C50" i="582"/>
  <c r="N50" i="582" s="1"/>
  <c r="C51" i="582"/>
  <c r="N51" i="582" s="1"/>
  <c r="C52" i="582"/>
  <c r="N52" i="582" s="1"/>
  <c r="C53" i="582"/>
  <c r="N53" i="582" s="1"/>
  <c r="C54" i="582"/>
  <c r="N54" i="582" s="1"/>
  <c r="C55" i="582"/>
  <c r="N55" i="582" s="1"/>
  <c r="C56" i="582"/>
  <c r="N56" i="582" s="1"/>
  <c r="C57" i="582"/>
  <c r="N57" i="582" s="1"/>
  <c r="C58" i="582"/>
  <c r="N58" i="582" s="1"/>
  <c r="C59" i="582"/>
  <c r="N59" i="582" s="1"/>
  <c r="C60" i="582"/>
  <c r="N60" i="582" s="1"/>
  <c r="C61" i="582"/>
  <c r="N61" i="582" s="1"/>
  <c r="C62" i="582"/>
  <c r="N62" i="582" s="1"/>
  <c r="C63" i="582"/>
  <c r="N63" i="582" s="1"/>
  <c r="C64" i="582"/>
  <c r="N64" i="582" s="1"/>
  <c r="C65" i="582"/>
  <c r="N65" i="582" s="1"/>
  <c r="C66" i="582"/>
  <c r="N66" i="582" s="1"/>
  <c r="C67" i="582"/>
  <c r="N67" i="582" s="1"/>
  <c r="C68" i="582"/>
  <c r="N68" i="582" s="1"/>
  <c r="C69" i="582"/>
  <c r="N69" i="582" s="1"/>
  <c r="C70" i="582"/>
  <c r="N70" i="582" s="1"/>
  <c r="C71" i="582"/>
  <c r="N71" i="582" s="1"/>
  <c r="C72" i="582"/>
  <c r="N72" i="582" s="1"/>
  <c r="C73" i="582"/>
  <c r="N73" i="582" s="1"/>
  <c r="C74" i="582"/>
  <c r="N74" i="582" s="1"/>
  <c r="C75" i="582"/>
  <c r="N75" i="582" s="1"/>
  <c r="C76" i="582"/>
  <c r="N76" i="582" s="1"/>
  <c r="C77" i="582"/>
  <c r="N77" i="582" s="1"/>
  <c r="C78" i="582"/>
  <c r="N78" i="582" s="1"/>
  <c r="C79" i="582"/>
  <c r="N79" i="582" s="1"/>
  <c r="C80" i="582"/>
  <c r="N80" i="582" s="1"/>
  <c r="C81" i="582"/>
  <c r="N81" i="582" s="1"/>
  <c r="C82" i="582"/>
  <c r="N82" i="582" s="1"/>
  <c r="C83" i="582"/>
  <c r="N83" i="582" s="1"/>
  <c r="C84" i="582"/>
  <c r="N84" i="582" s="1"/>
  <c r="C85" i="582"/>
  <c r="N85" i="582" s="1"/>
  <c r="C86" i="582"/>
  <c r="N86" i="582" s="1"/>
  <c r="C87" i="582"/>
  <c r="C88" i="582"/>
  <c r="C90" i="582"/>
  <c r="C91" i="582"/>
  <c r="C92" i="582"/>
  <c r="C93" i="582"/>
  <c r="C94" i="582"/>
  <c r="C95" i="582"/>
  <c r="C96" i="582"/>
  <c r="C97" i="582"/>
  <c r="C98" i="582"/>
  <c r="C99" i="582"/>
  <c r="C100" i="582"/>
  <c r="C101" i="582"/>
  <c r="C102" i="582"/>
  <c r="C103" i="582"/>
  <c r="C104" i="582"/>
  <c r="C105" i="582"/>
  <c r="C106" i="582"/>
  <c r="C107" i="582"/>
  <c r="C108" i="582"/>
  <c r="C109" i="582"/>
  <c r="C110" i="582"/>
  <c r="C111" i="582"/>
  <c r="C112" i="582"/>
  <c r="C113" i="582"/>
  <c r="C114" i="582"/>
  <c r="C115" i="582"/>
  <c r="C116" i="582"/>
  <c r="C117" i="582"/>
  <c r="C118" i="582"/>
  <c r="C119" i="582"/>
  <c r="C120" i="582"/>
  <c r="C121" i="582"/>
  <c r="C122" i="582"/>
  <c r="C123" i="582"/>
  <c r="C124" i="582"/>
  <c r="C125" i="582"/>
  <c r="C126" i="582"/>
  <c r="C127" i="582"/>
  <c r="C128" i="582"/>
  <c r="C129" i="582"/>
  <c r="C130" i="582"/>
  <c r="C131" i="582"/>
  <c r="C132" i="582"/>
  <c r="C133" i="582"/>
  <c r="C134" i="582"/>
  <c r="C135" i="582"/>
  <c r="C136" i="582"/>
  <c r="C137" i="582"/>
  <c r="C138" i="582"/>
  <c r="C139" i="582"/>
  <c r="C140" i="582"/>
  <c r="C141" i="582"/>
  <c r="C142" i="582"/>
  <c r="C143" i="582"/>
  <c r="C144" i="582"/>
  <c r="C145" i="582"/>
  <c r="C146" i="582"/>
  <c r="C147" i="582"/>
  <c r="C148" i="582"/>
  <c r="C149" i="582"/>
  <c r="C150" i="582"/>
  <c r="C151" i="582"/>
  <c r="C152" i="582"/>
  <c r="C153" i="582"/>
  <c r="C154" i="582"/>
  <c r="C155" i="582"/>
  <c r="C156" i="582"/>
  <c r="C157" i="582"/>
  <c r="C158" i="582"/>
  <c r="C159" i="582"/>
  <c r="C160" i="582"/>
  <c r="C161" i="582"/>
  <c r="C162" i="582"/>
  <c r="C163" i="582"/>
  <c r="C164" i="582"/>
  <c r="C165" i="582"/>
  <c r="C166" i="582"/>
  <c r="I13" i="582"/>
  <c r="I17" i="582"/>
  <c r="I18" i="582"/>
  <c r="I19" i="582"/>
  <c r="I21" i="582"/>
  <c r="I22" i="582"/>
  <c r="I23" i="582"/>
  <c r="I24" i="582"/>
  <c r="I25" i="582"/>
  <c r="I27" i="582"/>
  <c r="I28" i="582"/>
  <c r="I29" i="582"/>
  <c r="I31" i="582"/>
  <c r="I32" i="582"/>
  <c r="I33" i="582"/>
  <c r="I37" i="582"/>
  <c r="I41" i="582"/>
  <c r="I42" i="582"/>
  <c r="I43" i="582"/>
  <c r="I45" i="582"/>
  <c r="I47" i="582"/>
  <c r="I49" i="582"/>
  <c r="I50" i="582"/>
  <c r="I51" i="582"/>
  <c r="I52" i="582"/>
  <c r="I53" i="582"/>
  <c r="I55" i="582"/>
  <c r="I56" i="582"/>
  <c r="I61" i="582"/>
  <c r="I65" i="582"/>
  <c r="I66" i="582"/>
  <c r="I67" i="582"/>
  <c r="I69" i="582"/>
  <c r="I70" i="582"/>
  <c r="I71" i="582"/>
  <c r="I72" i="582"/>
  <c r="I73" i="582"/>
  <c r="I74" i="582"/>
  <c r="I77" i="582"/>
  <c r="I79" i="582"/>
  <c r="I85" i="582"/>
  <c r="I8" i="582"/>
  <c r="J8" i="582"/>
  <c r="I7" i="582"/>
  <c r="I3" i="585"/>
  <c r="F3" i="585"/>
  <c r="I3" i="584"/>
  <c r="F3" i="584"/>
  <c r="I3" i="583"/>
  <c r="F3" i="583"/>
  <c r="I3" i="582"/>
  <c r="F3" i="582"/>
  <c r="C7" i="544"/>
  <c r="C96" i="544" s="1"/>
  <c r="C8" i="544"/>
  <c r="C9" i="544"/>
  <c r="C10" i="544"/>
  <c r="C11" i="544"/>
  <c r="C12" i="544"/>
  <c r="C13" i="544"/>
  <c r="C14" i="544"/>
  <c r="C15" i="544"/>
  <c r="C16" i="544"/>
  <c r="C17" i="544"/>
  <c r="C18" i="544"/>
  <c r="C19" i="544"/>
  <c r="C20" i="544"/>
  <c r="C21" i="544"/>
  <c r="C22" i="544"/>
  <c r="C23" i="544"/>
  <c r="C24" i="544"/>
  <c r="C25" i="544"/>
  <c r="C26" i="544"/>
  <c r="C27" i="544"/>
  <c r="C28" i="544"/>
  <c r="C29" i="544"/>
  <c r="C30" i="544"/>
  <c r="C31" i="544"/>
  <c r="C32" i="544"/>
  <c r="C33" i="544"/>
  <c r="C34" i="544"/>
  <c r="C35" i="544"/>
  <c r="C36" i="544"/>
  <c r="C37" i="544"/>
  <c r="C38" i="544"/>
  <c r="C39" i="544"/>
  <c r="C40" i="544"/>
  <c r="C41" i="544"/>
  <c r="C42" i="544"/>
  <c r="C43" i="544"/>
  <c r="C44" i="544"/>
  <c r="C45" i="544"/>
  <c r="C46" i="544"/>
  <c r="C47" i="544"/>
  <c r="C48" i="544"/>
  <c r="C49" i="544"/>
  <c r="C50" i="544"/>
  <c r="C51" i="544"/>
  <c r="C52" i="544"/>
  <c r="C53" i="544"/>
  <c r="C54" i="544"/>
  <c r="C55" i="544"/>
  <c r="C56" i="544"/>
  <c r="C57" i="544"/>
  <c r="C58" i="544"/>
  <c r="C59" i="544"/>
  <c r="C60" i="544"/>
  <c r="C61" i="544"/>
  <c r="C62" i="544"/>
  <c r="C63" i="544"/>
  <c r="C64" i="544"/>
  <c r="C65" i="544"/>
  <c r="C66" i="544"/>
  <c r="C67" i="544"/>
  <c r="C68" i="544"/>
  <c r="C69" i="544"/>
  <c r="C70" i="544"/>
  <c r="C71" i="544"/>
  <c r="C72" i="544"/>
  <c r="C73" i="544"/>
  <c r="L73" i="544" s="1"/>
  <c r="C74" i="544"/>
  <c r="N74" i="544" s="1"/>
  <c r="C75" i="544"/>
  <c r="C76" i="544"/>
  <c r="C77" i="544"/>
  <c r="C78" i="544"/>
  <c r="C79" i="544"/>
  <c r="C80" i="544"/>
  <c r="C81" i="544"/>
  <c r="C82" i="544"/>
  <c r="C83" i="544"/>
  <c r="C84" i="544"/>
  <c r="C85" i="544"/>
  <c r="C86" i="544"/>
  <c r="N86" i="544" s="1"/>
  <c r="C166" i="545"/>
  <c r="N166" i="545" s="1"/>
  <c r="C7" i="545"/>
  <c r="C8" i="545"/>
  <c r="C9" i="545"/>
  <c r="C10" i="545"/>
  <c r="C11" i="545"/>
  <c r="C12" i="545"/>
  <c r="C13" i="545"/>
  <c r="C14" i="545"/>
  <c r="C15" i="545"/>
  <c r="C16" i="545"/>
  <c r="C17" i="545"/>
  <c r="C18" i="545"/>
  <c r="C19" i="545"/>
  <c r="C20" i="545"/>
  <c r="C21" i="545"/>
  <c r="C22" i="545"/>
  <c r="C23" i="545"/>
  <c r="C24" i="545"/>
  <c r="C25" i="545"/>
  <c r="C26" i="545"/>
  <c r="C27" i="545"/>
  <c r="C28" i="545"/>
  <c r="C29" i="545"/>
  <c r="C30" i="545"/>
  <c r="C31" i="545"/>
  <c r="C32" i="545"/>
  <c r="C33" i="545"/>
  <c r="C34" i="545"/>
  <c r="C35" i="545"/>
  <c r="C36" i="545"/>
  <c r="C37" i="545"/>
  <c r="C38" i="545"/>
  <c r="C39" i="545"/>
  <c r="C40" i="545"/>
  <c r="C41" i="545"/>
  <c r="C42" i="545"/>
  <c r="C43" i="545"/>
  <c r="C44" i="545"/>
  <c r="C45" i="545"/>
  <c r="C46" i="545"/>
  <c r="C47" i="545"/>
  <c r="C48" i="545"/>
  <c r="C49" i="545"/>
  <c r="C50" i="545"/>
  <c r="C51" i="545"/>
  <c r="C52" i="545"/>
  <c r="C53" i="545"/>
  <c r="C54" i="545"/>
  <c r="C55" i="545"/>
  <c r="C56" i="545"/>
  <c r="C57" i="545"/>
  <c r="C58" i="545"/>
  <c r="C59" i="545"/>
  <c r="C60" i="545"/>
  <c r="C61" i="545"/>
  <c r="C62" i="545"/>
  <c r="C63" i="545"/>
  <c r="C64" i="545"/>
  <c r="C65" i="545"/>
  <c r="C66" i="545"/>
  <c r="C67" i="545"/>
  <c r="C68" i="545"/>
  <c r="C69" i="545"/>
  <c r="C70" i="545"/>
  <c r="C71" i="545"/>
  <c r="C72" i="545"/>
  <c r="C73" i="545"/>
  <c r="L73" i="545" s="1"/>
  <c r="C74" i="545"/>
  <c r="N74" i="545" s="1"/>
  <c r="C75" i="545"/>
  <c r="C76" i="545"/>
  <c r="C77" i="545"/>
  <c r="C78" i="545"/>
  <c r="C79" i="545"/>
  <c r="C80" i="545"/>
  <c r="C81" i="545"/>
  <c r="C82" i="545"/>
  <c r="C83" i="545"/>
  <c r="C84" i="545"/>
  <c r="C85" i="545"/>
  <c r="C86" i="545"/>
  <c r="N86" i="545" s="1"/>
  <c r="C87" i="545"/>
  <c r="C88" i="545"/>
  <c r="C89" i="545"/>
  <c r="C90" i="545"/>
  <c r="C91" i="545"/>
  <c r="C92" i="545"/>
  <c r="C93" i="545"/>
  <c r="C94" i="545"/>
  <c r="C95" i="545"/>
  <c r="C96" i="545"/>
  <c r="C97" i="545"/>
  <c r="C98" i="545"/>
  <c r="C99" i="545"/>
  <c r="C100" i="545"/>
  <c r="C101" i="545"/>
  <c r="C102" i="545"/>
  <c r="C103" i="545"/>
  <c r="C104" i="545"/>
  <c r="C105" i="545"/>
  <c r="C106" i="545"/>
  <c r="C107" i="545"/>
  <c r="C108" i="545"/>
  <c r="C109" i="545"/>
  <c r="C110" i="545"/>
  <c r="C111" i="545"/>
  <c r="C112" i="545"/>
  <c r="C113" i="545"/>
  <c r="C114" i="545"/>
  <c r="C115" i="545"/>
  <c r="C116" i="545"/>
  <c r="C117" i="545"/>
  <c r="C118" i="545"/>
  <c r="C119" i="545"/>
  <c r="C120" i="545"/>
  <c r="C121" i="545"/>
  <c r="C122" i="545"/>
  <c r="C123" i="545"/>
  <c r="C124" i="545"/>
  <c r="C125" i="545"/>
  <c r="C126" i="545"/>
  <c r="C127" i="545"/>
  <c r="C128" i="545"/>
  <c r="C129" i="545"/>
  <c r="C130" i="545"/>
  <c r="C131" i="545"/>
  <c r="C132" i="545"/>
  <c r="C133" i="545"/>
  <c r="C134" i="545"/>
  <c r="C135" i="545"/>
  <c r="C136" i="545"/>
  <c r="C137" i="545"/>
  <c r="C138" i="545"/>
  <c r="C139" i="545"/>
  <c r="C140" i="545"/>
  <c r="C141" i="545"/>
  <c r="C142" i="545"/>
  <c r="C143" i="545"/>
  <c r="C144" i="545"/>
  <c r="C145" i="545"/>
  <c r="C146" i="545"/>
  <c r="C147" i="545"/>
  <c r="C148" i="545"/>
  <c r="C149" i="545"/>
  <c r="C150" i="545"/>
  <c r="C151" i="545"/>
  <c r="C152" i="545"/>
  <c r="C153" i="545"/>
  <c r="L153" i="545" s="1"/>
  <c r="C154" i="545"/>
  <c r="N154" i="545" s="1"/>
  <c r="C155" i="545"/>
  <c r="C156" i="545"/>
  <c r="C157" i="545"/>
  <c r="C158" i="545"/>
  <c r="C159" i="545"/>
  <c r="C160" i="545"/>
  <c r="C161" i="545"/>
  <c r="C162" i="545"/>
  <c r="C163" i="545"/>
  <c r="C164" i="545"/>
  <c r="C165" i="545"/>
  <c r="C7" i="547"/>
  <c r="C8" i="547"/>
  <c r="C9" i="547"/>
  <c r="C10" i="547"/>
  <c r="C11" i="547"/>
  <c r="C12" i="547"/>
  <c r="C13" i="547"/>
  <c r="C14" i="547"/>
  <c r="C15" i="547"/>
  <c r="C16" i="547"/>
  <c r="C17" i="547"/>
  <c r="C18" i="547"/>
  <c r="C19" i="547"/>
  <c r="C20" i="547"/>
  <c r="C21" i="547"/>
  <c r="C22" i="547"/>
  <c r="C23" i="547"/>
  <c r="C24" i="547"/>
  <c r="C25" i="547"/>
  <c r="C26" i="547"/>
  <c r="C27" i="547"/>
  <c r="C28" i="547"/>
  <c r="C29" i="547"/>
  <c r="C30" i="547"/>
  <c r="C31" i="547"/>
  <c r="C32" i="547"/>
  <c r="C33" i="547"/>
  <c r="C34" i="547"/>
  <c r="C35" i="547"/>
  <c r="C36" i="547"/>
  <c r="C37" i="547"/>
  <c r="C38" i="547"/>
  <c r="C39" i="547"/>
  <c r="C40" i="547"/>
  <c r="C41" i="547"/>
  <c r="C42" i="547"/>
  <c r="C43" i="547"/>
  <c r="C44" i="547"/>
  <c r="C45" i="547"/>
  <c r="C46" i="547"/>
  <c r="C47" i="547"/>
  <c r="C48" i="547"/>
  <c r="C49" i="547"/>
  <c r="C50" i="547"/>
  <c r="C51" i="547"/>
  <c r="C52" i="547"/>
  <c r="C53" i="547"/>
  <c r="C54" i="547"/>
  <c r="C55" i="547"/>
  <c r="C56" i="547"/>
  <c r="C57" i="547"/>
  <c r="C58" i="547"/>
  <c r="C59" i="547"/>
  <c r="C60" i="547"/>
  <c r="C61" i="547"/>
  <c r="C62" i="547"/>
  <c r="C63" i="547"/>
  <c r="C64" i="547"/>
  <c r="C65" i="547"/>
  <c r="C66" i="547"/>
  <c r="C67" i="547"/>
  <c r="C68" i="547"/>
  <c r="C69" i="547"/>
  <c r="C70" i="547"/>
  <c r="C71" i="547"/>
  <c r="C72" i="547"/>
  <c r="C73" i="547"/>
  <c r="C74" i="547"/>
  <c r="C75" i="547"/>
  <c r="C76" i="547"/>
  <c r="C77" i="547"/>
  <c r="C78" i="547"/>
  <c r="C79" i="547"/>
  <c r="C80" i="547"/>
  <c r="N80" i="547" s="1"/>
  <c r="C81" i="547"/>
  <c r="J81" i="547" s="1"/>
  <c r="C82" i="547"/>
  <c r="C83" i="547"/>
  <c r="C84" i="547"/>
  <c r="C85" i="547"/>
  <c r="C86" i="547"/>
  <c r="N86" i="547" s="1"/>
  <c r="C7" i="581"/>
  <c r="N7" i="581" s="1"/>
  <c r="C8" i="581"/>
  <c r="N8" i="581" s="1"/>
  <c r="C9" i="581"/>
  <c r="N9" i="581" s="1"/>
  <c r="C10" i="581"/>
  <c r="C11" i="581"/>
  <c r="C12" i="581"/>
  <c r="C13" i="581"/>
  <c r="C14" i="581"/>
  <c r="C15" i="581"/>
  <c r="C16" i="581"/>
  <c r="C17" i="581"/>
  <c r="C18" i="581"/>
  <c r="C19" i="581"/>
  <c r="C20" i="581"/>
  <c r="C21" i="581"/>
  <c r="C22" i="581"/>
  <c r="C23" i="581"/>
  <c r="C24" i="581"/>
  <c r="C25" i="581"/>
  <c r="C26" i="581"/>
  <c r="N26" i="581" s="1"/>
  <c r="C27" i="581"/>
  <c r="C28" i="581"/>
  <c r="N28" i="581" s="1"/>
  <c r="C29" i="581"/>
  <c r="N29" i="581" s="1"/>
  <c r="C30" i="581"/>
  <c r="N30" i="581" s="1"/>
  <c r="C31" i="581"/>
  <c r="N31" i="581" s="1"/>
  <c r="C32" i="581"/>
  <c r="N32" i="581" s="1"/>
  <c r="C33" i="581"/>
  <c r="N33" i="581" s="1"/>
  <c r="C34" i="581"/>
  <c r="N34" i="581" s="1"/>
  <c r="C35" i="581"/>
  <c r="N35" i="581" s="1"/>
  <c r="C36" i="581"/>
  <c r="N36" i="581" s="1"/>
  <c r="C37" i="581"/>
  <c r="N37" i="581" s="1"/>
  <c r="C38" i="581"/>
  <c r="C39" i="581"/>
  <c r="N39" i="581" s="1"/>
  <c r="C40" i="581"/>
  <c r="N40" i="581" s="1"/>
  <c r="C41" i="581"/>
  <c r="N41" i="581" s="1"/>
  <c r="C42" i="581"/>
  <c r="N42" i="581" s="1"/>
  <c r="C43" i="581"/>
  <c r="N43" i="581" s="1"/>
  <c r="C44" i="581"/>
  <c r="N44" i="581" s="1"/>
  <c r="C45" i="581"/>
  <c r="N45" i="581" s="1"/>
  <c r="C46" i="581"/>
  <c r="N46" i="581" s="1"/>
  <c r="C47" i="581"/>
  <c r="N47" i="581" s="1"/>
  <c r="C48" i="581"/>
  <c r="N48" i="581" s="1"/>
  <c r="C49" i="581"/>
  <c r="N49" i="581" s="1"/>
  <c r="C50" i="581"/>
  <c r="N50" i="581" s="1"/>
  <c r="C51" i="581"/>
  <c r="N51" i="581" s="1"/>
  <c r="C52" i="581"/>
  <c r="N52" i="581" s="1"/>
  <c r="C53" i="581"/>
  <c r="N53" i="581" s="1"/>
  <c r="C54" i="581"/>
  <c r="N54" i="581" s="1"/>
  <c r="C55" i="581"/>
  <c r="N55" i="581" s="1"/>
  <c r="C56" i="581"/>
  <c r="N56" i="581" s="1"/>
  <c r="C57" i="581"/>
  <c r="N57" i="581" s="1"/>
  <c r="C58" i="581"/>
  <c r="N58" i="581" s="1"/>
  <c r="C59" i="581"/>
  <c r="N59" i="581" s="1"/>
  <c r="C60" i="581"/>
  <c r="N60" i="581" s="1"/>
  <c r="C61" i="581"/>
  <c r="N61" i="581" s="1"/>
  <c r="C62" i="581"/>
  <c r="N62" i="581" s="1"/>
  <c r="C63" i="581"/>
  <c r="N63" i="581" s="1"/>
  <c r="C64" i="581"/>
  <c r="N64" i="581" s="1"/>
  <c r="C65" i="581"/>
  <c r="N65" i="581" s="1"/>
  <c r="C66" i="581"/>
  <c r="N66" i="581" s="1"/>
  <c r="C67" i="581"/>
  <c r="N67" i="581" s="1"/>
  <c r="C68" i="581"/>
  <c r="N68" i="581" s="1"/>
  <c r="C69" i="581"/>
  <c r="N69" i="581" s="1"/>
  <c r="C70" i="581"/>
  <c r="N70" i="581" s="1"/>
  <c r="C71" i="581"/>
  <c r="N71" i="581" s="1"/>
  <c r="C72" i="581"/>
  <c r="N72" i="581" s="1"/>
  <c r="C74" i="581"/>
  <c r="N74" i="581" s="1"/>
  <c r="C75" i="581"/>
  <c r="C73" i="581"/>
  <c r="N73" i="581" s="1"/>
  <c r="C76" i="581"/>
  <c r="C77" i="581"/>
  <c r="C78" i="581"/>
  <c r="N78" i="581" s="1"/>
  <c r="C79" i="581"/>
  <c r="N79" i="581" s="1"/>
  <c r="C80" i="581"/>
  <c r="N80" i="581" s="1"/>
  <c r="C81" i="581"/>
  <c r="N81" i="581" s="1"/>
  <c r="C82" i="581"/>
  <c r="N82" i="581" s="1"/>
  <c r="C83" i="581"/>
  <c r="C84" i="581"/>
  <c r="N84" i="581" s="1"/>
  <c r="C85" i="581"/>
  <c r="N85" i="581" s="1"/>
  <c r="C86" i="581"/>
  <c r="I3" i="581"/>
  <c r="F3" i="581"/>
  <c r="C87" i="579"/>
  <c r="L87" i="579" s="1"/>
  <c r="C85" i="579"/>
  <c r="N85" i="579" s="1"/>
  <c r="C84" i="579"/>
  <c r="N84" i="579" s="1"/>
  <c r="C83" i="579"/>
  <c r="L83" i="579" s="1"/>
  <c r="C82" i="579"/>
  <c r="L82" i="579" s="1"/>
  <c r="C79" i="579"/>
  <c r="L79" i="579" s="1"/>
  <c r="C78" i="579"/>
  <c r="L78" i="579" s="1"/>
  <c r="C77" i="579"/>
  <c r="L77" i="579" s="1"/>
  <c r="C76" i="579"/>
  <c r="L76" i="579" s="1"/>
  <c r="C75" i="579"/>
  <c r="L75" i="579" s="1"/>
  <c r="C74" i="579"/>
  <c r="L74" i="579" s="1"/>
  <c r="C73" i="579"/>
  <c r="L73" i="579" s="1"/>
  <c r="C72" i="579"/>
  <c r="L72" i="579" s="1"/>
  <c r="C71" i="579"/>
  <c r="L71" i="579" s="1"/>
  <c r="C70" i="579"/>
  <c r="L70" i="579" s="1"/>
  <c r="C69" i="579"/>
  <c r="L69" i="579" s="1"/>
  <c r="C68" i="579"/>
  <c r="L68" i="579" s="1"/>
  <c r="C67" i="579"/>
  <c r="L67" i="579" s="1"/>
  <c r="C66" i="579"/>
  <c r="L66" i="579" s="1"/>
  <c r="C65" i="579"/>
  <c r="L65" i="579" s="1"/>
  <c r="C64" i="579"/>
  <c r="L64" i="579" s="1"/>
  <c r="C63" i="579"/>
  <c r="L63" i="579" s="1"/>
  <c r="C62" i="579"/>
  <c r="L62" i="579" s="1"/>
  <c r="C61" i="579"/>
  <c r="L61" i="579" s="1"/>
  <c r="C60" i="579"/>
  <c r="L60" i="579" s="1"/>
  <c r="C59" i="579"/>
  <c r="L59" i="579" s="1"/>
  <c r="C58" i="579"/>
  <c r="L58" i="579" s="1"/>
  <c r="C57" i="579"/>
  <c r="L57" i="579" s="1"/>
  <c r="C56" i="579"/>
  <c r="L56" i="579" s="1"/>
  <c r="C55" i="579"/>
  <c r="L55" i="579" s="1"/>
  <c r="C54" i="579"/>
  <c r="L54" i="579" s="1"/>
  <c r="C53" i="579"/>
  <c r="L53" i="579" s="1"/>
  <c r="C52" i="579"/>
  <c r="L52" i="579" s="1"/>
  <c r="C51" i="579"/>
  <c r="L51" i="579" s="1"/>
  <c r="C50" i="579"/>
  <c r="L50" i="579" s="1"/>
  <c r="C49" i="579"/>
  <c r="L49" i="579" s="1"/>
  <c r="C48" i="579"/>
  <c r="L48" i="579" s="1"/>
  <c r="C47" i="579"/>
  <c r="L47" i="579" s="1"/>
  <c r="C46" i="579"/>
  <c r="L46" i="579" s="1"/>
  <c r="C45" i="579"/>
  <c r="L45" i="579" s="1"/>
  <c r="C44" i="579"/>
  <c r="L44" i="579" s="1"/>
  <c r="C43" i="579"/>
  <c r="L43" i="579" s="1"/>
  <c r="C42" i="579"/>
  <c r="L42" i="579" s="1"/>
  <c r="C41" i="579"/>
  <c r="L41" i="579" s="1"/>
  <c r="C40" i="579"/>
  <c r="L40" i="579" s="1"/>
  <c r="C39" i="579"/>
  <c r="L39" i="579" s="1"/>
  <c r="C38" i="579"/>
  <c r="L38" i="579" s="1"/>
  <c r="C37" i="579"/>
  <c r="L37" i="579" s="1"/>
  <c r="C36" i="579"/>
  <c r="L36" i="579" s="1"/>
  <c r="C35" i="579"/>
  <c r="L35" i="579" s="1"/>
  <c r="C34" i="579"/>
  <c r="N34" i="579" s="1"/>
  <c r="C33" i="579"/>
  <c r="N33" i="579" s="1"/>
  <c r="C32" i="579"/>
  <c r="N32" i="579" s="1"/>
  <c r="C31" i="579"/>
  <c r="N31" i="579" s="1"/>
  <c r="C30" i="579"/>
  <c r="N30" i="579" s="1"/>
  <c r="C29" i="579"/>
  <c r="N29" i="579" s="1"/>
  <c r="C28" i="579"/>
  <c r="N28" i="579" s="1"/>
  <c r="C27" i="579"/>
  <c r="N27" i="579" s="1"/>
  <c r="C26" i="579"/>
  <c r="N26" i="579" s="1"/>
  <c r="C25" i="579"/>
  <c r="N25" i="579" s="1"/>
  <c r="C24" i="579"/>
  <c r="N24" i="579" s="1"/>
  <c r="C23" i="579"/>
  <c r="N23" i="579" s="1"/>
  <c r="C22" i="579"/>
  <c r="N22" i="579" s="1"/>
  <c r="C21" i="579"/>
  <c r="N21" i="579" s="1"/>
  <c r="C20" i="579"/>
  <c r="N20" i="579" s="1"/>
  <c r="C19" i="579"/>
  <c r="N19" i="579" s="1"/>
  <c r="C18" i="579"/>
  <c r="N18" i="579" s="1"/>
  <c r="C17" i="579"/>
  <c r="L17" i="579" s="1"/>
  <c r="C16" i="579"/>
  <c r="L16" i="579" s="1"/>
  <c r="C15" i="579"/>
  <c r="N15" i="579" s="1"/>
  <c r="C14" i="579"/>
  <c r="L14" i="579" s="1"/>
  <c r="C13" i="579"/>
  <c r="L13" i="579" s="1"/>
  <c r="C12" i="579"/>
  <c r="L12" i="579" s="1"/>
  <c r="C11" i="579"/>
  <c r="N11" i="579" s="1"/>
  <c r="C10" i="579"/>
  <c r="N10" i="579" s="1"/>
  <c r="C9" i="579"/>
  <c r="N9" i="579" s="1"/>
  <c r="C8" i="579"/>
  <c r="N8" i="579" s="1"/>
  <c r="C7" i="579"/>
  <c r="L7" i="579" s="1"/>
  <c r="I3" i="579"/>
  <c r="F3" i="579"/>
  <c r="Q29" i="216"/>
  <c r="P29" i="216"/>
  <c r="P24" i="216"/>
  <c r="P23" i="216"/>
  <c r="I26" i="582" l="1"/>
  <c r="J7" i="582"/>
  <c r="I46" i="582"/>
  <c r="J80" i="549"/>
  <c r="I57" i="582"/>
  <c r="I81" i="582"/>
  <c r="I48" i="582"/>
  <c r="I12" i="582"/>
  <c r="I80" i="582"/>
  <c r="I11" i="582"/>
  <c r="C133" i="544"/>
  <c r="I76" i="582"/>
  <c r="I75" i="582"/>
  <c r="C138" i="544"/>
  <c r="C132" i="544"/>
  <c r="C125" i="544"/>
  <c r="C124" i="544"/>
  <c r="C119" i="544"/>
  <c r="C118" i="544"/>
  <c r="I64" i="582"/>
  <c r="C115" i="544"/>
  <c r="C113" i="544"/>
  <c r="C166" i="544"/>
  <c r="N166" i="544" s="1"/>
  <c r="C112" i="544"/>
  <c r="C162" i="544"/>
  <c r="C111" i="544"/>
  <c r="C161" i="544"/>
  <c r="C109" i="544"/>
  <c r="C159" i="544"/>
  <c r="C107" i="544"/>
  <c r="C157" i="544"/>
  <c r="C103" i="544"/>
  <c r="C156" i="544"/>
  <c r="C102" i="544"/>
  <c r="C155" i="544"/>
  <c r="C101" i="544"/>
  <c r="C154" i="544"/>
  <c r="N154" i="544" s="1"/>
  <c r="C99" i="544"/>
  <c r="I16" i="582"/>
  <c r="C152" i="544"/>
  <c r="C92" i="544"/>
  <c r="C150" i="544"/>
  <c r="C149" i="544"/>
  <c r="C143" i="544"/>
  <c r="C142" i="544"/>
  <c r="C140" i="544"/>
  <c r="C139" i="544"/>
  <c r="I40" i="582"/>
  <c r="I60" i="582"/>
  <c r="L89" i="582"/>
  <c r="I82" i="582"/>
  <c r="I10" i="582"/>
  <c r="L86" i="547"/>
  <c r="I84" i="582"/>
  <c r="I36" i="582"/>
  <c r="C147" i="544"/>
  <c r="C88" i="544"/>
  <c r="C116" i="544"/>
  <c r="I15" i="582"/>
  <c r="I39" i="582"/>
  <c r="N86" i="579"/>
  <c r="I14" i="582"/>
  <c r="I38" i="582"/>
  <c r="I63" i="582"/>
  <c r="I62" i="582"/>
  <c r="I35" i="582"/>
  <c r="I34" i="582"/>
  <c r="I86" i="582"/>
  <c r="I58" i="582"/>
  <c r="I83" i="582"/>
  <c r="L80" i="547"/>
  <c r="K89" i="582"/>
  <c r="C87" i="544"/>
  <c r="C148" i="544"/>
  <c r="C108" i="544"/>
  <c r="C144" i="544"/>
  <c r="C104" i="544"/>
  <c r="J86" i="547"/>
  <c r="C136" i="544"/>
  <c r="C91" i="544"/>
  <c r="C135" i="544"/>
  <c r="C90" i="544"/>
  <c r="C164" i="544"/>
  <c r="C130" i="544"/>
  <c r="C163" i="544"/>
  <c r="C126" i="544"/>
  <c r="C165" i="544"/>
  <c r="C137" i="544"/>
  <c r="C106" i="544"/>
  <c r="K9" i="582"/>
  <c r="C160" i="544"/>
  <c r="C131" i="544"/>
  <c r="C100" i="544"/>
  <c r="C128" i="544"/>
  <c r="C95" i="544"/>
  <c r="C127" i="544"/>
  <c r="C94" i="544"/>
  <c r="J80" i="547"/>
  <c r="C151" i="544"/>
  <c r="C123" i="544"/>
  <c r="C89" i="544"/>
  <c r="I59" i="582"/>
  <c r="I86" i="547"/>
  <c r="C146" i="544"/>
  <c r="C114" i="544"/>
  <c r="L9" i="582"/>
  <c r="C141" i="544"/>
  <c r="C117" i="544"/>
  <c r="C93" i="544"/>
  <c r="J9" i="582"/>
  <c r="I9" i="582"/>
  <c r="N81" i="547"/>
  <c r="I80" i="547"/>
  <c r="C158" i="544"/>
  <c r="C134" i="544"/>
  <c r="C110" i="544"/>
  <c r="I78" i="582"/>
  <c r="I54" i="582"/>
  <c r="I30" i="582"/>
  <c r="C153" i="544"/>
  <c r="L153" i="544" s="1"/>
  <c r="C129" i="544"/>
  <c r="C105" i="544"/>
  <c r="C122" i="544"/>
  <c r="C98" i="544"/>
  <c r="C145" i="544"/>
  <c r="C121" i="544"/>
  <c r="C97" i="544"/>
  <c r="C120" i="544"/>
  <c r="I68" i="582"/>
  <c r="I44" i="582"/>
  <c r="I20" i="582"/>
  <c r="J83" i="604"/>
  <c r="J83" i="540"/>
  <c r="J83" i="541"/>
  <c r="J83" i="543"/>
  <c r="J8" i="604"/>
  <c r="J9" i="604"/>
  <c r="J10" i="604"/>
  <c r="J18" i="604"/>
  <c r="N19" i="604"/>
  <c r="J19" i="604"/>
  <c r="J20" i="604"/>
  <c r="J21" i="604"/>
  <c r="J22" i="604"/>
  <c r="J23" i="604"/>
  <c r="J24" i="604"/>
  <c r="J25" i="604"/>
  <c r="J26" i="604"/>
  <c r="J27" i="604"/>
  <c r="J28" i="604"/>
  <c r="J29" i="604"/>
  <c r="J30" i="604"/>
  <c r="J31" i="604"/>
  <c r="J32" i="604"/>
  <c r="J33" i="604"/>
  <c r="J85" i="604"/>
  <c r="J86" i="604"/>
  <c r="I87" i="581"/>
  <c r="J87" i="581"/>
  <c r="L87" i="581"/>
  <c r="I88" i="581"/>
  <c r="J88" i="581"/>
  <c r="L88" i="581"/>
  <c r="I89" i="581"/>
  <c r="J89" i="581"/>
  <c r="L89" i="581"/>
  <c r="I90" i="581"/>
  <c r="J90" i="581"/>
  <c r="L90" i="581"/>
  <c r="I91" i="581"/>
  <c r="J91" i="581"/>
  <c r="L91" i="581"/>
  <c r="I92" i="581"/>
  <c r="J92" i="581"/>
  <c r="L92" i="581"/>
  <c r="I93" i="581"/>
  <c r="J93" i="581"/>
  <c r="L93" i="581"/>
  <c r="I94" i="581"/>
  <c r="J94" i="581"/>
  <c r="L94" i="581"/>
  <c r="I95" i="581"/>
  <c r="J95" i="581"/>
  <c r="L95" i="581"/>
  <c r="I96" i="581"/>
  <c r="J96" i="581"/>
  <c r="L96" i="581"/>
  <c r="I97" i="581"/>
  <c r="J97" i="581"/>
  <c r="L97" i="581"/>
  <c r="I98" i="581"/>
  <c r="J98" i="581"/>
  <c r="L98" i="581"/>
  <c r="I99" i="581"/>
  <c r="J99" i="581"/>
  <c r="L99" i="581"/>
  <c r="I100" i="581"/>
  <c r="J100" i="581"/>
  <c r="L100" i="581"/>
  <c r="I101" i="581"/>
  <c r="J101" i="581"/>
  <c r="L101" i="581"/>
  <c r="I102" i="581"/>
  <c r="J102" i="581"/>
  <c r="L102" i="581"/>
  <c r="N103" i="581"/>
  <c r="L103" i="581"/>
  <c r="I103" i="581"/>
  <c r="J103" i="581"/>
  <c r="I104" i="581"/>
  <c r="J104" i="581"/>
  <c r="L104" i="581"/>
  <c r="I105" i="581"/>
  <c r="J105" i="581"/>
  <c r="L105" i="581"/>
  <c r="I106" i="581"/>
  <c r="J106" i="581"/>
  <c r="L106" i="581"/>
  <c r="I107" i="581"/>
  <c r="J107" i="581"/>
  <c r="L107" i="581"/>
  <c r="I108" i="581"/>
  <c r="J108" i="581"/>
  <c r="L108" i="581"/>
  <c r="I109" i="581"/>
  <c r="J109" i="581"/>
  <c r="L109" i="581"/>
  <c r="I110" i="581"/>
  <c r="J110" i="581"/>
  <c r="L110" i="581"/>
  <c r="I111" i="581"/>
  <c r="J111" i="581"/>
  <c r="L111" i="581"/>
  <c r="I112" i="581"/>
  <c r="J112" i="581"/>
  <c r="L112" i="581"/>
  <c r="I113" i="581"/>
  <c r="J113" i="581"/>
  <c r="L113" i="581"/>
  <c r="I114" i="581"/>
  <c r="J114" i="581"/>
  <c r="L114" i="581"/>
  <c r="I115" i="581"/>
  <c r="J115" i="581"/>
  <c r="L115" i="581"/>
  <c r="I116" i="581"/>
  <c r="J116" i="581"/>
  <c r="L116" i="581"/>
  <c r="I117" i="581"/>
  <c r="J117" i="581"/>
  <c r="L117" i="581"/>
  <c r="I118" i="581"/>
  <c r="J118" i="581"/>
  <c r="L118" i="581"/>
  <c r="I119" i="581"/>
  <c r="J119" i="581"/>
  <c r="L119" i="581"/>
  <c r="I120" i="581"/>
  <c r="J120" i="581"/>
  <c r="L120" i="581"/>
  <c r="I121" i="581"/>
  <c r="J121" i="581"/>
  <c r="L121" i="581"/>
  <c r="I122" i="581"/>
  <c r="J122" i="581"/>
  <c r="L122" i="581"/>
  <c r="I123" i="581"/>
  <c r="J123" i="581"/>
  <c r="L123" i="581"/>
  <c r="I124" i="581"/>
  <c r="J124" i="581"/>
  <c r="L124" i="581"/>
  <c r="I125" i="581"/>
  <c r="J125" i="581"/>
  <c r="L125" i="581"/>
  <c r="I126" i="581"/>
  <c r="J126" i="581"/>
  <c r="L126" i="581"/>
  <c r="I127" i="581"/>
  <c r="J127" i="581"/>
  <c r="L127" i="581"/>
  <c r="I128" i="581"/>
  <c r="J128" i="581"/>
  <c r="L128" i="581"/>
  <c r="I129" i="581"/>
  <c r="J129" i="581"/>
  <c r="L129" i="581"/>
  <c r="I130" i="581"/>
  <c r="J130" i="581"/>
  <c r="L130" i="581"/>
  <c r="I131" i="581"/>
  <c r="J131" i="581"/>
  <c r="L131" i="581"/>
  <c r="I132" i="581"/>
  <c r="J132" i="581"/>
  <c r="L132" i="581"/>
  <c r="I133" i="581"/>
  <c r="J133" i="581"/>
  <c r="L133" i="581"/>
  <c r="I134" i="581"/>
  <c r="J134" i="581"/>
  <c r="L134" i="581"/>
  <c r="I135" i="581"/>
  <c r="J135" i="581"/>
  <c r="L135" i="581"/>
  <c r="I136" i="581"/>
  <c r="J136" i="581"/>
  <c r="L136" i="581"/>
  <c r="I137" i="581"/>
  <c r="J137" i="581"/>
  <c r="L137" i="581"/>
  <c r="I138" i="581"/>
  <c r="J138" i="581"/>
  <c r="L138" i="581"/>
  <c r="I139" i="581"/>
  <c r="J139" i="581"/>
  <c r="L139" i="581"/>
  <c r="I140" i="581"/>
  <c r="J140" i="581"/>
  <c r="L140" i="581"/>
  <c r="I141" i="581"/>
  <c r="J141" i="581"/>
  <c r="L141" i="581"/>
  <c r="I142" i="581"/>
  <c r="J142" i="581"/>
  <c r="L142" i="581"/>
  <c r="I143" i="581"/>
  <c r="J143" i="581"/>
  <c r="L143" i="581"/>
  <c r="I144" i="581"/>
  <c r="J144" i="581"/>
  <c r="L144" i="581"/>
  <c r="I145" i="581"/>
  <c r="J145" i="581"/>
  <c r="L145" i="581"/>
  <c r="N146" i="581"/>
  <c r="L146" i="581"/>
  <c r="J146" i="581"/>
  <c r="I146" i="581"/>
  <c r="I147" i="581"/>
  <c r="J147" i="581"/>
  <c r="L147" i="581"/>
  <c r="I148" i="581"/>
  <c r="J148" i="581"/>
  <c r="L148" i="581"/>
  <c r="I149" i="581"/>
  <c r="J149" i="581"/>
  <c r="L149" i="581"/>
  <c r="I150" i="581"/>
  <c r="J150" i="581"/>
  <c r="L150" i="581"/>
  <c r="I151" i="581"/>
  <c r="J151" i="581"/>
  <c r="L151" i="581"/>
  <c r="I152" i="581"/>
  <c r="J152" i="581"/>
  <c r="L152" i="581"/>
  <c r="I153" i="581"/>
  <c r="J153" i="581"/>
  <c r="L153" i="581"/>
  <c r="I154" i="581"/>
  <c r="J154" i="581"/>
  <c r="L154" i="581"/>
  <c r="I155" i="581"/>
  <c r="J155" i="581"/>
  <c r="L155" i="581"/>
  <c r="I156" i="581"/>
  <c r="J156" i="581"/>
  <c r="L156" i="581"/>
  <c r="I157" i="581"/>
  <c r="J157" i="581"/>
  <c r="L157" i="581"/>
  <c r="I158" i="581"/>
  <c r="J158" i="581"/>
  <c r="L158" i="581"/>
  <c r="I159" i="581"/>
  <c r="J159" i="581"/>
  <c r="L159" i="581"/>
  <c r="I160" i="581"/>
  <c r="J160" i="581"/>
  <c r="L160" i="581"/>
  <c r="I161" i="581"/>
  <c r="J161" i="581"/>
  <c r="K161" i="581"/>
  <c r="L161" i="581"/>
  <c r="I162" i="581"/>
  <c r="J162" i="581"/>
  <c r="L162" i="581"/>
  <c r="I163" i="581"/>
  <c r="J163" i="581"/>
  <c r="L163" i="581"/>
  <c r="I164" i="581"/>
  <c r="J164" i="581"/>
  <c r="L164" i="581"/>
  <c r="I165" i="581"/>
  <c r="J165" i="581"/>
  <c r="L165" i="581"/>
  <c r="I166" i="581"/>
  <c r="J166" i="581"/>
  <c r="L166" i="581"/>
  <c r="J86" i="549"/>
  <c r="L81" i="549"/>
  <c r="L86" i="549"/>
  <c r="I86" i="579"/>
  <c r="L86" i="579"/>
  <c r="I80" i="579"/>
  <c r="J80" i="579"/>
  <c r="I81" i="579"/>
  <c r="L81" i="579"/>
  <c r="I86" i="549"/>
  <c r="I80" i="549"/>
  <c r="I81" i="549"/>
  <c r="E28" i="597"/>
  <c r="E42" i="597"/>
  <c r="E49" i="597"/>
  <c r="L7" i="585"/>
  <c r="N7" i="585"/>
  <c r="J85" i="585"/>
  <c r="N85" i="585"/>
  <c r="J84" i="585"/>
  <c r="N84" i="585"/>
  <c r="J82" i="585"/>
  <c r="N82" i="585"/>
  <c r="L81" i="585"/>
  <c r="N81" i="585"/>
  <c r="J80" i="585"/>
  <c r="N80" i="585"/>
  <c r="L79" i="585"/>
  <c r="N79" i="585"/>
  <c r="J78" i="585"/>
  <c r="N78" i="585"/>
  <c r="J75" i="585"/>
  <c r="N75" i="585"/>
  <c r="J73" i="585"/>
  <c r="N73" i="585"/>
  <c r="L72" i="585"/>
  <c r="N72" i="585"/>
  <c r="L71" i="585"/>
  <c r="N71" i="585"/>
  <c r="L70" i="585"/>
  <c r="N70" i="585"/>
  <c r="L69" i="585"/>
  <c r="N69" i="585"/>
  <c r="L68" i="585"/>
  <c r="N68" i="585"/>
  <c r="L67" i="585"/>
  <c r="N67" i="585"/>
  <c r="L66" i="585"/>
  <c r="N66" i="585"/>
  <c r="L65" i="585"/>
  <c r="N65" i="585"/>
  <c r="L64" i="585"/>
  <c r="N64" i="585"/>
  <c r="L63" i="585"/>
  <c r="N63" i="585"/>
  <c r="L62" i="585"/>
  <c r="N62" i="585"/>
  <c r="L61" i="585"/>
  <c r="N61" i="585"/>
  <c r="L60" i="585"/>
  <c r="N60" i="585"/>
  <c r="L59" i="585"/>
  <c r="N59" i="585"/>
  <c r="L58" i="585"/>
  <c r="N58" i="585"/>
  <c r="L57" i="585"/>
  <c r="N57" i="585"/>
  <c r="L56" i="585"/>
  <c r="N56" i="585"/>
  <c r="L55" i="585"/>
  <c r="N55" i="585"/>
  <c r="L54" i="585"/>
  <c r="N54" i="585"/>
  <c r="L53" i="585"/>
  <c r="N53" i="585"/>
  <c r="L52" i="585"/>
  <c r="N52" i="585"/>
  <c r="L51" i="585"/>
  <c r="N51" i="585"/>
  <c r="L50" i="585"/>
  <c r="N50" i="585"/>
  <c r="L49" i="585"/>
  <c r="N49" i="585"/>
  <c r="L48" i="585"/>
  <c r="N48" i="585"/>
  <c r="L47" i="585"/>
  <c r="N47" i="585"/>
  <c r="L46" i="585"/>
  <c r="N46" i="585"/>
  <c r="L45" i="585"/>
  <c r="N45" i="585"/>
  <c r="L44" i="585"/>
  <c r="N44" i="585"/>
  <c r="L43" i="585"/>
  <c r="N43" i="585"/>
  <c r="L42" i="585"/>
  <c r="N42" i="585"/>
  <c r="L41" i="585"/>
  <c r="N41" i="585"/>
  <c r="L40" i="585"/>
  <c r="N40" i="585"/>
  <c r="L39" i="585"/>
  <c r="N39" i="585"/>
  <c r="L37" i="585"/>
  <c r="N37" i="585"/>
  <c r="L36" i="585"/>
  <c r="N36" i="585"/>
  <c r="L35" i="585"/>
  <c r="N35" i="585"/>
  <c r="L34" i="585"/>
  <c r="N34" i="585"/>
  <c r="L33" i="585"/>
  <c r="N33" i="585"/>
  <c r="L32" i="585"/>
  <c r="N32" i="585"/>
  <c r="L31" i="585"/>
  <c r="N31" i="585"/>
  <c r="L30" i="585"/>
  <c r="N30" i="585"/>
  <c r="L29" i="585"/>
  <c r="N29" i="585"/>
  <c r="L28" i="585"/>
  <c r="N28" i="585"/>
  <c r="L26" i="585"/>
  <c r="N26" i="585"/>
  <c r="L9" i="585"/>
  <c r="N9" i="585"/>
  <c r="L8" i="585"/>
  <c r="N8" i="585"/>
  <c r="J87" i="585"/>
  <c r="N87" i="585"/>
  <c r="J165" i="585"/>
  <c r="N165" i="585"/>
  <c r="J164" i="585"/>
  <c r="N164" i="585"/>
  <c r="J162" i="585"/>
  <c r="N162" i="585"/>
  <c r="J161" i="585"/>
  <c r="N161" i="585"/>
  <c r="J160" i="585"/>
  <c r="N160" i="585"/>
  <c r="L159" i="585"/>
  <c r="N159" i="585"/>
  <c r="J158" i="585"/>
  <c r="N158" i="585"/>
  <c r="J155" i="585"/>
  <c r="N155" i="585"/>
  <c r="J153" i="585"/>
  <c r="N153" i="585"/>
  <c r="L152" i="585"/>
  <c r="N152" i="585"/>
  <c r="J151" i="585"/>
  <c r="N151" i="585"/>
  <c r="J150" i="585"/>
  <c r="N150" i="585"/>
  <c r="J149" i="585"/>
  <c r="N149" i="585"/>
  <c r="J148" i="585"/>
  <c r="N148" i="585"/>
  <c r="J147" i="585"/>
  <c r="N147" i="585"/>
  <c r="J146" i="585"/>
  <c r="N146" i="585"/>
  <c r="J145" i="585"/>
  <c r="N145" i="585"/>
  <c r="J144" i="585"/>
  <c r="N144" i="585"/>
  <c r="J143" i="585"/>
  <c r="N143" i="585"/>
  <c r="J142" i="585"/>
  <c r="N142" i="585"/>
  <c r="J141" i="585"/>
  <c r="N141" i="585"/>
  <c r="J140" i="585"/>
  <c r="N140" i="585"/>
  <c r="J139" i="585"/>
  <c r="N139" i="585"/>
  <c r="J138" i="585"/>
  <c r="N138" i="585"/>
  <c r="J137" i="585"/>
  <c r="N137" i="585"/>
  <c r="J136" i="585"/>
  <c r="N136" i="585"/>
  <c r="J135" i="585"/>
  <c r="N135" i="585"/>
  <c r="J134" i="585"/>
  <c r="N134" i="585"/>
  <c r="J133" i="585"/>
  <c r="N133" i="585"/>
  <c r="J132" i="585"/>
  <c r="N132" i="585"/>
  <c r="J131" i="585"/>
  <c r="N131" i="585"/>
  <c r="J130" i="585"/>
  <c r="N130" i="585"/>
  <c r="J129" i="585"/>
  <c r="N129" i="585"/>
  <c r="J128" i="585"/>
  <c r="N128" i="585"/>
  <c r="J127" i="585"/>
  <c r="N127" i="585"/>
  <c r="J126" i="585"/>
  <c r="N126" i="585"/>
  <c r="J125" i="585"/>
  <c r="N125" i="585"/>
  <c r="J124" i="585"/>
  <c r="N124" i="585"/>
  <c r="J123" i="585"/>
  <c r="N123" i="585"/>
  <c r="J122" i="585"/>
  <c r="N122" i="585"/>
  <c r="J121" i="585"/>
  <c r="N121" i="585"/>
  <c r="J120" i="585"/>
  <c r="N120" i="585"/>
  <c r="J119" i="585"/>
  <c r="N119" i="585"/>
  <c r="J117" i="585"/>
  <c r="N117" i="585"/>
  <c r="J116" i="585"/>
  <c r="N116" i="585"/>
  <c r="J115" i="585"/>
  <c r="N115" i="585"/>
  <c r="J114" i="585"/>
  <c r="N114" i="585"/>
  <c r="J113" i="585"/>
  <c r="N113" i="585"/>
  <c r="J112" i="585"/>
  <c r="N112" i="585"/>
  <c r="J111" i="585"/>
  <c r="N111" i="585"/>
  <c r="J110" i="585"/>
  <c r="N110" i="585"/>
  <c r="L109" i="585"/>
  <c r="N109" i="585"/>
  <c r="L108" i="585"/>
  <c r="N108" i="585"/>
  <c r="L89" i="585"/>
  <c r="N89" i="585"/>
  <c r="L88" i="585"/>
  <c r="N88" i="585"/>
  <c r="N7" i="584"/>
  <c r="K7" i="584"/>
  <c r="J7" i="584"/>
  <c r="N81" i="584"/>
  <c r="K81" i="584"/>
  <c r="J81" i="584"/>
  <c r="N79" i="584"/>
  <c r="K79" i="584"/>
  <c r="J79" i="584"/>
  <c r="N72" i="584"/>
  <c r="K72" i="584"/>
  <c r="J72" i="584"/>
  <c r="N29" i="584"/>
  <c r="K29" i="584"/>
  <c r="J29" i="584"/>
  <c r="N28" i="584"/>
  <c r="K28" i="584"/>
  <c r="J28" i="584"/>
  <c r="N9" i="584"/>
  <c r="K9" i="584"/>
  <c r="J9" i="584"/>
  <c r="N8" i="584"/>
  <c r="K8" i="584"/>
  <c r="J8" i="584"/>
  <c r="N87" i="584"/>
  <c r="K87" i="584"/>
  <c r="J87" i="584"/>
  <c r="N159" i="584"/>
  <c r="K159" i="584"/>
  <c r="J159" i="584"/>
  <c r="N152" i="584"/>
  <c r="K152" i="584"/>
  <c r="J152" i="584"/>
  <c r="N109" i="584"/>
  <c r="K109" i="584"/>
  <c r="J109" i="584"/>
  <c r="N108" i="584"/>
  <c r="K108" i="584"/>
  <c r="J108" i="584"/>
  <c r="N89" i="584"/>
  <c r="K89" i="584"/>
  <c r="J89" i="584"/>
  <c r="N88" i="584"/>
  <c r="K88" i="584"/>
  <c r="J88" i="584"/>
  <c r="N86" i="583"/>
  <c r="L86" i="583"/>
  <c r="N85" i="583"/>
  <c r="L85" i="583"/>
  <c r="N84" i="583"/>
  <c r="L84" i="583"/>
  <c r="N83" i="583"/>
  <c r="L83" i="583"/>
  <c r="N82" i="583"/>
  <c r="L82" i="583"/>
  <c r="N81" i="583"/>
  <c r="L81" i="583"/>
  <c r="N80" i="583"/>
  <c r="L80" i="583"/>
  <c r="N79" i="583"/>
  <c r="L79" i="583"/>
  <c r="N78" i="583"/>
  <c r="L78" i="583"/>
  <c r="N77" i="583"/>
  <c r="L77" i="583"/>
  <c r="N76" i="583"/>
  <c r="L76" i="583"/>
  <c r="N75" i="583"/>
  <c r="L75" i="583"/>
  <c r="N74" i="583"/>
  <c r="L74" i="583"/>
  <c r="N73" i="583"/>
  <c r="L73" i="583"/>
  <c r="N72" i="583"/>
  <c r="L72" i="583"/>
  <c r="N71" i="583"/>
  <c r="L71" i="583"/>
  <c r="N70" i="583"/>
  <c r="L70" i="583"/>
  <c r="N69" i="583"/>
  <c r="L69" i="583"/>
  <c r="N68" i="583"/>
  <c r="L68" i="583"/>
  <c r="N67" i="583"/>
  <c r="L67" i="583"/>
  <c r="N66" i="583"/>
  <c r="L66" i="583"/>
  <c r="N65" i="583"/>
  <c r="L65" i="583"/>
  <c r="N64" i="583"/>
  <c r="L64" i="583"/>
  <c r="N63" i="583"/>
  <c r="L63" i="583"/>
  <c r="N62" i="583"/>
  <c r="L62" i="583"/>
  <c r="N61" i="583"/>
  <c r="L61" i="583"/>
  <c r="N60" i="583"/>
  <c r="L60" i="583"/>
  <c r="N59" i="583"/>
  <c r="L59" i="583"/>
  <c r="N58" i="583"/>
  <c r="L58" i="583"/>
  <c r="N57" i="583"/>
  <c r="L57" i="583"/>
  <c r="N56" i="583"/>
  <c r="L56" i="583"/>
  <c r="N55" i="583"/>
  <c r="L55" i="583"/>
  <c r="N54" i="583"/>
  <c r="L54" i="583"/>
  <c r="N53" i="583"/>
  <c r="L53" i="583"/>
  <c r="N52" i="583"/>
  <c r="L52" i="583"/>
  <c r="N51" i="583"/>
  <c r="L51" i="583"/>
  <c r="N50" i="583"/>
  <c r="L50" i="583"/>
  <c r="N49" i="583"/>
  <c r="L49" i="583"/>
  <c r="N48" i="583"/>
  <c r="L48" i="583"/>
  <c r="N47" i="583"/>
  <c r="L47" i="583"/>
  <c r="N46" i="583"/>
  <c r="L46" i="583"/>
  <c r="N45" i="583"/>
  <c r="L45" i="583"/>
  <c r="N44" i="583"/>
  <c r="L44" i="583"/>
  <c r="N43" i="583"/>
  <c r="L43" i="583"/>
  <c r="N42" i="583"/>
  <c r="L42" i="583"/>
  <c r="N41" i="583"/>
  <c r="L41" i="583"/>
  <c r="N40" i="583"/>
  <c r="L40" i="583"/>
  <c r="N39" i="583"/>
  <c r="L39" i="583"/>
  <c r="N38" i="583"/>
  <c r="L38" i="583"/>
  <c r="N37" i="583"/>
  <c r="L37" i="583"/>
  <c r="N36" i="583"/>
  <c r="L36" i="583"/>
  <c r="N35" i="583"/>
  <c r="L35" i="583"/>
  <c r="N34" i="583"/>
  <c r="L34" i="583"/>
  <c r="N33" i="583"/>
  <c r="L33" i="583"/>
  <c r="N32" i="583"/>
  <c r="L32" i="583"/>
  <c r="N31" i="583"/>
  <c r="L31" i="583"/>
  <c r="N30" i="583"/>
  <c r="L30" i="583"/>
  <c r="N29" i="583"/>
  <c r="L29" i="583"/>
  <c r="N28" i="583"/>
  <c r="L28" i="583"/>
  <c r="N27" i="583"/>
  <c r="L27" i="583"/>
  <c r="N26" i="583"/>
  <c r="L26" i="583"/>
  <c r="N25" i="583"/>
  <c r="L25" i="583"/>
  <c r="N24" i="583"/>
  <c r="L24" i="583"/>
  <c r="N23" i="583"/>
  <c r="L23" i="583"/>
  <c r="N22" i="583"/>
  <c r="L22" i="583"/>
  <c r="N21" i="583"/>
  <c r="L21" i="583"/>
  <c r="N20" i="583"/>
  <c r="L20" i="583"/>
  <c r="N19" i="583"/>
  <c r="L19" i="583"/>
  <c r="N18" i="583"/>
  <c r="L18" i="583"/>
  <c r="N17" i="583"/>
  <c r="L17" i="583"/>
  <c r="N16" i="583"/>
  <c r="L16" i="583"/>
  <c r="N15" i="583"/>
  <c r="L15" i="583"/>
  <c r="N14" i="583"/>
  <c r="L14" i="583"/>
  <c r="N13" i="583"/>
  <c r="L13" i="583"/>
  <c r="N12" i="583"/>
  <c r="L12" i="583"/>
  <c r="N11" i="583"/>
  <c r="L11" i="583"/>
  <c r="N10" i="583"/>
  <c r="L10" i="583"/>
  <c r="N9" i="583"/>
  <c r="L9" i="583"/>
  <c r="N8" i="583"/>
  <c r="L8" i="583"/>
  <c r="N87" i="583"/>
  <c r="L87" i="583"/>
  <c r="N166" i="583"/>
  <c r="N157" i="583"/>
  <c r="N165" i="583"/>
  <c r="N156" i="583"/>
  <c r="N163" i="583"/>
  <c r="L163" i="583"/>
  <c r="N162" i="583"/>
  <c r="L162" i="583"/>
  <c r="N161" i="583"/>
  <c r="L161" i="583"/>
  <c r="N160" i="583"/>
  <c r="L160" i="583"/>
  <c r="N159" i="583"/>
  <c r="L159" i="583"/>
  <c r="N158" i="583"/>
  <c r="L158" i="583"/>
  <c r="N155" i="583"/>
  <c r="L155" i="583"/>
  <c r="N154" i="583"/>
  <c r="L154" i="583"/>
  <c r="N153" i="583"/>
  <c r="L153" i="583"/>
  <c r="N152" i="583"/>
  <c r="L152" i="583"/>
  <c r="N151" i="583"/>
  <c r="L151" i="583"/>
  <c r="N150" i="583"/>
  <c r="L150" i="583"/>
  <c r="N149" i="583"/>
  <c r="L149" i="583"/>
  <c r="N148" i="583"/>
  <c r="L148" i="583"/>
  <c r="N147" i="583"/>
  <c r="L147" i="583"/>
  <c r="N146" i="583"/>
  <c r="L146" i="583"/>
  <c r="N145" i="583"/>
  <c r="L145" i="583"/>
  <c r="N144" i="583"/>
  <c r="L144" i="583"/>
  <c r="N143" i="583"/>
  <c r="L143" i="583"/>
  <c r="N142" i="583"/>
  <c r="L142" i="583"/>
  <c r="N141" i="583"/>
  <c r="L141" i="583"/>
  <c r="N140" i="583"/>
  <c r="L140" i="583"/>
  <c r="N139" i="583"/>
  <c r="L139" i="583"/>
  <c r="N138" i="583"/>
  <c r="L138" i="583"/>
  <c r="N137" i="583"/>
  <c r="L137" i="583"/>
  <c r="N136" i="583"/>
  <c r="L136" i="583"/>
  <c r="N135" i="583"/>
  <c r="L135" i="583"/>
  <c r="N134" i="583"/>
  <c r="L134" i="583"/>
  <c r="N133" i="583"/>
  <c r="L133" i="583"/>
  <c r="N132" i="583"/>
  <c r="L132" i="583"/>
  <c r="N131" i="583"/>
  <c r="L131" i="583"/>
  <c r="N130" i="583"/>
  <c r="L130" i="583"/>
  <c r="N129" i="583"/>
  <c r="L129" i="583"/>
  <c r="N128" i="583"/>
  <c r="L128" i="583"/>
  <c r="N127" i="583"/>
  <c r="L127" i="583"/>
  <c r="N126" i="583"/>
  <c r="L126" i="583"/>
  <c r="N125" i="583"/>
  <c r="L125" i="583"/>
  <c r="N124" i="583"/>
  <c r="L124" i="583"/>
  <c r="N123" i="583"/>
  <c r="L123" i="583"/>
  <c r="N122" i="583"/>
  <c r="L122" i="583"/>
  <c r="N121" i="583"/>
  <c r="L121" i="583"/>
  <c r="N120" i="583"/>
  <c r="L120" i="583"/>
  <c r="N119" i="583"/>
  <c r="L119" i="583"/>
  <c r="N118" i="583"/>
  <c r="L118" i="583"/>
  <c r="N117" i="583"/>
  <c r="L117" i="583"/>
  <c r="N116" i="583"/>
  <c r="L116" i="583"/>
  <c r="N115" i="583"/>
  <c r="L115" i="583"/>
  <c r="N114" i="583"/>
  <c r="L114" i="583"/>
  <c r="N113" i="583"/>
  <c r="L113" i="583"/>
  <c r="N112" i="583"/>
  <c r="L112" i="583"/>
  <c r="N111" i="583"/>
  <c r="L111" i="583"/>
  <c r="N110" i="583"/>
  <c r="L110" i="583"/>
  <c r="N109" i="583"/>
  <c r="L109" i="583"/>
  <c r="N108" i="583"/>
  <c r="L108" i="583"/>
  <c r="N107" i="583"/>
  <c r="L107" i="583"/>
  <c r="N106" i="583"/>
  <c r="L106" i="583"/>
  <c r="N105" i="583"/>
  <c r="L105" i="583"/>
  <c r="N104" i="583"/>
  <c r="L104" i="583"/>
  <c r="N103" i="583"/>
  <c r="L103" i="583"/>
  <c r="N102" i="583"/>
  <c r="L102" i="583"/>
  <c r="N101" i="583"/>
  <c r="L101" i="583"/>
  <c r="N100" i="583"/>
  <c r="L100" i="583"/>
  <c r="N99" i="583"/>
  <c r="L99" i="583"/>
  <c r="N98" i="583"/>
  <c r="L98" i="583"/>
  <c r="N97" i="583"/>
  <c r="L97" i="583"/>
  <c r="N96" i="583"/>
  <c r="L96" i="583"/>
  <c r="N95" i="583"/>
  <c r="L95" i="583"/>
  <c r="N94" i="583"/>
  <c r="L94" i="583"/>
  <c r="N93" i="583"/>
  <c r="L93" i="583"/>
  <c r="N92" i="583"/>
  <c r="L92" i="583"/>
  <c r="N91" i="583"/>
  <c r="L91" i="583"/>
  <c r="N90" i="583"/>
  <c r="L90" i="583"/>
  <c r="N89" i="583"/>
  <c r="L89" i="583"/>
  <c r="N88" i="583"/>
  <c r="L88" i="583"/>
  <c r="J7" i="585"/>
  <c r="J8" i="585"/>
  <c r="J9" i="585"/>
  <c r="J28" i="585"/>
  <c r="J29" i="585"/>
  <c r="K7" i="585"/>
  <c r="K9" i="585"/>
  <c r="K8" i="585"/>
  <c r="K28" i="585"/>
  <c r="K29" i="585"/>
  <c r="J72" i="585"/>
  <c r="K72" i="585"/>
  <c r="J79" i="585"/>
  <c r="J81" i="585"/>
  <c r="K79" i="585"/>
  <c r="K81" i="585"/>
  <c r="J88" i="585"/>
  <c r="K88" i="585"/>
  <c r="J89" i="585"/>
  <c r="K89" i="585"/>
  <c r="J108" i="585"/>
  <c r="J109" i="585"/>
  <c r="K108" i="585"/>
  <c r="K109" i="585"/>
  <c r="J152" i="585"/>
  <c r="K152" i="585"/>
  <c r="J159" i="585"/>
  <c r="K159" i="585"/>
  <c r="N10" i="585"/>
  <c r="N25" i="585"/>
  <c r="N24" i="585"/>
  <c r="N23" i="585"/>
  <c r="N22" i="585"/>
  <c r="N21" i="585"/>
  <c r="N20" i="585"/>
  <c r="N19" i="585"/>
  <c r="N18" i="585"/>
  <c r="N17" i="585"/>
  <c r="N16" i="585"/>
  <c r="N15" i="585"/>
  <c r="N14" i="585"/>
  <c r="N13" i="585"/>
  <c r="N12" i="585"/>
  <c r="N11" i="585"/>
  <c r="N27" i="585"/>
  <c r="N38" i="585"/>
  <c r="N74" i="585"/>
  <c r="N76" i="585"/>
  <c r="N77" i="585"/>
  <c r="N83" i="585"/>
  <c r="N86" i="585"/>
  <c r="N105" i="585"/>
  <c r="N118" i="585"/>
  <c r="N154" i="585"/>
  <c r="N156" i="585"/>
  <c r="N157" i="585"/>
  <c r="N163" i="585"/>
  <c r="N166" i="585"/>
  <c r="I7" i="583"/>
  <c r="I166" i="583"/>
  <c r="I165" i="583"/>
  <c r="I164" i="583"/>
  <c r="I163" i="583"/>
  <c r="I162" i="583"/>
  <c r="I161" i="583"/>
  <c r="I160" i="583"/>
  <c r="I159" i="583"/>
  <c r="I158" i="583"/>
  <c r="I157" i="583"/>
  <c r="I156" i="583"/>
  <c r="I155" i="583"/>
  <c r="I154" i="583"/>
  <c r="I153" i="583"/>
  <c r="I152" i="583"/>
  <c r="I151" i="583"/>
  <c r="I150" i="583"/>
  <c r="I149" i="583"/>
  <c r="I148" i="583"/>
  <c r="I147" i="583"/>
  <c r="I146" i="583"/>
  <c r="I145" i="583"/>
  <c r="I144" i="583"/>
  <c r="I143" i="583"/>
  <c r="I142" i="583"/>
  <c r="I141" i="583"/>
  <c r="I140" i="583"/>
  <c r="I139" i="583"/>
  <c r="I138" i="583"/>
  <c r="I137" i="583"/>
  <c r="I136" i="583"/>
  <c r="I135" i="583"/>
  <c r="I134" i="583"/>
  <c r="I133" i="583"/>
  <c r="I132" i="583"/>
  <c r="I131" i="583"/>
  <c r="I130" i="583"/>
  <c r="I129" i="583"/>
  <c r="I128" i="583"/>
  <c r="I127" i="583"/>
  <c r="I126" i="583"/>
  <c r="I125" i="583"/>
  <c r="I124" i="583"/>
  <c r="I123" i="583"/>
  <c r="I122" i="583"/>
  <c r="I121" i="583"/>
  <c r="I120" i="583"/>
  <c r="I119" i="583"/>
  <c r="I118" i="583"/>
  <c r="I117" i="583"/>
  <c r="I116" i="583"/>
  <c r="I115" i="583"/>
  <c r="I114" i="583"/>
  <c r="I113" i="583"/>
  <c r="I112" i="583"/>
  <c r="I111" i="583"/>
  <c r="I110" i="583"/>
  <c r="I109" i="583"/>
  <c r="I108" i="583"/>
  <c r="I107" i="583"/>
  <c r="I106" i="583"/>
  <c r="I105" i="583"/>
  <c r="I104" i="583"/>
  <c r="I103" i="583"/>
  <c r="I102" i="583"/>
  <c r="I101" i="583"/>
  <c r="I100" i="583"/>
  <c r="I99" i="583"/>
  <c r="I98" i="583"/>
  <c r="I97" i="583"/>
  <c r="I96" i="583"/>
  <c r="I95" i="583"/>
  <c r="I94" i="583"/>
  <c r="I93" i="583"/>
  <c r="I92" i="583"/>
  <c r="I91" i="583"/>
  <c r="I90" i="583"/>
  <c r="I89" i="583"/>
  <c r="I88" i="583"/>
  <c r="I87" i="583"/>
  <c r="I86" i="583"/>
  <c r="I85" i="583"/>
  <c r="I84" i="583"/>
  <c r="I83" i="583"/>
  <c r="I82" i="583"/>
  <c r="I81" i="583"/>
  <c r="I80" i="583"/>
  <c r="I79" i="583"/>
  <c r="I78" i="583"/>
  <c r="I77" i="583"/>
  <c r="I76" i="583"/>
  <c r="I75" i="583"/>
  <c r="I74" i="583"/>
  <c r="I73" i="583"/>
  <c r="I72" i="583"/>
  <c r="I71" i="583"/>
  <c r="I70" i="583"/>
  <c r="I69" i="583"/>
  <c r="I68" i="583"/>
  <c r="I67" i="583"/>
  <c r="I66" i="583"/>
  <c r="I65" i="583"/>
  <c r="I64" i="583"/>
  <c r="I63" i="583"/>
  <c r="I62" i="583"/>
  <c r="I61" i="583"/>
  <c r="I60" i="583"/>
  <c r="I59" i="583"/>
  <c r="I58" i="583"/>
  <c r="I57" i="583"/>
  <c r="I56" i="583"/>
  <c r="I55" i="583"/>
  <c r="I54" i="583"/>
  <c r="I53" i="583"/>
  <c r="I52" i="583"/>
  <c r="I51" i="583"/>
  <c r="I50" i="583"/>
  <c r="I49" i="583"/>
  <c r="I48" i="583"/>
  <c r="I47" i="583"/>
  <c r="I46" i="583"/>
  <c r="I45" i="583"/>
  <c r="I44" i="583"/>
  <c r="I43" i="583"/>
  <c r="I42" i="583"/>
  <c r="I41" i="583"/>
  <c r="I40" i="583"/>
  <c r="I39" i="583"/>
  <c r="I38" i="583"/>
  <c r="I37" i="583"/>
  <c r="I36" i="583"/>
  <c r="I35" i="583"/>
  <c r="I34" i="583"/>
  <c r="I33" i="583"/>
  <c r="I32" i="583"/>
  <c r="I31" i="583"/>
  <c r="I30" i="583"/>
  <c r="I29" i="583"/>
  <c r="I28" i="583"/>
  <c r="I27" i="583"/>
  <c r="I26" i="583"/>
  <c r="I25" i="583"/>
  <c r="I24" i="583"/>
  <c r="I23" i="583"/>
  <c r="I22" i="583"/>
  <c r="I21" i="583"/>
  <c r="I20" i="583"/>
  <c r="I19" i="583"/>
  <c r="I18" i="583"/>
  <c r="I17" i="583"/>
  <c r="I16" i="583"/>
  <c r="I15" i="583"/>
  <c r="I14" i="583"/>
  <c r="I13" i="583"/>
  <c r="I12" i="583"/>
  <c r="I11" i="583"/>
  <c r="I10" i="583"/>
  <c r="I9" i="583"/>
  <c r="I8" i="583"/>
  <c r="J10" i="583"/>
  <c r="J27" i="583"/>
  <c r="J26" i="583"/>
  <c r="J25" i="583"/>
  <c r="J24" i="583"/>
  <c r="J23" i="583"/>
  <c r="J22" i="583"/>
  <c r="J21" i="583"/>
  <c r="J20" i="583"/>
  <c r="J19" i="583"/>
  <c r="J18" i="583"/>
  <c r="J17" i="583"/>
  <c r="J16" i="583"/>
  <c r="J15" i="583"/>
  <c r="J14" i="583"/>
  <c r="J13" i="583"/>
  <c r="J12" i="583"/>
  <c r="J11" i="583"/>
  <c r="J30" i="583"/>
  <c r="J71" i="583"/>
  <c r="J70" i="583"/>
  <c r="J69" i="583"/>
  <c r="J68" i="583"/>
  <c r="J67" i="583"/>
  <c r="J66" i="583"/>
  <c r="J65" i="583"/>
  <c r="J64" i="583"/>
  <c r="J63" i="583"/>
  <c r="J62" i="583"/>
  <c r="J61" i="583"/>
  <c r="J60" i="583"/>
  <c r="J59" i="583"/>
  <c r="J58" i="583"/>
  <c r="J57" i="583"/>
  <c r="J56" i="583"/>
  <c r="J55" i="583"/>
  <c r="J54" i="583"/>
  <c r="J53" i="583"/>
  <c r="J52" i="583"/>
  <c r="J51" i="583"/>
  <c r="J50" i="583"/>
  <c r="J49" i="583"/>
  <c r="J48" i="583"/>
  <c r="J47" i="583"/>
  <c r="J46" i="583"/>
  <c r="J45" i="583"/>
  <c r="J44" i="583"/>
  <c r="J43" i="583"/>
  <c r="J42" i="583"/>
  <c r="J41" i="583"/>
  <c r="J40" i="583"/>
  <c r="J39" i="583"/>
  <c r="J38" i="583"/>
  <c r="J37" i="583"/>
  <c r="J36" i="583"/>
  <c r="J35" i="583"/>
  <c r="J34" i="583"/>
  <c r="J33" i="583"/>
  <c r="J32" i="583"/>
  <c r="J31" i="583"/>
  <c r="J73" i="583"/>
  <c r="J78" i="583"/>
  <c r="J77" i="583"/>
  <c r="J76" i="583"/>
  <c r="J75" i="583"/>
  <c r="J74" i="583"/>
  <c r="J80" i="583"/>
  <c r="J82" i="583"/>
  <c r="J86" i="583"/>
  <c r="J85" i="583"/>
  <c r="J84" i="583"/>
  <c r="J83" i="583"/>
  <c r="J72" i="583"/>
  <c r="J79" i="583"/>
  <c r="J81" i="583"/>
  <c r="K72" i="583"/>
  <c r="K79" i="583"/>
  <c r="K81" i="583"/>
  <c r="J87" i="583"/>
  <c r="J88" i="583"/>
  <c r="J89" i="583"/>
  <c r="K89" i="583"/>
  <c r="J90" i="583"/>
  <c r="J151" i="583"/>
  <c r="J150" i="583"/>
  <c r="J149" i="583"/>
  <c r="J148" i="583"/>
  <c r="J147" i="583"/>
  <c r="J146" i="583"/>
  <c r="J145" i="583"/>
  <c r="J144" i="583"/>
  <c r="J143" i="583"/>
  <c r="J142" i="583"/>
  <c r="J141" i="583"/>
  <c r="J140" i="583"/>
  <c r="J139" i="583"/>
  <c r="J138" i="583"/>
  <c r="J137" i="583"/>
  <c r="J136" i="583"/>
  <c r="J135" i="583"/>
  <c r="J134" i="583"/>
  <c r="J133" i="583"/>
  <c r="J132" i="583"/>
  <c r="J131" i="583"/>
  <c r="J130" i="583"/>
  <c r="J129" i="583"/>
  <c r="J128" i="583"/>
  <c r="J127" i="583"/>
  <c r="J126" i="583"/>
  <c r="J125" i="583"/>
  <c r="J124" i="583"/>
  <c r="J123" i="583"/>
  <c r="J122" i="583"/>
  <c r="J121" i="583"/>
  <c r="J120" i="583"/>
  <c r="J119" i="583"/>
  <c r="J118" i="583"/>
  <c r="J117" i="583"/>
  <c r="J116" i="583"/>
  <c r="J115" i="583"/>
  <c r="J114" i="583"/>
  <c r="J113" i="583"/>
  <c r="J112" i="583"/>
  <c r="J111" i="583"/>
  <c r="J110" i="583"/>
  <c r="J109" i="583"/>
  <c r="J108" i="583"/>
  <c r="J107" i="583"/>
  <c r="J106" i="583"/>
  <c r="J105" i="583"/>
  <c r="J104" i="583"/>
  <c r="J103" i="583"/>
  <c r="J102" i="583"/>
  <c r="J101" i="583"/>
  <c r="J100" i="583"/>
  <c r="J99" i="583"/>
  <c r="J98" i="583"/>
  <c r="J97" i="583"/>
  <c r="J96" i="583"/>
  <c r="J95" i="583"/>
  <c r="J94" i="583"/>
  <c r="J93" i="583"/>
  <c r="J92" i="583"/>
  <c r="J91" i="583"/>
  <c r="J152" i="583"/>
  <c r="K152" i="583"/>
  <c r="J153" i="583"/>
  <c r="J166" i="583"/>
  <c r="J165" i="583"/>
  <c r="J164" i="583"/>
  <c r="J163" i="583"/>
  <c r="J162" i="583"/>
  <c r="J161" i="583"/>
  <c r="J160" i="583"/>
  <c r="J159" i="583"/>
  <c r="J158" i="583"/>
  <c r="J157" i="583"/>
  <c r="J156" i="583"/>
  <c r="J155" i="583"/>
  <c r="J154" i="583"/>
  <c r="J7" i="583"/>
  <c r="J9" i="583"/>
  <c r="J8" i="583"/>
  <c r="K7" i="583"/>
  <c r="K9" i="583"/>
  <c r="K8" i="583"/>
  <c r="J28" i="583"/>
  <c r="J29" i="583"/>
  <c r="K28" i="583"/>
  <c r="K29" i="583"/>
  <c r="L7" i="583"/>
  <c r="L166" i="583"/>
  <c r="L165" i="583"/>
  <c r="L164" i="583"/>
  <c r="J107" i="585"/>
  <c r="L107" i="585"/>
  <c r="J106" i="585"/>
  <c r="L106" i="585"/>
  <c r="J105" i="585"/>
  <c r="L105" i="585"/>
  <c r="J104" i="585"/>
  <c r="L104" i="585"/>
  <c r="J103" i="585"/>
  <c r="L103" i="585"/>
  <c r="J102" i="585"/>
  <c r="L102" i="585"/>
  <c r="J101" i="585"/>
  <c r="L101" i="585"/>
  <c r="J100" i="585"/>
  <c r="L100" i="585"/>
  <c r="J99" i="585"/>
  <c r="L99" i="585"/>
  <c r="J98" i="585"/>
  <c r="L98" i="585"/>
  <c r="J97" i="585"/>
  <c r="L97" i="585"/>
  <c r="J96" i="585"/>
  <c r="L96" i="585"/>
  <c r="J95" i="585"/>
  <c r="L95" i="585"/>
  <c r="J94" i="585"/>
  <c r="L94" i="585"/>
  <c r="J93" i="585"/>
  <c r="L93" i="585"/>
  <c r="J92" i="585"/>
  <c r="L92" i="585"/>
  <c r="J91" i="585"/>
  <c r="L91" i="585"/>
  <c r="J90" i="585"/>
  <c r="L90" i="585"/>
  <c r="L7" i="584"/>
  <c r="I7" i="584"/>
  <c r="J86" i="584"/>
  <c r="N86" i="584"/>
  <c r="L86" i="584"/>
  <c r="I86" i="584"/>
  <c r="J85" i="584"/>
  <c r="L85" i="584"/>
  <c r="I85" i="584"/>
  <c r="J84" i="584"/>
  <c r="L84" i="584"/>
  <c r="I84" i="584"/>
  <c r="J83" i="584"/>
  <c r="N83" i="584"/>
  <c r="L83" i="584"/>
  <c r="I83" i="584"/>
  <c r="J82" i="584"/>
  <c r="L82" i="584"/>
  <c r="I82" i="584"/>
  <c r="L81" i="584"/>
  <c r="I81" i="584"/>
  <c r="J80" i="584"/>
  <c r="L80" i="584"/>
  <c r="I80" i="584"/>
  <c r="L79" i="584"/>
  <c r="I79" i="584"/>
  <c r="J78" i="584"/>
  <c r="L78" i="584"/>
  <c r="I78" i="584"/>
  <c r="J77" i="584"/>
  <c r="N77" i="584"/>
  <c r="L77" i="584"/>
  <c r="I77" i="584"/>
  <c r="J76" i="584"/>
  <c r="N76" i="584"/>
  <c r="L76" i="584"/>
  <c r="I76" i="584"/>
  <c r="J75" i="584"/>
  <c r="L75" i="584"/>
  <c r="I75" i="584"/>
  <c r="J74" i="584"/>
  <c r="N74" i="584"/>
  <c r="L74" i="584"/>
  <c r="I74" i="584"/>
  <c r="J73" i="584"/>
  <c r="L73" i="584"/>
  <c r="I73" i="584"/>
  <c r="L72" i="584"/>
  <c r="I72" i="584"/>
  <c r="J71" i="584"/>
  <c r="L71" i="584"/>
  <c r="I71" i="584"/>
  <c r="J70" i="584"/>
  <c r="L70" i="584"/>
  <c r="I70" i="584"/>
  <c r="J69" i="584"/>
  <c r="L69" i="584"/>
  <c r="I69" i="584"/>
  <c r="J68" i="584"/>
  <c r="L68" i="584"/>
  <c r="I68" i="584"/>
  <c r="J67" i="584"/>
  <c r="L67" i="584"/>
  <c r="I67" i="584"/>
  <c r="J66" i="584"/>
  <c r="L66" i="584"/>
  <c r="I66" i="584"/>
  <c r="J65" i="584"/>
  <c r="L65" i="584"/>
  <c r="I65" i="584"/>
  <c r="J64" i="584"/>
  <c r="L64" i="584"/>
  <c r="I64" i="584"/>
  <c r="J63" i="584"/>
  <c r="L63" i="584"/>
  <c r="I63" i="584"/>
  <c r="J62" i="584"/>
  <c r="L62" i="584"/>
  <c r="I62" i="584"/>
  <c r="J61" i="584"/>
  <c r="L61" i="584"/>
  <c r="I61" i="584"/>
  <c r="J60" i="584"/>
  <c r="L60" i="584"/>
  <c r="I60" i="584"/>
  <c r="J59" i="584"/>
  <c r="L59" i="584"/>
  <c r="I59" i="584"/>
  <c r="J58" i="584"/>
  <c r="L58" i="584"/>
  <c r="I58" i="584"/>
  <c r="J57" i="584"/>
  <c r="L57" i="584"/>
  <c r="I57" i="584"/>
  <c r="J56" i="584"/>
  <c r="L56" i="584"/>
  <c r="I56" i="584"/>
  <c r="J55" i="584"/>
  <c r="L55" i="584"/>
  <c r="I55" i="584"/>
  <c r="J54" i="584"/>
  <c r="L54" i="584"/>
  <c r="I54" i="584"/>
  <c r="J53" i="584"/>
  <c r="L53" i="584"/>
  <c r="I53" i="584"/>
  <c r="J52" i="584"/>
  <c r="L52" i="584"/>
  <c r="I52" i="584"/>
  <c r="J51" i="584"/>
  <c r="L51" i="584"/>
  <c r="I51" i="584"/>
  <c r="J50" i="584"/>
  <c r="L50" i="584"/>
  <c r="I50" i="584"/>
  <c r="J49" i="584"/>
  <c r="L49" i="584"/>
  <c r="I49" i="584"/>
  <c r="J48" i="584"/>
  <c r="L48" i="584"/>
  <c r="I48" i="584"/>
  <c r="J47" i="584"/>
  <c r="L47" i="584"/>
  <c r="I47" i="584"/>
  <c r="J46" i="584"/>
  <c r="L46" i="584"/>
  <c r="I46" i="584"/>
  <c r="J45" i="584"/>
  <c r="L45" i="584"/>
  <c r="I45" i="584"/>
  <c r="J44" i="584"/>
  <c r="L44" i="584"/>
  <c r="I44" i="584"/>
  <c r="J43" i="584"/>
  <c r="L43" i="584"/>
  <c r="I43" i="584"/>
  <c r="J42" i="584"/>
  <c r="L42" i="584"/>
  <c r="I42" i="584"/>
  <c r="J41" i="584"/>
  <c r="L41" i="584"/>
  <c r="I41" i="584"/>
  <c r="J40" i="584"/>
  <c r="L40" i="584"/>
  <c r="I40" i="584"/>
  <c r="J39" i="584"/>
  <c r="L39" i="584"/>
  <c r="I39" i="584"/>
  <c r="J38" i="584"/>
  <c r="N38" i="584"/>
  <c r="L38" i="584"/>
  <c r="I38" i="584"/>
  <c r="J37" i="584"/>
  <c r="L37" i="584"/>
  <c r="I37" i="584"/>
  <c r="J36" i="584"/>
  <c r="L36" i="584"/>
  <c r="I36" i="584"/>
  <c r="J35" i="584"/>
  <c r="L35" i="584"/>
  <c r="I35" i="584"/>
  <c r="J34" i="584"/>
  <c r="L34" i="584"/>
  <c r="I34" i="584"/>
  <c r="J33" i="584"/>
  <c r="L33" i="584"/>
  <c r="I33" i="584"/>
  <c r="J32" i="584"/>
  <c r="L32" i="584"/>
  <c r="I32" i="584"/>
  <c r="J31" i="584"/>
  <c r="L31" i="584"/>
  <c r="I31" i="584"/>
  <c r="J30" i="584"/>
  <c r="L30" i="584"/>
  <c r="I30" i="584"/>
  <c r="L29" i="584"/>
  <c r="I29" i="584"/>
  <c r="L28" i="584"/>
  <c r="I28" i="584"/>
  <c r="J27" i="584"/>
  <c r="N27" i="584"/>
  <c r="L27" i="584"/>
  <c r="I27" i="584"/>
  <c r="J26" i="584"/>
  <c r="L26" i="584"/>
  <c r="I26" i="584"/>
  <c r="J25" i="584"/>
  <c r="N25" i="584"/>
  <c r="L25" i="584"/>
  <c r="I25" i="584"/>
  <c r="J24" i="584"/>
  <c r="N24" i="584"/>
  <c r="L24" i="584"/>
  <c r="I24" i="584"/>
  <c r="J23" i="584"/>
  <c r="N23" i="584"/>
  <c r="L23" i="584"/>
  <c r="I23" i="584"/>
  <c r="J22" i="584"/>
  <c r="N22" i="584"/>
  <c r="L22" i="584"/>
  <c r="I22" i="584"/>
  <c r="J21" i="584"/>
  <c r="N21" i="584"/>
  <c r="L21" i="584"/>
  <c r="I21" i="584"/>
  <c r="J20" i="584"/>
  <c r="N20" i="584"/>
  <c r="L20" i="584"/>
  <c r="I20" i="584"/>
  <c r="J19" i="584"/>
  <c r="N19" i="584"/>
  <c r="L19" i="584"/>
  <c r="I19" i="584"/>
  <c r="J18" i="584"/>
  <c r="N18" i="584"/>
  <c r="L18" i="584"/>
  <c r="I18" i="584"/>
  <c r="J17" i="584"/>
  <c r="N17" i="584"/>
  <c r="L17" i="584"/>
  <c r="I17" i="584"/>
  <c r="J16" i="584"/>
  <c r="N16" i="584"/>
  <c r="L16" i="584"/>
  <c r="I16" i="584"/>
  <c r="J15" i="584"/>
  <c r="N15" i="584"/>
  <c r="L15" i="584"/>
  <c r="I15" i="584"/>
  <c r="J14" i="584"/>
  <c r="N14" i="584"/>
  <c r="L14" i="584"/>
  <c r="I14" i="584"/>
  <c r="J13" i="584"/>
  <c r="N13" i="584"/>
  <c r="L13" i="584"/>
  <c r="I13" i="584"/>
  <c r="J12" i="584"/>
  <c r="N12" i="584"/>
  <c r="L12" i="584"/>
  <c r="I12" i="584"/>
  <c r="J11" i="584"/>
  <c r="N11" i="584"/>
  <c r="L11" i="584"/>
  <c r="I11" i="584"/>
  <c r="J10" i="584"/>
  <c r="N10" i="584"/>
  <c r="L10" i="584"/>
  <c r="I10" i="584"/>
  <c r="L9" i="584"/>
  <c r="I9" i="584"/>
  <c r="L8" i="584"/>
  <c r="I8" i="584"/>
  <c r="L87" i="584"/>
  <c r="I87" i="584"/>
  <c r="J166" i="584"/>
  <c r="L166" i="584"/>
  <c r="I166" i="584"/>
  <c r="J165" i="584"/>
  <c r="L165" i="584"/>
  <c r="I165" i="584"/>
  <c r="J164" i="584"/>
  <c r="L164" i="584"/>
  <c r="I164" i="584"/>
  <c r="J163" i="584"/>
  <c r="L163" i="584"/>
  <c r="I163" i="584"/>
  <c r="J162" i="584"/>
  <c r="L162" i="584"/>
  <c r="I162" i="584"/>
  <c r="J161" i="584"/>
  <c r="L161" i="584"/>
  <c r="I161" i="584"/>
  <c r="J160" i="584"/>
  <c r="L160" i="584"/>
  <c r="I160" i="584"/>
  <c r="L159" i="584"/>
  <c r="I159" i="584"/>
  <c r="J158" i="584"/>
  <c r="L158" i="584"/>
  <c r="I158" i="584"/>
  <c r="J157" i="584"/>
  <c r="L157" i="584"/>
  <c r="I157" i="584"/>
  <c r="J156" i="584"/>
  <c r="L156" i="584"/>
  <c r="I156" i="584"/>
  <c r="J155" i="584"/>
  <c r="L155" i="584"/>
  <c r="I155" i="584"/>
  <c r="J154" i="584"/>
  <c r="L154" i="584"/>
  <c r="I154" i="584"/>
  <c r="J153" i="584"/>
  <c r="L153" i="584"/>
  <c r="I153" i="584"/>
  <c r="L152" i="584"/>
  <c r="I152" i="584"/>
  <c r="J151" i="584"/>
  <c r="L151" i="584"/>
  <c r="I151" i="584"/>
  <c r="J150" i="584"/>
  <c r="L150" i="584"/>
  <c r="I150" i="584"/>
  <c r="J149" i="584"/>
  <c r="L149" i="584"/>
  <c r="I149" i="584"/>
  <c r="J148" i="584"/>
  <c r="L148" i="584"/>
  <c r="I148" i="584"/>
  <c r="J147" i="584"/>
  <c r="L147" i="584"/>
  <c r="I147" i="584"/>
  <c r="J146" i="584"/>
  <c r="L146" i="584"/>
  <c r="I146" i="584"/>
  <c r="J145" i="584"/>
  <c r="L145" i="584"/>
  <c r="I145" i="584"/>
  <c r="J144" i="584"/>
  <c r="L144" i="584"/>
  <c r="I144" i="584"/>
  <c r="J143" i="584"/>
  <c r="L143" i="584"/>
  <c r="I143" i="584"/>
  <c r="J142" i="584"/>
  <c r="L142" i="584"/>
  <c r="I142" i="584"/>
  <c r="J141" i="584"/>
  <c r="L141" i="584"/>
  <c r="I141" i="584"/>
  <c r="J140" i="584"/>
  <c r="L140" i="584"/>
  <c r="I140" i="584"/>
  <c r="J139" i="584"/>
  <c r="L139" i="584"/>
  <c r="I139" i="584"/>
  <c r="J138" i="584"/>
  <c r="L138" i="584"/>
  <c r="I138" i="584"/>
  <c r="J137" i="584"/>
  <c r="L137" i="584"/>
  <c r="I137" i="584"/>
  <c r="J136" i="584"/>
  <c r="L136" i="584"/>
  <c r="I136" i="584"/>
  <c r="J135" i="584"/>
  <c r="L135" i="584"/>
  <c r="I135" i="584"/>
  <c r="J134" i="584"/>
  <c r="L134" i="584"/>
  <c r="I134" i="584"/>
  <c r="J133" i="584"/>
  <c r="L133" i="584"/>
  <c r="I133" i="584"/>
  <c r="J132" i="584"/>
  <c r="L132" i="584"/>
  <c r="I132" i="584"/>
  <c r="J131" i="584"/>
  <c r="L131" i="584"/>
  <c r="I131" i="584"/>
  <c r="J130" i="584"/>
  <c r="L130" i="584"/>
  <c r="I130" i="584"/>
  <c r="J129" i="584"/>
  <c r="L129" i="584"/>
  <c r="I129" i="584"/>
  <c r="J128" i="584"/>
  <c r="L128" i="584"/>
  <c r="I128" i="584"/>
  <c r="J127" i="584"/>
  <c r="L127" i="584"/>
  <c r="I127" i="584"/>
  <c r="J126" i="584"/>
  <c r="L126" i="584"/>
  <c r="I126" i="584"/>
  <c r="J125" i="584"/>
  <c r="L125" i="584"/>
  <c r="I125" i="584"/>
  <c r="J124" i="584"/>
  <c r="L124" i="584"/>
  <c r="I124" i="584"/>
  <c r="J123" i="584"/>
  <c r="L123" i="584"/>
  <c r="I123" i="584"/>
  <c r="J122" i="584"/>
  <c r="L122" i="584"/>
  <c r="I122" i="584"/>
  <c r="J121" i="584"/>
  <c r="L121" i="584"/>
  <c r="I121" i="584"/>
  <c r="J120" i="584"/>
  <c r="L120" i="584"/>
  <c r="I120" i="584"/>
  <c r="J119" i="584"/>
  <c r="L119" i="584"/>
  <c r="I119" i="584"/>
  <c r="J118" i="584"/>
  <c r="L118" i="584"/>
  <c r="I118" i="584"/>
  <c r="J117" i="584"/>
  <c r="L117" i="584"/>
  <c r="I117" i="584"/>
  <c r="J116" i="584"/>
  <c r="L116" i="584"/>
  <c r="I116" i="584"/>
  <c r="J115" i="584"/>
  <c r="L115" i="584"/>
  <c r="I115" i="584"/>
  <c r="J114" i="584"/>
  <c r="L114" i="584"/>
  <c r="I114" i="584"/>
  <c r="J113" i="584"/>
  <c r="L113" i="584"/>
  <c r="I113" i="584"/>
  <c r="J112" i="584"/>
  <c r="L112" i="584"/>
  <c r="I112" i="584"/>
  <c r="J111" i="584"/>
  <c r="L111" i="584"/>
  <c r="I111" i="584"/>
  <c r="J110" i="584"/>
  <c r="L110" i="584"/>
  <c r="I110" i="584"/>
  <c r="L109" i="584"/>
  <c r="I109" i="584"/>
  <c r="L108" i="584"/>
  <c r="I108" i="584"/>
  <c r="J107" i="584"/>
  <c r="L107" i="584"/>
  <c r="I107" i="584"/>
  <c r="J106" i="584"/>
  <c r="L106" i="584"/>
  <c r="I106" i="584"/>
  <c r="J105" i="584"/>
  <c r="L105" i="584"/>
  <c r="I105" i="584"/>
  <c r="J104" i="584"/>
  <c r="L104" i="584"/>
  <c r="I104" i="584"/>
  <c r="J103" i="584"/>
  <c r="L103" i="584"/>
  <c r="I103" i="584"/>
  <c r="J102" i="584"/>
  <c r="L102" i="584"/>
  <c r="I102" i="584"/>
  <c r="J101" i="584"/>
  <c r="L101" i="584"/>
  <c r="I101" i="584"/>
  <c r="J100" i="584"/>
  <c r="L100" i="584"/>
  <c r="I100" i="584"/>
  <c r="J99" i="584"/>
  <c r="L99" i="584"/>
  <c r="I99" i="584"/>
  <c r="J98" i="584"/>
  <c r="L98" i="584"/>
  <c r="I98" i="584"/>
  <c r="J97" i="584"/>
  <c r="L97" i="584"/>
  <c r="I97" i="584"/>
  <c r="J96" i="584"/>
  <c r="L96" i="584"/>
  <c r="I96" i="584"/>
  <c r="J95" i="584"/>
  <c r="L95" i="584"/>
  <c r="I95" i="584"/>
  <c r="J94" i="584"/>
  <c r="L94" i="584"/>
  <c r="I94" i="584"/>
  <c r="J93" i="584"/>
  <c r="L93" i="584"/>
  <c r="I93" i="584"/>
  <c r="J92" i="584"/>
  <c r="L92" i="584"/>
  <c r="I92" i="584"/>
  <c r="J91" i="584"/>
  <c r="L91" i="584"/>
  <c r="I91" i="584"/>
  <c r="J90" i="584"/>
  <c r="L90" i="584"/>
  <c r="I90" i="584"/>
  <c r="L89" i="584"/>
  <c r="I89" i="584"/>
  <c r="L88" i="584"/>
  <c r="I88" i="584"/>
  <c r="I7" i="585"/>
  <c r="I86" i="585"/>
  <c r="I85" i="585"/>
  <c r="I84" i="585"/>
  <c r="I83" i="585"/>
  <c r="I82" i="585"/>
  <c r="I81" i="585"/>
  <c r="I80" i="585"/>
  <c r="I79" i="585"/>
  <c r="I78" i="585"/>
  <c r="I77" i="585"/>
  <c r="I76" i="585"/>
  <c r="I75" i="585"/>
  <c r="I74" i="585"/>
  <c r="I73" i="585"/>
  <c r="I72" i="585"/>
  <c r="I71" i="585"/>
  <c r="I70" i="585"/>
  <c r="I69" i="585"/>
  <c r="I68" i="585"/>
  <c r="I67" i="585"/>
  <c r="I66" i="585"/>
  <c r="I65" i="585"/>
  <c r="I64" i="585"/>
  <c r="I63" i="585"/>
  <c r="I62" i="585"/>
  <c r="I61" i="585"/>
  <c r="I60" i="585"/>
  <c r="I59" i="585"/>
  <c r="I58" i="585"/>
  <c r="I57" i="585"/>
  <c r="I56" i="585"/>
  <c r="I55" i="585"/>
  <c r="I54" i="585"/>
  <c r="I53" i="585"/>
  <c r="I52" i="585"/>
  <c r="I51" i="585"/>
  <c r="I50" i="585"/>
  <c r="I49" i="585"/>
  <c r="I48" i="585"/>
  <c r="I47" i="585"/>
  <c r="I46" i="585"/>
  <c r="I45" i="585"/>
  <c r="I44" i="585"/>
  <c r="I43" i="585"/>
  <c r="I42" i="585"/>
  <c r="I41" i="585"/>
  <c r="I40" i="585"/>
  <c r="I39" i="585"/>
  <c r="I38" i="585"/>
  <c r="I37" i="585"/>
  <c r="I36" i="585"/>
  <c r="I35" i="585"/>
  <c r="I34" i="585"/>
  <c r="I33" i="585"/>
  <c r="I32" i="585"/>
  <c r="I31" i="585"/>
  <c r="I30" i="585"/>
  <c r="I29" i="585"/>
  <c r="I28" i="585"/>
  <c r="I27" i="585"/>
  <c r="I26" i="585"/>
  <c r="I25" i="585"/>
  <c r="I24" i="585"/>
  <c r="I23" i="585"/>
  <c r="I22" i="585"/>
  <c r="I21" i="585"/>
  <c r="I20" i="585"/>
  <c r="I19" i="585"/>
  <c r="I18" i="585"/>
  <c r="I17" i="585"/>
  <c r="I16" i="585"/>
  <c r="I15" i="585"/>
  <c r="I14" i="585"/>
  <c r="I13" i="585"/>
  <c r="I12" i="585"/>
  <c r="I11" i="585"/>
  <c r="I10" i="585"/>
  <c r="I9" i="585"/>
  <c r="I8" i="585"/>
  <c r="I87" i="585"/>
  <c r="I166" i="585"/>
  <c r="I165" i="585"/>
  <c r="I164" i="585"/>
  <c r="I163" i="585"/>
  <c r="I162" i="585"/>
  <c r="I161" i="585"/>
  <c r="I160" i="585"/>
  <c r="I159" i="585"/>
  <c r="I158" i="585"/>
  <c r="I157" i="585"/>
  <c r="I156" i="585"/>
  <c r="I155" i="585"/>
  <c r="I154" i="585"/>
  <c r="I153" i="585"/>
  <c r="I152" i="585"/>
  <c r="I151" i="585"/>
  <c r="I150" i="585"/>
  <c r="I149" i="585"/>
  <c r="I148" i="585"/>
  <c r="I147" i="585"/>
  <c r="I146" i="585"/>
  <c r="I145" i="585"/>
  <c r="I144" i="585"/>
  <c r="I143" i="585"/>
  <c r="I142" i="585"/>
  <c r="I141" i="585"/>
  <c r="I140" i="585"/>
  <c r="I139" i="585"/>
  <c r="I138" i="585"/>
  <c r="I137" i="585"/>
  <c r="I136" i="585"/>
  <c r="I135" i="585"/>
  <c r="I134" i="585"/>
  <c r="I133" i="585"/>
  <c r="I132" i="585"/>
  <c r="I131" i="585"/>
  <c r="I130" i="585"/>
  <c r="I129" i="585"/>
  <c r="I128" i="585"/>
  <c r="I127" i="585"/>
  <c r="I126" i="585"/>
  <c r="I125" i="585"/>
  <c r="I124" i="585"/>
  <c r="I123" i="585"/>
  <c r="I122" i="585"/>
  <c r="I121" i="585"/>
  <c r="I120" i="585"/>
  <c r="I119" i="585"/>
  <c r="I118" i="585"/>
  <c r="I117" i="585"/>
  <c r="I116" i="585"/>
  <c r="I115" i="585"/>
  <c r="I114" i="585"/>
  <c r="I113" i="585"/>
  <c r="I112" i="585"/>
  <c r="I111" i="585"/>
  <c r="I110" i="585"/>
  <c r="I109" i="585"/>
  <c r="I108" i="585"/>
  <c r="I107" i="585"/>
  <c r="I106" i="585"/>
  <c r="I105" i="585"/>
  <c r="I104" i="585"/>
  <c r="I103" i="585"/>
  <c r="I102" i="585"/>
  <c r="I101" i="585"/>
  <c r="I100" i="585"/>
  <c r="I99" i="585"/>
  <c r="I98" i="585"/>
  <c r="I97" i="585"/>
  <c r="I96" i="585"/>
  <c r="I95" i="585"/>
  <c r="I94" i="585"/>
  <c r="I93" i="585"/>
  <c r="I92" i="585"/>
  <c r="I91" i="585"/>
  <c r="I90" i="585"/>
  <c r="I89" i="585"/>
  <c r="I88" i="585"/>
  <c r="J10" i="585"/>
  <c r="J27" i="585"/>
  <c r="J26" i="585"/>
  <c r="J25" i="585"/>
  <c r="J24" i="585"/>
  <c r="J23" i="585"/>
  <c r="J22" i="585"/>
  <c r="J21" i="585"/>
  <c r="J20" i="585"/>
  <c r="J19" i="585"/>
  <c r="J18" i="585"/>
  <c r="J17" i="585"/>
  <c r="J16" i="585"/>
  <c r="J15" i="585"/>
  <c r="J14" i="585"/>
  <c r="J13" i="585"/>
  <c r="J12" i="585"/>
  <c r="J11" i="585"/>
  <c r="J30" i="585"/>
  <c r="J71" i="585"/>
  <c r="J70" i="585"/>
  <c r="J69" i="585"/>
  <c r="J68" i="585"/>
  <c r="J67" i="585"/>
  <c r="J66" i="585"/>
  <c r="J65" i="585"/>
  <c r="J64" i="585"/>
  <c r="J63" i="585"/>
  <c r="J62" i="585"/>
  <c r="J61" i="585"/>
  <c r="J60" i="585"/>
  <c r="J59" i="585"/>
  <c r="J58" i="585"/>
  <c r="J57" i="585"/>
  <c r="J56" i="585"/>
  <c r="J55" i="585"/>
  <c r="J54" i="585"/>
  <c r="J53" i="585"/>
  <c r="J52" i="585"/>
  <c r="J51" i="585"/>
  <c r="J50" i="585"/>
  <c r="J49" i="585"/>
  <c r="J48" i="585"/>
  <c r="J47" i="585"/>
  <c r="J46" i="585"/>
  <c r="J45" i="585"/>
  <c r="J44" i="585"/>
  <c r="J43" i="585"/>
  <c r="J42" i="585"/>
  <c r="J41" i="585"/>
  <c r="J40" i="585"/>
  <c r="J39" i="585"/>
  <c r="J38" i="585"/>
  <c r="J37" i="585"/>
  <c r="J36" i="585"/>
  <c r="J35" i="585"/>
  <c r="J34" i="585"/>
  <c r="J33" i="585"/>
  <c r="J32" i="585"/>
  <c r="J31" i="585"/>
  <c r="L86" i="585"/>
  <c r="L85" i="585"/>
  <c r="L84" i="585"/>
  <c r="L83" i="585"/>
  <c r="L82" i="585"/>
  <c r="L80" i="585"/>
  <c r="L78" i="585"/>
  <c r="L77" i="585"/>
  <c r="L76" i="585"/>
  <c r="L75" i="585"/>
  <c r="L74" i="585"/>
  <c r="L73" i="585"/>
  <c r="L87" i="585"/>
  <c r="L166" i="585"/>
  <c r="L165" i="585"/>
  <c r="L164" i="585"/>
  <c r="L163" i="585"/>
  <c r="L162" i="585"/>
  <c r="L161" i="585"/>
  <c r="L160" i="585"/>
  <c r="L158" i="585"/>
  <c r="L157" i="585"/>
  <c r="L156" i="585"/>
  <c r="L155" i="585"/>
  <c r="L154" i="585"/>
  <c r="L153" i="585"/>
  <c r="L151" i="585"/>
  <c r="L150" i="585"/>
  <c r="L149" i="585"/>
  <c r="L148" i="585"/>
  <c r="L147" i="585"/>
  <c r="L146" i="585"/>
  <c r="L145" i="585"/>
  <c r="L144" i="585"/>
  <c r="L143" i="585"/>
  <c r="L142" i="585"/>
  <c r="L141" i="585"/>
  <c r="L140" i="585"/>
  <c r="L139" i="585"/>
  <c r="L138" i="585"/>
  <c r="L137" i="585"/>
  <c r="L136" i="585"/>
  <c r="L135" i="585"/>
  <c r="L134" i="585"/>
  <c r="L133" i="585"/>
  <c r="L132" i="585"/>
  <c r="L131" i="585"/>
  <c r="L130" i="585"/>
  <c r="L129" i="585"/>
  <c r="L128" i="585"/>
  <c r="L127" i="585"/>
  <c r="L126" i="585"/>
  <c r="L125" i="585"/>
  <c r="L124" i="585"/>
  <c r="L123" i="585"/>
  <c r="L122" i="585"/>
  <c r="L121" i="585"/>
  <c r="L120" i="585"/>
  <c r="L119" i="585"/>
  <c r="L118" i="585"/>
  <c r="L117" i="585"/>
  <c r="L116" i="585"/>
  <c r="L115" i="585"/>
  <c r="L114" i="585"/>
  <c r="L113" i="585"/>
  <c r="L112" i="585"/>
  <c r="L111" i="585"/>
  <c r="L110" i="585"/>
  <c r="N166" i="582"/>
  <c r="L166" i="582"/>
  <c r="J166" i="582"/>
  <c r="N165" i="582"/>
  <c r="L165" i="582"/>
  <c r="J165" i="582"/>
  <c r="N164" i="582"/>
  <c r="L164" i="582"/>
  <c r="J164" i="582"/>
  <c r="N163" i="582"/>
  <c r="L163" i="582"/>
  <c r="J163" i="582"/>
  <c r="N162" i="582"/>
  <c r="L162" i="582"/>
  <c r="J162" i="582"/>
  <c r="N161" i="582"/>
  <c r="L161" i="582"/>
  <c r="J161" i="582"/>
  <c r="N160" i="582"/>
  <c r="L160" i="582"/>
  <c r="J160" i="582"/>
  <c r="N159" i="582"/>
  <c r="L159" i="582"/>
  <c r="J159" i="582"/>
  <c r="N158" i="582"/>
  <c r="L158" i="582"/>
  <c r="J158" i="582"/>
  <c r="N157" i="582"/>
  <c r="L157" i="582"/>
  <c r="J157" i="582"/>
  <c r="N156" i="582"/>
  <c r="L156" i="582"/>
  <c r="J156" i="582"/>
  <c r="N155" i="582"/>
  <c r="L155" i="582"/>
  <c r="J155" i="582"/>
  <c r="N154" i="582"/>
  <c r="L154" i="582"/>
  <c r="J154" i="582"/>
  <c r="N153" i="582"/>
  <c r="L153" i="582"/>
  <c r="N152" i="582"/>
  <c r="L152" i="582"/>
  <c r="K152" i="582"/>
  <c r="N151" i="582"/>
  <c r="L151" i="582"/>
  <c r="N150" i="582"/>
  <c r="L150" i="582"/>
  <c r="N149" i="582"/>
  <c r="L149" i="582"/>
  <c r="N148" i="582"/>
  <c r="L148" i="582"/>
  <c r="N147" i="582"/>
  <c r="L147" i="582"/>
  <c r="N146" i="582"/>
  <c r="L146" i="582"/>
  <c r="N145" i="582"/>
  <c r="L145" i="582"/>
  <c r="N144" i="582"/>
  <c r="L144" i="582"/>
  <c r="N143" i="582"/>
  <c r="L143" i="582"/>
  <c r="N142" i="582"/>
  <c r="L142" i="582"/>
  <c r="N141" i="582"/>
  <c r="L141" i="582"/>
  <c r="N140" i="582"/>
  <c r="L140" i="582"/>
  <c r="N139" i="582"/>
  <c r="L139" i="582"/>
  <c r="N138" i="582"/>
  <c r="L138" i="582"/>
  <c r="N137" i="582"/>
  <c r="L137" i="582"/>
  <c r="N136" i="582"/>
  <c r="L136" i="582"/>
  <c r="N135" i="582"/>
  <c r="L135" i="582"/>
  <c r="N134" i="582"/>
  <c r="L134" i="582"/>
  <c r="N133" i="582"/>
  <c r="L133" i="582"/>
  <c r="N132" i="582"/>
  <c r="L132" i="582"/>
  <c r="N131" i="582"/>
  <c r="L131" i="582"/>
  <c r="N130" i="582"/>
  <c r="L130" i="582"/>
  <c r="N129" i="582"/>
  <c r="L129" i="582"/>
  <c r="N128" i="582"/>
  <c r="L128" i="582"/>
  <c r="N127" i="582"/>
  <c r="L127" i="582"/>
  <c r="N126" i="582"/>
  <c r="L126" i="582"/>
  <c r="N125" i="582"/>
  <c r="L125" i="582"/>
  <c r="N124" i="582"/>
  <c r="L124" i="582"/>
  <c r="N123" i="582"/>
  <c r="L123" i="582"/>
  <c r="N122" i="582"/>
  <c r="L122" i="582"/>
  <c r="N121" i="582"/>
  <c r="L121" i="582"/>
  <c r="N120" i="582"/>
  <c r="L120" i="582"/>
  <c r="N119" i="582"/>
  <c r="L119" i="582"/>
  <c r="N118" i="582"/>
  <c r="L118" i="582"/>
  <c r="N117" i="582"/>
  <c r="L117" i="582"/>
  <c r="N116" i="582"/>
  <c r="L116" i="582"/>
  <c r="N115" i="582"/>
  <c r="L115" i="582"/>
  <c r="N114" i="582"/>
  <c r="L114" i="582"/>
  <c r="N113" i="582"/>
  <c r="L113" i="582"/>
  <c r="N112" i="582"/>
  <c r="L112" i="582"/>
  <c r="N111" i="582"/>
  <c r="L111" i="582"/>
  <c r="N110" i="582"/>
  <c r="L110" i="582"/>
  <c r="N109" i="582"/>
  <c r="L109" i="582"/>
  <c r="N108" i="582"/>
  <c r="L108" i="582"/>
  <c r="N107" i="582"/>
  <c r="L107" i="582"/>
  <c r="N106" i="582"/>
  <c r="L106" i="582"/>
  <c r="N105" i="582"/>
  <c r="L105" i="582"/>
  <c r="N104" i="582"/>
  <c r="L104" i="582"/>
  <c r="N103" i="582"/>
  <c r="L103" i="582"/>
  <c r="N102" i="582"/>
  <c r="L102" i="582"/>
  <c r="N101" i="582"/>
  <c r="L101" i="582"/>
  <c r="N100" i="582"/>
  <c r="L100" i="582"/>
  <c r="N89" i="582"/>
  <c r="N99" i="582"/>
  <c r="L99" i="582"/>
  <c r="N98" i="582"/>
  <c r="L98" i="582"/>
  <c r="N97" i="582"/>
  <c r="L97" i="582"/>
  <c r="N96" i="582"/>
  <c r="L96" i="582"/>
  <c r="N95" i="582"/>
  <c r="L95" i="582"/>
  <c r="N94" i="582"/>
  <c r="L94" i="582"/>
  <c r="N93" i="582"/>
  <c r="L93" i="582"/>
  <c r="N92" i="582"/>
  <c r="L92" i="582"/>
  <c r="N91" i="582"/>
  <c r="L91" i="582"/>
  <c r="N90" i="582"/>
  <c r="L90" i="582"/>
  <c r="N88" i="582"/>
  <c r="L88" i="582"/>
  <c r="N87" i="582"/>
  <c r="K87" i="582"/>
  <c r="L87" i="582"/>
  <c r="I87" i="582"/>
  <c r="I166" i="582"/>
  <c r="I165" i="582"/>
  <c r="I164" i="582"/>
  <c r="I163" i="582"/>
  <c r="I162" i="582"/>
  <c r="I161" i="582"/>
  <c r="I160" i="582"/>
  <c r="I159" i="582"/>
  <c r="I158" i="582"/>
  <c r="I157" i="582"/>
  <c r="I156" i="582"/>
  <c r="I155" i="582"/>
  <c r="I154" i="582"/>
  <c r="I153" i="582"/>
  <c r="I152" i="582"/>
  <c r="I151" i="582"/>
  <c r="I150" i="582"/>
  <c r="I149" i="582"/>
  <c r="I148" i="582"/>
  <c r="I147" i="582"/>
  <c r="I146" i="582"/>
  <c r="I145" i="582"/>
  <c r="I144" i="582"/>
  <c r="I143" i="582"/>
  <c r="I142" i="582"/>
  <c r="I141" i="582"/>
  <c r="I140" i="582"/>
  <c r="I139" i="582"/>
  <c r="I138" i="582"/>
  <c r="I137" i="582"/>
  <c r="I136" i="582"/>
  <c r="I135" i="582"/>
  <c r="I134" i="582"/>
  <c r="I133" i="582"/>
  <c r="I132" i="582"/>
  <c r="I131" i="582"/>
  <c r="I130" i="582"/>
  <c r="I129" i="582"/>
  <c r="I128" i="582"/>
  <c r="I127" i="582"/>
  <c r="I126" i="582"/>
  <c r="I125" i="582"/>
  <c r="I124" i="582"/>
  <c r="I123" i="582"/>
  <c r="I122" i="582"/>
  <c r="I121" i="582"/>
  <c r="I120" i="582"/>
  <c r="I119" i="582"/>
  <c r="I118" i="582"/>
  <c r="I117" i="582"/>
  <c r="I116" i="582"/>
  <c r="I115" i="582"/>
  <c r="I114" i="582"/>
  <c r="I113" i="582"/>
  <c r="I112" i="582"/>
  <c r="I111" i="582"/>
  <c r="I110" i="582"/>
  <c r="I109" i="582"/>
  <c r="I108" i="582"/>
  <c r="I107" i="582"/>
  <c r="I106" i="582"/>
  <c r="I105" i="582"/>
  <c r="I104" i="582"/>
  <c r="I103" i="582"/>
  <c r="I102" i="582"/>
  <c r="I101" i="582"/>
  <c r="I100" i="582"/>
  <c r="I99" i="582"/>
  <c r="I98" i="582"/>
  <c r="I97" i="582"/>
  <c r="I96" i="582"/>
  <c r="I95" i="582"/>
  <c r="I94" i="582"/>
  <c r="I93" i="582"/>
  <c r="I92" i="582"/>
  <c r="I91" i="582"/>
  <c r="I90" i="582"/>
  <c r="I88" i="582"/>
  <c r="J10" i="582"/>
  <c r="J81" i="582"/>
  <c r="J72" i="582"/>
  <c r="J79" i="582"/>
  <c r="J87" i="582"/>
  <c r="J88" i="582"/>
  <c r="J86" i="582"/>
  <c r="J85" i="582"/>
  <c r="J84" i="582"/>
  <c r="J83" i="582"/>
  <c r="J82" i="582"/>
  <c r="J80" i="582"/>
  <c r="J78" i="582"/>
  <c r="J77" i="582"/>
  <c r="J76" i="582"/>
  <c r="J75" i="582"/>
  <c r="J74" i="582"/>
  <c r="J73" i="582"/>
  <c r="J28" i="582"/>
  <c r="J29" i="582"/>
  <c r="J26" i="582"/>
  <c r="J25" i="582"/>
  <c r="J24" i="582"/>
  <c r="J23" i="582"/>
  <c r="J22" i="582"/>
  <c r="J21" i="582"/>
  <c r="J20" i="582"/>
  <c r="J19" i="582"/>
  <c r="J18" i="582"/>
  <c r="J17" i="582"/>
  <c r="J16" i="582"/>
  <c r="J15" i="582"/>
  <c r="J14" i="582"/>
  <c r="J13" i="582"/>
  <c r="J12" i="582"/>
  <c r="J11" i="582"/>
  <c r="J27" i="582"/>
  <c r="J30" i="582"/>
  <c r="J71" i="582"/>
  <c r="J70" i="582"/>
  <c r="J69" i="582"/>
  <c r="J68" i="582"/>
  <c r="J67" i="582"/>
  <c r="J66" i="582"/>
  <c r="J65" i="582"/>
  <c r="J64" i="582"/>
  <c r="J63" i="582"/>
  <c r="J62" i="582"/>
  <c r="J61" i="582"/>
  <c r="J60" i="582"/>
  <c r="J59" i="582"/>
  <c r="J58" i="582"/>
  <c r="J57" i="582"/>
  <c r="J56" i="582"/>
  <c r="J55" i="582"/>
  <c r="J54" i="582"/>
  <c r="J53" i="582"/>
  <c r="J52" i="582"/>
  <c r="J51" i="582"/>
  <c r="J50" i="582"/>
  <c r="J49" i="582"/>
  <c r="J48" i="582"/>
  <c r="J47" i="582"/>
  <c r="J46" i="582"/>
  <c r="J45" i="582"/>
  <c r="J44" i="582"/>
  <c r="J43" i="582"/>
  <c r="J42" i="582"/>
  <c r="J41" i="582"/>
  <c r="J40" i="582"/>
  <c r="J39" i="582"/>
  <c r="J38" i="582"/>
  <c r="J37" i="582"/>
  <c r="J36" i="582"/>
  <c r="J35" i="582"/>
  <c r="J34" i="582"/>
  <c r="J33" i="582"/>
  <c r="J32" i="582"/>
  <c r="J31" i="582"/>
  <c r="L7" i="582"/>
  <c r="L86" i="582"/>
  <c r="L85" i="582"/>
  <c r="L84" i="582"/>
  <c r="L83" i="582"/>
  <c r="L82" i="582"/>
  <c r="L81" i="582"/>
  <c r="L80" i="582"/>
  <c r="L79" i="582"/>
  <c r="L78" i="582"/>
  <c r="L77" i="582"/>
  <c r="L76" i="582"/>
  <c r="L75" i="582"/>
  <c r="L74" i="582"/>
  <c r="L73" i="582"/>
  <c r="L72" i="582"/>
  <c r="L71" i="582"/>
  <c r="L70" i="582"/>
  <c r="L69" i="582"/>
  <c r="L68" i="582"/>
  <c r="L67" i="582"/>
  <c r="L66" i="582"/>
  <c r="L65" i="582"/>
  <c r="L64" i="582"/>
  <c r="L63" i="582"/>
  <c r="L62" i="582"/>
  <c r="L61" i="582"/>
  <c r="L60" i="582"/>
  <c r="L59" i="582"/>
  <c r="L58" i="582"/>
  <c r="L57" i="582"/>
  <c r="L56" i="582"/>
  <c r="L55" i="582"/>
  <c r="L54" i="582"/>
  <c r="L53" i="582"/>
  <c r="L52" i="582"/>
  <c r="L51" i="582"/>
  <c r="L50" i="582"/>
  <c r="L49" i="582"/>
  <c r="L48" i="582"/>
  <c r="L47" i="582"/>
  <c r="L46" i="582"/>
  <c r="L45" i="582"/>
  <c r="L44" i="582"/>
  <c r="L43" i="582"/>
  <c r="L42" i="582"/>
  <c r="L41" i="582"/>
  <c r="L40" i="582"/>
  <c r="L39" i="582"/>
  <c r="L38" i="582"/>
  <c r="L37" i="582"/>
  <c r="L36" i="582"/>
  <c r="L35" i="582"/>
  <c r="L34" i="582"/>
  <c r="L33" i="582"/>
  <c r="L32" i="582"/>
  <c r="L31" i="582"/>
  <c r="L30" i="582"/>
  <c r="L29" i="582"/>
  <c r="L28" i="582"/>
  <c r="L27" i="582"/>
  <c r="L26" i="582"/>
  <c r="L25" i="582"/>
  <c r="L24" i="582"/>
  <c r="L23" i="582"/>
  <c r="L22" i="582"/>
  <c r="L21" i="582"/>
  <c r="L20" i="582"/>
  <c r="L19" i="582"/>
  <c r="L18" i="582"/>
  <c r="L17" i="582"/>
  <c r="L16" i="582"/>
  <c r="L15" i="582"/>
  <c r="L14" i="582"/>
  <c r="L13" i="582"/>
  <c r="L12" i="582"/>
  <c r="L11" i="582"/>
  <c r="L10" i="582"/>
  <c r="L8" i="582"/>
  <c r="K72" i="582"/>
  <c r="K79" i="582"/>
  <c r="K81" i="582"/>
  <c r="K7" i="582"/>
  <c r="K8" i="582"/>
  <c r="K28" i="582"/>
  <c r="K29" i="582"/>
  <c r="J90" i="582"/>
  <c r="J151" i="582"/>
  <c r="J150" i="582"/>
  <c r="J149" i="582"/>
  <c r="J148" i="582"/>
  <c r="J147" i="582"/>
  <c r="J146" i="582"/>
  <c r="J145" i="582"/>
  <c r="J144" i="582"/>
  <c r="J143" i="582"/>
  <c r="J142" i="582"/>
  <c r="J141" i="582"/>
  <c r="J140" i="582"/>
  <c r="J139" i="582"/>
  <c r="J138" i="582"/>
  <c r="J137" i="582"/>
  <c r="J136" i="582"/>
  <c r="J135" i="582"/>
  <c r="J134" i="582"/>
  <c r="J133" i="582"/>
  <c r="J132" i="582"/>
  <c r="J131" i="582"/>
  <c r="J130" i="582"/>
  <c r="J129" i="582"/>
  <c r="J128" i="582"/>
  <c r="J127" i="582"/>
  <c r="J126" i="582"/>
  <c r="J125" i="582"/>
  <c r="J124" i="582"/>
  <c r="J123" i="582"/>
  <c r="J122" i="582"/>
  <c r="J121" i="582"/>
  <c r="J120" i="582"/>
  <c r="J119" i="582"/>
  <c r="J118" i="582"/>
  <c r="J117" i="582"/>
  <c r="J116" i="582"/>
  <c r="J115" i="582"/>
  <c r="J114" i="582"/>
  <c r="J113" i="582"/>
  <c r="J112" i="582"/>
  <c r="J111" i="582"/>
  <c r="J110" i="582"/>
  <c r="J109" i="582"/>
  <c r="J108" i="582"/>
  <c r="J107" i="582"/>
  <c r="J106" i="582"/>
  <c r="J105" i="582"/>
  <c r="J104" i="582"/>
  <c r="J103" i="582"/>
  <c r="J102" i="582"/>
  <c r="J101" i="582"/>
  <c r="J100" i="582"/>
  <c r="J99" i="582"/>
  <c r="J98" i="582"/>
  <c r="J97" i="582"/>
  <c r="J96" i="582"/>
  <c r="J95" i="582"/>
  <c r="J94" i="582"/>
  <c r="J93" i="582"/>
  <c r="J92" i="582"/>
  <c r="J91" i="582"/>
  <c r="J152" i="582"/>
  <c r="J153" i="582"/>
  <c r="I89" i="582"/>
  <c r="I73" i="544"/>
  <c r="J73" i="544"/>
  <c r="I74" i="544"/>
  <c r="J74" i="544"/>
  <c r="L74" i="544"/>
  <c r="I86" i="544"/>
  <c r="J86" i="544"/>
  <c r="L86" i="544"/>
  <c r="I166" i="545"/>
  <c r="J166" i="545"/>
  <c r="L166" i="545"/>
  <c r="I86" i="545"/>
  <c r="J86" i="545"/>
  <c r="L86" i="545"/>
  <c r="I153" i="545"/>
  <c r="J153" i="545"/>
  <c r="I154" i="545"/>
  <c r="J154" i="545"/>
  <c r="L154" i="545"/>
  <c r="I73" i="545"/>
  <c r="J73" i="545"/>
  <c r="I74" i="545"/>
  <c r="J74" i="545"/>
  <c r="L74" i="545"/>
  <c r="N86" i="581"/>
  <c r="L86" i="581"/>
  <c r="J86" i="581"/>
  <c r="L85" i="581"/>
  <c r="J85" i="581"/>
  <c r="L84" i="581"/>
  <c r="J84" i="581"/>
  <c r="N83" i="581"/>
  <c r="L83" i="581"/>
  <c r="J83" i="581"/>
  <c r="L82" i="581"/>
  <c r="J82" i="581"/>
  <c r="L81" i="581"/>
  <c r="K81" i="581"/>
  <c r="J81" i="581"/>
  <c r="L80" i="581"/>
  <c r="J80" i="581"/>
  <c r="L79" i="581"/>
  <c r="J79" i="581"/>
  <c r="L78" i="581"/>
  <c r="J78" i="581"/>
  <c r="I78" i="581"/>
  <c r="N77" i="581"/>
  <c r="L77" i="581"/>
  <c r="J77" i="581"/>
  <c r="I77" i="581"/>
  <c r="N76" i="581"/>
  <c r="L76" i="581"/>
  <c r="J76" i="581"/>
  <c r="I76" i="581"/>
  <c r="L73" i="581"/>
  <c r="J73" i="581"/>
  <c r="I73" i="581"/>
  <c r="N75" i="581"/>
  <c r="L75" i="581"/>
  <c r="J75" i="581"/>
  <c r="I75" i="581"/>
  <c r="L74" i="581"/>
  <c r="J74" i="581"/>
  <c r="I74" i="581"/>
  <c r="L72" i="581"/>
  <c r="J72" i="581"/>
  <c r="I72" i="581"/>
  <c r="L71" i="581"/>
  <c r="J71" i="581"/>
  <c r="I71" i="581"/>
  <c r="L70" i="581"/>
  <c r="J70" i="581"/>
  <c r="I70" i="581"/>
  <c r="L69" i="581"/>
  <c r="J69" i="581"/>
  <c r="I69" i="581"/>
  <c r="L68" i="581"/>
  <c r="J68" i="581"/>
  <c r="I68" i="581"/>
  <c r="L67" i="581"/>
  <c r="J67" i="581"/>
  <c r="I67" i="581"/>
  <c r="L66" i="581"/>
  <c r="J66" i="581"/>
  <c r="I66" i="581"/>
  <c r="L65" i="581"/>
  <c r="J65" i="581"/>
  <c r="I65" i="581"/>
  <c r="L64" i="581"/>
  <c r="J64" i="581"/>
  <c r="I64" i="581"/>
  <c r="L63" i="581"/>
  <c r="J63" i="581"/>
  <c r="I63" i="581"/>
  <c r="L62" i="581"/>
  <c r="J62" i="581"/>
  <c r="I62" i="581"/>
  <c r="L61" i="581"/>
  <c r="J61" i="581"/>
  <c r="I61" i="581"/>
  <c r="L60" i="581"/>
  <c r="J60" i="581"/>
  <c r="I60" i="581"/>
  <c r="L59" i="581"/>
  <c r="J59" i="581"/>
  <c r="I59" i="581"/>
  <c r="L58" i="581"/>
  <c r="J58" i="581"/>
  <c r="I58" i="581"/>
  <c r="L57" i="581"/>
  <c r="J57" i="581"/>
  <c r="I57" i="581"/>
  <c r="L56" i="581"/>
  <c r="J56" i="581"/>
  <c r="I56" i="581"/>
  <c r="L55" i="581"/>
  <c r="J55" i="581"/>
  <c r="I55" i="581"/>
  <c r="L54" i="581"/>
  <c r="J54" i="581"/>
  <c r="I54" i="581"/>
  <c r="L53" i="581"/>
  <c r="J53" i="581"/>
  <c r="I53" i="581"/>
  <c r="L52" i="581"/>
  <c r="J52" i="581"/>
  <c r="I52" i="581"/>
  <c r="L51" i="581"/>
  <c r="J51" i="581"/>
  <c r="I51" i="581"/>
  <c r="L50" i="581"/>
  <c r="J50" i="581"/>
  <c r="I50" i="581"/>
  <c r="L49" i="581"/>
  <c r="J49" i="581"/>
  <c r="I49" i="581"/>
  <c r="L48" i="581"/>
  <c r="J48" i="581"/>
  <c r="I48" i="581"/>
  <c r="L47" i="581"/>
  <c r="J47" i="581"/>
  <c r="I47" i="581"/>
  <c r="L46" i="581"/>
  <c r="J46" i="581"/>
  <c r="I46" i="581"/>
  <c r="L45" i="581"/>
  <c r="J45" i="581"/>
  <c r="I45" i="581"/>
  <c r="L44" i="581"/>
  <c r="J44" i="581"/>
  <c r="I44" i="581"/>
  <c r="L43" i="581"/>
  <c r="J43" i="581"/>
  <c r="I43" i="581"/>
  <c r="L42" i="581"/>
  <c r="J42" i="581"/>
  <c r="I42" i="581"/>
  <c r="L41" i="581"/>
  <c r="J41" i="581"/>
  <c r="I41" i="581"/>
  <c r="L40" i="581"/>
  <c r="J40" i="581"/>
  <c r="I40" i="581"/>
  <c r="L39" i="581"/>
  <c r="J39" i="581"/>
  <c r="I39" i="581"/>
  <c r="N38" i="581"/>
  <c r="L38" i="581"/>
  <c r="J38" i="581"/>
  <c r="I38" i="581"/>
  <c r="L37" i="581"/>
  <c r="J37" i="581"/>
  <c r="I37" i="581"/>
  <c r="L36" i="581"/>
  <c r="J36" i="581"/>
  <c r="I36" i="581"/>
  <c r="L35" i="581"/>
  <c r="J35" i="581"/>
  <c r="I35" i="581"/>
  <c r="L34" i="581"/>
  <c r="J34" i="581"/>
  <c r="I34" i="581"/>
  <c r="L33" i="581"/>
  <c r="J33" i="581"/>
  <c r="I33" i="581"/>
  <c r="L32" i="581"/>
  <c r="J32" i="581"/>
  <c r="I32" i="581"/>
  <c r="L31" i="581"/>
  <c r="J31" i="581"/>
  <c r="I31" i="581"/>
  <c r="L30" i="581"/>
  <c r="J30" i="581"/>
  <c r="I30" i="581"/>
  <c r="L29" i="581"/>
  <c r="J29" i="581"/>
  <c r="I29" i="581"/>
  <c r="L28" i="581"/>
  <c r="J28" i="581"/>
  <c r="I28" i="581"/>
  <c r="N27" i="581"/>
  <c r="L27" i="581"/>
  <c r="J27" i="581"/>
  <c r="I27" i="581"/>
  <c r="L26" i="581"/>
  <c r="J26" i="581"/>
  <c r="I26" i="581"/>
  <c r="N25" i="581"/>
  <c r="L25" i="581"/>
  <c r="J25" i="581"/>
  <c r="I25" i="581"/>
  <c r="N24" i="581"/>
  <c r="L24" i="581"/>
  <c r="J24" i="581"/>
  <c r="I24" i="581"/>
  <c r="N23" i="581"/>
  <c r="L23" i="581"/>
  <c r="J23" i="581"/>
  <c r="I23" i="581"/>
  <c r="N22" i="581"/>
  <c r="L22" i="581"/>
  <c r="J22" i="581"/>
  <c r="I22" i="581"/>
  <c r="N21" i="581"/>
  <c r="L21" i="581"/>
  <c r="J21" i="581"/>
  <c r="I21" i="581"/>
  <c r="N20" i="581"/>
  <c r="L20" i="581"/>
  <c r="J20" i="581"/>
  <c r="I20" i="581"/>
  <c r="N19" i="581"/>
  <c r="L19" i="581"/>
  <c r="J19" i="581"/>
  <c r="I19" i="581"/>
  <c r="N18" i="581"/>
  <c r="L18" i="581"/>
  <c r="J18" i="581"/>
  <c r="I18" i="581"/>
  <c r="N17" i="581"/>
  <c r="L17" i="581"/>
  <c r="J17" i="581"/>
  <c r="I17" i="581"/>
  <c r="N16" i="581"/>
  <c r="L16" i="581"/>
  <c r="J16" i="581"/>
  <c r="I16" i="581"/>
  <c r="N15" i="581"/>
  <c r="L15" i="581"/>
  <c r="J15" i="581"/>
  <c r="I15" i="581"/>
  <c r="N14" i="581"/>
  <c r="L14" i="581"/>
  <c r="J14" i="581"/>
  <c r="I14" i="581"/>
  <c r="N13" i="581"/>
  <c r="L13" i="581"/>
  <c r="J13" i="581"/>
  <c r="I13" i="581"/>
  <c r="N12" i="581"/>
  <c r="L12" i="581"/>
  <c r="J12" i="581"/>
  <c r="I12" i="581"/>
  <c r="N11" i="581"/>
  <c r="L11" i="581"/>
  <c r="J11" i="581"/>
  <c r="I11" i="581"/>
  <c r="N10" i="581"/>
  <c r="L10" i="581"/>
  <c r="J10" i="581"/>
  <c r="I10" i="581"/>
  <c r="L9" i="581"/>
  <c r="J9" i="581"/>
  <c r="I9" i="581"/>
  <c r="L8" i="581"/>
  <c r="J8" i="581"/>
  <c r="I8" i="581"/>
  <c r="L7" i="581"/>
  <c r="J7" i="581"/>
  <c r="I7" i="581"/>
  <c r="I86" i="581"/>
  <c r="I85" i="581"/>
  <c r="I84" i="581"/>
  <c r="I83" i="581"/>
  <c r="I82" i="581"/>
  <c r="I81" i="581"/>
  <c r="I80" i="581"/>
  <c r="I79" i="581"/>
  <c r="I81" i="547"/>
  <c r="L81" i="547"/>
  <c r="J7" i="579"/>
  <c r="J8" i="579"/>
  <c r="L8" i="579"/>
  <c r="J9" i="579"/>
  <c r="L9" i="579"/>
  <c r="J10" i="579"/>
  <c r="L10" i="579"/>
  <c r="L11" i="579"/>
  <c r="J12" i="579"/>
  <c r="J13" i="579"/>
  <c r="J14" i="579"/>
  <c r="L15" i="579"/>
  <c r="J16" i="579"/>
  <c r="J17" i="579"/>
  <c r="J18" i="579"/>
  <c r="L18" i="579"/>
  <c r="J19" i="579"/>
  <c r="L19" i="579"/>
  <c r="J20" i="579"/>
  <c r="L20" i="579"/>
  <c r="J21" i="579"/>
  <c r="L21" i="579"/>
  <c r="J22" i="579"/>
  <c r="L22" i="579"/>
  <c r="J23" i="579"/>
  <c r="L23" i="579"/>
  <c r="J24" i="579"/>
  <c r="L24" i="579"/>
  <c r="J25" i="579"/>
  <c r="L25" i="579"/>
  <c r="J26" i="579"/>
  <c r="L26" i="579"/>
  <c r="J27" i="579"/>
  <c r="L27" i="579"/>
  <c r="J28" i="579"/>
  <c r="L28" i="579"/>
  <c r="J29" i="579"/>
  <c r="L29" i="579"/>
  <c r="J30" i="579"/>
  <c r="L30" i="579"/>
  <c r="J31" i="579"/>
  <c r="L31" i="579"/>
  <c r="J32" i="579"/>
  <c r="L32" i="579"/>
  <c r="J33" i="579"/>
  <c r="L33" i="579"/>
  <c r="L34" i="579"/>
  <c r="J35" i="579"/>
  <c r="J36" i="579"/>
  <c r="J37" i="579"/>
  <c r="J38" i="579"/>
  <c r="J39" i="579"/>
  <c r="J40" i="579"/>
  <c r="J41" i="579"/>
  <c r="J42" i="579"/>
  <c r="J43" i="579"/>
  <c r="J44" i="579"/>
  <c r="J45" i="579"/>
  <c r="J46" i="579"/>
  <c r="J47" i="579"/>
  <c r="J48" i="579"/>
  <c r="J49" i="579"/>
  <c r="J50" i="579"/>
  <c r="J51" i="579"/>
  <c r="J52" i="579"/>
  <c r="J53" i="579"/>
  <c r="J54" i="579"/>
  <c r="J55" i="579"/>
  <c r="J56" i="579"/>
  <c r="J57" i="579"/>
  <c r="J58" i="579"/>
  <c r="J59" i="579"/>
  <c r="J60" i="579"/>
  <c r="J61" i="579"/>
  <c r="J62" i="579"/>
  <c r="J63" i="579"/>
  <c r="J64" i="579"/>
  <c r="J65" i="579"/>
  <c r="J66" i="579"/>
  <c r="J67" i="579"/>
  <c r="J68" i="579"/>
  <c r="J69" i="579"/>
  <c r="J70" i="579"/>
  <c r="J71" i="579"/>
  <c r="J72" i="579"/>
  <c r="J73" i="579"/>
  <c r="J74" i="579"/>
  <c r="J75" i="579"/>
  <c r="J76" i="579"/>
  <c r="J77" i="579"/>
  <c r="J78" i="579"/>
  <c r="J79" i="579"/>
  <c r="J82" i="579"/>
  <c r="J83" i="579"/>
  <c r="J84" i="579"/>
  <c r="L84" i="579"/>
  <c r="J85" i="579"/>
  <c r="L85" i="579"/>
  <c r="J87" i="579"/>
  <c r="Q32" i="216"/>
  <c r="P31" i="216"/>
  <c r="L166" i="544" l="1"/>
  <c r="J166" i="544"/>
  <c r="I166" i="544"/>
  <c r="J154" i="544"/>
  <c r="I154" i="544"/>
  <c r="L154" i="544"/>
  <c r="J153" i="544"/>
  <c r="I153" i="544"/>
  <c r="Z38" i="216"/>
  <c r="Y38" i="216"/>
  <c r="X38" i="216"/>
  <c r="W38" i="216"/>
  <c r="V38" i="216"/>
  <c r="U38" i="216"/>
  <c r="T38" i="216"/>
  <c r="Z37" i="216"/>
  <c r="Y37" i="216"/>
  <c r="X37" i="216"/>
  <c r="W37" i="216"/>
  <c r="V37" i="216"/>
  <c r="U37" i="216"/>
  <c r="T37" i="216"/>
  <c r="C87" i="549"/>
  <c r="L87" i="549" s="1"/>
  <c r="C85" i="549"/>
  <c r="N85" i="549" s="1"/>
  <c r="C84" i="549"/>
  <c r="N84" i="549" s="1"/>
  <c r="C83" i="549"/>
  <c r="L83" i="549" s="1"/>
  <c r="C82" i="549"/>
  <c r="L82" i="549" s="1"/>
  <c r="C79" i="549"/>
  <c r="L79" i="549" s="1"/>
  <c r="C78" i="549"/>
  <c r="L78" i="549" s="1"/>
  <c r="C77" i="549"/>
  <c r="L77" i="549" s="1"/>
  <c r="C76" i="549"/>
  <c r="L76" i="549" s="1"/>
  <c r="C75" i="549"/>
  <c r="L75" i="549" s="1"/>
  <c r="C74" i="549"/>
  <c r="L74" i="549" s="1"/>
  <c r="C73" i="549"/>
  <c r="L73" i="549" s="1"/>
  <c r="C72" i="549"/>
  <c r="L72" i="549" s="1"/>
  <c r="C71" i="549"/>
  <c r="L71" i="549" s="1"/>
  <c r="C70" i="549"/>
  <c r="L70" i="549" s="1"/>
  <c r="C69" i="549"/>
  <c r="L69" i="549" s="1"/>
  <c r="C68" i="549"/>
  <c r="L68" i="549" s="1"/>
  <c r="C67" i="549"/>
  <c r="L67" i="549" s="1"/>
  <c r="C66" i="549"/>
  <c r="L66" i="549" s="1"/>
  <c r="C65" i="549"/>
  <c r="L65" i="549" s="1"/>
  <c r="C64" i="549"/>
  <c r="L64" i="549" s="1"/>
  <c r="C63" i="549"/>
  <c r="L63" i="549" s="1"/>
  <c r="C62" i="549"/>
  <c r="L62" i="549" s="1"/>
  <c r="C61" i="549"/>
  <c r="L61" i="549" s="1"/>
  <c r="C60" i="549"/>
  <c r="L60" i="549" s="1"/>
  <c r="C59" i="549"/>
  <c r="L59" i="549" s="1"/>
  <c r="C58" i="549"/>
  <c r="L58" i="549" s="1"/>
  <c r="C57" i="549"/>
  <c r="L57" i="549" s="1"/>
  <c r="C56" i="549"/>
  <c r="L56" i="549" s="1"/>
  <c r="C55" i="549"/>
  <c r="L55" i="549" s="1"/>
  <c r="C54" i="549"/>
  <c r="L54" i="549" s="1"/>
  <c r="C53" i="549"/>
  <c r="L53" i="549" s="1"/>
  <c r="C52" i="549"/>
  <c r="L52" i="549" s="1"/>
  <c r="C51" i="549"/>
  <c r="L51" i="549" s="1"/>
  <c r="C50" i="549"/>
  <c r="L50" i="549" s="1"/>
  <c r="C49" i="549"/>
  <c r="L49" i="549" s="1"/>
  <c r="C48" i="549"/>
  <c r="L48" i="549" s="1"/>
  <c r="C47" i="549"/>
  <c r="L47" i="549" s="1"/>
  <c r="C46" i="549"/>
  <c r="L46" i="549" s="1"/>
  <c r="C45" i="549"/>
  <c r="L45" i="549" s="1"/>
  <c r="C44" i="549"/>
  <c r="L44" i="549" s="1"/>
  <c r="C43" i="549"/>
  <c r="L43" i="549" s="1"/>
  <c r="C42" i="549"/>
  <c r="L42" i="549" s="1"/>
  <c r="C41" i="549"/>
  <c r="L41" i="549" s="1"/>
  <c r="C40" i="549"/>
  <c r="L40" i="549" s="1"/>
  <c r="C39" i="549"/>
  <c r="L39" i="549" s="1"/>
  <c r="C38" i="549"/>
  <c r="L38" i="549" s="1"/>
  <c r="C37" i="549"/>
  <c r="L37" i="549" s="1"/>
  <c r="C36" i="549"/>
  <c r="L36" i="549" s="1"/>
  <c r="C35" i="549"/>
  <c r="L35" i="549" s="1"/>
  <c r="C34" i="549"/>
  <c r="N34" i="549" s="1"/>
  <c r="C33" i="549"/>
  <c r="N33" i="549" s="1"/>
  <c r="C32" i="549"/>
  <c r="N32" i="549" s="1"/>
  <c r="C31" i="549"/>
  <c r="N31" i="549" s="1"/>
  <c r="C30" i="549"/>
  <c r="N30" i="549" s="1"/>
  <c r="C29" i="549"/>
  <c r="N29" i="549" s="1"/>
  <c r="C28" i="549"/>
  <c r="N28" i="549" s="1"/>
  <c r="C27" i="549"/>
  <c r="N27" i="549" s="1"/>
  <c r="C26" i="549"/>
  <c r="N26" i="549" s="1"/>
  <c r="C25" i="549"/>
  <c r="N25" i="549" s="1"/>
  <c r="C24" i="549"/>
  <c r="N24" i="549" s="1"/>
  <c r="C23" i="549"/>
  <c r="N23" i="549" s="1"/>
  <c r="C22" i="549"/>
  <c r="N22" i="549" s="1"/>
  <c r="C21" i="549"/>
  <c r="N21" i="549" s="1"/>
  <c r="C20" i="549"/>
  <c r="N20" i="549" s="1"/>
  <c r="C19" i="549"/>
  <c r="N19" i="549" s="1"/>
  <c r="C18" i="549"/>
  <c r="N18" i="549" s="1"/>
  <c r="C17" i="549"/>
  <c r="L17" i="549" s="1"/>
  <c r="C16" i="549"/>
  <c r="L16" i="549" s="1"/>
  <c r="C15" i="549"/>
  <c r="N15" i="549" s="1"/>
  <c r="C14" i="549"/>
  <c r="L14" i="549" s="1"/>
  <c r="C13" i="549"/>
  <c r="L13" i="549" s="1"/>
  <c r="C12" i="549"/>
  <c r="L12" i="549" s="1"/>
  <c r="C11" i="549"/>
  <c r="N11" i="549" s="1"/>
  <c r="C10" i="549"/>
  <c r="N10" i="549" s="1"/>
  <c r="C9" i="549"/>
  <c r="N9" i="549" s="1"/>
  <c r="C8" i="549"/>
  <c r="N8" i="549" s="1"/>
  <c r="C7" i="549"/>
  <c r="L7" i="549" s="1"/>
  <c r="I3" i="549"/>
  <c r="F3" i="549"/>
  <c r="N85" i="547"/>
  <c r="N84" i="547"/>
  <c r="L83" i="547"/>
  <c r="L82" i="547"/>
  <c r="L79" i="547"/>
  <c r="L78" i="547"/>
  <c r="L77" i="547"/>
  <c r="L76" i="547"/>
  <c r="L75" i="547"/>
  <c r="L74" i="547"/>
  <c r="L73" i="547"/>
  <c r="L72" i="547"/>
  <c r="L71" i="547"/>
  <c r="L70" i="547"/>
  <c r="L69" i="547"/>
  <c r="L68" i="547"/>
  <c r="L67" i="547"/>
  <c r="L66" i="547"/>
  <c r="L65" i="547"/>
  <c r="L64" i="547"/>
  <c r="L63" i="547"/>
  <c r="L62" i="547"/>
  <c r="L61" i="547"/>
  <c r="L60" i="547"/>
  <c r="L59" i="547"/>
  <c r="L58" i="547"/>
  <c r="L57" i="547"/>
  <c r="L56" i="547"/>
  <c r="L55" i="547"/>
  <c r="L54" i="547"/>
  <c r="L53" i="547"/>
  <c r="L52" i="547"/>
  <c r="L51" i="547"/>
  <c r="L50" i="547"/>
  <c r="L49" i="547"/>
  <c r="L48" i="547"/>
  <c r="L47" i="547"/>
  <c r="L46" i="547"/>
  <c r="L45" i="547"/>
  <c r="L44" i="547"/>
  <c r="L42" i="547"/>
  <c r="L41" i="547"/>
  <c r="L40" i="547"/>
  <c r="L39" i="547"/>
  <c r="L38" i="547"/>
  <c r="L37" i="547"/>
  <c r="L36" i="547"/>
  <c r="L35" i="547"/>
  <c r="N34" i="547"/>
  <c r="N33" i="547"/>
  <c r="N32" i="547"/>
  <c r="N31" i="547"/>
  <c r="N30" i="547"/>
  <c r="N29" i="547"/>
  <c r="N28" i="547"/>
  <c r="N27" i="547"/>
  <c r="N26" i="547"/>
  <c r="N25" i="547"/>
  <c r="N24" i="547"/>
  <c r="N23" i="547"/>
  <c r="N22" i="547"/>
  <c r="N21" i="547"/>
  <c r="N20" i="547"/>
  <c r="N19" i="547"/>
  <c r="N18" i="547"/>
  <c r="L17" i="547"/>
  <c r="L16" i="547"/>
  <c r="N15" i="547"/>
  <c r="L14" i="547"/>
  <c r="L13" i="547"/>
  <c r="L12" i="547"/>
  <c r="N11" i="547"/>
  <c r="L10" i="547"/>
  <c r="L9" i="547"/>
  <c r="L8" i="547"/>
  <c r="L7" i="547"/>
  <c r="I3" i="547"/>
  <c r="F3" i="547"/>
  <c r="L165" i="545"/>
  <c r="L164" i="545"/>
  <c r="L163" i="545"/>
  <c r="N162" i="545"/>
  <c r="L161" i="545"/>
  <c r="L160" i="545"/>
  <c r="L159" i="545"/>
  <c r="L158" i="545"/>
  <c r="L157" i="545"/>
  <c r="N156" i="545"/>
  <c r="N155" i="545"/>
  <c r="L152" i="545"/>
  <c r="L151" i="545"/>
  <c r="L150" i="545"/>
  <c r="L149" i="545"/>
  <c r="L148" i="545"/>
  <c r="L147" i="545"/>
  <c r="L146" i="545"/>
  <c r="L145" i="545"/>
  <c r="L144" i="545"/>
  <c r="L143" i="545"/>
  <c r="L142" i="545"/>
  <c r="L141" i="545"/>
  <c r="L140" i="545"/>
  <c r="L139" i="545"/>
  <c r="L138" i="545"/>
  <c r="L137" i="545"/>
  <c r="L136" i="545"/>
  <c r="L135" i="545"/>
  <c r="L134" i="545"/>
  <c r="L133" i="545"/>
  <c r="L132" i="545"/>
  <c r="L131" i="545"/>
  <c r="L130" i="545"/>
  <c r="L129" i="545"/>
  <c r="L128" i="545"/>
  <c r="L127" i="545"/>
  <c r="L126" i="545"/>
  <c r="L125" i="545"/>
  <c r="L124" i="545"/>
  <c r="L123" i="545"/>
  <c r="L122" i="545"/>
  <c r="L121" i="545"/>
  <c r="L120" i="545"/>
  <c r="L119" i="545"/>
  <c r="L118" i="545"/>
  <c r="N117" i="545"/>
  <c r="L116" i="545"/>
  <c r="L115" i="545"/>
  <c r="L114" i="545"/>
  <c r="L113" i="545"/>
  <c r="L112" i="545"/>
  <c r="L111" i="545"/>
  <c r="L110" i="545"/>
  <c r="L109" i="545"/>
  <c r="L108" i="545"/>
  <c r="L107" i="545"/>
  <c r="N106" i="545"/>
  <c r="L105" i="545"/>
  <c r="L104" i="545"/>
  <c r="L103" i="545"/>
  <c r="N102" i="545"/>
  <c r="N101" i="545"/>
  <c r="N100" i="545"/>
  <c r="N99" i="545"/>
  <c r="N98" i="545"/>
  <c r="N97" i="545"/>
  <c r="N96" i="545"/>
  <c r="N95" i="545"/>
  <c r="N94" i="545"/>
  <c r="N93" i="545"/>
  <c r="N92" i="545"/>
  <c r="N91" i="545"/>
  <c r="N90" i="545"/>
  <c r="L89" i="545"/>
  <c r="L88" i="545"/>
  <c r="L87" i="545"/>
  <c r="L85" i="545"/>
  <c r="L84" i="545"/>
  <c r="L83" i="545"/>
  <c r="O82" i="545"/>
  <c r="L81" i="545"/>
  <c r="L80" i="545"/>
  <c r="L79" i="545"/>
  <c r="L78" i="545"/>
  <c r="L77" i="545"/>
  <c r="O76" i="545"/>
  <c r="O75" i="545"/>
  <c r="L72" i="545"/>
  <c r="L71" i="545"/>
  <c r="L70" i="545"/>
  <c r="L69" i="545"/>
  <c r="L68" i="545"/>
  <c r="L67" i="545"/>
  <c r="L66" i="545"/>
  <c r="L65" i="545"/>
  <c r="L64" i="545"/>
  <c r="L63" i="545"/>
  <c r="L62" i="545"/>
  <c r="L61" i="545"/>
  <c r="L60" i="545"/>
  <c r="L59" i="545"/>
  <c r="L58" i="545"/>
  <c r="L57" i="545"/>
  <c r="L56" i="545"/>
  <c r="L55" i="545"/>
  <c r="L54" i="545"/>
  <c r="L53" i="545"/>
  <c r="L52" i="545"/>
  <c r="L51" i="545"/>
  <c r="L50" i="545"/>
  <c r="L49" i="545"/>
  <c r="L48" i="545"/>
  <c r="L47" i="545"/>
  <c r="L46" i="545"/>
  <c r="L45" i="545"/>
  <c r="L44" i="545"/>
  <c r="L43" i="545"/>
  <c r="L42" i="545"/>
  <c r="L41" i="545"/>
  <c r="L40" i="545"/>
  <c r="L39" i="545"/>
  <c r="L38" i="545"/>
  <c r="O37" i="545"/>
  <c r="L36" i="545"/>
  <c r="L35" i="545"/>
  <c r="L34" i="545"/>
  <c r="L33" i="545"/>
  <c r="L32" i="545"/>
  <c r="L31" i="545"/>
  <c r="L30" i="545"/>
  <c r="L29" i="545"/>
  <c r="L28" i="545"/>
  <c r="L27" i="545"/>
  <c r="O26" i="545"/>
  <c r="L25" i="545"/>
  <c r="O24" i="545"/>
  <c r="N104" i="545"/>
  <c r="O21" i="545"/>
  <c r="O20" i="545"/>
  <c r="O19" i="545"/>
  <c r="O18" i="545"/>
  <c r="O17" i="545"/>
  <c r="O16" i="545"/>
  <c r="O15" i="545"/>
  <c r="O14" i="545"/>
  <c r="O13" i="545"/>
  <c r="O12" i="545"/>
  <c r="O11" i="545"/>
  <c r="O10" i="545"/>
  <c r="O9" i="545"/>
  <c r="N89" i="545"/>
  <c r="L7" i="545"/>
  <c r="I3" i="545"/>
  <c r="F3" i="545"/>
  <c r="L85" i="544"/>
  <c r="L84" i="544"/>
  <c r="L83" i="544"/>
  <c r="O82" i="544"/>
  <c r="L81" i="544"/>
  <c r="L80" i="544"/>
  <c r="L79" i="544"/>
  <c r="L78" i="544"/>
  <c r="L77" i="544"/>
  <c r="O76" i="544"/>
  <c r="O75" i="544"/>
  <c r="L72" i="544"/>
  <c r="L71" i="544"/>
  <c r="L70" i="544"/>
  <c r="L69" i="544"/>
  <c r="L68" i="544"/>
  <c r="L67" i="544"/>
  <c r="L66" i="544"/>
  <c r="L65" i="544"/>
  <c r="L64" i="544"/>
  <c r="L63" i="544"/>
  <c r="L62" i="544"/>
  <c r="L61" i="544"/>
  <c r="L60" i="544"/>
  <c r="L59" i="544"/>
  <c r="L58" i="544"/>
  <c r="L57" i="544"/>
  <c r="L56" i="544"/>
  <c r="L55" i="544"/>
  <c r="L54" i="544"/>
  <c r="L53" i="544"/>
  <c r="L52" i="544"/>
  <c r="L51" i="544"/>
  <c r="L50" i="544"/>
  <c r="L49" i="544"/>
  <c r="L48" i="544"/>
  <c r="L47" i="544"/>
  <c r="L46" i="544"/>
  <c r="L45" i="544"/>
  <c r="L44" i="544"/>
  <c r="L43" i="544"/>
  <c r="L42" i="544"/>
  <c r="L41" i="544"/>
  <c r="L40" i="544"/>
  <c r="L39" i="544"/>
  <c r="L38" i="544"/>
  <c r="O37" i="544"/>
  <c r="L36" i="544"/>
  <c r="L35" i="544"/>
  <c r="L34" i="544"/>
  <c r="L33" i="544"/>
  <c r="L32" i="544"/>
  <c r="L31" i="544"/>
  <c r="L30" i="544"/>
  <c r="L29" i="544"/>
  <c r="L28" i="544"/>
  <c r="L27" i="544"/>
  <c r="O26" i="544"/>
  <c r="L25" i="544"/>
  <c r="O24" i="544"/>
  <c r="N104" i="544"/>
  <c r="N103" i="544"/>
  <c r="O21" i="544"/>
  <c r="O20" i="544"/>
  <c r="O19" i="544"/>
  <c r="O18" i="544"/>
  <c r="O17" i="544"/>
  <c r="O16" i="544"/>
  <c r="O15" i="544"/>
  <c r="O14" i="544"/>
  <c r="O13" i="544"/>
  <c r="O12" i="544"/>
  <c r="O11" i="544"/>
  <c r="O10" i="544"/>
  <c r="O9" i="544"/>
  <c r="L8" i="544"/>
  <c r="I3" i="544"/>
  <c r="F3" i="544"/>
  <c r="C86" i="543"/>
  <c r="N86" i="543" s="1"/>
  <c r="C85" i="543"/>
  <c r="N85" i="543" s="1"/>
  <c r="C81" i="543"/>
  <c r="J81" i="543" s="1"/>
  <c r="C80" i="543"/>
  <c r="J80" i="543" s="1"/>
  <c r="C79" i="543"/>
  <c r="J79" i="543" s="1"/>
  <c r="C78" i="543"/>
  <c r="J78" i="543" s="1"/>
  <c r="C77" i="543"/>
  <c r="J77" i="543" s="1"/>
  <c r="C76" i="543"/>
  <c r="J76" i="543" s="1"/>
  <c r="C75" i="543"/>
  <c r="J75" i="543" s="1"/>
  <c r="C74" i="543"/>
  <c r="J74" i="543" s="1"/>
  <c r="C73" i="543"/>
  <c r="J73" i="543" s="1"/>
  <c r="C72" i="543"/>
  <c r="J72" i="543" s="1"/>
  <c r="C71" i="543"/>
  <c r="J71" i="543" s="1"/>
  <c r="C70" i="543"/>
  <c r="J70" i="543" s="1"/>
  <c r="C69" i="543"/>
  <c r="J69" i="543" s="1"/>
  <c r="C68" i="543"/>
  <c r="J68" i="543" s="1"/>
  <c r="C67" i="543"/>
  <c r="J67" i="543" s="1"/>
  <c r="C66" i="543"/>
  <c r="J66" i="543" s="1"/>
  <c r="C65" i="543"/>
  <c r="J65" i="543" s="1"/>
  <c r="C64" i="543"/>
  <c r="J64" i="543" s="1"/>
  <c r="C63" i="543"/>
  <c r="J63" i="543" s="1"/>
  <c r="C62" i="543"/>
  <c r="J62" i="543" s="1"/>
  <c r="C61" i="543"/>
  <c r="J61" i="543" s="1"/>
  <c r="C60" i="543"/>
  <c r="J60" i="543" s="1"/>
  <c r="C59" i="543"/>
  <c r="J59" i="543" s="1"/>
  <c r="C58" i="543"/>
  <c r="J58" i="543" s="1"/>
  <c r="C57" i="543"/>
  <c r="J57" i="543" s="1"/>
  <c r="C56" i="543"/>
  <c r="J56" i="543" s="1"/>
  <c r="C55" i="543"/>
  <c r="J55" i="543" s="1"/>
  <c r="C54" i="543"/>
  <c r="J54" i="543" s="1"/>
  <c r="C53" i="543"/>
  <c r="J53" i="543" s="1"/>
  <c r="C52" i="543"/>
  <c r="J52" i="543" s="1"/>
  <c r="C51" i="543"/>
  <c r="J51" i="543" s="1"/>
  <c r="C50" i="543"/>
  <c r="J50" i="543" s="1"/>
  <c r="C49" i="543"/>
  <c r="J49" i="543" s="1"/>
  <c r="C48" i="543"/>
  <c r="J48" i="543" s="1"/>
  <c r="C47" i="543"/>
  <c r="J47" i="543" s="1"/>
  <c r="C46" i="543"/>
  <c r="J46" i="543" s="1"/>
  <c r="C45" i="543"/>
  <c r="J45" i="543" s="1"/>
  <c r="C44" i="543"/>
  <c r="J44" i="543" s="1"/>
  <c r="C43" i="543"/>
  <c r="J43" i="543" s="1"/>
  <c r="C42" i="543"/>
  <c r="J42" i="543" s="1"/>
  <c r="C41" i="543"/>
  <c r="J41" i="543" s="1"/>
  <c r="C40" i="543"/>
  <c r="J40" i="543" s="1"/>
  <c r="C39" i="543"/>
  <c r="J39" i="543" s="1"/>
  <c r="C38" i="543"/>
  <c r="J38" i="543" s="1"/>
  <c r="C37" i="543"/>
  <c r="J37" i="543" s="1"/>
  <c r="C36" i="543"/>
  <c r="J36" i="543" s="1"/>
  <c r="C35" i="543"/>
  <c r="J35" i="543" s="1"/>
  <c r="C34" i="543"/>
  <c r="N34" i="543" s="1"/>
  <c r="C33" i="543"/>
  <c r="N33" i="543" s="1"/>
  <c r="C32" i="543"/>
  <c r="N32" i="543" s="1"/>
  <c r="C31" i="543"/>
  <c r="N31" i="543" s="1"/>
  <c r="C30" i="543"/>
  <c r="N30" i="543" s="1"/>
  <c r="C29" i="543"/>
  <c r="N29" i="543" s="1"/>
  <c r="C28" i="543"/>
  <c r="N28" i="543" s="1"/>
  <c r="C27" i="543"/>
  <c r="N27" i="543" s="1"/>
  <c r="C26" i="543"/>
  <c r="N26" i="543" s="1"/>
  <c r="C25" i="543"/>
  <c r="N25" i="543" s="1"/>
  <c r="C24" i="543"/>
  <c r="N24" i="543" s="1"/>
  <c r="C23" i="543"/>
  <c r="N23" i="543" s="1"/>
  <c r="C22" i="543"/>
  <c r="N22" i="543" s="1"/>
  <c r="C21" i="543"/>
  <c r="N21" i="543" s="1"/>
  <c r="C20" i="543"/>
  <c r="N20" i="543" s="1"/>
  <c r="C19" i="543"/>
  <c r="N19" i="543" s="1"/>
  <c r="C18" i="543"/>
  <c r="N18" i="543" s="1"/>
  <c r="C17" i="543"/>
  <c r="J17" i="543" s="1"/>
  <c r="C16" i="543"/>
  <c r="J16" i="543" s="1"/>
  <c r="C15" i="543"/>
  <c r="N15" i="543" s="1"/>
  <c r="C14" i="543"/>
  <c r="J14" i="543" s="1"/>
  <c r="C13" i="543"/>
  <c r="J13" i="543" s="1"/>
  <c r="C12" i="543"/>
  <c r="J12" i="543" s="1"/>
  <c r="C11" i="543"/>
  <c r="N11" i="543" s="1"/>
  <c r="C10" i="543"/>
  <c r="N10" i="543" s="1"/>
  <c r="C9" i="543"/>
  <c r="N9" i="543" s="1"/>
  <c r="C8" i="543"/>
  <c r="N8" i="543" s="1"/>
  <c r="C7" i="543"/>
  <c r="J7" i="543" s="1"/>
  <c r="I3" i="543"/>
  <c r="F3" i="543"/>
  <c r="N86" i="541"/>
  <c r="N85" i="541"/>
  <c r="L81" i="541"/>
  <c r="L80" i="541"/>
  <c r="L79" i="541"/>
  <c r="L78" i="541"/>
  <c r="L77" i="541"/>
  <c r="L76" i="541"/>
  <c r="L75" i="541"/>
  <c r="L74" i="541"/>
  <c r="L73" i="541"/>
  <c r="L72" i="541"/>
  <c r="L71" i="541"/>
  <c r="L70" i="541"/>
  <c r="L69" i="541"/>
  <c r="L68" i="541"/>
  <c r="L67" i="541"/>
  <c r="L66" i="541"/>
  <c r="L65" i="541"/>
  <c r="L64" i="541"/>
  <c r="L63" i="541"/>
  <c r="L62" i="541"/>
  <c r="L61" i="541"/>
  <c r="L60" i="541"/>
  <c r="L59" i="541"/>
  <c r="L58" i="541"/>
  <c r="L57" i="541"/>
  <c r="L56" i="541"/>
  <c r="L55" i="541"/>
  <c r="L54" i="541"/>
  <c r="L53" i="541"/>
  <c r="L52" i="541"/>
  <c r="L51" i="541"/>
  <c r="L50" i="541"/>
  <c r="L49" i="541"/>
  <c r="L48" i="541"/>
  <c r="L47" i="541"/>
  <c r="L46" i="541"/>
  <c r="L45" i="541"/>
  <c r="L44" i="541"/>
  <c r="L43" i="541"/>
  <c r="L42" i="541"/>
  <c r="L41" i="541"/>
  <c r="L40" i="541"/>
  <c r="L39" i="541"/>
  <c r="L38" i="541"/>
  <c r="L37" i="541"/>
  <c r="L36" i="541"/>
  <c r="L35" i="541"/>
  <c r="N34" i="541"/>
  <c r="N33" i="541"/>
  <c r="N32" i="541"/>
  <c r="N31" i="541"/>
  <c r="N30" i="541"/>
  <c r="N29" i="541"/>
  <c r="N28" i="541"/>
  <c r="N27" i="541"/>
  <c r="N26" i="541"/>
  <c r="N25" i="541"/>
  <c r="N24" i="541"/>
  <c r="N23" i="541"/>
  <c r="N22" i="541"/>
  <c r="N21" i="541"/>
  <c r="N20" i="541"/>
  <c r="N19" i="541"/>
  <c r="N18" i="541"/>
  <c r="L17" i="541"/>
  <c r="L16" i="541"/>
  <c r="N15" i="541"/>
  <c r="L14" i="541"/>
  <c r="L13" i="541"/>
  <c r="L12" i="541"/>
  <c r="N11" i="541"/>
  <c r="N10" i="541"/>
  <c r="N9" i="541"/>
  <c r="N8" i="541"/>
  <c r="L7" i="541"/>
  <c r="I3" i="541"/>
  <c r="F3" i="541"/>
  <c r="N86" i="540"/>
  <c r="N85" i="540"/>
  <c r="L81" i="540"/>
  <c r="L80" i="540"/>
  <c r="L79" i="540"/>
  <c r="L78" i="540"/>
  <c r="L77" i="540"/>
  <c r="L76" i="540"/>
  <c r="L75" i="540"/>
  <c r="L74" i="540"/>
  <c r="L73" i="540"/>
  <c r="L72" i="540"/>
  <c r="L71" i="540"/>
  <c r="L70" i="540"/>
  <c r="L69" i="540"/>
  <c r="L68" i="540"/>
  <c r="L67" i="540"/>
  <c r="L66" i="540"/>
  <c r="L65" i="540"/>
  <c r="L64" i="540"/>
  <c r="L63" i="540"/>
  <c r="L62" i="540"/>
  <c r="L61" i="540"/>
  <c r="L60" i="540"/>
  <c r="L59" i="540"/>
  <c r="L58" i="540"/>
  <c r="L57" i="540"/>
  <c r="L56" i="540"/>
  <c r="L55" i="540"/>
  <c r="L54" i="540"/>
  <c r="L53" i="540"/>
  <c r="L52" i="540"/>
  <c r="L51" i="540"/>
  <c r="L50" i="540"/>
  <c r="L49" i="540"/>
  <c r="L48" i="540"/>
  <c r="L47" i="540"/>
  <c r="L46" i="540"/>
  <c r="L45" i="540"/>
  <c r="L44" i="540"/>
  <c r="L43" i="540"/>
  <c r="L42" i="540"/>
  <c r="L41" i="540"/>
  <c r="L40" i="540"/>
  <c r="L39" i="540"/>
  <c r="L38" i="540"/>
  <c r="L37" i="540"/>
  <c r="L36" i="540"/>
  <c r="L35" i="540"/>
  <c r="N34" i="540"/>
  <c r="N33" i="540"/>
  <c r="N32" i="540"/>
  <c r="N31" i="540"/>
  <c r="N30" i="540"/>
  <c r="N29" i="540"/>
  <c r="N28" i="540"/>
  <c r="N27" i="540"/>
  <c r="N26" i="540"/>
  <c r="N25" i="540"/>
  <c r="N24" i="540"/>
  <c r="N23" i="540"/>
  <c r="N22" i="540"/>
  <c r="N21" i="540"/>
  <c r="N20" i="540"/>
  <c r="N19" i="540"/>
  <c r="N18" i="540"/>
  <c r="L17" i="540"/>
  <c r="L16" i="540"/>
  <c r="N15" i="540"/>
  <c r="L14" i="540"/>
  <c r="L13" i="540"/>
  <c r="L12" i="540"/>
  <c r="N11" i="540"/>
  <c r="N10" i="540"/>
  <c r="N9" i="540"/>
  <c r="N8" i="540"/>
  <c r="L7" i="540"/>
  <c r="I3" i="540"/>
  <c r="F3" i="540"/>
  <c r="J7" i="549" l="1"/>
  <c r="J8" i="549"/>
  <c r="L8" i="549"/>
  <c r="J9" i="549"/>
  <c r="L9" i="549"/>
  <c r="J10" i="549"/>
  <c r="L10" i="549"/>
  <c r="L11" i="549"/>
  <c r="J12" i="549"/>
  <c r="J13" i="549"/>
  <c r="J14" i="549"/>
  <c r="L15" i="549"/>
  <c r="J16" i="549"/>
  <c r="J17" i="549"/>
  <c r="J18" i="549"/>
  <c r="L18" i="549"/>
  <c r="J19" i="549"/>
  <c r="L19" i="549"/>
  <c r="J20" i="549"/>
  <c r="L20" i="549"/>
  <c r="J21" i="549"/>
  <c r="L21" i="549"/>
  <c r="J22" i="549"/>
  <c r="L22" i="549"/>
  <c r="J23" i="549"/>
  <c r="L23" i="549"/>
  <c r="J24" i="549"/>
  <c r="L24" i="549"/>
  <c r="J25" i="549"/>
  <c r="L25" i="549"/>
  <c r="J26" i="549"/>
  <c r="L26" i="549"/>
  <c r="J27" i="549"/>
  <c r="L27" i="549"/>
  <c r="J28" i="549"/>
  <c r="L28" i="549"/>
  <c r="J29" i="549"/>
  <c r="L29" i="549"/>
  <c r="J30" i="549"/>
  <c r="L30" i="549"/>
  <c r="J31" i="549"/>
  <c r="L31" i="549"/>
  <c r="J32" i="549"/>
  <c r="L32" i="549"/>
  <c r="J33" i="549"/>
  <c r="L33" i="549"/>
  <c r="L34" i="549"/>
  <c r="J35" i="549"/>
  <c r="J36" i="549"/>
  <c r="J37" i="549"/>
  <c r="J38" i="549"/>
  <c r="J39" i="549"/>
  <c r="J40" i="549"/>
  <c r="J41" i="549"/>
  <c r="J42" i="549"/>
  <c r="J43" i="549"/>
  <c r="J44" i="549"/>
  <c r="J45" i="549"/>
  <c r="J46" i="549"/>
  <c r="J47" i="549"/>
  <c r="J48" i="549"/>
  <c r="J49" i="549"/>
  <c r="J50" i="549"/>
  <c r="J51" i="549"/>
  <c r="J52" i="549"/>
  <c r="J53" i="549"/>
  <c r="J54" i="549"/>
  <c r="J55" i="549"/>
  <c r="J56" i="549"/>
  <c r="J57" i="549"/>
  <c r="J58" i="549"/>
  <c r="J59" i="549"/>
  <c r="J60" i="549"/>
  <c r="J61" i="549"/>
  <c r="J62" i="549"/>
  <c r="J63" i="549"/>
  <c r="J64" i="549"/>
  <c r="J65" i="549"/>
  <c r="J66" i="549"/>
  <c r="J67" i="549"/>
  <c r="J68" i="549"/>
  <c r="J69" i="549"/>
  <c r="J70" i="549"/>
  <c r="J71" i="549"/>
  <c r="J72" i="549"/>
  <c r="J73" i="549"/>
  <c r="J74" i="549"/>
  <c r="J75" i="549"/>
  <c r="J76" i="549"/>
  <c r="J77" i="549"/>
  <c r="J78" i="549"/>
  <c r="J79" i="549"/>
  <c r="J82" i="549"/>
  <c r="J83" i="549"/>
  <c r="J84" i="549"/>
  <c r="L84" i="549"/>
  <c r="J85" i="549"/>
  <c r="L85" i="549"/>
  <c r="J87" i="549"/>
  <c r="J7" i="547"/>
  <c r="K7" i="547"/>
  <c r="J8" i="547"/>
  <c r="J9" i="547"/>
  <c r="J10" i="547"/>
  <c r="L11" i="547"/>
  <c r="J12" i="547"/>
  <c r="K12" i="547"/>
  <c r="J13" i="547"/>
  <c r="J14" i="547"/>
  <c r="L15" i="547"/>
  <c r="J16" i="547"/>
  <c r="K16" i="547"/>
  <c r="J17" i="547"/>
  <c r="K17" i="547"/>
  <c r="J18" i="547"/>
  <c r="L18" i="547"/>
  <c r="J19" i="547"/>
  <c r="L19" i="547"/>
  <c r="J20" i="547"/>
  <c r="L20" i="547"/>
  <c r="J21" i="547"/>
  <c r="L21" i="547"/>
  <c r="J22" i="547"/>
  <c r="L22" i="547"/>
  <c r="J23" i="547"/>
  <c r="L23" i="547"/>
  <c r="J24" i="547"/>
  <c r="L24" i="547"/>
  <c r="J25" i="547"/>
  <c r="L25" i="547"/>
  <c r="J26" i="547"/>
  <c r="L26" i="547"/>
  <c r="J27" i="547"/>
  <c r="L27" i="547"/>
  <c r="J28" i="547"/>
  <c r="L28" i="547"/>
  <c r="J29" i="547"/>
  <c r="L29" i="547"/>
  <c r="J30" i="547"/>
  <c r="L30" i="547"/>
  <c r="J31" i="547"/>
  <c r="L31" i="547"/>
  <c r="J32" i="547"/>
  <c r="L32" i="547"/>
  <c r="J33" i="547"/>
  <c r="L33" i="547"/>
  <c r="L34" i="547"/>
  <c r="J35" i="547"/>
  <c r="K35" i="547"/>
  <c r="J36" i="547"/>
  <c r="K36" i="547"/>
  <c r="J37" i="547"/>
  <c r="J38" i="547"/>
  <c r="J39" i="547"/>
  <c r="J40" i="547"/>
  <c r="J41" i="547"/>
  <c r="J42" i="547"/>
  <c r="L43" i="547"/>
  <c r="J43" i="547"/>
  <c r="J44" i="547"/>
  <c r="J45" i="547"/>
  <c r="K45" i="547"/>
  <c r="J46" i="547"/>
  <c r="J47" i="547"/>
  <c r="J48" i="547"/>
  <c r="J49" i="547"/>
  <c r="J50" i="547"/>
  <c r="J51" i="547"/>
  <c r="J52" i="547"/>
  <c r="J53" i="547"/>
  <c r="J54" i="547"/>
  <c r="J55" i="547"/>
  <c r="J56" i="547"/>
  <c r="J57" i="547"/>
  <c r="J58" i="547"/>
  <c r="J59" i="547"/>
  <c r="J60" i="547"/>
  <c r="J61" i="547"/>
  <c r="J62" i="547"/>
  <c r="J63" i="547"/>
  <c r="J64" i="547"/>
  <c r="J65" i="547"/>
  <c r="J66" i="547"/>
  <c r="J67" i="547"/>
  <c r="J68" i="547"/>
  <c r="J69" i="547"/>
  <c r="J70" i="547"/>
  <c r="J71" i="547"/>
  <c r="J72" i="547"/>
  <c r="J73" i="547"/>
  <c r="J74" i="547"/>
  <c r="J75" i="547"/>
  <c r="J76" i="547"/>
  <c r="J77" i="547"/>
  <c r="J78" i="547"/>
  <c r="J79" i="547"/>
  <c r="J82" i="547"/>
  <c r="J83" i="547"/>
  <c r="J84" i="547"/>
  <c r="L84" i="547"/>
  <c r="J85" i="547"/>
  <c r="L85" i="547"/>
  <c r="J7" i="545"/>
  <c r="K7" i="545"/>
  <c r="J8" i="545"/>
  <c r="K8" i="545"/>
  <c r="L8" i="545"/>
  <c r="J9" i="545"/>
  <c r="L9" i="545"/>
  <c r="N9" i="545"/>
  <c r="J10" i="545"/>
  <c r="L10" i="545"/>
  <c r="N10" i="545"/>
  <c r="J11" i="545"/>
  <c r="L11" i="545"/>
  <c r="N11" i="545"/>
  <c r="J12" i="545"/>
  <c r="L12" i="545"/>
  <c r="N12" i="545"/>
  <c r="J13" i="545"/>
  <c r="L13" i="545"/>
  <c r="N13" i="545"/>
  <c r="J14" i="545"/>
  <c r="L14" i="545"/>
  <c r="N14" i="545"/>
  <c r="J15" i="545"/>
  <c r="L15" i="545"/>
  <c r="N15" i="545"/>
  <c r="J16" i="545"/>
  <c r="L16" i="545"/>
  <c r="N16" i="545"/>
  <c r="J17" i="545"/>
  <c r="L17" i="545"/>
  <c r="N17" i="545"/>
  <c r="J18" i="545"/>
  <c r="L18" i="545"/>
  <c r="N18" i="545"/>
  <c r="J19" i="545"/>
  <c r="L19" i="545"/>
  <c r="N19" i="545"/>
  <c r="J20" i="545"/>
  <c r="L20" i="545"/>
  <c r="N20" i="545"/>
  <c r="J21" i="545"/>
  <c r="L21" i="545"/>
  <c r="N21" i="545"/>
  <c r="N103" i="545"/>
  <c r="O22" i="545"/>
  <c r="N22" i="545"/>
  <c r="J22" i="545"/>
  <c r="L22" i="545"/>
  <c r="J23" i="545"/>
  <c r="L23" i="545"/>
  <c r="N23" i="545"/>
  <c r="O23" i="545"/>
  <c r="J24" i="545"/>
  <c r="L24" i="545"/>
  <c r="N24" i="545"/>
  <c r="J25" i="545"/>
  <c r="J26" i="545"/>
  <c r="L26" i="545"/>
  <c r="N26" i="545"/>
  <c r="J27" i="545"/>
  <c r="K27" i="545"/>
  <c r="J28" i="545"/>
  <c r="K28" i="545"/>
  <c r="J29" i="545"/>
  <c r="J30" i="545"/>
  <c r="J31" i="545"/>
  <c r="J32" i="545"/>
  <c r="J33" i="545"/>
  <c r="J34" i="545"/>
  <c r="J35" i="545"/>
  <c r="J36" i="545"/>
  <c r="J37" i="545"/>
  <c r="L37" i="545"/>
  <c r="N37" i="545"/>
  <c r="J38" i="545"/>
  <c r="J39" i="545"/>
  <c r="J40" i="545"/>
  <c r="J41" i="545"/>
  <c r="J42" i="545"/>
  <c r="J43" i="545"/>
  <c r="J44" i="545"/>
  <c r="J45" i="545"/>
  <c r="J46" i="545"/>
  <c r="J47" i="545"/>
  <c r="J48" i="545"/>
  <c r="J49" i="545"/>
  <c r="J50" i="545"/>
  <c r="J51" i="545"/>
  <c r="J52" i="545"/>
  <c r="J53" i="545"/>
  <c r="J54" i="545"/>
  <c r="J55" i="545"/>
  <c r="J56" i="545"/>
  <c r="J57" i="545"/>
  <c r="J58" i="545"/>
  <c r="J59" i="545"/>
  <c r="J60" i="545"/>
  <c r="J61" i="545"/>
  <c r="J62" i="545"/>
  <c r="J63" i="545"/>
  <c r="J64" i="545"/>
  <c r="J65" i="545"/>
  <c r="J66" i="545"/>
  <c r="J67" i="545"/>
  <c r="J68" i="545"/>
  <c r="J69" i="545"/>
  <c r="J70" i="545"/>
  <c r="J71" i="545"/>
  <c r="J72" i="545"/>
  <c r="J75" i="545"/>
  <c r="L75" i="545"/>
  <c r="N75" i="545"/>
  <c r="J76" i="545"/>
  <c r="L76" i="545"/>
  <c r="N76" i="545"/>
  <c r="J77" i="545"/>
  <c r="J78" i="545"/>
  <c r="K78" i="545"/>
  <c r="J79" i="545"/>
  <c r="J80" i="545"/>
  <c r="K80" i="545"/>
  <c r="J81" i="545"/>
  <c r="J82" i="545"/>
  <c r="L82" i="545"/>
  <c r="N82" i="545"/>
  <c r="J83" i="545"/>
  <c r="J84" i="545"/>
  <c r="J85" i="545"/>
  <c r="K85" i="545"/>
  <c r="J87" i="545"/>
  <c r="K87" i="545"/>
  <c r="J88" i="545"/>
  <c r="K88" i="545"/>
  <c r="L90" i="545"/>
  <c r="L91" i="545"/>
  <c r="L92" i="545"/>
  <c r="L93" i="545"/>
  <c r="L94" i="545"/>
  <c r="L95" i="545"/>
  <c r="L96" i="545"/>
  <c r="L97" i="545"/>
  <c r="L98" i="545"/>
  <c r="L99" i="545"/>
  <c r="L100" i="545"/>
  <c r="L101" i="545"/>
  <c r="L102" i="545"/>
  <c r="L106" i="545"/>
  <c r="J107" i="545"/>
  <c r="K107" i="545"/>
  <c r="J108" i="545"/>
  <c r="K108" i="545"/>
  <c r="L117" i="545"/>
  <c r="L155" i="545"/>
  <c r="L156" i="545"/>
  <c r="J158" i="545"/>
  <c r="K158" i="545"/>
  <c r="J160" i="545"/>
  <c r="K160" i="545"/>
  <c r="L162" i="545"/>
  <c r="J165" i="545"/>
  <c r="K165" i="545"/>
  <c r="L164" i="544"/>
  <c r="L163" i="544"/>
  <c r="L161" i="544"/>
  <c r="L159" i="544"/>
  <c r="L157" i="544"/>
  <c r="L152" i="544"/>
  <c r="L151" i="544"/>
  <c r="L150" i="544"/>
  <c r="L149" i="544"/>
  <c r="L148" i="544"/>
  <c r="L147" i="544"/>
  <c r="L146" i="544"/>
  <c r="L145" i="544"/>
  <c r="L144" i="544"/>
  <c r="L143" i="544"/>
  <c r="L142" i="544"/>
  <c r="L141" i="544"/>
  <c r="L140" i="544"/>
  <c r="L139" i="544"/>
  <c r="L138" i="544"/>
  <c r="L137" i="544"/>
  <c r="L136" i="544"/>
  <c r="L135" i="544"/>
  <c r="L134" i="544"/>
  <c r="L133" i="544"/>
  <c r="L132" i="544"/>
  <c r="L131" i="544"/>
  <c r="L130" i="544"/>
  <c r="L129" i="544"/>
  <c r="L128" i="544"/>
  <c r="L127" i="544"/>
  <c r="L126" i="544"/>
  <c r="L125" i="544"/>
  <c r="L124" i="544"/>
  <c r="L123" i="544"/>
  <c r="L122" i="544"/>
  <c r="L121" i="544"/>
  <c r="L120" i="544"/>
  <c r="L119" i="544"/>
  <c r="L118" i="544"/>
  <c r="L116" i="544"/>
  <c r="L115" i="544"/>
  <c r="L114" i="544"/>
  <c r="L113" i="544"/>
  <c r="L112" i="544"/>
  <c r="L111" i="544"/>
  <c r="L110" i="544"/>
  <c r="L109" i="544"/>
  <c r="L105" i="544"/>
  <c r="L104" i="544"/>
  <c r="L103" i="544"/>
  <c r="J7" i="544"/>
  <c r="K7" i="544"/>
  <c r="L7" i="544"/>
  <c r="J8" i="544"/>
  <c r="K8" i="544"/>
  <c r="J9" i="544"/>
  <c r="L9" i="544"/>
  <c r="N9" i="544"/>
  <c r="J10" i="544"/>
  <c r="L10" i="544"/>
  <c r="N10" i="544"/>
  <c r="J11" i="544"/>
  <c r="L11" i="544"/>
  <c r="N11" i="544"/>
  <c r="J12" i="544"/>
  <c r="L12" i="544"/>
  <c r="N12" i="544"/>
  <c r="J13" i="544"/>
  <c r="L13" i="544"/>
  <c r="N13" i="544"/>
  <c r="J14" i="544"/>
  <c r="L14" i="544"/>
  <c r="N14" i="544"/>
  <c r="J15" i="544"/>
  <c r="L15" i="544"/>
  <c r="N15" i="544"/>
  <c r="J16" i="544"/>
  <c r="L16" i="544"/>
  <c r="N16" i="544"/>
  <c r="J17" i="544"/>
  <c r="L17" i="544"/>
  <c r="N17" i="544"/>
  <c r="J18" i="544"/>
  <c r="L18" i="544"/>
  <c r="N18" i="544"/>
  <c r="J19" i="544"/>
  <c r="L19" i="544"/>
  <c r="N19" i="544"/>
  <c r="J20" i="544"/>
  <c r="L20" i="544"/>
  <c r="N20" i="544"/>
  <c r="J21" i="544"/>
  <c r="L21" i="544"/>
  <c r="N21" i="544"/>
  <c r="J22" i="544"/>
  <c r="L22" i="544"/>
  <c r="N22" i="544"/>
  <c r="O22" i="544"/>
  <c r="J23" i="544"/>
  <c r="L23" i="544"/>
  <c r="N23" i="544"/>
  <c r="O23" i="544"/>
  <c r="J24" i="544"/>
  <c r="L24" i="544"/>
  <c r="N24" i="544"/>
  <c r="J25" i="544"/>
  <c r="J26" i="544"/>
  <c r="L26" i="544"/>
  <c r="N26" i="544"/>
  <c r="J27" i="544"/>
  <c r="K27" i="544"/>
  <c r="J28" i="544"/>
  <c r="K28" i="544"/>
  <c r="J29" i="544"/>
  <c r="J30" i="544"/>
  <c r="J31" i="544"/>
  <c r="J32" i="544"/>
  <c r="J33" i="544"/>
  <c r="J34" i="544"/>
  <c r="J35" i="544"/>
  <c r="J36" i="544"/>
  <c r="J37" i="544"/>
  <c r="L37" i="544"/>
  <c r="N37" i="544"/>
  <c r="J38" i="544"/>
  <c r="J39" i="544"/>
  <c r="J40" i="544"/>
  <c r="J41" i="544"/>
  <c r="J42" i="544"/>
  <c r="J43" i="544"/>
  <c r="J44" i="544"/>
  <c r="J45" i="544"/>
  <c r="J46" i="544"/>
  <c r="J47" i="544"/>
  <c r="J48" i="544"/>
  <c r="J49" i="544"/>
  <c r="J50" i="544"/>
  <c r="J51" i="544"/>
  <c r="J52" i="544"/>
  <c r="J53" i="544"/>
  <c r="J54" i="544"/>
  <c r="J55" i="544"/>
  <c r="J56" i="544"/>
  <c r="J57" i="544"/>
  <c r="J58" i="544"/>
  <c r="J59" i="544"/>
  <c r="J60" i="544"/>
  <c r="J61" i="544"/>
  <c r="J62" i="544"/>
  <c r="J63" i="544"/>
  <c r="J64" i="544"/>
  <c r="J65" i="544"/>
  <c r="J66" i="544"/>
  <c r="J67" i="544"/>
  <c r="J68" i="544"/>
  <c r="J69" i="544"/>
  <c r="J70" i="544"/>
  <c r="J71" i="544"/>
  <c r="J72" i="544"/>
  <c r="J75" i="544"/>
  <c r="L75" i="544"/>
  <c r="N75" i="544"/>
  <c r="J76" i="544"/>
  <c r="L76" i="544"/>
  <c r="N76" i="544"/>
  <c r="J77" i="544"/>
  <c r="J78" i="544"/>
  <c r="K78" i="544"/>
  <c r="J79" i="544"/>
  <c r="J80" i="544"/>
  <c r="K80" i="544"/>
  <c r="J81" i="544"/>
  <c r="J82" i="544"/>
  <c r="L82" i="544"/>
  <c r="N82" i="544"/>
  <c r="J83" i="544"/>
  <c r="J84" i="544"/>
  <c r="J85" i="544"/>
  <c r="K85" i="544"/>
  <c r="J8" i="543"/>
  <c r="J9" i="543"/>
  <c r="J10" i="543"/>
  <c r="J18" i="543"/>
  <c r="J19" i="543"/>
  <c r="J20" i="543"/>
  <c r="J21" i="543"/>
  <c r="J22" i="543"/>
  <c r="J23" i="543"/>
  <c r="J24" i="543"/>
  <c r="J25" i="543"/>
  <c r="J26" i="543"/>
  <c r="J27" i="543"/>
  <c r="J28" i="543"/>
  <c r="J29" i="543"/>
  <c r="J30" i="543"/>
  <c r="J31" i="543"/>
  <c r="J32" i="543"/>
  <c r="J33" i="543"/>
  <c r="J85" i="543"/>
  <c r="J86" i="543"/>
  <c r="J7" i="541"/>
  <c r="J8" i="541"/>
  <c r="L8" i="541"/>
  <c r="J9" i="541"/>
  <c r="L9" i="541"/>
  <c r="J10" i="541"/>
  <c r="L10" i="541"/>
  <c r="L11" i="541"/>
  <c r="J12" i="541"/>
  <c r="J13" i="541"/>
  <c r="J14" i="541"/>
  <c r="L15" i="541"/>
  <c r="J16" i="541"/>
  <c r="J17" i="541"/>
  <c r="J18" i="541"/>
  <c r="L18" i="541"/>
  <c r="J19" i="541"/>
  <c r="L19" i="541"/>
  <c r="J20" i="541"/>
  <c r="L20" i="541"/>
  <c r="J21" i="541"/>
  <c r="L21" i="541"/>
  <c r="J22" i="541"/>
  <c r="L22" i="541"/>
  <c r="J23" i="541"/>
  <c r="L23" i="541"/>
  <c r="J24" i="541"/>
  <c r="L24" i="541"/>
  <c r="J25" i="541"/>
  <c r="L25" i="541"/>
  <c r="J26" i="541"/>
  <c r="L26" i="541"/>
  <c r="J27" i="541"/>
  <c r="L27" i="541"/>
  <c r="J28" i="541"/>
  <c r="L28" i="541"/>
  <c r="J29" i="541"/>
  <c r="L29" i="541"/>
  <c r="J30" i="541"/>
  <c r="L30" i="541"/>
  <c r="J31" i="541"/>
  <c r="L31" i="541"/>
  <c r="J32" i="541"/>
  <c r="L32" i="541"/>
  <c r="J33" i="541"/>
  <c r="L33" i="541"/>
  <c r="L34" i="541"/>
  <c r="J35" i="541"/>
  <c r="J36" i="541"/>
  <c r="J37" i="541"/>
  <c r="J38" i="541"/>
  <c r="J39" i="541"/>
  <c r="J40" i="541"/>
  <c r="J41" i="541"/>
  <c r="J42" i="541"/>
  <c r="J43" i="541"/>
  <c r="J44" i="541"/>
  <c r="J45" i="541"/>
  <c r="J46" i="541"/>
  <c r="J47" i="541"/>
  <c r="J48" i="541"/>
  <c r="J49" i="541"/>
  <c r="J50" i="541"/>
  <c r="J51" i="541"/>
  <c r="J52" i="541"/>
  <c r="J53" i="541"/>
  <c r="J54" i="541"/>
  <c r="J55" i="541"/>
  <c r="J56" i="541"/>
  <c r="J57" i="541"/>
  <c r="J58" i="541"/>
  <c r="J59" i="541"/>
  <c r="J60" i="541"/>
  <c r="J61" i="541"/>
  <c r="J62" i="541"/>
  <c r="J63" i="541"/>
  <c r="J64" i="541"/>
  <c r="J65" i="541"/>
  <c r="J66" i="541"/>
  <c r="J67" i="541"/>
  <c r="J68" i="541"/>
  <c r="J69" i="541"/>
  <c r="J70" i="541"/>
  <c r="J71" i="541"/>
  <c r="J72" i="541"/>
  <c r="J73" i="541"/>
  <c r="J74" i="541"/>
  <c r="J75" i="541"/>
  <c r="J76" i="541"/>
  <c r="J77" i="541"/>
  <c r="J78" i="541"/>
  <c r="J79" i="541"/>
  <c r="J80" i="541"/>
  <c r="J81" i="541"/>
  <c r="J85" i="541"/>
  <c r="L85" i="541"/>
  <c r="J86" i="541"/>
  <c r="L86" i="541"/>
  <c r="J7" i="540"/>
  <c r="J8" i="540"/>
  <c r="L8" i="540"/>
  <c r="J9" i="540"/>
  <c r="L9" i="540"/>
  <c r="J10" i="540"/>
  <c r="L10" i="540"/>
  <c r="L11" i="540"/>
  <c r="J12" i="540"/>
  <c r="J13" i="540"/>
  <c r="J14" i="540"/>
  <c r="L15" i="540"/>
  <c r="J16" i="540"/>
  <c r="J17" i="540"/>
  <c r="J18" i="540"/>
  <c r="L18" i="540"/>
  <c r="J19" i="540"/>
  <c r="L19" i="540"/>
  <c r="J20" i="540"/>
  <c r="L20" i="540"/>
  <c r="J21" i="540"/>
  <c r="L21" i="540"/>
  <c r="J22" i="540"/>
  <c r="L22" i="540"/>
  <c r="J23" i="540"/>
  <c r="L23" i="540"/>
  <c r="J24" i="540"/>
  <c r="L24" i="540"/>
  <c r="J25" i="540"/>
  <c r="L25" i="540"/>
  <c r="J26" i="540"/>
  <c r="L26" i="540"/>
  <c r="J27" i="540"/>
  <c r="L27" i="540"/>
  <c r="J28" i="540"/>
  <c r="L28" i="540"/>
  <c r="J29" i="540"/>
  <c r="L29" i="540"/>
  <c r="J30" i="540"/>
  <c r="L30" i="540"/>
  <c r="J31" i="540"/>
  <c r="L31" i="540"/>
  <c r="J32" i="540"/>
  <c r="L32" i="540"/>
  <c r="J33" i="540"/>
  <c r="L33" i="540"/>
  <c r="L34" i="540"/>
  <c r="J35" i="540"/>
  <c r="J36" i="540"/>
  <c r="J37" i="540"/>
  <c r="J38" i="540"/>
  <c r="J39" i="540"/>
  <c r="J40" i="540"/>
  <c r="J41" i="540"/>
  <c r="J42" i="540"/>
  <c r="J43" i="540"/>
  <c r="J44" i="540"/>
  <c r="J45" i="540"/>
  <c r="J46" i="540"/>
  <c r="J47" i="540"/>
  <c r="J48" i="540"/>
  <c r="J49" i="540"/>
  <c r="J50" i="540"/>
  <c r="J51" i="540"/>
  <c r="J52" i="540"/>
  <c r="J53" i="540"/>
  <c r="J54" i="540"/>
  <c r="J55" i="540"/>
  <c r="J56" i="540"/>
  <c r="J57" i="540"/>
  <c r="J58" i="540"/>
  <c r="J59" i="540"/>
  <c r="J60" i="540"/>
  <c r="J61" i="540"/>
  <c r="J62" i="540"/>
  <c r="J63" i="540"/>
  <c r="J64" i="540"/>
  <c r="J65" i="540"/>
  <c r="J66" i="540"/>
  <c r="J67" i="540"/>
  <c r="J68" i="540"/>
  <c r="J69" i="540"/>
  <c r="J70" i="540"/>
  <c r="J71" i="540"/>
  <c r="J72" i="540"/>
  <c r="J73" i="540"/>
  <c r="J74" i="540"/>
  <c r="J75" i="540"/>
  <c r="J76" i="540"/>
  <c r="J77" i="540"/>
  <c r="J78" i="540"/>
  <c r="J79" i="540"/>
  <c r="J80" i="540"/>
  <c r="J81" i="540"/>
  <c r="J85" i="540"/>
  <c r="L85" i="540"/>
  <c r="J86" i="540"/>
  <c r="L86" i="540"/>
  <c r="L87" i="544" l="1"/>
  <c r="K87" i="544"/>
  <c r="J87" i="544"/>
  <c r="L88" i="544"/>
  <c r="K88" i="544"/>
  <c r="J88" i="544"/>
  <c r="N89" i="544"/>
  <c r="L89" i="544"/>
  <c r="N90" i="544"/>
  <c r="L90" i="544"/>
  <c r="N91" i="544"/>
  <c r="L91" i="544"/>
  <c r="N92" i="544"/>
  <c r="L92" i="544"/>
  <c r="N93" i="544"/>
  <c r="L93" i="544"/>
  <c r="N94" i="544"/>
  <c r="L94" i="544"/>
  <c r="N95" i="544"/>
  <c r="L95" i="544"/>
  <c r="N96" i="544"/>
  <c r="L96" i="544"/>
  <c r="N97" i="544"/>
  <c r="L97" i="544"/>
  <c r="N98" i="544"/>
  <c r="L98" i="544"/>
  <c r="N99" i="544"/>
  <c r="L99" i="544"/>
  <c r="N100" i="544"/>
  <c r="L100" i="544"/>
  <c r="N101" i="544"/>
  <c r="L101" i="544"/>
  <c r="N102" i="544"/>
  <c r="L102" i="544"/>
  <c r="N106" i="544"/>
  <c r="L106" i="544"/>
  <c r="L107" i="544"/>
  <c r="K107" i="544"/>
  <c r="J107" i="544"/>
  <c r="L108" i="544"/>
  <c r="K108" i="544"/>
  <c r="J108" i="544"/>
  <c r="N117" i="544"/>
  <c r="L117" i="544"/>
  <c r="N155" i="544"/>
  <c r="L155" i="544"/>
  <c r="N156" i="544"/>
  <c r="L156" i="544"/>
  <c r="L158" i="544"/>
  <c r="K158" i="544"/>
  <c r="J158" i="544"/>
  <c r="L160" i="544"/>
  <c r="K160" i="544"/>
  <c r="J160" i="544"/>
  <c r="N162" i="544"/>
  <c r="L162" i="544"/>
  <c r="L165" i="544"/>
  <c r="K165" i="544"/>
  <c r="J165" i="544"/>
  <c r="E17" i="436"/>
  <c r="E17" i="435"/>
  <c r="E24" i="434"/>
  <c r="E24" i="433"/>
  <c r="AK16" i="216" l="1"/>
  <c r="AJ16" i="216"/>
  <c r="AH16" i="216"/>
  <c r="AG16" i="216"/>
  <c r="AF16" i="216"/>
  <c r="AE16" i="216"/>
  <c r="AD16" i="216"/>
  <c r="AC16" i="216"/>
  <c r="AB16" i="216"/>
  <c r="AA16" i="216"/>
  <c r="Z16" i="216"/>
  <c r="Y16" i="216"/>
  <c r="X16" i="216"/>
  <c r="W16" i="216"/>
  <c r="V16" i="216"/>
  <c r="U16" i="216"/>
  <c r="T16" i="216"/>
  <c r="S16" i="216"/>
  <c r="AE12" i="216" l="1"/>
  <c r="AH12" i="216"/>
  <c r="AG12" i="216"/>
  <c r="BB11" i="216"/>
  <c r="AZ11" i="216"/>
  <c r="AE10" i="216"/>
  <c r="AD10" i="216"/>
  <c r="AH10" i="216"/>
  <c r="AG10" i="216"/>
  <c r="BE11" i="216" l="1"/>
  <c r="AI12" i="216"/>
  <c r="AD12" i="216"/>
  <c r="AI10" i="216"/>
  <c r="E88" i="434"/>
  <c r="E87" i="434"/>
  <c r="E86" i="434"/>
  <c r="E85" i="434"/>
  <c r="E84" i="434"/>
  <c r="E83" i="434"/>
  <c r="E74" i="433"/>
  <c r="E73" i="433"/>
  <c r="E72" i="433"/>
  <c r="E71" i="433"/>
  <c r="E70" i="433"/>
  <c r="E69" i="433"/>
  <c r="E120" i="434"/>
  <c r="E119" i="434"/>
  <c r="E112" i="434"/>
  <c r="E111" i="434"/>
  <c r="E104" i="434"/>
  <c r="E103" i="434"/>
  <c r="E96" i="434"/>
  <c r="E95" i="434"/>
  <c r="E70" i="434"/>
  <c r="E69" i="434"/>
  <c r="E56" i="434"/>
  <c r="E55" i="434"/>
  <c r="E128" i="434"/>
  <c r="E127" i="434"/>
  <c r="E126" i="434"/>
  <c r="E123" i="434"/>
  <c r="E122" i="434"/>
  <c r="E114" i="433"/>
  <c r="E113" i="433"/>
  <c r="E106" i="433"/>
  <c r="E105" i="433"/>
  <c r="E98" i="433"/>
  <c r="E97" i="433"/>
  <c r="E90" i="433"/>
  <c r="E89" i="433"/>
  <c r="E82" i="433"/>
  <c r="E81" i="433"/>
  <c r="E56" i="433"/>
  <c r="E55" i="433"/>
  <c r="E42" i="435"/>
  <c r="E28" i="435"/>
  <c r="E112" i="433"/>
  <c r="E109" i="433"/>
  <c r="E108" i="433"/>
  <c r="E13" i="436"/>
  <c r="E9" i="436"/>
  <c r="E13" i="435"/>
  <c r="E9" i="435"/>
  <c r="E13" i="434"/>
  <c r="E9" i="434"/>
  <c r="E13" i="433"/>
  <c r="E9" i="433"/>
  <c r="E68" i="434" l="1"/>
  <c r="E65" i="434" l="1"/>
  <c r="E110" i="434" l="1"/>
  <c r="E54" i="434"/>
  <c r="R47" i="365"/>
  <c r="R48" i="365"/>
  <c r="R49" i="365"/>
  <c r="R44" i="365"/>
  <c r="R45" i="365"/>
  <c r="R46" i="365"/>
  <c r="U36" i="216" l="1"/>
  <c r="T36" i="216"/>
  <c r="S36" i="216"/>
  <c r="R36" i="216"/>
  <c r="Q36" i="216"/>
  <c r="P36" i="216"/>
  <c r="AJ68" i="365" l="1"/>
  <c r="AJ69" i="365"/>
  <c r="AJ70" i="365"/>
  <c r="AJ65" i="365"/>
  <c r="AJ66" i="365"/>
  <c r="AJ67" i="365"/>
  <c r="AJ59" i="365"/>
  <c r="AJ60" i="365"/>
  <c r="AJ61" i="365"/>
  <c r="AJ62" i="365"/>
  <c r="AJ63" i="365"/>
  <c r="AJ64" i="365"/>
  <c r="E51" i="433"/>
  <c r="E50" i="433"/>
  <c r="AG68" i="365"/>
  <c r="AG69" i="365"/>
  <c r="AG70" i="365"/>
  <c r="AG65" i="365"/>
  <c r="AG66" i="365"/>
  <c r="AG67" i="365"/>
  <c r="AG62" i="365"/>
  <c r="AG63" i="365"/>
  <c r="AG64" i="365"/>
  <c r="AG59" i="365"/>
  <c r="AG60" i="365"/>
  <c r="AG61" i="365"/>
  <c r="U56" i="365" l="1"/>
  <c r="U57" i="365"/>
  <c r="U58" i="365"/>
  <c r="E40" i="436" l="1"/>
  <c r="E28" i="436"/>
  <c r="E26" i="436"/>
  <c r="E40" i="435"/>
  <c r="E26" i="435"/>
  <c r="E37" i="436" l="1"/>
  <c r="E23" i="436"/>
  <c r="E36" i="435"/>
  <c r="E22" i="435"/>
  <c r="AI23" i="365" l="1"/>
  <c r="AI24" i="365"/>
  <c r="AI25" i="365"/>
  <c r="E42" i="434" l="1"/>
  <c r="E41" i="434"/>
  <c r="E42" i="433"/>
  <c r="E41" i="433"/>
  <c r="E46" i="434" l="1"/>
  <c r="E45" i="434"/>
  <c r="E44" i="434"/>
  <c r="E43" i="434"/>
  <c r="E46" i="433"/>
  <c r="E45" i="433"/>
  <c r="E44" i="433"/>
  <c r="E43" i="433"/>
  <c r="T80" i="365" l="1"/>
  <c r="T81" i="365"/>
  <c r="T82" i="365"/>
  <c r="S80" i="365"/>
  <c r="S81" i="365"/>
  <c r="S82" i="365"/>
  <c r="T77" i="365"/>
  <c r="T78" i="365"/>
  <c r="T79" i="365"/>
  <c r="S77" i="365"/>
  <c r="S78" i="365"/>
  <c r="S79" i="365"/>
  <c r="T47" i="365"/>
  <c r="T48" i="365"/>
  <c r="T49" i="365"/>
  <c r="S47" i="365"/>
  <c r="S48" i="365"/>
  <c r="S49" i="365"/>
  <c r="T44" i="365"/>
  <c r="T45" i="365"/>
  <c r="T46" i="365"/>
  <c r="S44" i="365"/>
  <c r="S45" i="365"/>
  <c r="S46" i="365"/>
  <c r="E25" i="435"/>
  <c r="E39" i="435"/>
  <c r="E25" i="436"/>
  <c r="E39" i="436"/>
  <c r="E38" i="436"/>
  <c r="E24" i="436"/>
  <c r="E38" i="435"/>
  <c r="E24" i="435"/>
  <c r="E101" i="434" l="1"/>
  <c r="E94" i="433"/>
  <c r="E66" i="434"/>
  <c r="E92" i="434"/>
  <c r="E23" i="433"/>
  <c r="E34" i="433"/>
  <c r="E35" i="433"/>
  <c r="E88" i="433"/>
  <c r="E94" i="434"/>
  <c r="E12" i="434"/>
  <c r="E78" i="433"/>
  <c r="E53" i="436"/>
  <c r="E50" i="436"/>
  <c r="E46" i="436"/>
  <c r="E45" i="436"/>
  <c r="E44" i="436"/>
  <c r="E43" i="436"/>
  <c r="E42" i="436"/>
  <c r="E41" i="436"/>
  <c r="E36" i="436"/>
  <c r="E35" i="436"/>
  <c r="E34" i="436"/>
  <c r="E32" i="436"/>
  <c r="E31" i="436"/>
  <c r="E30" i="436"/>
  <c r="E29" i="436"/>
  <c r="E27" i="436"/>
  <c r="E22" i="436"/>
  <c r="E21" i="436"/>
  <c r="E20" i="436"/>
  <c r="E16" i="436"/>
  <c r="E12" i="436"/>
  <c r="E8" i="436"/>
  <c r="E5" i="436"/>
  <c r="E4" i="436"/>
  <c r="E53" i="435"/>
  <c r="E50" i="435"/>
  <c r="E46" i="435"/>
  <c r="E45" i="435"/>
  <c r="E44" i="435"/>
  <c r="E43" i="435"/>
  <c r="E41" i="435"/>
  <c r="E37" i="435"/>
  <c r="E35" i="435"/>
  <c r="E34" i="435"/>
  <c r="E32" i="435"/>
  <c r="E31" i="435"/>
  <c r="E30" i="435"/>
  <c r="E29" i="435"/>
  <c r="E27" i="435"/>
  <c r="E23" i="435"/>
  <c r="E21" i="435"/>
  <c r="E20" i="435"/>
  <c r="E16" i="435"/>
  <c r="E12" i="435"/>
  <c r="E8" i="435"/>
  <c r="E5" i="435"/>
  <c r="E4" i="435"/>
  <c r="E74" i="434"/>
  <c r="E73" i="434"/>
  <c r="E72" i="434"/>
  <c r="E71" i="434"/>
  <c r="E60" i="434"/>
  <c r="E59" i="434"/>
  <c r="E58" i="434"/>
  <c r="E57" i="434"/>
  <c r="E53" i="434"/>
  <c r="E52" i="434"/>
  <c r="E135" i="434"/>
  <c r="E132" i="434"/>
  <c r="E39" i="434"/>
  <c r="E38" i="434"/>
  <c r="E37" i="434"/>
  <c r="E36" i="434"/>
  <c r="E32" i="434"/>
  <c r="E31" i="434"/>
  <c r="E30" i="434"/>
  <c r="E29" i="434"/>
  <c r="E21" i="434"/>
  <c r="E20" i="434"/>
  <c r="E19" i="434"/>
  <c r="E18" i="434"/>
  <c r="E17" i="434"/>
  <c r="E8" i="434"/>
  <c r="E5" i="434"/>
  <c r="E4" i="434"/>
  <c r="E121" i="433"/>
  <c r="E118" i="433"/>
  <c r="E60" i="433"/>
  <c r="E59" i="433"/>
  <c r="E58" i="433"/>
  <c r="E57" i="433"/>
  <c r="E39" i="433"/>
  <c r="E38" i="433"/>
  <c r="E37" i="433"/>
  <c r="E36" i="433"/>
  <c r="E32" i="433"/>
  <c r="E31" i="433"/>
  <c r="E30" i="433"/>
  <c r="E29" i="433"/>
  <c r="E21" i="433"/>
  <c r="E20" i="433"/>
  <c r="E19" i="433"/>
  <c r="E18" i="433"/>
  <c r="E17" i="433"/>
  <c r="E8" i="433"/>
  <c r="E5" i="433"/>
  <c r="E4" i="433"/>
  <c r="E23" i="434" l="1"/>
  <c r="E49" i="433"/>
  <c r="E52" i="433"/>
  <c r="E109" i="434"/>
  <c r="E67" i="434"/>
  <c r="E92" i="433"/>
  <c r="E48" i="433"/>
  <c r="E35" i="434"/>
  <c r="E93" i="434"/>
  <c r="E12" i="433"/>
  <c r="E28" i="434"/>
  <c r="E16" i="434"/>
  <c r="E16" i="433"/>
  <c r="E91" i="434"/>
  <c r="E90" i="434"/>
  <c r="E98" i="434"/>
  <c r="E101" i="433"/>
  <c r="E48" i="434"/>
  <c r="E49" i="434"/>
  <c r="E100" i="433"/>
  <c r="E51" i="434"/>
  <c r="E104" i="433"/>
  <c r="E53" i="433"/>
  <c r="E93" i="433"/>
  <c r="E79" i="433"/>
  <c r="E86" i="433"/>
  <c r="E87" i="433"/>
  <c r="E100" i="434"/>
  <c r="E95" i="433"/>
  <c r="E62" i="434"/>
  <c r="E63" i="434"/>
  <c r="E64" i="434"/>
  <c r="E27" i="434"/>
  <c r="E84" i="433"/>
  <c r="E102" i="434"/>
  <c r="E28" i="433"/>
  <c r="E76" i="433"/>
  <c r="E114" i="434"/>
  <c r="E99" i="434"/>
  <c r="E85" i="433"/>
  <c r="E27" i="433"/>
  <c r="E77" i="433"/>
  <c r="E34" i="434"/>
  <c r="E115" i="434"/>
  <c r="E54" i="433"/>
  <c r="E96" i="433"/>
  <c r="E80" i="433"/>
  <c r="E118" i="434"/>
  <c r="E106" i="434"/>
  <c r="E107" i="434"/>
  <c r="E108" i="434"/>
  <c r="P9" i="216" l="1"/>
  <c r="O9" i="216"/>
  <c r="R35" i="216" l="1"/>
  <c r="Q35" i="216"/>
  <c r="P35" i="216"/>
  <c r="P34" i="216"/>
  <c r="AU30" i="216"/>
  <c r="AJ30" i="216"/>
  <c r="P22" i="216"/>
  <c r="P21" i="216"/>
  <c r="P20" i="216"/>
  <c r="AK19" i="216"/>
  <c r="AJ19" i="216"/>
  <c r="AI19" i="216"/>
  <c r="AH19" i="216"/>
  <c r="AG19" i="216"/>
  <c r="AF19" i="216"/>
  <c r="AE19" i="216"/>
  <c r="AD19" i="216"/>
  <c r="AC19" i="216"/>
  <c r="AB19" i="216"/>
  <c r="AA19" i="216"/>
  <c r="Z19" i="216"/>
  <c r="Y19" i="216"/>
  <c r="X19" i="216"/>
  <c r="W19" i="216"/>
  <c r="X13" i="216"/>
  <c r="W13" i="216"/>
  <c r="AU11" i="216"/>
  <c r="AT11" i="216"/>
  <c r="AS11" i="216"/>
  <c r="T6" i="216"/>
  <c r="S6" i="216"/>
  <c r="R6" i="216"/>
  <c r="Q6" i="216"/>
  <c r="P6" i="216"/>
  <c r="C8" i="412"/>
  <c r="C7" i="412"/>
  <c r="I3" i="412"/>
  <c r="F3" i="412"/>
  <c r="AJ82" i="365"/>
  <c r="AG82" i="365"/>
  <c r="AD82" i="365"/>
  <c r="AA82" i="365"/>
  <c r="X82" i="365"/>
  <c r="U82" i="365"/>
  <c r="R82" i="365"/>
  <c r="O82" i="365"/>
  <c r="L82" i="365"/>
  <c r="I82" i="365"/>
  <c r="F82" i="365"/>
  <c r="AL81" i="365"/>
  <c r="AK81" i="365"/>
  <c r="AJ81" i="365"/>
  <c r="AI81" i="365"/>
  <c r="AH81" i="365"/>
  <c r="AG81" i="365"/>
  <c r="AF81" i="365"/>
  <c r="AE81" i="365"/>
  <c r="AD81" i="365"/>
  <c r="AC81" i="365"/>
  <c r="AB81" i="365"/>
  <c r="AA81" i="365"/>
  <c r="Z81" i="365"/>
  <c r="Y81" i="365"/>
  <c r="X81" i="365"/>
  <c r="W81" i="365"/>
  <c r="V81" i="365"/>
  <c r="U81" i="365"/>
  <c r="R81" i="365"/>
  <c r="Q81" i="365"/>
  <c r="P81" i="365"/>
  <c r="O81" i="365"/>
  <c r="N81" i="365"/>
  <c r="M81" i="365"/>
  <c r="L81" i="365"/>
  <c r="I81" i="365"/>
  <c r="F81" i="365"/>
  <c r="AL80" i="365"/>
  <c r="AK80" i="365"/>
  <c r="AJ80" i="365"/>
  <c r="AI80" i="365"/>
  <c r="AH80" i="365"/>
  <c r="AG80" i="365"/>
  <c r="AF80" i="365"/>
  <c r="AE80" i="365"/>
  <c r="AD80" i="365"/>
  <c r="AC80" i="365"/>
  <c r="AB80" i="365"/>
  <c r="AA80" i="365"/>
  <c r="Z80" i="365"/>
  <c r="Y80" i="365"/>
  <c r="X80" i="365"/>
  <c r="W80" i="365"/>
  <c r="V80" i="365"/>
  <c r="U80" i="365"/>
  <c r="R80" i="365"/>
  <c r="Q80" i="365"/>
  <c r="P80" i="365"/>
  <c r="O80" i="365"/>
  <c r="N80" i="365"/>
  <c r="M80" i="365"/>
  <c r="L80" i="365"/>
  <c r="K80" i="365"/>
  <c r="J80" i="365"/>
  <c r="I80" i="365"/>
  <c r="H80" i="365"/>
  <c r="G80" i="365"/>
  <c r="F80" i="365"/>
  <c r="AM79" i="365"/>
  <c r="AL79" i="365"/>
  <c r="AK79" i="365"/>
  <c r="AJ79" i="365"/>
  <c r="AG79" i="365"/>
  <c r="AD79" i="365"/>
  <c r="AA79" i="365"/>
  <c r="X79" i="365"/>
  <c r="U79" i="365"/>
  <c r="R79" i="365"/>
  <c r="O79" i="365"/>
  <c r="L79" i="365"/>
  <c r="I79" i="365"/>
  <c r="F79" i="365"/>
  <c r="AM78" i="365"/>
  <c r="AL78" i="365"/>
  <c r="AK78" i="365"/>
  <c r="AJ78" i="365"/>
  <c r="AI78" i="365"/>
  <c r="AH78" i="365"/>
  <c r="AG78" i="365"/>
  <c r="AF78" i="365"/>
  <c r="AE78" i="365"/>
  <c r="AD78" i="365"/>
  <c r="AC78" i="365"/>
  <c r="AB78" i="365"/>
  <c r="AA78" i="365"/>
  <c r="Z78" i="365"/>
  <c r="Y78" i="365"/>
  <c r="X78" i="365"/>
  <c r="W78" i="365"/>
  <c r="V78" i="365"/>
  <c r="U78" i="365"/>
  <c r="R78" i="365"/>
  <c r="Q78" i="365"/>
  <c r="P78" i="365"/>
  <c r="O78" i="365"/>
  <c r="L78" i="365"/>
  <c r="K78" i="365"/>
  <c r="J78" i="365"/>
  <c r="I78" i="365"/>
  <c r="H78" i="365"/>
  <c r="G78" i="365"/>
  <c r="F78" i="365"/>
  <c r="AM77" i="365"/>
  <c r="AL77" i="365"/>
  <c r="AK77" i="365"/>
  <c r="AJ77" i="365"/>
  <c r="AI77" i="365"/>
  <c r="AH77" i="365"/>
  <c r="AG77" i="365"/>
  <c r="AF77" i="365"/>
  <c r="AE77" i="365"/>
  <c r="AD77" i="365"/>
  <c r="AC77" i="365"/>
  <c r="AB77" i="365"/>
  <c r="AA77" i="365"/>
  <c r="Z77" i="365"/>
  <c r="Y77" i="365"/>
  <c r="X77" i="365"/>
  <c r="W77" i="365"/>
  <c r="V77" i="365"/>
  <c r="U77" i="365"/>
  <c r="R77" i="365"/>
  <c r="Q77" i="365"/>
  <c r="P77" i="365"/>
  <c r="O77" i="365"/>
  <c r="N77" i="365"/>
  <c r="M77" i="365"/>
  <c r="L77" i="365"/>
  <c r="K77" i="365"/>
  <c r="J77" i="365"/>
  <c r="I77" i="365"/>
  <c r="H77" i="365"/>
  <c r="G77" i="365"/>
  <c r="F77" i="365"/>
  <c r="AL76" i="365"/>
  <c r="AK76" i="365"/>
  <c r="AJ76" i="365"/>
  <c r="AI76" i="365"/>
  <c r="AH76" i="365"/>
  <c r="AG76" i="365"/>
  <c r="AF76" i="365"/>
  <c r="AE76" i="365"/>
  <c r="AD76" i="365"/>
  <c r="AC76" i="365"/>
  <c r="AB76" i="365"/>
  <c r="AA76" i="365"/>
  <c r="Z76" i="365"/>
  <c r="Y76" i="365"/>
  <c r="X76" i="365"/>
  <c r="W76" i="365"/>
  <c r="V76" i="365"/>
  <c r="Q76" i="365"/>
  <c r="P76" i="365"/>
  <c r="O76" i="365"/>
  <c r="N76" i="365"/>
  <c r="M76" i="365"/>
  <c r="L76" i="365"/>
  <c r="K76" i="365"/>
  <c r="J76" i="365"/>
  <c r="I76" i="365"/>
  <c r="H76" i="365"/>
  <c r="G76" i="365"/>
  <c r="F76" i="365"/>
  <c r="AL75" i="365"/>
  <c r="AK75" i="365"/>
  <c r="AJ75" i="365"/>
  <c r="AI75" i="365"/>
  <c r="AH75" i="365"/>
  <c r="AG75" i="365"/>
  <c r="AF75" i="365"/>
  <c r="AE75" i="365"/>
  <c r="AD75" i="365"/>
  <c r="AC75" i="365"/>
  <c r="AB75" i="365"/>
  <c r="AA75" i="365"/>
  <c r="Z75" i="365"/>
  <c r="Y75" i="365"/>
  <c r="X75" i="365"/>
  <c r="W75" i="365"/>
  <c r="V75" i="365"/>
  <c r="Q75" i="365"/>
  <c r="P75" i="365"/>
  <c r="O75" i="365"/>
  <c r="N75" i="365"/>
  <c r="M75" i="365"/>
  <c r="L75" i="365"/>
  <c r="K75" i="365"/>
  <c r="J75" i="365"/>
  <c r="I75" i="365"/>
  <c r="H75" i="365"/>
  <c r="G75" i="365"/>
  <c r="F75" i="365"/>
  <c r="AO74" i="365"/>
  <c r="AN74" i="365"/>
  <c r="AM74" i="365"/>
  <c r="AL74" i="365"/>
  <c r="AK74" i="365"/>
  <c r="AJ74" i="365"/>
  <c r="AI74" i="365"/>
  <c r="AH74" i="365"/>
  <c r="AG74" i="365"/>
  <c r="AF74" i="365"/>
  <c r="AE74" i="365"/>
  <c r="AD74" i="365"/>
  <c r="AC74" i="365"/>
  <c r="AB74" i="365"/>
  <c r="AA74" i="365"/>
  <c r="Z74" i="365"/>
  <c r="Y74" i="365"/>
  <c r="X74" i="365"/>
  <c r="W74" i="365"/>
  <c r="V74" i="365"/>
  <c r="Q74" i="365"/>
  <c r="P74" i="365"/>
  <c r="O74" i="365"/>
  <c r="N74" i="365"/>
  <c r="M74" i="365"/>
  <c r="L74" i="365"/>
  <c r="K74" i="365"/>
  <c r="J74" i="365"/>
  <c r="I74" i="365"/>
  <c r="H74" i="365"/>
  <c r="G74" i="365"/>
  <c r="F74" i="365"/>
  <c r="AO73" i="365"/>
  <c r="AN73" i="365"/>
  <c r="AM73" i="365"/>
  <c r="AL73" i="365"/>
  <c r="AK73" i="365"/>
  <c r="AJ73" i="365"/>
  <c r="AI73" i="365"/>
  <c r="AH73" i="365"/>
  <c r="AG73" i="365"/>
  <c r="AF73" i="365"/>
  <c r="AE73" i="365"/>
  <c r="AD73" i="365"/>
  <c r="AC73" i="365"/>
  <c r="AB73" i="365"/>
  <c r="AA73" i="365"/>
  <c r="Z73" i="365"/>
  <c r="Y73" i="365"/>
  <c r="X73" i="365"/>
  <c r="W73" i="365"/>
  <c r="V73" i="365"/>
  <c r="Q73" i="365"/>
  <c r="P73" i="365"/>
  <c r="O73" i="365"/>
  <c r="N73" i="365"/>
  <c r="M73" i="365"/>
  <c r="L73" i="365"/>
  <c r="K73" i="365"/>
  <c r="J73" i="365"/>
  <c r="H73" i="365"/>
  <c r="G73" i="365"/>
  <c r="AO72" i="365"/>
  <c r="AN72" i="365"/>
  <c r="AM72" i="365"/>
  <c r="AL72" i="365"/>
  <c r="AK72" i="365"/>
  <c r="AJ72" i="365"/>
  <c r="AI72" i="365"/>
  <c r="AH72" i="365"/>
  <c r="AG72" i="365"/>
  <c r="AF72" i="365"/>
  <c r="AE72" i="365"/>
  <c r="AD72" i="365"/>
  <c r="AC72" i="365"/>
  <c r="AB72" i="365"/>
  <c r="AA72" i="365"/>
  <c r="Z72" i="365"/>
  <c r="Y72" i="365"/>
  <c r="X72" i="365"/>
  <c r="W72" i="365"/>
  <c r="V72" i="365"/>
  <c r="Q72" i="365"/>
  <c r="P72" i="365"/>
  <c r="O72" i="365"/>
  <c r="N72" i="365"/>
  <c r="M72" i="365"/>
  <c r="L72" i="365"/>
  <c r="K72" i="365"/>
  <c r="J72" i="365"/>
  <c r="H72" i="365"/>
  <c r="G72" i="365"/>
  <c r="AO71" i="365"/>
  <c r="AN71" i="365"/>
  <c r="AM71" i="365"/>
  <c r="AL71" i="365"/>
  <c r="AK71" i="365"/>
  <c r="AJ71" i="365"/>
  <c r="AI71" i="365"/>
  <c r="AH71" i="365"/>
  <c r="AG71" i="365"/>
  <c r="AF71" i="365"/>
  <c r="AE71" i="365"/>
  <c r="AD71" i="365"/>
  <c r="AC71" i="365"/>
  <c r="AB71" i="365"/>
  <c r="AA71" i="365"/>
  <c r="Z71" i="365"/>
  <c r="Y71" i="365"/>
  <c r="X71" i="365"/>
  <c r="W71" i="365"/>
  <c r="V71" i="365"/>
  <c r="Q71" i="365"/>
  <c r="P71" i="365"/>
  <c r="O71" i="365"/>
  <c r="N71" i="365"/>
  <c r="M71" i="365"/>
  <c r="L71" i="365"/>
  <c r="K71" i="365"/>
  <c r="J71" i="365"/>
  <c r="H71" i="365"/>
  <c r="G71" i="365"/>
  <c r="AO70" i="365"/>
  <c r="AN70" i="365"/>
  <c r="AM70" i="365"/>
  <c r="AL70" i="365"/>
  <c r="AK70" i="365"/>
  <c r="AI70" i="365"/>
  <c r="AH70" i="365"/>
  <c r="AF70" i="365"/>
  <c r="AE70" i="365"/>
  <c r="AD70" i="365"/>
  <c r="AC70" i="365"/>
  <c r="AB70" i="365"/>
  <c r="AA70" i="365"/>
  <c r="Z70" i="365"/>
  <c r="Y70" i="365"/>
  <c r="X70" i="365"/>
  <c r="W70" i="365"/>
  <c r="V70" i="365"/>
  <c r="U70" i="365"/>
  <c r="N70" i="365"/>
  <c r="M70" i="365"/>
  <c r="L70" i="365"/>
  <c r="K70" i="365"/>
  <c r="J70" i="365"/>
  <c r="I70" i="365"/>
  <c r="H70" i="365"/>
  <c r="G70" i="365"/>
  <c r="F70" i="365"/>
  <c r="AO69" i="365"/>
  <c r="AN69" i="365"/>
  <c r="AM69" i="365"/>
  <c r="AL69" i="365"/>
  <c r="AK69" i="365"/>
  <c r="AI69" i="365"/>
  <c r="AH69" i="365"/>
  <c r="AF69" i="365"/>
  <c r="AE69" i="365"/>
  <c r="AD69" i="365"/>
  <c r="AC69" i="365"/>
  <c r="AB69" i="365"/>
  <c r="AA69" i="365"/>
  <c r="Z69" i="365"/>
  <c r="Y69" i="365"/>
  <c r="X69" i="365"/>
  <c r="W69" i="365"/>
  <c r="V69" i="365"/>
  <c r="U69" i="365"/>
  <c r="N69" i="365"/>
  <c r="M69" i="365"/>
  <c r="L69" i="365"/>
  <c r="K69" i="365"/>
  <c r="J69" i="365"/>
  <c r="I69" i="365"/>
  <c r="H69" i="365"/>
  <c r="G69" i="365"/>
  <c r="F69" i="365"/>
  <c r="AO68" i="365"/>
  <c r="AN68" i="365"/>
  <c r="AM68" i="365"/>
  <c r="AL68" i="365"/>
  <c r="AK68" i="365"/>
  <c r="AI68" i="365"/>
  <c r="AH68" i="365"/>
  <c r="AF68" i="365"/>
  <c r="AE68" i="365"/>
  <c r="AD68" i="365"/>
  <c r="AC68" i="365"/>
  <c r="AB68" i="365"/>
  <c r="AA68" i="365"/>
  <c r="Z68" i="365"/>
  <c r="Y68" i="365"/>
  <c r="X68" i="365"/>
  <c r="W68" i="365"/>
  <c r="V68" i="365"/>
  <c r="U68" i="365"/>
  <c r="N68" i="365"/>
  <c r="M68" i="365"/>
  <c r="L68" i="365"/>
  <c r="K68" i="365"/>
  <c r="J68" i="365"/>
  <c r="I68" i="365"/>
  <c r="H68" i="365"/>
  <c r="G68" i="365"/>
  <c r="F68" i="365"/>
  <c r="AL67" i="365"/>
  <c r="AK67" i="365"/>
  <c r="AI67" i="365"/>
  <c r="AH67" i="365"/>
  <c r="AF67" i="365"/>
  <c r="AE67" i="365"/>
  <c r="AD67" i="365"/>
  <c r="AC67" i="365"/>
  <c r="AB67" i="365"/>
  <c r="AA67" i="365"/>
  <c r="Z67" i="365"/>
  <c r="Y67" i="365"/>
  <c r="X67" i="365"/>
  <c r="N67" i="365"/>
  <c r="M67" i="365"/>
  <c r="L67" i="365"/>
  <c r="AL66" i="365"/>
  <c r="AK66" i="365"/>
  <c r="AI66" i="365"/>
  <c r="AH66" i="365"/>
  <c r="AF66" i="365"/>
  <c r="AE66" i="365"/>
  <c r="AD66" i="365"/>
  <c r="AC66" i="365"/>
  <c r="AB66" i="365"/>
  <c r="AA66" i="365"/>
  <c r="Z66" i="365"/>
  <c r="Y66" i="365"/>
  <c r="X66" i="365"/>
  <c r="N66" i="365"/>
  <c r="M66" i="365"/>
  <c r="L66" i="365"/>
  <c r="AL65" i="365"/>
  <c r="AK65" i="365"/>
  <c r="AI65" i="365"/>
  <c r="AH65" i="365"/>
  <c r="AF65" i="365"/>
  <c r="AE65" i="365"/>
  <c r="AD65" i="365"/>
  <c r="AC65" i="365"/>
  <c r="AB65" i="365"/>
  <c r="AA65" i="365"/>
  <c r="Z65" i="365"/>
  <c r="Y65" i="365"/>
  <c r="X65" i="365"/>
  <c r="N65" i="365"/>
  <c r="M65" i="365"/>
  <c r="L65" i="365"/>
  <c r="AO64" i="365"/>
  <c r="AN64" i="365"/>
  <c r="AM64" i="365"/>
  <c r="AL64" i="365"/>
  <c r="AK64" i="365"/>
  <c r="AI64" i="365"/>
  <c r="AH64" i="365"/>
  <c r="AF64" i="365"/>
  <c r="AE64" i="365"/>
  <c r="AD64" i="365"/>
  <c r="AC64" i="365"/>
  <c r="AB64" i="365"/>
  <c r="AA64" i="365"/>
  <c r="Z64" i="365"/>
  <c r="Y64" i="365"/>
  <c r="X64" i="365"/>
  <c r="W64" i="365"/>
  <c r="V64" i="365"/>
  <c r="U64" i="365"/>
  <c r="Q64" i="365"/>
  <c r="P64" i="365"/>
  <c r="O64" i="365"/>
  <c r="N64" i="365"/>
  <c r="M64" i="365"/>
  <c r="L64" i="365"/>
  <c r="K64" i="365"/>
  <c r="J64" i="365"/>
  <c r="I64" i="365"/>
  <c r="H64" i="365"/>
  <c r="G64" i="365"/>
  <c r="F64" i="365"/>
  <c r="AO63" i="365"/>
  <c r="AN63" i="365"/>
  <c r="AM63" i="365"/>
  <c r="AL63" i="365"/>
  <c r="AK63" i="365"/>
  <c r="AI63" i="365"/>
  <c r="AH63" i="365"/>
  <c r="AF63" i="365"/>
  <c r="AE63" i="365"/>
  <c r="AD63" i="365"/>
  <c r="AC63" i="365"/>
  <c r="AB63" i="365"/>
  <c r="AA63" i="365"/>
  <c r="Z63" i="365"/>
  <c r="Y63" i="365"/>
  <c r="X63" i="365"/>
  <c r="W63" i="365"/>
  <c r="V63" i="365"/>
  <c r="U63" i="365"/>
  <c r="Q63" i="365"/>
  <c r="P63" i="365"/>
  <c r="O63" i="365"/>
  <c r="N63" i="365"/>
  <c r="M63" i="365"/>
  <c r="L63" i="365"/>
  <c r="K63" i="365"/>
  <c r="J63" i="365"/>
  <c r="I63" i="365"/>
  <c r="H63" i="365"/>
  <c r="G63" i="365"/>
  <c r="F63" i="365"/>
  <c r="AO62" i="365"/>
  <c r="AN62" i="365"/>
  <c r="AM62" i="365"/>
  <c r="AL62" i="365"/>
  <c r="AK62" i="365"/>
  <c r="AI62" i="365"/>
  <c r="AH62" i="365"/>
  <c r="AF62" i="365"/>
  <c r="AE62" i="365"/>
  <c r="AD62" i="365"/>
  <c r="AC62" i="365"/>
  <c r="AB62" i="365"/>
  <c r="AA62" i="365"/>
  <c r="Z62" i="365"/>
  <c r="Y62" i="365"/>
  <c r="X62" i="365"/>
  <c r="W62" i="365"/>
  <c r="V62" i="365"/>
  <c r="U62" i="365"/>
  <c r="Q62" i="365"/>
  <c r="P62" i="365"/>
  <c r="O62" i="365"/>
  <c r="N62" i="365"/>
  <c r="M62" i="365"/>
  <c r="L62" i="365"/>
  <c r="K62" i="365"/>
  <c r="J62" i="365"/>
  <c r="I62" i="365"/>
  <c r="H62" i="365"/>
  <c r="G62" i="365"/>
  <c r="F62" i="365"/>
  <c r="AL61" i="365"/>
  <c r="AK61" i="365"/>
  <c r="AI61" i="365"/>
  <c r="AH61" i="365"/>
  <c r="AL60" i="365"/>
  <c r="AK60" i="365"/>
  <c r="AI60" i="365"/>
  <c r="AH60" i="365"/>
  <c r="AL59" i="365"/>
  <c r="AK59" i="365"/>
  <c r="AI59" i="365"/>
  <c r="AH59" i="365"/>
  <c r="AL58" i="365"/>
  <c r="AK58" i="365"/>
  <c r="AJ58" i="365"/>
  <c r="AI58" i="365"/>
  <c r="AH58" i="365"/>
  <c r="AG58" i="365"/>
  <c r="AF58" i="365"/>
  <c r="AE58" i="365"/>
  <c r="AD58" i="365"/>
  <c r="AC58" i="365"/>
  <c r="AB58" i="365"/>
  <c r="AA58" i="365"/>
  <c r="Z58" i="365"/>
  <c r="Y58" i="365"/>
  <c r="X58" i="365"/>
  <c r="Q58" i="365"/>
  <c r="P58" i="365"/>
  <c r="O58" i="365"/>
  <c r="N58" i="365"/>
  <c r="M58" i="365"/>
  <c r="L58" i="365"/>
  <c r="I58" i="365"/>
  <c r="F58" i="365"/>
  <c r="AL57" i="365"/>
  <c r="AK57" i="365"/>
  <c r="AJ57" i="365"/>
  <c r="AI57" i="365"/>
  <c r="AH57" i="365"/>
  <c r="AG57" i="365"/>
  <c r="AF57" i="365"/>
  <c r="AE57" i="365"/>
  <c r="AD57" i="365"/>
  <c r="AC57" i="365"/>
  <c r="AB57" i="365"/>
  <c r="AA57" i="365"/>
  <c r="Z57" i="365"/>
  <c r="Y57" i="365"/>
  <c r="X57" i="365"/>
  <c r="Q57" i="365"/>
  <c r="P57" i="365"/>
  <c r="O57" i="365"/>
  <c r="N57" i="365"/>
  <c r="M57" i="365"/>
  <c r="L57" i="365"/>
  <c r="I57" i="365"/>
  <c r="F57" i="365"/>
  <c r="AL56" i="365"/>
  <c r="AK56" i="365"/>
  <c r="AJ56" i="365"/>
  <c r="AI56" i="365"/>
  <c r="AH56" i="365"/>
  <c r="AG56" i="365"/>
  <c r="AF56" i="365"/>
  <c r="AE56" i="365"/>
  <c r="AD56" i="365"/>
  <c r="AC56" i="365"/>
  <c r="AB56" i="365"/>
  <c r="AA56" i="365"/>
  <c r="Z56" i="365"/>
  <c r="Y56" i="365"/>
  <c r="X56" i="365"/>
  <c r="Q56" i="365"/>
  <c r="P56" i="365"/>
  <c r="O56" i="365"/>
  <c r="N56" i="365"/>
  <c r="M56" i="365"/>
  <c r="L56" i="365"/>
  <c r="I56" i="365"/>
  <c r="F56" i="365"/>
  <c r="AL55" i="365"/>
  <c r="AK55" i="365"/>
  <c r="AJ55" i="365"/>
  <c r="AI55" i="365"/>
  <c r="AH55" i="365"/>
  <c r="AG55" i="365"/>
  <c r="AL54" i="365"/>
  <c r="AK54" i="365"/>
  <c r="AJ54" i="365"/>
  <c r="AI54" i="365"/>
  <c r="AH54" i="365"/>
  <c r="AG54" i="365"/>
  <c r="AL53" i="365"/>
  <c r="AK53" i="365"/>
  <c r="AJ53" i="365"/>
  <c r="AI53" i="365"/>
  <c r="AH53" i="365"/>
  <c r="AG53" i="365"/>
  <c r="AO40" i="365"/>
  <c r="AL40" i="365"/>
  <c r="AI40" i="365"/>
  <c r="AF40" i="365"/>
  <c r="AC40" i="365"/>
  <c r="Z40" i="365"/>
  <c r="W40" i="365"/>
  <c r="Q40" i="365"/>
  <c r="N40" i="365"/>
  <c r="K40" i="365"/>
  <c r="H40" i="365"/>
  <c r="AO39" i="365"/>
  <c r="AL39" i="365"/>
  <c r="AI39" i="365"/>
  <c r="AF39" i="365"/>
  <c r="AC39" i="365"/>
  <c r="Z39" i="365"/>
  <c r="W39" i="365"/>
  <c r="Q39" i="365"/>
  <c r="N39" i="365"/>
  <c r="K39" i="365"/>
  <c r="H39" i="365"/>
  <c r="AO38" i="365"/>
  <c r="AL38" i="365"/>
  <c r="AI38" i="365"/>
  <c r="AF38" i="365"/>
  <c r="AC38" i="365"/>
  <c r="Z38" i="365"/>
  <c r="W38" i="365"/>
  <c r="Q38" i="365"/>
  <c r="N38" i="365"/>
  <c r="K38" i="365"/>
  <c r="H38" i="365"/>
  <c r="AI37" i="365"/>
  <c r="AI36" i="365"/>
  <c r="AI35" i="365"/>
  <c r="AO25" i="365"/>
  <c r="W25" i="365"/>
  <c r="Q25" i="365"/>
  <c r="K25" i="365"/>
  <c r="H25" i="365"/>
  <c r="AO24" i="365"/>
  <c r="W24" i="365"/>
  <c r="Q24" i="365"/>
  <c r="K24" i="365"/>
  <c r="H24" i="365"/>
  <c r="AO23" i="365"/>
  <c r="W23" i="365"/>
  <c r="Q23" i="365"/>
  <c r="K23" i="365"/>
  <c r="H23" i="365"/>
  <c r="AO19" i="365"/>
  <c r="AL19" i="365"/>
  <c r="AI19" i="365"/>
  <c r="AF19" i="365"/>
  <c r="AD19" i="365"/>
  <c r="AC19" i="365"/>
  <c r="AA19" i="365"/>
  <c r="Z19" i="365"/>
  <c r="X19" i="365"/>
  <c r="W19" i="365"/>
  <c r="Q19" i="365"/>
  <c r="N19" i="365"/>
  <c r="L19" i="365"/>
  <c r="K19" i="365"/>
  <c r="H19" i="365"/>
  <c r="F19" i="365"/>
  <c r="AO18" i="365"/>
  <c r="AL18" i="365"/>
  <c r="AI18" i="365"/>
  <c r="AF18" i="365"/>
  <c r="AD18" i="365"/>
  <c r="AC18" i="365"/>
  <c r="AA18" i="365"/>
  <c r="Z18" i="365"/>
  <c r="X18" i="365"/>
  <c r="W18" i="365"/>
  <c r="Q18" i="365"/>
  <c r="N18" i="365"/>
  <c r="L18" i="365"/>
  <c r="K18" i="365"/>
  <c r="H18" i="365"/>
  <c r="F18" i="365"/>
  <c r="AO17" i="365"/>
  <c r="AL17" i="365"/>
  <c r="AI17" i="365"/>
  <c r="AF17" i="365"/>
  <c r="AD17" i="365"/>
  <c r="AC17" i="365"/>
  <c r="AA17" i="365"/>
  <c r="Z17" i="365"/>
  <c r="X17" i="365"/>
  <c r="W17" i="365"/>
  <c r="Q17" i="365"/>
  <c r="N17" i="365"/>
  <c r="L17" i="365"/>
  <c r="K17" i="365"/>
  <c r="H17" i="365"/>
  <c r="F17" i="365"/>
  <c r="AO16" i="365"/>
  <c r="AN16" i="365"/>
  <c r="AM16" i="365"/>
  <c r="AL16" i="365"/>
  <c r="AK16" i="365"/>
  <c r="AJ16" i="365"/>
  <c r="AI16" i="365"/>
  <c r="AH16" i="365"/>
  <c r="AG16" i="365"/>
  <c r="AF16" i="365"/>
  <c r="AE16" i="365"/>
  <c r="AD16" i="365"/>
  <c r="AC16" i="365"/>
  <c r="AB16" i="365"/>
  <c r="AA16" i="365"/>
  <c r="Z16" i="365"/>
  <c r="Y16" i="365"/>
  <c r="X16" i="365"/>
  <c r="W16" i="365"/>
  <c r="V16" i="365"/>
  <c r="U16" i="365"/>
  <c r="Q16" i="365"/>
  <c r="P16" i="365"/>
  <c r="O16" i="365"/>
  <c r="N16" i="365"/>
  <c r="M16" i="365"/>
  <c r="L16" i="365"/>
  <c r="K16" i="365"/>
  <c r="J16" i="365"/>
  <c r="I16" i="365"/>
  <c r="H16" i="365"/>
  <c r="G16" i="365"/>
  <c r="F16" i="365"/>
  <c r="AO15" i="365"/>
  <c r="AN15" i="365"/>
  <c r="AM15" i="365"/>
  <c r="AL15" i="365"/>
  <c r="AK15" i="365"/>
  <c r="AJ15" i="365"/>
  <c r="AI15" i="365"/>
  <c r="AH15" i="365"/>
  <c r="AG15" i="365"/>
  <c r="AF15" i="365"/>
  <c r="AE15" i="365"/>
  <c r="AD15" i="365"/>
  <c r="AC15" i="365"/>
  <c r="AB15" i="365"/>
  <c r="AA15" i="365"/>
  <c r="Z15" i="365"/>
  <c r="Y15" i="365"/>
  <c r="X15" i="365"/>
  <c r="W15" i="365"/>
  <c r="V15" i="365"/>
  <c r="U15" i="365"/>
  <c r="Q15" i="365"/>
  <c r="P15" i="365"/>
  <c r="O15" i="365"/>
  <c r="N15" i="365"/>
  <c r="M15" i="365"/>
  <c r="L15" i="365"/>
  <c r="K15" i="365"/>
  <c r="J15" i="365"/>
  <c r="I15" i="365"/>
  <c r="H15" i="365"/>
  <c r="G15" i="365"/>
  <c r="F15" i="365"/>
  <c r="AO14" i="365"/>
  <c r="AN14" i="365"/>
  <c r="AM14" i="365"/>
  <c r="AL14" i="365"/>
  <c r="AK14" i="365"/>
  <c r="AJ14" i="365"/>
  <c r="AI14" i="365"/>
  <c r="AH14" i="365"/>
  <c r="AG14" i="365"/>
  <c r="AF14" i="365"/>
  <c r="AE14" i="365"/>
  <c r="AD14" i="365"/>
  <c r="AC14" i="365"/>
  <c r="AB14" i="365"/>
  <c r="AA14" i="365"/>
  <c r="Z14" i="365"/>
  <c r="Y14" i="365"/>
  <c r="X14" i="365"/>
  <c r="W14" i="365"/>
  <c r="V14" i="365"/>
  <c r="U14" i="365"/>
  <c r="Q14" i="365"/>
  <c r="P14" i="365"/>
  <c r="O14" i="365"/>
  <c r="N14" i="365"/>
  <c r="M14" i="365"/>
  <c r="L14" i="365"/>
  <c r="K14" i="365"/>
  <c r="J14" i="365"/>
  <c r="I14" i="365"/>
  <c r="H14" i="365"/>
  <c r="G14" i="365"/>
  <c r="F14" i="365"/>
  <c r="N7" i="412" l="1"/>
  <c r="L7" i="412"/>
  <c r="N8" i="412"/>
  <c r="L8" i="412"/>
</calcChain>
</file>

<file path=xl/sharedStrings.xml><?xml version="1.0" encoding="utf-8"?>
<sst xmlns="http://schemas.openxmlformats.org/spreadsheetml/2006/main" count="19114" uniqueCount="1929">
  <si>
    <t>DFF 1.0</t>
  </si>
  <si>
    <t>Group Name</t>
  </si>
  <si>
    <t>Pin Name</t>
  </si>
  <si>
    <t>Type</t>
  </si>
  <si>
    <t>Comment</t>
  </si>
  <si>
    <t>Pin Map</t>
  </si>
  <si>
    <t>Vcl_default</t>
  </si>
  <si>
    <t>Vch_default</t>
  </si>
  <si>
    <t>Vph_default</t>
  </si>
  <si>
    <t>Hi-V pin voltage high</t>
  </si>
  <si>
    <t>Iph_default</t>
  </si>
  <si>
    <t>Hi-V pin current limit</t>
  </si>
  <si>
    <t>Tpr_default</t>
  </si>
  <si>
    <t>Hi-V pin rise time</t>
  </si>
  <si>
    <t>Symbol</t>
  </si>
  <si>
    <t>Job</t>
  </si>
  <si>
    <t>Value</t>
  </si>
  <si>
    <t>Global Specs</t>
  </si>
  <si>
    <t>Test Name</t>
  </si>
  <si>
    <t>Test Procedure</t>
  </si>
  <si>
    <t>Name</t>
  </si>
  <si>
    <t>Called As</t>
  </si>
  <si>
    <t>DC Specs</t>
  </si>
  <si>
    <t>Category</t>
  </si>
  <si>
    <t>Selector</t>
  </si>
  <si>
    <t>AC Specs</t>
  </si>
  <si>
    <t>Sheet Parameters</t>
  </si>
  <si>
    <t>Time Sets</t>
  </si>
  <si>
    <t>Edge Sets</t>
  </si>
  <si>
    <t>Pin Levels</t>
  </si>
  <si>
    <t>Other Parameters</t>
  </si>
  <si>
    <t>Test Instances</t>
  </si>
  <si>
    <t>Label</t>
  </si>
  <si>
    <t>Enable</t>
  </si>
  <si>
    <t>Command</t>
  </si>
  <si>
    <t>Opcode</t>
  </si>
  <si>
    <t>Parameter</t>
  </si>
  <si>
    <t>TName</t>
  </si>
  <si>
    <t>TNum</t>
  </si>
  <si>
    <t>Bin Number</t>
  </si>
  <si>
    <t>Pass</t>
  </si>
  <si>
    <t>Fail</t>
  </si>
  <si>
    <t>Sort Number</t>
  </si>
  <si>
    <t>Flag</t>
  </si>
  <si>
    <t>Result</t>
  </si>
  <si>
    <t>State</t>
  </si>
  <si>
    <t>Group</t>
  </si>
  <si>
    <t>Specifier</t>
  </si>
  <si>
    <t>Sense</t>
  </si>
  <si>
    <t>Condition</t>
  </si>
  <si>
    <t>Device</t>
  </si>
  <si>
    <t>Debug</t>
  </si>
  <si>
    <t>Assume</t>
  </si>
  <si>
    <t>Sites</t>
  </si>
  <si>
    <t>Flow Table</t>
  </si>
  <si>
    <t>Gate</t>
  </si>
  <si>
    <t>Part</t>
  </si>
  <si>
    <t>Env</t>
  </si>
  <si>
    <t>Element</t>
  </si>
  <si>
    <t>Home</t>
  </si>
  <si>
    <t>Arg59</t>
  </si>
  <si>
    <t>DFF 1.1</t>
  </si>
  <si>
    <t>Overlay</t>
  </si>
  <si>
    <t>Arg60</t>
  </si>
  <si>
    <t>Arg61</t>
  </si>
  <si>
    <t>Arg62</t>
  </si>
  <si>
    <t>Arg63</t>
  </si>
  <si>
    <t>Arg64</t>
  </si>
  <si>
    <t>Arg65</t>
  </si>
  <si>
    <t>Arg66</t>
  </si>
  <si>
    <t>Arg67</t>
  </si>
  <si>
    <t>Arg68</t>
  </si>
  <si>
    <t>Arg69</t>
  </si>
  <si>
    <t>Arg70</t>
  </si>
  <si>
    <t>Arg71</t>
  </si>
  <si>
    <t>Arg72</t>
  </si>
  <si>
    <t>Arg73</t>
  </si>
  <si>
    <t>Arg74</t>
  </si>
  <si>
    <t>Arg75</t>
  </si>
  <si>
    <t>Arg76</t>
  </si>
  <si>
    <t>Arg77</t>
  </si>
  <si>
    <t>Arg78</t>
  </si>
  <si>
    <t>Arg79</t>
  </si>
  <si>
    <t>DFF 1.3</t>
  </si>
  <si>
    <t>Pin clamp voltage low</t>
  </si>
  <si>
    <t>Pin clamp voltage high</t>
  </si>
  <si>
    <t>Vfph_default</t>
  </si>
  <si>
    <t>Fast Hi-V pin voltage high</t>
  </si>
  <si>
    <t>Channel Map</t>
  </si>
  <si>
    <t>DIB ID:</t>
  </si>
  <si>
    <t>Device Under Test</t>
  </si>
  <si>
    <t>Tester Channel</t>
  </si>
  <si>
    <t>Package Pin</t>
  </si>
  <si>
    <t>Site 0</t>
  </si>
  <si>
    <t>I/O</t>
  </si>
  <si>
    <t>arst_n</t>
  </si>
  <si>
    <t>clk_ref</t>
  </si>
  <si>
    <t>row_sync</t>
  </si>
  <si>
    <t>i_sync</t>
  </si>
  <si>
    <t>irq_out</t>
  </si>
  <si>
    <t>anode_tpad</t>
  </si>
  <si>
    <t>HDVIS</t>
  </si>
  <si>
    <t>HDVIS11</t>
  </si>
  <si>
    <t>pif_in_tpad</t>
  </si>
  <si>
    <t>HDVIS13</t>
  </si>
  <si>
    <t>temp_tpad</t>
  </si>
  <si>
    <t>HDVIS16</t>
  </si>
  <si>
    <t>vbb20_tpad</t>
  </si>
  <si>
    <t>HDVIS17</t>
  </si>
  <si>
    <t>vbias_tpad</t>
  </si>
  <si>
    <t>HDVIS21</t>
  </si>
  <si>
    <t>pif_out_tpad</t>
  </si>
  <si>
    <t>HDVIS14</t>
  </si>
  <si>
    <t>anode_n_tpad</t>
  </si>
  <si>
    <t>BPMU</t>
  </si>
  <si>
    <t>anode_s_tpad</t>
  </si>
  <si>
    <t>cath_n_tpad</t>
  </si>
  <si>
    <t>HDVIS20</t>
  </si>
  <si>
    <t>cath_s_tpad</t>
  </si>
  <si>
    <t>HDVIS12</t>
  </si>
  <si>
    <t>pok10_tpad</t>
  </si>
  <si>
    <t>pok18_tpad</t>
  </si>
  <si>
    <t>gpio_15</t>
  </si>
  <si>
    <t>gpio_14</t>
  </si>
  <si>
    <t>gpio_13</t>
  </si>
  <si>
    <t>gpio_12</t>
  </si>
  <si>
    <t>gpio_11</t>
  </si>
  <si>
    <t>gpio_10</t>
  </si>
  <si>
    <t>gpio_9</t>
  </si>
  <si>
    <t>gpio_8</t>
  </si>
  <si>
    <t>gpio_7</t>
  </si>
  <si>
    <t>gpio_6</t>
  </si>
  <si>
    <t>gpio_5</t>
  </si>
  <si>
    <t>gpio_4</t>
  </si>
  <si>
    <t>gpio_3</t>
  </si>
  <si>
    <t>gpio_2</t>
  </si>
  <si>
    <t>gpio_1</t>
  </si>
  <si>
    <t>gpio_0</t>
  </si>
  <si>
    <t>HDVIS0</t>
  </si>
  <si>
    <t>HDVIS1</t>
  </si>
  <si>
    <t>HDVIS2</t>
  </si>
  <si>
    <t>HDVIS3</t>
  </si>
  <si>
    <t>HDVIS4</t>
  </si>
  <si>
    <t>HDVIS5</t>
  </si>
  <si>
    <t>HDVIS6</t>
  </si>
  <si>
    <t>HDVIS7</t>
  </si>
  <si>
    <t>Time Sets (Basic)</t>
  </si>
  <si>
    <t>Timing Mode:</t>
  </si>
  <si>
    <t>Strobe Timing:</t>
  </si>
  <si>
    <t>Convert Timing:</t>
  </si>
  <si>
    <t>Cycle</t>
  </si>
  <si>
    <t>Pin/Group</t>
  </si>
  <si>
    <t>Data</t>
  </si>
  <si>
    <t>Drive</t>
  </si>
  <si>
    <t>Compare</t>
  </si>
  <si>
    <t>Time Set</t>
  </si>
  <si>
    <t>Period</t>
  </si>
  <si>
    <t>CPP</t>
  </si>
  <si>
    <t>Setup</t>
  </si>
  <si>
    <t>Src</t>
  </si>
  <si>
    <t>Fmt</t>
  </si>
  <si>
    <t>On</t>
  </si>
  <si>
    <t>Return</t>
  </si>
  <si>
    <t>Off</t>
  </si>
  <si>
    <t>Mode</t>
  </si>
  <si>
    <t>Open</t>
  </si>
  <si>
    <t>Close</t>
  </si>
  <si>
    <t>ts1</t>
  </si>
  <si>
    <t>i/o</t>
  </si>
  <si>
    <t>PAT</t>
  </si>
  <si>
    <t>NR</t>
  </si>
  <si>
    <t>Auto</t>
  </si>
  <si>
    <t>Edge</t>
  </si>
  <si>
    <t>Analog</t>
  </si>
  <si>
    <t>Power</t>
  </si>
  <si>
    <t>gpio_bus</t>
  </si>
  <si>
    <t>avee_merged</t>
  </si>
  <si>
    <t>Val</t>
  </si>
  <si>
    <t>Typ</t>
  </si>
  <si>
    <t>Min</t>
  </si>
  <si>
    <t>Max</t>
  </si>
  <si>
    <t>vdd10</t>
  </si>
  <si>
    <t>vdd18io</t>
  </si>
  <si>
    <t>avee</t>
  </si>
  <si>
    <t>Seq.</t>
  </si>
  <si>
    <t>Input</t>
  </si>
  <si>
    <t>Output</t>
  </si>
  <si>
    <t>VDriveLo</t>
  </si>
  <si>
    <t>VDriveHi</t>
  </si>
  <si>
    <t>Vph</t>
  </si>
  <si>
    <t>Iph</t>
  </si>
  <si>
    <t>Tpr</t>
  </si>
  <si>
    <t>Vfph</t>
  </si>
  <si>
    <t>DriverMode</t>
  </si>
  <si>
    <t>Largeswing-HiZ</t>
  </si>
  <si>
    <t>vih_input</t>
  </si>
  <si>
    <t>vil_input</t>
  </si>
  <si>
    <t>voh_miso</t>
  </si>
  <si>
    <t>vol_miso</t>
  </si>
  <si>
    <t>voh_tdo</t>
  </si>
  <si>
    <t>vol_tdo</t>
  </si>
  <si>
    <t>voh_other</t>
  </si>
  <si>
    <t>vol_other</t>
  </si>
  <si>
    <t>For high voltage pins, unused</t>
  </si>
  <si>
    <t>10 mA for now</t>
  </si>
  <si>
    <t>vih_pif</t>
  </si>
  <si>
    <t>vil_pif</t>
  </si>
  <si>
    <t>Vps</t>
  </si>
  <si>
    <t>Isc</t>
  </si>
  <si>
    <t>Tdelay</t>
  </si>
  <si>
    <t>VSlewRate</t>
  </si>
  <si>
    <t>s</t>
  </si>
  <si>
    <t>VCompareLo</t>
  </si>
  <si>
    <t>VCompareHi</t>
  </si>
  <si>
    <t>ISource</t>
  </si>
  <si>
    <t>ISink</t>
  </si>
  <si>
    <t>VThreshold</t>
  </si>
  <si>
    <t>VCH</t>
  </si>
  <si>
    <t>VCL</t>
  </si>
  <si>
    <t>10mA sink temporary</t>
  </si>
  <si>
    <t>(_voh_tdo-_vol_tdo)/2</t>
  </si>
  <si>
    <t>15 mA source temp</t>
  </si>
  <si>
    <t>15 mA sink temp</t>
  </si>
  <si>
    <t>IG-XL Template</t>
  </si>
  <si>
    <t>XXXX</t>
  </si>
  <si>
    <t>Excel Macro</t>
  </si>
  <si>
    <t>Functional</t>
  </si>
  <si>
    <t>Contact</t>
  </si>
  <si>
    <t>Test</t>
  </si>
  <si>
    <t>stop</t>
  </si>
  <si>
    <t>Uses miso voh / vol</t>
  </si>
  <si>
    <t>Uses tdo voh / vol</t>
  </si>
  <si>
    <t>Uses other voh / vol</t>
  </si>
  <si>
    <t>Hdvis_T</t>
  </si>
  <si>
    <t>VBT</t>
  </si>
  <si>
    <t>VBT_PowerSequenceTest</t>
  </si>
  <si>
    <t>set-device</t>
  </si>
  <si>
    <t>Extended</t>
  </si>
  <si>
    <t>InitLo all digital pins, start power sequence, check POK, run pattern</t>
  </si>
  <si>
    <t>DC_PowerSequence</t>
  </si>
  <si>
    <t>Functional_T</t>
  </si>
  <si>
    <t>JTAG_Functional</t>
  </si>
  <si>
    <t>SPI_Functional</t>
  </si>
  <si>
    <t>PowerSeq</t>
  </si>
  <si>
    <t>gpio_bus_9_0</t>
  </si>
  <si>
    <t>Analog_VBB20</t>
  </si>
  <si>
    <t>VBT_Holdstate_VBB20</t>
  </si>
  <si>
    <t>Analog_Cathode</t>
  </si>
  <si>
    <t>VBT_Holdstate_Cathode</t>
  </si>
  <si>
    <t>Func_vbb20</t>
  </si>
  <si>
    <t>DC_TristateLeakage</t>
  </si>
  <si>
    <t>VBT_Holdstate_TristateLeakage</t>
  </si>
  <si>
    <t>Static_ICC</t>
  </si>
  <si>
    <t>Func_cathode</t>
  </si>
  <si>
    <t>Func_DAC</t>
  </si>
  <si>
    <t>Digital_PixArray_SRAM</t>
  </si>
  <si>
    <t>Digital_PixArray_CMP</t>
  </si>
  <si>
    <t>Analog_TempSensor_ADC</t>
  </si>
  <si>
    <t>VBT_AnodeTempSensor_ADC</t>
  </si>
  <si>
    <t>Analog_Anode_ADC</t>
  </si>
  <si>
    <t>input line for HDVIS to control operation</t>
  </si>
  <si>
    <t>external send input pulse spec: 0.0 - 0.8V</t>
  </si>
  <si>
    <t>external send input pulse spec: 2.0 - 3.3V</t>
  </si>
  <si>
    <t>Digital_SCAN</t>
  </si>
  <si>
    <t>Analog_Vbias_DAC</t>
  </si>
  <si>
    <t>VBT_Vbias_DAC</t>
  </si>
  <si>
    <t>Levels_00</t>
  </si>
  <si>
    <t>Func_eFuse_PreTest</t>
  </si>
  <si>
    <t>VBT_eFuse_PreTest</t>
  </si>
  <si>
    <t>eFuse_ReadPat,eFuse_WritePat,WriteVerifyCnt</t>
  </si>
  <si>
    <t>Func_eFuse_PostTest</t>
  </si>
  <si>
    <t>VBT_eFuse_PostTest</t>
  </si>
  <si>
    <t>DFF 1.2</t>
  </si>
  <si>
    <t>Job Name</t>
  </si>
  <si>
    <t>Pattern Sets</t>
  </si>
  <si>
    <t>Pattern Groups</t>
  </si>
  <si>
    <t>Bin Table</t>
  </si>
  <si>
    <t>Characterization</t>
  </si>
  <si>
    <t>Test Procedures</t>
  </si>
  <si>
    <t>Job List</t>
  </si>
  <si>
    <t>Pinmap</t>
  </si>
  <si>
    <t>DC_Specs</t>
  </si>
  <si>
    <t/>
  </si>
  <si>
    <t>For first batch, AVEE = 0</t>
  </si>
  <si>
    <t>0.ch102</t>
  </si>
  <si>
    <t>0.ch121</t>
  </si>
  <si>
    <t>0.ch127</t>
  </si>
  <si>
    <t>0.ch103</t>
  </si>
  <si>
    <t>0.ch120</t>
  </si>
  <si>
    <t>0.ch123</t>
  </si>
  <si>
    <t>0.ch118</t>
  </si>
  <si>
    <t>0.ch113</t>
  </si>
  <si>
    <t>0.ch122</t>
  </si>
  <si>
    <t>0.ch101</t>
  </si>
  <si>
    <t>Tap2SPI_Functional</t>
  </si>
  <si>
    <t>Sheet</t>
  </si>
  <si>
    <t>0.bpmu1</t>
  </si>
  <si>
    <t>0.bpmu0</t>
  </si>
  <si>
    <t>DFF 1.4</t>
  </si>
  <si>
    <t>Setup Name</t>
  </si>
  <si>
    <t>Row Name</t>
  </si>
  <si>
    <t>Parameter to Vary</t>
  </si>
  <si>
    <t>Range</t>
  </si>
  <si>
    <t>From</t>
  </si>
  <si>
    <t>To</t>
  </si>
  <si>
    <t>Steps</t>
  </si>
  <si>
    <t>Step Size</t>
  </si>
  <si>
    <t>P/F From</t>
  </si>
  <si>
    <t>P/F To</t>
  </si>
  <si>
    <t>Point Generation</t>
  </si>
  <si>
    <t>Algorithm</t>
  </si>
  <si>
    <t>Test Method</t>
  </si>
  <si>
    <t>Arguments</t>
  </si>
  <si>
    <t>Apply To</t>
  </si>
  <si>
    <t>Pins/Groups</t>
  </si>
  <si>
    <t>Pin Method</t>
  </si>
  <si>
    <t>Adjust</t>
  </si>
  <si>
    <t>Spec Name</t>
  </si>
  <si>
    <t>From Setup</t>
  </si>
  <si>
    <t>File</t>
  </si>
  <si>
    <t>Interpose Functions</t>
  </si>
  <si>
    <t>Start</t>
  </si>
  <si>
    <t>Args</t>
  </si>
  <si>
    <t>PrePoint</t>
  </si>
  <si>
    <t>PostPoint</t>
  </si>
  <si>
    <t>End</t>
  </si>
  <si>
    <t>X Shmoo</t>
  </si>
  <si>
    <t>DC Spec</t>
  </si>
  <si>
    <t>Linear</t>
  </si>
  <si>
    <t>Retest</t>
  </si>
  <si>
    <t>DevChar</t>
  </si>
  <si>
    <t>Simultaneous</t>
  </si>
  <si>
    <t>HDVIS15</t>
  </si>
  <si>
    <t>cont_Isrc</t>
  </si>
  <si>
    <t>cont_Isink</t>
  </si>
  <si>
    <t>nop</t>
  </si>
  <si>
    <t>set-error-bin</t>
  </si>
  <si>
    <t>Auto - Can add offset past period end</t>
  </si>
  <si>
    <t>vol_miso Max relaxed for last vector of H -&gt; L transition -  80mV -&gt; 120mV</t>
  </si>
  <si>
    <t>N/C</t>
  </si>
  <si>
    <t>from 2nd silicon no longer connected -&gt; open</t>
  </si>
  <si>
    <t>Location</t>
  </si>
  <si>
    <t>Description</t>
  </si>
  <si>
    <t>Date</t>
  </si>
  <si>
    <t>LG</t>
  </si>
  <si>
    <t>avee_merged uses DC spec avee</t>
  </si>
  <si>
    <t>Update AVEE Spec, VOL/VOH for MISO and TDO</t>
  </si>
  <si>
    <t>Owner</t>
  </si>
  <si>
    <t>DC_PowerShorts: changed limit from +/- 10mA to +/-5mA</t>
  </si>
  <si>
    <t>ExecInterposeFuncs</t>
  </si>
  <si>
    <t>OnPreShutDownSite: Add code to discharge caps, commented out for now</t>
  </si>
  <si>
    <t>DC_Spec</t>
  </si>
  <si>
    <t>Typical</t>
  </si>
  <si>
    <t>Minimum</t>
  </si>
  <si>
    <t>Maximum</t>
  </si>
  <si>
    <t>Updated avee values, added selectors, removed N/A</t>
  </si>
  <si>
    <t>(_voh_miso-_vol_miso)/2; 1.8</t>
  </si>
  <si>
    <t>10mA source temporary; 0</t>
  </si>
  <si>
    <t>HS</t>
  </si>
  <si>
    <t>adapted VT and Iloads</t>
  </si>
  <si>
    <t>updated OnProgramValidated func and added re-test flag updating func from Martin</t>
  </si>
  <si>
    <t>Func_eFuse_ReadAll_Debug</t>
  </si>
  <si>
    <t>eFuse_ReadAll</t>
  </si>
  <si>
    <t>VBT_readAllEfuse</t>
  </si>
  <si>
    <t>JK</t>
  </si>
  <si>
    <t>pat_basic_ts_GPIO</t>
  </si>
  <si>
    <t>Added a GPIO specific timset to compensate for the one cycle lag on patterns</t>
  </si>
  <si>
    <t>top_jtag_efuse_byte_read_full_00</t>
  </si>
  <si>
    <t>Fixed DSIO Instrument to capture correct bit order</t>
  </si>
  <si>
    <t>Changed "gpio_bus" on DSIO Instrument to list of pins in group (gpio_15, gpio_14, …)</t>
  </si>
  <si>
    <t>Updated and debugged this function</t>
  </si>
  <si>
    <t>eFuse_ReadAll should be outputting all correct data (from device)</t>
  </si>
  <si>
    <t>Updated GPIO pins to new specs (12 mA and new vol and voh)</t>
  </si>
  <si>
    <t>Adjusted capture vectors</t>
  </si>
  <si>
    <t>pat_basic_ts_COB_NR</t>
  </si>
  <si>
    <t>Deleted this sheet, it serves no purpose</t>
  </si>
  <si>
    <t>Added debug function to run read and write individually for test</t>
  </si>
  <si>
    <t>This function will be removed when debug is complete</t>
  </si>
  <si>
    <t>Func_eFuse_Write_Debug</t>
  </si>
  <si>
    <t>VBT_writeBitEfuse</t>
  </si>
  <si>
    <t>vdd18io - Changed from Voltage --&gt; Power</t>
  </si>
  <si>
    <t>Added vqps_tpad as Power</t>
  </si>
  <si>
    <t>HDVIS8</t>
  </si>
  <si>
    <t>vqps</t>
  </si>
  <si>
    <t>Always powered off, will power on discretely in eFuse writes</t>
  </si>
  <si>
    <t>top_jtag_efuse_bit_write_dsioaddr_00_nowrite</t>
  </si>
  <si>
    <t>Added 16 more send cycles to compensate for 32 bit DSIO source addr</t>
  </si>
  <si>
    <t>Added write bit toggling from VBT</t>
  </si>
  <si>
    <t>Added global label</t>
  </si>
  <si>
    <t>VBT_eFuseWriteData</t>
  </si>
  <si>
    <t>Various small bugfixes</t>
  </si>
  <si>
    <t>Added HDVIS block for vqps supply power up</t>
  </si>
  <si>
    <t>Chanmap</t>
  </si>
  <si>
    <t>Added vqps_tpad as HDVIS8</t>
  </si>
  <si>
    <t>Added vqps_tpad power specs</t>
  </si>
  <si>
    <t>Added 16 more shift cycles to compensate for 32 bit DSIO source addr</t>
  </si>
  <si>
    <t>Moved loop end to near the halt, adds enough delay to write properly</t>
  </si>
  <si>
    <t>Note to self</t>
  </si>
  <si>
    <t>Need to rework these patterns officially and push these changes to svn</t>
  </si>
  <si>
    <t>Moved from vector 1903 to 2894</t>
  </si>
  <si>
    <t>VBT_eFuse</t>
  </si>
  <si>
    <t>Changed dictionary declaraion from private to public</t>
  </si>
  <si>
    <t>basGlobal</t>
  </si>
  <si>
    <t>Added per Justin's comment :) about this feature in IG-XL</t>
  </si>
  <si>
    <t>FlowTable</t>
  </si>
  <si>
    <t>Added more detailed Input Leakage tests: Digital, GPIO, and Mipi</t>
  </si>
  <si>
    <t>Notes</t>
  </si>
  <si>
    <t>Added Pattern P / F check (does NOT bin the device!)</t>
  </si>
  <si>
    <t>VBT_eFuseReadAll</t>
  </si>
  <si>
    <t>top_jtag_efuse_bit_write_dsioaddr_00</t>
  </si>
  <si>
    <t>top_jtag_efuse byte_read_full_00</t>
  </si>
  <si>
    <t>Important Pattern Info</t>
  </si>
  <si>
    <t>The working read and write functions are:</t>
  </si>
  <si>
    <t>Renamed to correct pattern, + various fixes</t>
  </si>
  <si>
    <t>Added 10 uS delay to burn wait time, + various fixes</t>
  </si>
  <si>
    <t>Added pattern .unload / .load workaround, should work as normal</t>
  </si>
  <si>
    <t>Changed gpio sink current to 6 mA</t>
  </si>
  <si>
    <t>Changed gpio clamps to +3V and -1V</t>
  </si>
  <si>
    <t>debug and adapt code (SINT handling for wafer coord., OI parameter handoff)</t>
  </si>
  <si>
    <t>debug and adapt code (datalogging, OI parameter handoff)</t>
  </si>
  <si>
    <t>Digital_Scan_En</t>
  </si>
  <si>
    <t>OnPreShutDownSite: Added gate and connect</t>
  </si>
  <si>
    <t>Flow</t>
  </si>
  <si>
    <t>Added error message boxes to warn of communication failure</t>
  </si>
  <si>
    <t>Changes Asc() conversion to asc2six functions</t>
  </si>
  <si>
    <t>Added asc2six functions to correct conversions to 6 bit</t>
  </si>
  <si>
    <t>Various small bug fixes</t>
  </si>
  <si>
    <t>Added back longer delay due to write failues with 10 uS</t>
  </si>
  <si>
    <t>Updated bin table per FB Standard Binning  V0.7, Broke out Icc test so each can have it's own SW bin</t>
  </si>
  <si>
    <t>Utility</t>
  </si>
  <si>
    <t>Chan map,Pinmap</t>
  </si>
  <si>
    <t>Added Phase Lead Relays</t>
  </si>
  <si>
    <t>0.u1</t>
  </si>
  <si>
    <t>0.u2</t>
  </si>
  <si>
    <t>0.u3</t>
  </si>
  <si>
    <t>0.u8</t>
  </si>
  <si>
    <t>ExecIntermposerFuncs</t>
  </si>
  <si>
    <t>OnProgramValidated: Added then commented code to turn relay on
onProgramStarted: Added code to write comment  to datalog, but it does not work (datalog not enabled yet?)</t>
  </si>
  <si>
    <t>DC_PowerShorts_VDD10</t>
  </si>
  <si>
    <t>DC_PowerShorts_AVEE</t>
  </si>
  <si>
    <t>DC_PowerShorts_VDD18IO</t>
  </si>
  <si>
    <t>Power_Shorts</t>
  </si>
  <si>
    <t>Power_Sequence</t>
  </si>
  <si>
    <t>VBT_FunctionalRun</t>
  </si>
  <si>
    <t>Added VBT to quickly run a pattern using .test method, in eFuse_experimental</t>
  </si>
  <si>
    <t>Notes for self</t>
  </si>
  <si>
    <t>Not a lot of actual code writing, but still investigating bscan / enscan issues</t>
  </si>
  <si>
    <t>enscan has GPIO errors, gpio outputs data that is unexpected, check with FP</t>
  </si>
  <si>
    <t>Bscan continues to be unresponsive, looks like a scan pattern in normal format</t>
  </si>
  <si>
    <t>Enscan could be critical for scan patterns</t>
  </si>
  <si>
    <t>Flow Table / Test Instances</t>
  </si>
  <si>
    <t>Split PowerShorts test group into individual test steps to be able to disable VDD10 for further data collection runs due to ongoing stability issues</t>
  </si>
  <si>
    <t>ongoing VDD10 debug</t>
  </si>
  <si>
    <t>ongoing VDD10 debug, created shrinked version of eFuse read pattern to get more stable test condition for current reading - no improvement</t>
  </si>
  <si>
    <t>Implement hard and soft bin values based on Lings table (1st approach)</t>
  </si>
  <si>
    <t>define error bin</t>
  </si>
  <si>
    <t>Workbook</t>
  </si>
  <si>
    <t>Implement JobList sheet to hold resource info for different insertions</t>
  </si>
  <si>
    <t>Extend functional result datalogging</t>
  </si>
  <si>
    <t>Adapt pre/post test result compare and datalog</t>
  </si>
  <si>
    <t>Correct bin info for JTAG / SPI</t>
  </si>
  <si>
    <t>pat_basic_ts_BSCAN</t>
  </si>
  <si>
    <t>Added Digital_Bscan_Fast (VBT_functionalRun Bscan)</t>
  </si>
  <si>
    <t>Custom TSB for BSCAN (to add clocking TCK)</t>
  </si>
  <si>
    <t>BSCAN pattern has TCK as 1, this clocks the scan pattern</t>
  </si>
  <si>
    <t>pat_basic_ts_BSCAN (new)</t>
  </si>
  <si>
    <t>top_boundary_scan_00.pat</t>
  </si>
  <si>
    <t>Modified pattern to include X's instead of M's for certain pins</t>
  </si>
  <si>
    <t>Added clocking TCK, this fixed scan issues</t>
  </si>
  <si>
    <t>Pattern still needs work for some vectors</t>
  </si>
  <si>
    <t>Modified TDO to 4mA sink</t>
  </si>
  <si>
    <t>top_enscan_man_test.pat</t>
  </si>
  <si>
    <t>Changed GPIO and irq_out to X's, enscan passes functional testing now</t>
  </si>
  <si>
    <t>PinMap and ChanMap</t>
  </si>
  <si>
    <t>adapt resource allocation and names for utility bits</t>
  </si>
  <si>
    <t>VBT_eFuse pre/post</t>
  </si>
  <si>
    <t>Extend datalogging and limit handling, insert re-test check step</t>
  </si>
  <si>
    <t>change write data management from single field to multiple fields at once -&gt;</t>
  </si>
  <si>
    <t xml:space="preserve"> -&gt; debug of extended datalogging ongoing (force device fail handling)</t>
  </si>
  <si>
    <t>review of correct bit order at handover position to Justins code still required,</t>
  </si>
  <si>
    <t>error fix in eFuse_postTest (addr check in For Each … Loop)</t>
  </si>
  <si>
    <t>analog_pins</t>
  </si>
  <si>
    <t>Added additional clocks to the TSB, should be all SCAN clocks</t>
  </si>
  <si>
    <t>VBT_PixelArray_CMP_SRAM</t>
  </si>
  <si>
    <t>Debugged DSIO for SRAM pattern, passes .Test, good pattern</t>
  </si>
  <si>
    <t>Various DSIO bugfixes (changed site to 0, fixed a typo, etc)</t>
  </si>
  <si>
    <t>Code now subfolders by WAFERID and Coords</t>
  </si>
  <si>
    <t>Note to self 1 - Captured samples mismatch expected # of samples, check w/ FP</t>
  </si>
  <si>
    <t>Note to self 2 - Need a faster way of writing data, it's too slow for production!</t>
  </si>
  <si>
    <t>Note to self 3 - Check Get Function</t>
  </si>
  <si>
    <t>pixel_array_sram_patt_spi_slim_00.pat</t>
  </si>
  <si>
    <t>Important Note</t>
  </si>
  <si>
    <t>Adding Isource values = to Isink values causes vdd18io to overload!</t>
  </si>
  <si>
    <t>Added missing loop and missing DSIO Store microcodes, why were they missing…?</t>
  </si>
  <si>
    <t>Setting MISO to 4 ma sink and 4 ma source causes SPI_Functional to Fail</t>
  </si>
  <si>
    <t>Likely because of timing, but this is necessary for bscan to pass "M" vectors</t>
  </si>
  <si>
    <t>PatternFile,Pattern_Timeout</t>
  </si>
  <si>
    <t>miso_Isrc</t>
  </si>
  <si>
    <t>miso_Isink</t>
  </si>
  <si>
    <t>Func_BSCAN</t>
  </si>
  <si>
    <t>Replaced MISO Isrc and Isink with DC_Spec Values</t>
  </si>
  <si>
    <t>4 ma src / sink for BSCAN, 0 src / 4 sink for regular functional</t>
  </si>
  <si>
    <t>Allows SPI_Functional to Pass</t>
  </si>
  <si>
    <t>Added write efficient code, 30s write time to 1.2s</t>
  </si>
  <si>
    <t>Changed output directory to PixArray_Output_Data</t>
  </si>
  <si>
    <t>Enabled PixArray CMP test</t>
  </si>
  <si>
    <t>Good pattern, pattern reads and writes fine</t>
  </si>
  <si>
    <t>some trouble at some GPIO transitions due to ripple</t>
  </si>
  <si>
    <t>Digital_SCAN_Fast</t>
  </si>
  <si>
    <t>Began SCAN debug, too slow, pattern timeout (30s), needs more debug</t>
  </si>
  <si>
    <t>Please check GPIO reads on PreTest, GPIO delay seems to be gone?</t>
  </si>
  <si>
    <t>Note to Self (important):</t>
  </si>
  <si>
    <t>gpio_Isrc</t>
  </si>
  <si>
    <t>gpio_Isink</t>
  </si>
  <si>
    <t>Added Isrc and Isink for MISO and GPIO</t>
  </si>
  <si>
    <t>SBH</t>
  </si>
  <si>
    <t>SBL</t>
  </si>
  <si>
    <t>irqout_Isink</t>
  </si>
  <si>
    <t>irqout_Isrc</t>
  </si>
  <si>
    <t>ICC</t>
  </si>
  <si>
    <t>VBT_Power_IDD</t>
  </si>
  <si>
    <t>Extend datalogging and limit handling</t>
  </si>
  <si>
    <t>fix force fail handling and TN assignment</t>
  </si>
  <si>
    <t>PinMap</t>
  </si>
  <si>
    <t>Levels_00 pinlevels sheet</t>
  </si>
  <si>
    <t>added 'arst_n' pin to Levels_00 during Static_ICC debug</t>
  </si>
  <si>
    <t>Removed 'arst_n' pin from nonpif_inputs pingroup for Statis_ICC debug</t>
  </si>
  <si>
    <t>pat_scan_ts timing sheet</t>
  </si>
  <si>
    <t>DC_Specs sheet</t>
  </si>
  <si>
    <t>Changed timeset sheet for scan tests to 'pat_scan_ts' as this should now contain the correct timing for scan tests, to be reviewed/debugged with FP later today</t>
  </si>
  <si>
    <t>Copied STIL output data generated by Lauren to tester and created new scan pattern timeset sheet, 'boundary_scan' and 'digital_scan' pattern still failing, 'boundary_scan' pattern fails 107 GPIO pin cycles close to the end of the pattern in one block which looks like a scan logic issue</t>
  </si>
  <si>
    <t>Test Instances sheet</t>
  </si>
  <si>
    <t>Flow Table sheet</t>
  </si>
  <si>
    <t>Inserted Power_IDD test after Digital_Boundary_Scan test (TN10210)</t>
  </si>
  <si>
    <t>Added two symbols for iLoad programming of pin irq_out in Levels_00 sheet</t>
  </si>
  <si>
    <t>Disable</t>
  </si>
  <si>
    <t>Using edgeset e_default_WFT_, WFT _default_WFT_</t>
  </si>
  <si>
    <t>Using edgeset e_default_WFT__0, WFT _default_WFT_</t>
  </si>
  <si>
    <t>Imported project_basic_tsets</t>
  </si>
  <si>
    <t>Imported generated timset file, this one works, BSCAN passes now</t>
  </si>
  <si>
    <t>Adjusted Isrc and Isink for Functional and BSCAN</t>
  </si>
  <si>
    <t>PixArrayCMP passes at 4 mA Isink</t>
  </si>
  <si>
    <t>Most tests pass with GPIO Isink at 6 mA</t>
  </si>
  <si>
    <t>Added enable word to dc ICC Test</t>
  </si>
  <si>
    <t>New timeset needed some work before it could be imported</t>
  </si>
  <si>
    <t>Passing Tests</t>
  </si>
  <si>
    <t>PixArray tests are passing at 6 mA and 4 mA (SRAM and CMP)</t>
  </si>
  <si>
    <t>t_default_WFT_</t>
  </si>
  <si>
    <t>t_multiclock_capture_WFT_</t>
  </si>
  <si>
    <t>Using edgeset e_multiclock_capture_WFT__0, WFT _multiclock_capture_WFT_</t>
  </si>
  <si>
    <t>Using edgeset e_multiclock_capture_WFT_, WFT _multiclock_capture_WFT_</t>
  </si>
  <si>
    <t>Digital_ChainTest</t>
  </si>
  <si>
    <t>VBT_Power_SCAN</t>
  </si>
  <si>
    <t>If custom binning in VBT SortNumber Fail column must be EMPTY</t>
  </si>
  <si>
    <t>Created dynamic IDD test, use 'digital_scan' pattern finally (ongoing)</t>
  </si>
  <si>
    <t>Create 'Digital_ChainTest' based on pattern und timing info sent from FP, intended for ongoing SCAN test debug</t>
  </si>
  <si>
    <t>TSB sheet</t>
  </si>
  <si>
    <t>Create and modify 'chain_test_ts' timeset based on FP info</t>
  </si>
  <si>
    <t>Adapt / extend / debug dynamic IDD test (ongoing)</t>
  </si>
  <si>
    <t>Insert 'Digital_ChainTest', added / adapted enable words</t>
  </si>
  <si>
    <t>chain_test_mod_ts</t>
  </si>
  <si>
    <t>Created new ts and modified it to pass SCAN pattern</t>
  </si>
  <si>
    <t>Found that gpio_8 and gpio_9 are faster than the rest of the gpio_bus</t>
  </si>
  <si>
    <t>Scan pattern is mostly passing (90%) with this new ts + BSCAN DC_Specs</t>
  </si>
  <si>
    <t>chain_test.pat</t>
  </si>
  <si>
    <t>Lots of debugging on this pattern</t>
  </si>
  <si>
    <t>Sent FP screenshots of affected areas and pattern behavior</t>
  </si>
  <si>
    <t>BSCAN Leakage</t>
  </si>
  <si>
    <t>Began first debug of Leakage test</t>
  </si>
  <si>
    <t>PixArrayTests</t>
  </si>
  <si>
    <t>Experimenting with faster way of printing binary values, but no good results yet</t>
  </si>
  <si>
    <t>DC_StaticPower_Vnom</t>
  </si>
  <si>
    <t>DC_StaticPower_Vmin</t>
  </si>
  <si>
    <t>DC_StaticPower_Vmax</t>
  </si>
  <si>
    <t>DC_ActivePower_SCAN</t>
  </si>
  <si>
    <t>StaticPower_Vnom</t>
  </si>
  <si>
    <t>StaticPower_Vmin</t>
  </si>
  <si>
    <t>StaticPower_Vmax</t>
  </si>
  <si>
    <t>ActivePower_SCAN</t>
  </si>
  <si>
    <t>Func_DSCAN</t>
  </si>
  <si>
    <t>1400</t>
  </si>
  <si>
    <t>tdo_Isrc</t>
  </si>
  <si>
    <t>tdo_Isink</t>
  </si>
  <si>
    <t>Applies power to the device</t>
  </si>
  <si>
    <t>vol_miso Max relaxed for last vector of H -&gt; L transition -  80mV -&gt; 120mV, Func_DSCAN .180 -&gt;.25</t>
  </si>
  <si>
    <t>Func_DSCAN 0.26 -&gt; 0.5</t>
  </si>
  <si>
    <t>Reverted back to 10 nS timing for gpio_8 - gpio_15, this works</t>
  </si>
  <si>
    <t>Kept gpio_0 - gpio_7 at 60 nS</t>
  </si>
  <si>
    <t>Added dc_static to enable words</t>
  </si>
  <si>
    <t>Loosened MISO and GPIO_bus for more reliable Bscan pass</t>
  </si>
  <si>
    <t>vol_other (gpio_bus) from 0.26V to 0.35V</t>
  </si>
  <si>
    <t>miso_voh from 1.46V to 1.3V</t>
  </si>
  <si>
    <t>miso was adjuststed because some devices are slightly slower</t>
  </si>
  <si>
    <t>gpio_bus was adjusted because of a random irq_out bump that occurs</t>
  </si>
  <si>
    <t>Scan Chain 0_299</t>
  </si>
  <si>
    <t>Pattern fail at vector 60430+, report to first pass</t>
  </si>
  <si>
    <t>Passing (this is essentially the first chain in scan_0_299</t>
  </si>
  <si>
    <t>Found that enabling static Power causes Bscan to fail</t>
  </si>
  <si>
    <t>Masked Patterns</t>
  </si>
  <si>
    <t>They work and can run at 20 nS (confirmed), can prob run at 10 nS period easily</t>
  </si>
  <si>
    <t>DSCAN, miso_vol 0.13V -&gt; 0.35V, gpio_bus vol 0.26V -&gt; 0.5V</t>
  </si>
  <si>
    <t>3</t>
  </si>
  <si>
    <t>fila_pins</t>
  </si>
  <si>
    <t>set-retest-bin</t>
  </si>
  <si>
    <t>6</t>
  </si>
  <si>
    <t>Y Shmoo</t>
  </si>
  <si>
    <t>Shmoo_2D</t>
  </si>
  <si>
    <t>Func_SRAM</t>
  </si>
  <si>
    <t>irq_voh</t>
  </si>
  <si>
    <t>irq_vol</t>
  </si>
  <si>
    <t>gpio_bus,arst_n,pif_inputs, nonpif_inputs</t>
  </si>
  <si>
    <t>Changed by release of RC1</t>
  </si>
  <si>
    <t>Changes by RC1</t>
  </si>
  <si>
    <t>pixarray_SRAM</t>
  </si>
  <si>
    <t>Added data processing + json output code</t>
  </si>
  <si>
    <t>Test program automatically creates file and writes information</t>
  </si>
  <si>
    <t>SRAM output uses a simple compressed output</t>
  </si>
  <si>
    <t>SRAM only outputs failing devices</t>
  </si>
  <si>
    <t>Digital SCAN</t>
  </si>
  <si>
    <t>Added updated digital scan patterns</t>
  </si>
  <si>
    <t>Added arst_n pins + set them to SBH at 25, 75 nS</t>
  </si>
  <si>
    <t>Fixed various clocks that were supposed to pulse (TCK, SCK, etc.)</t>
  </si>
  <si>
    <t>JTAG and TAP2SPI</t>
  </si>
  <si>
    <t>Now running at 50 MHz frequency</t>
  </si>
  <si>
    <t>Attempted to run at faster speed, irq_out is the only failure</t>
  </si>
  <si>
    <t>Unable to run at 50 MHz, need to check why</t>
  </si>
  <si>
    <t>In general</t>
  </si>
  <si>
    <t>`+ Overall various bugfixes</t>
  </si>
  <si>
    <t>PatternFile,Pattern_Timeout,dbl_WaitTime,bol_DebugOutput</t>
  </si>
  <si>
    <t>Scan Debug</t>
  </si>
  <si>
    <t>Voltage testing has confirmed that vdd10 voltages directly impact pass rate</t>
  </si>
  <si>
    <t>Vdd10 at 1.1V passes all devices on SCAN so far</t>
  </si>
  <si>
    <t>voh_other can pass at typical values @ 1.1V vdd10</t>
  </si>
  <si>
    <t>vol_other still needs to be loosened, likely from voltage bumps</t>
  </si>
  <si>
    <t>SRAM Pattern</t>
  </si>
  <si>
    <t>More debugging of SRAM pattern At-Speed</t>
  </si>
  <si>
    <t>Moving strobe of irq_out to 125% of period makes it more stable</t>
  </si>
  <si>
    <t>Fails due to the voltage "bump" on H -&gt; L transition</t>
  </si>
  <si>
    <t>Will pass if DC Spec is loosened to encompass this bump</t>
  </si>
  <si>
    <t>gpio_scan_in</t>
  </si>
  <si>
    <t>gpio_scan_out</t>
  </si>
  <si>
    <t>Levels_Scan_00</t>
  </si>
  <si>
    <t>`(_voh_other-_vol_other)/2+_vol_other</t>
  </si>
  <si>
    <t>`=_vol_other</t>
  </si>
  <si>
    <t>`=_voh_other</t>
  </si>
  <si>
    <t>Scan TTR</t>
  </si>
  <si>
    <t>Keeping voltage at 1.1V I was able to bring down period to 50 nS</t>
  </si>
  <si>
    <t>New levels sheet to split scan_in and scan_out pins</t>
  </si>
  <si>
    <t>Scan Out pins (gpio_8 - gpio_15) are 2mA src / sink</t>
  </si>
  <si>
    <t>Scan Out Vt brought to 0V to help remove ripple</t>
  </si>
  <si>
    <t>Scan In pins have 12 mA src / sink to get to midband faster</t>
  </si>
  <si>
    <t>MISO is the bottleneck, it is the slowest pin out of the group</t>
  </si>
  <si>
    <t>SRAM TTR</t>
  </si>
  <si>
    <t>SRAM is able to run at the faster 20 nS period</t>
  </si>
  <si>
    <t>Still randomly fails, will think about putting a pull down on irq_out</t>
  </si>
  <si>
    <t>VBT_ActiveStatic_Power</t>
  </si>
  <si>
    <t>Added RePowerSequence at end of active power</t>
  </si>
  <si>
    <t>VBT_PowerUP_Sequence</t>
  </si>
  <si>
    <t>Added RePowerSequence function based on PowerSequence. These can be combined later by making limits optional and booFlag to datalog results</t>
  </si>
  <si>
    <t>Placed ActivePower before Pix SRAM</t>
  </si>
  <si>
    <t>11-Dc-20</t>
  </si>
  <si>
    <t>ModifyHDVISsettings</t>
  </si>
  <si>
    <t>10215</t>
  </si>
  <si>
    <t>Cycle device</t>
  </si>
  <si>
    <t>VBT_PixArray_Json</t>
  </si>
  <si>
    <t>Added Header Record handling</t>
  </si>
  <si>
    <t>Added 2 private functions to handle variant comparison to null</t>
  </si>
  <si>
    <t>VBT_PowerSequence</t>
  </si>
  <si>
    <t>Added pin-state reset to Init Offstate</t>
  </si>
  <si>
    <t>This makes patterns more stable on startup</t>
  </si>
  <si>
    <t>Post Test</t>
  </si>
  <si>
    <t>Added pin-state reset to make it stable after running it after Active Power</t>
  </si>
  <si>
    <t>Misc</t>
  </si>
  <si>
    <t>Various bug fixes from last changelog entry</t>
  </si>
  <si>
    <t>Json file output fix</t>
  </si>
  <si>
    <t>Boundary Scan</t>
  </si>
  <si>
    <t>MISO rise time is too slow for L -&gt; H transition on vector 1954</t>
  </si>
  <si>
    <t>Adjusted DC spec to 1.0V to accommodate for this slow rise time</t>
  </si>
  <si>
    <t>Ext_Flow</t>
  </si>
  <si>
    <t>create-site-var</t>
  </si>
  <si>
    <t>site-var=</t>
  </si>
  <si>
    <t>Ext_Flow 1</t>
  </si>
  <si>
    <t>assign-site-var</t>
  </si>
  <si>
    <t>Ext_Flow 0</t>
  </si>
  <si>
    <t>VBT_Initialization</t>
  </si>
  <si>
    <t>Initialize_Flow_Vars</t>
  </si>
  <si>
    <t>HS / JK</t>
  </si>
  <si>
    <t>Release 02C</t>
  </si>
  <si>
    <t>PixelArray_SRAM and json file and Power Tests Update</t>
  </si>
  <si>
    <t>VBT_PixArray_SRAM and Json</t>
  </si>
  <si>
    <t>Memory fix implemented (converted Dictionaries into large arrays, new less</t>
  </si>
  <si>
    <t>memory intensive print method, test time slightly increased BUT no mem overflow),</t>
  </si>
  <si>
    <t>disabled ...Pattern.Test() method -&gt; .Run used instead, enabled SRAM Map</t>
  </si>
  <si>
    <t>check test, intro. new SRAM timing - 100ns period - 30ns Sck - 40ns Mosi,</t>
  </si>
  <si>
    <t>PowerShorts Test</t>
  </si>
  <si>
    <t>Adapted settling time, samples and measure period parameter for all three pins,</t>
  </si>
  <si>
    <t>turned of Kelvin relay again</t>
  </si>
  <si>
    <t>Static/Active_Power Tests</t>
  </si>
  <si>
    <t>introduced additional vars in test function header to handle settling time,</t>
  </si>
  <si>
    <t>measure samples, measure period and pattern result enable parameter</t>
  </si>
  <si>
    <t>eFuse Test</t>
  </si>
  <si>
    <t>Changed vqps supply force voltage in function 'eFuse_WriteData()' from</t>
  </si>
  <si>
    <t>1.8V to 1.4V (typical value) on request of FB (driven by GF),</t>
  </si>
  <si>
    <t>Added eFuse code version history</t>
  </si>
  <si>
    <t>Release 02B</t>
  </si>
  <si>
    <t>Hybrid Version - merge of 02A and 01D</t>
  </si>
  <si>
    <t>Flow Table / VB</t>
  </si>
  <si>
    <t>Introduction of ExtFlow flag to switch between short (01D) and long flow (02A)</t>
  </si>
  <si>
    <t>Intro new test step 'Initialize' on top of flow to manage site-var 'Ext_Flow'</t>
  </si>
  <si>
    <t xml:space="preserve"> -&gt; GF side</t>
  </si>
  <si>
    <t>Requires also update of GF properties file and special prober wafer map</t>
  </si>
  <si>
    <t>Release 01D</t>
  </si>
  <si>
    <t>New Year Release: Short flow w/o active …</t>
  </si>
  <si>
    <t>… ScanEN, Bscan, Scan, PixelArray_SRAM, ActivePower tests</t>
  </si>
  <si>
    <t>Functional pattern result handling for read pattern turned back to monitoring</t>
  </si>
  <si>
    <t>due to bad yield with 02A release, set start state 'Off' for dig. pins (focus GPIOs)</t>
  </si>
  <si>
    <t>at beginning of eFuse_PostTest function to improve pattern stability</t>
  </si>
  <si>
    <t>Release 02A</t>
  </si>
  <si>
    <t>Christmas Release</t>
  </si>
  <si>
    <t>Map' field removed from Dictionary init. routine and 'Customize' field extended</t>
  </si>
  <si>
    <t>by two bit on cost of 'Map' Filed due to DIEID spec 2.1 update,</t>
  </si>
  <si>
    <t>Dictionary data initialization changed to 0</t>
  </si>
  <si>
    <t>ActivePower test moved back behind PixelArray_SRAM test</t>
  </si>
  <si>
    <t>SCAN Test</t>
  </si>
  <si>
    <t>Changed order of StaticPower tests -&gt; Vmax, Vnom, Vmin; removed test 'Digital_PixArray_CMP'</t>
  </si>
  <si>
    <t>Changed sheet 'chain_test_mod_20nS' to 'chain_test_mod_80nS' to reflect period value</t>
  </si>
  <si>
    <t>Changed name from 'Digital_Scan_All_Fast' to 'Digital_ScanChainSubset_Fast',</t>
  </si>
  <si>
    <t>disabled …Patgen.HaltWait</t>
  </si>
  <si>
    <t>BoundaryScan</t>
  </si>
  <si>
    <t>PixelArray_SRAM</t>
  </si>
  <si>
    <t>ScanEnable</t>
  </si>
  <si>
    <t>separated code into own VBT module 'VBT_Scan', adapted datalog (.Test -&gt; .Run + evaluation)</t>
  </si>
  <si>
    <t>PowerShorts Test Update</t>
  </si>
  <si>
    <t>Changed HDVIS slew rate setting from 'normal' to 'slow'</t>
  </si>
  <si>
    <t>Release 02C_HF1</t>
  </si>
  <si>
    <t>the VDD10 measurement to drop from mA to about 60uA, adapt VDD10 and AVEE Irange to 5mA</t>
  </si>
  <si>
    <t>Set missing pins 'tdo,miso,irq_out,pok18_tpad' to init: float, 'pok18_tpad' PE set to float causes</t>
  </si>
  <si>
    <t>Set Iload values for symbols for pins irq_out and gpio in category Contact to 0</t>
  </si>
  <si>
    <t>BandGap_CATAP</t>
  </si>
  <si>
    <t>Anode_ADC</t>
  </si>
  <si>
    <t>Analog_BandGap</t>
  </si>
  <si>
    <t>VBT_Holdstate_BandGap</t>
  </si>
  <si>
    <t>BandGap</t>
  </si>
  <si>
    <t>TempSensor_ADC</t>
  </si>
  <si>
    <t>Cathode</t>
  </si>
  <si>
    <t>10225</t>
  </si>
  <si>
    <t>Digital_ScanEnable</t>
  </si>
  <si>
    <t>Analog_TempSensor</t>
  </si>
  <si>
    <t>VBT_Holdstate_TempSensor</t>
  </si>
  <si>
    <t>TempSensor</t>
  </si>
  <si>
    <t>VBB20</t>
  </si>
  <si>
    <t>Vbias_DAC</t>
  </si>
  <si>
    <t>Release 03A</t>
  </si>
  <si>
    <t>Enabled missing analog tests BandGap, Cathode, VBB20, TempSensor, Anode_ADC,</t>
  </si>
  <si>
    <t>TempSensor_ADC, Vbias_DAC, add them to the extended flow until further notice -&gt; col X/Y</t>
  </si>
  <si>
    <t>SPI Functional</t>
  </si>
  <si>
    <t>datalog)</t>
  </si>
  <si>
    <t>Added latest code version (refer to history)</t>
  </si>
  <si>
    <t>Adapted settings for analog tests based on last debug results (level, timing, parameter passed in,</t>
  </si>
  <si>
    <t>Global Parameters</t>
  </si>
  <si>
    <t>Added module 'Global_Definitions' to consolidate public variable declarations</t>
  </si>
  <si>
    <t>Added EnScan and BScan test code to module 'VBT_SCAN' -&gt; VBT_Scan_BScan_EnScan</t>
  </si>
  <si>
    <t>Arg47</t>
  </si>
  <si>
    <t>Arg48</t>
  </si>
  <si>
    <t>Arg49</t>
  </si>
  <si>
    <t>Arg50</t>
  </si>
  <si>
    <t>Arg51</t>
  </si>
  <si>
    <t>Arg52</t>
  </si>
  <si>
    <t>Arg53</t>
  </si>
  <si>
    <t>Arg54</t>
  </si>
  <si>
    <t>Arg55</t>
  </si>
  <si>
    <t>Arg56</t>
  </si>
  <si>
    <t>Arg57</t>
  </si>
  <si>
    <t>Arg58</t>
  </si>
  <si>
    <t>1000</t>
  </si>
  <si>
    <t>Initialization</t>
  </si>
  <si>
    <t>Change test name 'Initialize' to 'Initialization'</t>
  </si>
  <si>
    <t>Initialization Test</t>
  </si>
  <si>
    <t>Updated variables in this VB module</t>
  </si>
  <si>
    <t>Added variables and sub call 'RegisterMap_DictSetup' to this OnExec IP function</t>
  </si>
  <si>
    <t xml:space="preserve">Modified datalog step for number of write-verify runs in functions eFuse_Pre-/PostTest, removed </t>
  </si>
  <si>
    <t>21610</t>
  </si>
  <si>
    <t>21620</t>
  </si>
  <si>
    <t>21630</t>
  </si>
  <si>
    <t>21410</t>
  </si>
  <si>
    <t>21640</t>
  </si>
  <si>
    <t>analog tests from 11xxx to 21xxx on request of FB</t>
  </si>
  <si>
    <t>Analog Tests</t>
  </si>
  <si>
    <t>Changed transfer parameter 'LogFuncPatResult' to 'PatResultMonitoring' -&gt; log always</t>
  </si>
  <si>
    <t xml:space="preserve">Added TN 1000 and comments for test Initialization (former 'Initialize'), change SBs for </t>
  </si>
  <si>
    <t>PatternFile,AVEE_Voltage_Override,LoLimit,HiLimit,PatResultMonitoring,Debugging</t>
  </si>
  <si>
    <t>PatternFile,AVEE_Voltage_Override,AVEE1_LoLimit,AVEE1_HiLimit,AVEE2_LoLimit,AVEE2_HiLimit,AVEE3_LoLimit,AVEE3_HiLimit,AVEE4_LoLimit,AVEE4_HiLimit,PatResultMonitoring,Debugging</t>
  </si>
  <si>
    <t>PatternFile,HDVIS_Pin,AVEE_Pins,GPIO_90_Pins,SPIout_Pin,SPIreadout_Bits,RampLevel_V,RampStartValue_V,RampStepSize_V,Ramp_period,FSR_Ideal,AnaValZero_Ideal,PatResultMonitoring</t>
  </si>
  <si>
    <t>pattern result but switch between force-fail and monitoring; adapted DAC test limits</t>
  </si>
  <si>
    <t>21600</t>
  </si>
  <si>
    <t>Added datalog steps for status of flags ExtFlow, RetestFlag and TrialOnly awa Site on request of GF</t>
  </si>
  <si>
    <t>SiteLong variable previously used for logging number of write-verify runs with .TestLimit(),</t>
  </si>
  <si>
    <t>Changed write pattern result eval. during PreTest write/verify step from force fail to monitoring</t>
  </si>
  <si>
    <t>temp. use 'boundary _scan' pattern for dyn. IDD test debug, 'digital_scan' pattern runs about 36.8s</t>
  </si>
  <si>
    <t>PowerShorts Test Update as basis for upcoming 03A</t>
  </si>
  <si>
    <t>Add Analog Tests and update eFuse Test</t>
  </si>
  <si>
    <t>Adapt Analog Tests, eFuse Test and Infrastructure</t>
  </si>
  <si>
    <t>Adapt PowerShorts Test and small clean up</t>
  </si>
  <si>
    <t>Update VDD10 setup according to last 02C_RC2_H2 program (Vforce = 0.1V, limits = +-0.5mA),</t>
  </si>
  <si>
    <t>reduce settle time slightly to 50ms, apply same settings to AVEE pin, VDD18IO Vforce = 0.1V</t>
  </si>
  <si>
    <t>Delete PowerShorts test debug code for single rail setup</t>
  </si>
  <si>
    <t>Delete SCAN test entries for debug setups</t>
  </si>
  <si>
    <t>eFuse / Power / SCAN Tests</t>
  </si>
  <si>
    <t>Cut off leading prefix 'Func_' /  'DC_' / 'Digital_' from test instance name before datalog</t>
  </si>
  <si>
    <t>Site0</t>
  </si>
  <si>
    <t>Bpmu2uA</t>
  </si>
  <si>
    <t>Bpmu20uA</t>
  </si>
  <si>
    <t>VBT_Continuity_Param</t>
  </si>
  <si>
    <t>Modality_Type,Isource,Isink,SampleSize,HiLim_Abs,LoLim_Abs,Pinlist1,Pinlist2</t>
  </si>
  <si>
    <t>DC_Continuity_Param</t>
  </si>
  <si>
    <t>Levels</t>
  </si>
  <si>
    <t>Levels_Scan</t>
  </si>
  <si>
    <t>Release 04A</t>
  </si>
  <si>
    <t>Adapt Infrastructure and Tests as requested and clean-up Program</t>
  </si>
  <si>
    <t>Worksheets</t>
  </si>
  <si>
    <t>Removed obsolete level sheet for HDVIS single channel approach, removed '_00' from level sheets,</t>
  </si>
  <si>
    <t>Global_Definitions Module</t>
  </si>
  <si>
    <t>Added few new variables to cover requested flow control enhancements for SoF / CoF, extended</t>
  </si>
  <si>
    <t>ExecInterposeFuncs Module</t>
  </si>
  <si>
    <t>Migrated code from 03B to measure BPMU offset values for VbiasDAC test and store in Worksheet</t>
  </si>
  <si>
    <t>during OnProgramValidated(), migrated code from 03B to read-out BPMU offset values for VbiasDAC</t>
  </si>
  <si>
    <t>test during OnGlobalVariableReset(), additionally initialize all new variables updated in 'SetSiteVariable()'</t>
  </si>
  <si>
    <t>All Other Tests</t>
  </si>
  <si>
    <t>VbiasDAC Test</t>
  </si>
  <si>
    <t>OnGlobalVariableReset()</t>
  </si>
  <si>
    <t>STDF</t>
  </si>
  <si>
    <t>TSB</t>
  </si>
  <si>
    <t>TSB_GPIO_Slow</t>
  </si>
  <si>
    <t>TSB_Bscan</t>
  </si>
  <si>
    <t>TSB_SRAM_100ns</t>
  </si>
  <si>
    <t>TSB_20ns</t>
  </si>
  <si>
    <t>DC_Continuity_Func</t>
  </si>
  <si>
    <t>=1.5*C8</t>
  </si>
  <si>
    <t>VBT_Continuity_Func</t>
  </si>
  <si>
    <t>Level_Conti_Isink</t>
  </si>
  <si>
    <t>Level_Conti_Isrc</t>
  </si>
  <si>
    <t>Continuity_Param</t>
  </si>
  <si>
    <t>Continuity_Func</t>
  </si>
  <si>
    <t>10010</t>
  </si>
  <si>
    <t>PatternFile,LoLimit_Vmeas,HiLimit_Vmeas,LoLimit_Vcalc,HiLimit_Vcalc,LoLimit_HRAMcap,HiLimit_HRAMcap,PatResultMonitoring,Debugging</t>
  </si>
  <si>
    <t>TSB_Conti</t>
  </si>
  <si>
    <t>FuCoFail</t>
  </si>
  <si>
    <t>VBT_DigitalComm</t>
  </si>
  <si>
    <t>4</t>
  </si>
  <si>
    <t>10021</t>
  </si>
  <si>
    <t>10031</t>
  </si>
  <si>
    <t>Created new custom VBT test for serial / parallel and Isrc / Isink measurements, created new</t>
  </si>
  <si>
    <t>DC_InputLeakage</t>
  </si>
  <si>
    <t>VBT_InputLeakage</t>
  </si>
  <si>
    <t>Vinlo,Vinhi,Vil_HiLim_Pos,Vil_LoLim_Neg,Vih_HiLim_Pos,Vih_LoLim_Neg,SampleSize,Pins_NonPIFwoMIPI,Pins_MIPI,Pins_GPIO,Pins_PIF</t>
  </si>
  <si>
    <t>InputLeakage</t>
  </si>
  <si>
    <t>InputLeakage Test</t>
  </si>
  <si>
    <t>Created new custom VBT test as replacement for the template approach because SoF / CoF</t>
  </si>
  <si>
    <t>Adapted limit values (no dynamic limits anymore), reworked x-Coord, y-Coord, Lot-ID, Wafer-ID</t>
  </si>
  <si>
    <t>DC_Continuity_Tpad</t>
  </si>
  <si>
    <t>VBT_Continuity_Tpad</t>
  </si>
  <si>
    <t>Iforce,SampleSize,Pinlist</t>
  </si>
  <si>
    <t>Continuity_Tpad</t>
  </si>
  <si>
    <t>(legacy from VbiasDAC investigations on Tabiche) - IF func.Conti pass: param.Conti not executed,</t>
  </si>
  <si>
    <t>parallel measurement and Isrc / Isink and a separate test step for pins anode_n/s_tpad, added</t>
  </si>
  <si>
    <t>comments, added custom VBT functional Continuity test and set Fail Flag instead Result 'Fail'</t>
  </si>
  <si>
    <t>adapted HBs and SBs to differentiate between open and short failures</t>
  </si>
  <si>
    <t>10010000</t>
  </si>
  <si>
    <t>10020000</t>
  </si>
  <si>
    <t>10020001</t>
  </si>
  <si>
    <t>10020002</t>
  </si>
  <si>
    <t>10049000</t>
  </si>
  <si>
    <t>10021000</t>
  </si>
  <si>
    <t>10030000</t>
  </si>
  <si>
    <t>10031000</t>
  </si>
  <si>
    <t>10040000</t>
  </si>
  <si>
    <t>10600000</t>
  </si>
  <si>
    <t>21200000</t>
  </si>
  <si>
    <t>21600000</t>
  </si>
  <si>
    <t>21610000</t>
  </si>
  <si>
    <t>21620000</t>
  </si>
  <si>
    <t>21630000</t>
  </si>
  <si>
    <t>21410000</t>
  </si>
  <si>
    <t>21640000</t>
  </si>
  <si>
    <t>10200000</t>
  </si>
  <si>
    <t>10225000</t>
  </si>
  <si>
    <t>10215000</t>
  </si>
  <si>
    <t>12000000</t>
  </si>
  <si>
    <t xml:space="preserve"> … and log flags TrialOnly, Retest, ExtFlow, SoFvsCoF</t>
  </si>
  <si>
    <t>11400010</t>
  </si>
  <si>
    <t>11400020</t>
  </si>
  <si>
    <t>11400030</t>
  </si>
  <si>
    <t>11400050</t>
  </si>
  <si>
    <t>jtag_tck</t>
  </si>
  <si>
    <t>jtag_tdi</t>
  </si>
  <si>
    <t>jtag_tdo</t>
  </si>
  <si>
    <t>jtag_tms</t>
  </si>
  <si>
    <t>jtag_trst_n</t>
  </si>
  <si>
    <t>mipi_c_n</t>
  </si>
  <si>
    <t>mipi_c_p</t>
  </si>
  <si>
    <t>mipi_d_0_n</t>
  </si>
  <si>
    <t>mipi_d_1_n</t>
  </si>
  <si>
    <t>mipi_d_2_n</t>
  </si>
  <si>
    <t>mipi_d_3_n</t>
  </si>
  <si>
    <t>mipi_d_0_p</t>
  </si>
  <si>
    <t>mipi_d_1_p</t>
  </si>
  <si>
    <t>mipi_d_2_p</t>
  </si>
  <si>
    <t>mipi_d_3_p</t>
  </si>
  <si>
    <t>spi_mosi</t>
  </si>
  <si>
    <t>spi_sclk</t>
  </si>
  <si>
    <t>spi_ss_n</t>
  </si>
  <si>
    <t>spi_miso</t>
  </si>
  <si>
    <t>pix_clk</t>
  </si>
  <si>
    <t>pix_data_31</t>
  </si>
  <si>
    <t>pix_data_30</t>
  </si>
  <si>
    <t>pix_data_29</t>
  </si>
  <si>
    <t>pix_data_28</t>
  </si>
  <si>
    <t>pix_data_27</t>
  </si>
  <si>
    <t>pix_data_26</t>
  </si>
  <si>
    <t>pix_data_25</t>
  </si>
  <si>
    <t>pix_data_24</t>
  </si>
  <si>
    <t>pix_data_23</t>
  </si>
  <si>
    <t>pix_data_22</t>
  </si>
  <si>
    <t>pix_data_21</t>
  </si>
  <si>
    <t>pix_data_20</t>
  </si>
  <si>
    <t>pix_data_19</t>
  </si>
  <si>
    <t>pix_data_18</t>
  </si>
  <si>
    <t>pix_data_17</t>
  </si>
  <si>
    <t>pix_data_16</t>
  </si>
  <si>
    <t>pix_data_15</t>
  </si>
  <si>
    <t>pix_data_14</t>
  </si>
  <si>
    <t>pix_data_13</t>
  </si>
  <si>
    <t>pix_data_12</t>
  </si>
  <si>
    <t>pix_data_11</t>
  </si>
  <si>
    <t>pix_data_10</t>
  </si>
  <si>
    <t>pix_data_9</t>
  </si>
  <si>
    <t>pix_data_8</t>
  </si>
  <si>
    <t>pix_data_7</t>
  </si>
  <si>
    <t>pix_data_6</t>
  </si>
  <si>
    <t>pix_data_5</t>
  </si>
  <si>
    <t>pix_data_4</t>
  </si>
  <si>
    <t>pix_data_3</t>
  </si>
  <si>
    <t>pix_data_2</t>
  </si>
  <si>
    <t>pix_data_1</t>
  </si>
  <si>
    <t>pix_data_0</t>
  </si>
  <si>
    <t>pix_cwsync</t>
  </si>
  <si>
    <t>pix_vsync</t>
  </si>
  <si>
    <t>non_gpio_in_out</t>
  </si>
  <si>
    <r>
      <t>functional Continuity test</t>
    </r>
    <r>
      <rPr>
        <sz val="10"/>
        <rFont val="Arial"/>
        <family val="2"/>
      </rPr>
      <t xml:space="preserve"> and migrate and adapt Conti test for pins anode_n/s_tpad</t>
    </r>
  </si>
  <si>
    <t>Continuity Tests</t>
  </si>
  <si>
    <t>Added new custom VBT Continuity test for serial / parallel measurement and Isrc / Isink, added</t>
  </si>
  <si>
    <t>functional Continuity test, added custom VBT InputLeakage test as replacement for template appr.</t>
  </si>
  <si>
    <t xml:space="preserve">and Fab-ID data read-out verification during collection of expect-data in Dic-key loop, adapted </t>
  </si>
  <si>
    <t>mipi_c_n,mipi_c_p,mipi_d_0_n,mipi_d_1_n,mipi_d_2_n,mipi_d_3_n,mipi_d_0_p,mipi_d_1_p,mipi_d_2_p,mipi_d_3_p</t>
  </si>
  <si>
    <t>Resource Sheets</t>
  </si>
  <si>
    <t>Modified all affected pins in Pinmap sheet to match net_list definitions on HW side, keep old pin</t>
  </si>
  <si>
    <t>extend MIR 'UserText' field by exec. status of eFuse test: @eFuse_Read / @eFuse_RWV</t>
  </si>
  <si>
    <t>Removed template based Continuity tests, added new custom VBT Continuity test for serial /</t>
  </si>
  <si>
    <t>differentiation is not possible with standard Ter template based test setup</t>
  </si>
  <si>
    <t>to gate execution of parametric Conti tests in Device Columns X/Y, changed TNs on FBs request,</t>
  </si>
  <si>
    <t>Job List sheet</t>
  </si>
  <si>
    <t>Changed job name based on new definition</t>
  </si>
  <si>
    <t>Added reasonable names for each HB and SB (setup in OnProgramValidated), extend MIR 'UserText'</t>
  </si>
  <si>
    <t>field by exec. status of eFuse test, overwrite OI input for 'Design.Rev.' field with 'TABLITE_A0'</t>
  </si>
  <si>
    <t>Anode/TempsensorADC Test</t>
  </si>
  <si>
    <t>Added log steps for GPIO90 pins DSIO capture at SCat1qFS and SCat3qFS</t>
  </si>
  <si>
    <t>in OnProgramValidated() and OnGlobalVariableReset(), extended OnProgramStarted() with DIB connect check</t>
  </si>
  <si>
    <t>create-integer</t>
  </si>
  <si>
    <t>Stop_Flow</t>
  </si>
  <si>
    <t>assign-integer</t>
  </si>
  <si>
    <t>Stop_Flow 0</t>
  </si>
  <si>
    <t>TN management due to changed TNs in Flow table, fixed test name handling error in postTest,</t>
  </si>
  <si>
    <t>disabled unload and re-load of read and write pattern (DSIO issue workaround, TT overhead)</t>
  </si>
  <si>
    <t>PatternFile,IforceDir</t>
  </si>
  <si>
    <t>Isink</t>
  </si>
  <si>
    <t>Isrc</t>
  </si>
  <si>
    <t>ExtraLongFlow</t>
  </si>
  <si>
    <t>removed template based InputLeakage and BandGap tests, added flow variable 'Stop_Flow',</t>
  </si>
  <si>
    <t>added enable word 'ExtraLongFlow' to gate tests ScanChainSubset and PixArray_SRAM within</t>
  </si>
  <si>
    <t>the extended flow due to TTR requirements (enable word set dependent on add. external var)</t>
  </si>
  <si>
    <t>content of function 'SetSiteVariable()' called from GF OI to get new flags / vars updated at run time,</t>
  </si>
  <si>
    <t>Adapted datalog part to cover new SoF / CoF flow control request except for Conti and PowerShorts</t>
  </si>
  <si>
    <t>tests because they are always set to SoF, this extension requires further adaptions in all affected</t>
  </si>
  <si>
    <t>tests (new variables, sequencing and their setup)</t>
  </si>
  <si>
    <t>Added datalog step for per pattern cycle fail counter</t>
  </si>
  <si>
    <t>ScanChainSubset Test</t>
  </si>
  <si>
    <t>Adapted measure setup based on recent investigations (SZ = 5), improve cpu flag controlled loop</t>
  </si>
  <si>
    <t>Migrated 03A-C extensions and fixes, adjusted limits (FB update), disabled func.pattern result datalog</t>
  </si>
  <si>
    <t>StaticPower Test</t>
  </si>
  <si>
    <t>Adjusted Vmax / Vnom / Vmin limits for all pins, adjusted Iclamp for merged channels</t>
  </si>
  <si>
    <t>pix_inputs</t>
  </si>
  <si>
    <t>anode_n_tpad,anode_s_tpad</t>
  </si>
  <si>
    <t>gpio_15,gpio_14,gpio_13,gpio_12,gpio_11,gpio_10,gpio_9,gpio_8,gpio_7,gpio_6,gpio_5,gpio_4,gpio_3,gpio_2,gpio_1,gpio_0</t>
  </si>
  <si>
    <t>nonpix_inputs</t>
  </si>
  <si>
    <t>PixelArray_SRAM Test</t>
  </si>
  <si>
    <t>Changed the way failure info is processed and logged in .json file, add log steps to datalog …Ongoing</t>
  </si>
  <si>
    <t>jtag_tck,jtag_tdi,jtag_tms,jtag_trst_n,spi_mosi,spi_sclk,spi_ss_n,clk_ref,row_sync,i_sync</t>
  </si>
  <si>
    <t>mipi_inputs</t>
  </si>
  <si>
    <t>names as alias names, adapt pin-groups and Chanmap sheet, separate mipi pins in group</t>
  </si>
  <si>
    <t>removed spec sheet copy from 02C, simplified time set sheet names, updated level sheets</t>
  </si>
  <si>
    <t>PatternFile,lng_CapLength,bol_reportMismatch,bol_TestSRAMMap,bol_OmitJsonOutput,Max_Bit_Cnt</t>
  </si>
  <si>
    <t xml:space="preserve"> - 18-Aug-21</t>
  </si>
  <si>
    <t>BScan Test</t>
  </si>
  <si>
    <t>Adapted the pattern because of unexpected showing up GPIO and Miso pin failure (GPIO and Miso</t>
  </si>
  <si>
    <t>pin transitional fails at vector 1863 and 1953 -&gt; X, Miso pin Vol changed from 130mV to 250mV)</t>
  </si>
  <si>
    <t>shmoobscan</t>
  </si>
  <si>
    <t>BSCANTiming</t>
  </si>
  <si>
    <t>BSCAN_Period</t>
  </si>
  <si>
    <t>Global Spec</t>
  </si>
  <si>
    <t>Shmoo_PostPoint_wait</t>
  </si>
  <si>
    <t>Reburst</t>
  </si>
  <si>
    <t>JTAG_SHMOO</t>
  </si>
  <si>
    <t>JTAG_Period</t>
  </si>
  <si>
    <t>ITAG_Timing</t>
  </si>
  <si>
    <t>SCAN_VohVoh</t>
  </si>
  <si>
    <t>variable-equal</t>
  </si>
  <si>
    <t>Stop_Flow 1</t>
  </si>
  <si>
    <t>CC</t>
  </si>
  <si>
    <t>Adapted the pattern because of unexpected showing up GPIO and Miso pin failure (GPIO and Miso pin transitional fails at vector 169 -&gt; X)</t>
  </si>
  <si>
    <t>Changed Vdd10 HiLim from 90mA to 150mA for Vnom/Vmin/Vmax</t>
  </si>
  <si>
    <t>Reset and initialize var 'psl_CALloopExit' in OnGlobalVariableReset(), OnProgramValidated() and</t>
  </si>
  <si>
    <t>OnProgramStarted(), formatting</t>
  </si>
  <si>
    <t>Bug-fix and small clean-up</t>
  </si>
  <si>
    <t>Continuity_Func Test</t>
  </si>
  <si>
    <t>TempSensor Test</t>
  </si>
  <si>
    <t>Vbias_DAC Test</t>
  </si>
  <si>
    <t>Tempsensor_ADC Test</t>
  </si>
  <si>
    <t>Anode_ADC Test</t>
  </si>
  <si>
    <t>BoundaryScan Test</t>
  </si>
  <si>
    <t>JTAG / SPI Tests</t>
  </si>
  <si>
    <t xml:space="preserve">Adapted limits: MonoMin -250~0, MonoMax 0~250, Missing code 0~1024, Vfst 0.92~, GAIN -100~300, INL 0~50
</t>
  </si>
  <si>
    <t>Adapted DACsweepIFailCnt HiLim: 0~20</t>
  </si>
  <si>
    <t>Adapted pixel fail count HiLim: If &gt;= 20 then log fail count 99</t>
  </si>
  <si>
    <t>Changed level sheet parameter VT and VCL from -1V to -1.5V</t>
  </si>
  <si>
    <t>Adapted limits for measurement on pin temp_tpad: 750~950</t>
  </si>
  <si>
    <t xml:space="preserve"> - 14-Sep-21</t>
  </si>
  <si>
    <t>Changed level sheet parameter Isink to 0 for pins miso and tdo to improve stability (all analog tests and eFuse tests affected from change - no impacts visible)</t>
  </si>
  <si>
    <t>Clean-up datalog code change, add comments</t>
  </si>
  <si>
    <t>Adapted limits: Vfst 0.9 ~ 1.4, Missing code 0~1024, ADC Gain -100~1000, Changed Vramp start from -3.26V to -3.5V, changed Vramp length fom 4.5V to 4.905V</t>
  </si>
  <si>
    <t>Changed GPIO scan out pins driver mode to largeswing VT-50 to remove ground bouncing and adjusted VT and Isrc/Isink to improve yield. Added 50ms wait time in front of test setup to improve stability. Added limits (0,0) for pattern vector fail counter datalog - datalog logic not changed</t>
  </si>
  <si>
    <t>Yield Improvements</t>
  </si>
  <si>
    <t>Complete Error Handling</t>
  </si>
  <si>
    <t>Revised error handling in ExecIP funcs</t>
  </si>
  <si>
    <t>Release 04B</t>
  </si>
  <si>
    <t>Resources sheets</t>
  </si>
  <si>
    <t>Level sheets</t>
  </si>
  <si>
    <t>VB code</t>
  </si>
  <si>
    <t>HDVIS_ext_send_in</t>
  </si>
  <si>
    <t>HDVIS_ext_send_trig</t>
  </si>
  <si>
    <t>input line for HDDPS to control operation</t>
  </si>
  <si>
    <t>Site1</t>
  </si>
  <si>
    <t>Site2</t>
  </si>
  <si>
    <t>Site3</t>
  </si>
  <si>
    <t>Pinmap_x4</t>
  </si>
  <si>
    <t>Site 1</t>
  </si>
  <si>
    <t>Site 2</t>
  </si>
  <si>
    <t>Site 3</t>
  </si>
  <si>
    <t>1.ch103</t>
  </si>
  <si>
    <t>1.ch052</t>
  </si>
  <si>
    <t>1.ch073</t>
  </si>
  <si>
    <t>1.ch010</t>
  </si>
  <si>
    <t>1.ch033</t>
  </si>
  <si>
    <t>1.ch045</t>
  </si>
  <si>
    <t>1.ch070</t>
  </si>
  <si>
    <t>1.ch008</t>
  </si>
  <si>
    <t>1.ch098</t>
  </si>
  <si>
    <t>1.ch117</t>
  </si>
  <si>
    <t>1.ch077</t>
  </si>
  <si>
    <t>1.ch086</t>
  </si>
  <si>
    <t>1.ch102</t>
  </si>
  <si>
    <t>1.ch054</t>
  </si>
  <si>
    <t>1.ch072</t>
  </si>
  <si>
    <t>1.ch082</t>
  </si>
  <si>
    <t>1.ch035</t>
  </si>
  <si>
    <t>1.ch047</t>
  </si>
  <si>
    <t>1.ch068</t>
  </si>
  <si>
    <t>1.ch011</t>
  </si>
  <si>
    <t>1.ch100</t>
  </si>
  <si>
    <t>1.ch116</t>
  </si>
  <si>
    <t>1.ch079</t>
  </si>
  <si>
    <t>1.ch087</t>
  </si>
  <si>
    <t>1.ch097</t>
  </si>
  <si>
    <t>1.ch063</t>
  </si>
  <si>
    <t>1.ch074</t>
  </si>
  <si>
    <t>1.ch014</t>
  </si>
  <si>
    <t>1.ch036</t>
  </si>
  <si>
    <t>1.ch048</t>
  </si>
  <si>
    <t>1.ch064</t>
  </si>
  <si>
    <t>1.ch012</t>
  </si>
  <si>
    <t>1.ch101</t>
  </si>
  <si>
    <t>1.ch118</t>
  </si>
  <si>
    <t>1.ch078</t>
  </si>
  <si>
    <t>1.ch094</t>
  </si>
  <si>
    <t>1.ch032</t>
  </si>
  <si>
    <t>1.ch044</t>
  </si>
  <si>
    <t>1.ch071</t>
  </si>
  <si>
    <t>1.ch016</t>
  </si>
  <si>
    <t>1.ch106</t>
  </si>
  <si>
    <t>1.ch115</t>
  </si>
  <si>
    <t>1.ch067</t>
  </si>
  <si>
    <t>1.ch017</t>
  </si>
  <si>
    <t>1.ch104</t>
  </si>
  <si>
    <t>1.ch119</t>
  </si>
  <si>
    <t>1.ch080</t>
  </si>
  <si>
    <t>1.ch095</t>
  </si>
  <si>
    <t>1.ch034</t>
  </si>
  <si>
    <t>1.ch046</t>
  </si>
  <si>
    <t>1.ch069</t>
  </si>
  <si>
    <t>1.ch019</t>
  </si>
  <si>
    <t>1.ch039</t>
  </si>
  <si>
    <t>1.ch051</t>
  </si>
  <si>
    <t>1.ch003</t>
  </si>
  <si>
    <t>1.ch018</t>
  </si>
  <si>
    <t>1.ch105</t>
  </si>
  <si>
    <t>1.ch120</t>
  </si>
  <si>
    <t>1.ch081</t>
  </si>
  <si>
    <t>1.ch093</t>
  </si>
  <si>
    <t>1.ch037</t>
  </si>
  <si>
    <t>1.ch049</t>
  </si>
  <si>
    <t>1.ch065</t>
  </si>
  <si>
    <t>1.ch021</t>
  </si>
  <si>
    <t>1.ch107</t>
  </si>
  <si>
    <t>1.ch061</t>
  </si>
  <si>
    <t>1.ch066</t>
  </si>
  <si>
    <t>1.ch022</t>
  </si>
  <si>
    <t>1.ch110</t>
  </si>
  <si>
    <t>1.ch121</t>
  </si>
  <si>
    <t>1.ch083</t>
  </si>
  <si>
    <t>1.ch092</t>
  </si>
  <si>
    <t>1.ch041</t>
  </si>
  <si>
    <t>1.ch053</t>
  </si>
  <si>
    <t>1.ch001</t>
  </si>
  <si>
    <t>1.ch020</t>
  </si>
  <si>
    <t>1.ch038</t>
  </si>
  <si>
    <t>1.ch058</t>
  </si>
  <si>
    <t>1.ch002</t>
  </si>
  <si>
    <t>1.ch025</t>
  </si>
  <si>
    <t>1.ch112</t>
  </si>
  <si>
    <t>1.ch122</t>
  </si>
  <si>
    <t>1.ch085</t>
  </si>
  <si>
    <t>1.ch091</t>
  </si>
  <si>
    <t>1.ch042</t>
  </si>
  <si>
    <t>1.ch055</t>
  </si>
  <si>
    <t>1.ch013</t>
  </si>
  <si>
    <t>1.ch023</t>
  </si>
  <si>
    <t>1.ch040</t>
  </si>
  <si>
    <t>1.ch056</t>
  </si>
  <si>
    <t>1.ch000</t>
  </si>
  <si>
    <t>1.ch027</t>
  </si>
  <si>
    <t>1.ch113</t>
  </si>
  <si>
    <t>1.ch123</t>
  </si>
  <si>
    <t>1.ch084</t>
  </si>
  <si>
    <t>1.ch090</t>
  </si>
  <si>
    <t>1.ch109</t>
  </si>
  <si>
    <t>1.ch062</t>
  </si>
  <si>
    <t>1.ch015</t>
  </si>
  <si>
    <t>1.ch024</t>
  </si>
  <si>
    <t>1.ch111</t>
  </si>
  <si>
    <t>1.ch057</t>
  </si>
  <si>
    <t>1.ch075</t>
  </si>
  <si>
    <t>1.ch026</t>
  </si>
  <si>
    <t>1.ch096</t>
  </si>
  <si>
    <t>1.ch060</t>
  </si>
  <si>
    <t>1.ch007</t>
  </si>
  <si>
    <t>1.ch089</t>
  </si>
  <si>
    <t>1.ch043</t>
  </si>
  <si>
    <t>1.ch127</t>
  </si>
  <si>
    <t>1.ch005</t>
  </si>
  <si>
    <t>1.ch028</t>
  </si>
  <si>
    <t>1.ch114</t>
  </si>
  <si>
    <t>1.ch126</t>
  </si>
  <si>
    <t>1.ch076</t>
  </si>
  <si>
    <t>1.ch029</t>
  </si>
  <si>
    <t>1.ch099</t>
  </si>
  <si>
    <t>1.ch059</t>
  </si>
  <si>
    <t>1.ch009</t>
  </si>
  <si>
    <t>1.ch030</t>
  </si>
  <si>
    <t>1.ch108</t>
  </si>
  <si>
    <t>1.ch124</t>
  </si>
  <si>
    <t>1.ch006</t>
  </si>
  <si>
    <t>1.ch031</t>
  </si>
  <si>
    <t>1.ch050</t>
  </si>
  <si>
    <t>1.ch125</t>
  </si>
  <si>
    <t>1.ch004</t>
  </si>
  <si>
    <t>1.ch088</t>
  </si>
  <si>
    <t>2.ch009</t>
  </si>
  <si>
    <t>2.ch073</t>
  </si>
  <si>
    <t>0.ch009</t>
  </si>
  <si>
    <t>0.ch073</t>
  </si>
  <si>
    <t>2.ch010</t>
  </si>
  <si>
    <t>2.ch074</t>
  </si>
  <si>
    <t>0.ch010</t>
  </si>
  <si>
    <t>0.ch074</t>
  </si>
  <si>
    <t>2.ch011</t>
  </si>
  <si>
    <t>2.ch075</t>
  </si>
  <si>
    <t>0.ch011</t>
  </si>
  <si>
    <t>0.ch075</t>
  </si>
  <si>
    <t>2.ch012</t>
  </si>
  <si>
    <t>2.ch076</t>
  </si>
  <si>
    <t>0.ch012</t>
  </si>
  <si>
    <t>0.ch076</t>
  </si>
  <si>
    <t>2.ch013</t>
  </si>
  <si>
    <t>2.ch077</t>
  </si>
  <si>
    <t>0.ch013</t>
  </si>
  <si>
    <t>0.ch077</t>
  </si>
  <si>
    <t>2.ch014</t>
  </si>
  <si>
    <t>2.ch078</t>
  </si>
  <si>
    <t>0.ch014</t>
  </si>
  <si>
    <t>0.ch078</t>
  </si>
  <si>
    <t>2.ch015</t>
  </si>
  <si>
    <t>2.ch079</t>
  </si>
  <si>
    <t>0.ch015</t>
  </si>
  <si>
    <t>0.ch079</t>
  </si>
  <si>
    <t>2.ch016</t>
  </si>
  <si>
    <t>2.ch080</t>
  </si>
  <si>
    <t>0.ch016</t>
  </si>
  <si>
    <t>0.ch080</t>
  </si>
  <si>
    <t>2.ch017</t>
  </si>
  <si>
    <t>2.ch081</t>
  </si>
  <si>
    <t>0.ch017</t>
  </si>
  <si>
    <t>0.ch081</t>
  </si>
  <si>
    <t>2.ch018</t>
  </si>
  <si>
    <t>2.ch082</t>
  </si>
  <si>
    <t>0.ch018</t>
  </si>
  <si>
    <t>0.ch082</t>
  </si>
  <si>
    <t>2.ch019</t>
  </si>
  <si>
    <t>2.ch083</t>
  </si>
  <si>
    <t>0.ch019</t>
  </si>
  <si>
    <t>0.ch083</t>
  </si>
  <si>
    <t>2.ch036</t>
  </si>
  <si>
    <t>2.ch105</t>
  </si>
  <si>
    <t>0.ch033</t>
  </si>
  <si>
    <t>0.ch100</t>
  </si>
  <si>
    <t>2.ch039</t>
  </si>
  <si>
    <t>2.ch097</t>
  </si>
  <si>
    <t>0.ch039</t>
  </si>
  <si>
    <t>0.ch097</t>
  </si>
  <si>
    <t>2.ch040</t>
  </si>
  <si>
    <t>2.ch098</t>
  </si>
  <si>
    <t>0.ch040</t>
  </si>
  <si>
    <t>0.ch098</t>
  </si>
  <si>
    <t>2.ch041</t>
  </si>
  <si>
    <t>2.ch099</t>
  </si>
  <si>
    <t>0.ch041</t>
  </si>
  <si>
    <t>0.ch099</t>
  </si>
  <si>
    <t>2.ch048</t>
  </si>
  <si>
    <t>2.ch112</t>
  </si>
  <si>
    <t>0.ch048</t>
  </si>
  <si>
    <t>0.ch112</t>
  </si>
  <si>
    <t>2.ch049</t>
  </si>
  <si>
    <t>2.ch113</t>
  </si>
  <si>
    <t>0.ch049</t>
  </si>
  <si>
    <t>2.ch063</t>
  </si>
  <si>
    <t>2.ch127</t>
  </si>
  <si>
    <t>0.ch063</t>
  </si>
  <si>
    <t>2.ch004</t>
  </si>
  <si>
    <t>2.ch067</t>
  </si>
  <si>
    <t>0.ch001</t>
  </si>
  <si>
    <t>0.ch066</t>
  </si>
  <si>
    <t>2.ch001</t>
  </si>
  <si>
    <t>2.ch065</t>
  </si>
  <si>
    <t>0.ch004</t>
  </si>
  <si>
    <t>0.ch072</t>
  </si>
  <si>
    <t>2.ch003</t>
  </si>
  <si>
    <t>2.ch068</t>
  </si>
  <si>
    <t>0.ch000</t>
  </si>
  <si>
    <t>0.ch068</t>
  </si>
  <si>
    <t>2.ch008</t>
  </si>
  <si>
    <t>2.ch064</t>
  </si>
  <si>
    <t>0.ch003</t>
  </si>
  <si>
    <t>0.ch064</t>
  </si>
  <si>
    <t>2.ch000</t>
  </si>
  <si>
    <t>2.ch066</t>
  </si>
  <si>
    <t>0.ch002</t>
  </si>
  <si>
    <t>0.ch065</t>
  </si>
  <si>
    <t>2.ch002</t>
  </si>
  <si>
    <t>2.ch072</t>
  </si>
  <si>
    <t>0.ch008</t>
  </si>
  <si>
    <t>0.ch067</t>
  </si>
  <si>
    <t>2.ch022</t>
  </si>
  <si>
    <t>2.ch089</t>
  </si>
  <si>
    <t>0.ch024</t>
  </si>
  <si>
    <t>0.ch085</t>
  </si>
  <si>
    <t>2.ch024</t>
  </si>
  <si>
    <t>2.ch090</t>
  </si>
  <si>
    <t>0.ch026</t>
  </si>
  <si>
    <t>0.ch086</t>
  </si>
  <si>
    <t>2.ch025</t>
  </si>
  <si>
    <t>2.ch091</t>
  </si>
  <si>
    <t>0.ch027</t>
  </si>
  <si>
    <t>0.ch087</t>
  </si>
  <si>
    <t>2.ch023</t>
  </si>
  <si>
    <t>2.ch088</t>
  </si>
  <si>
    <t>0.ch022</t>
  </si>
  <si>
    <t>0.ch090</t>
  </si>
  <si>
    <t>2.ch020</t>
  </si>
  <si>
    <t>2.ch085</t>
  </si>
  <si>
    <t>0.ch023</t>
  </si>
  <si>
    <t>0.ch091</t>
  </si>
  <si>
    <t>2.ch026</t>
  </si>
  <si>
    <t>2.ch087</t>
  </si>
  <si>
    <t>0.ch021</t>
  </si>
  <si>
    <t>0.ch088</t>
  </si>
  <si>
    <t>2.ch021</t>
  </si>
  <si>
    <t>2.ch084</t>
  </si>
  <si>
    <t>0.ch020</t>
  </si>
  <si>
    <t>0.ch089</t>
  </si>
  <si>
    <t>2.ch027</t>
  </si>
  <si>
    <t>2.ch086</t>
  </si>
  <si>
    <t>0.ch025</t>
  </si>
  <si>
    <t>0.ch084</t>
  </si>
  <si>
    <t>2.ch038</t>
  </si>
  <si>
    <t>2.ch104</t>
  </si>
  <si>
    <t>0.ch038</t>
  </si>
  <si>
    <t>2.ch035</t>
  </si>
  <si>
    <t>2.ch103</t>
  </si>
  <si>
    <t>0.ch032</t>
  </si>
  <si>
    <t>2.ch033</t>
  </si>
  <si>
    <t>2.ch096</t>
  </si>
  <si>
    <t>0.ch035</t>
  </si>
  <si>
    <t>0.ch104</t>
  </si>
  <si>
    <t>2.ch032</t>
  </si>
  <si>
    <t>2.ch101</t>
  </si>
  <si>
    <t>0.ch034</t>
  </si>
  <si>
    <t>0.ch105</t>
  </si>
  <si>
    <t>2.ch037</t>
  </si>
  <si>
    <t>2.ch102</t>
  </si>
  <si>
    <t>0.ch036</t>
  </si>
  <si>
    <t>2.ch034</t>
  </si>
  <si>
    <t>2.ch100</t>
  </si>
  <si>
    <t>0.ch037</t>
  </si>
  <si>
    <t>0.ch096</t>
  </si>
  <si>
    <t>2.ch054</t>
  </si>
  <si>
    <t>2.ch120</t>
  </si>
  <si>
    <t>0.ch054</t>
  </si>
  <si>
    <t>2.ch055</t>
  </si>
  <si>
    <t>2.ch121</t>
  </si>
  <si>
    <t>0.ch055</t>
  </si>
  <si>
    <t>2.ch056</t>
  </si>
  <si>
    <t>2.ch116</t>
  </si>
  <si>
    <t>0.ch056</t>
  </si>
  <si>
    <t>0.ch116</t>
  </si>
  <si>
    <t>2.ch057</t>
  </si>
  <si>
    <t>2.ch117</t>
  </si>
  <si>
    <t>0.ch057</t>
  </si>
  <si>
    <t>0.ch117</t>
  </si>
  <si>
    <t>2.ch058</t>
  </si>
  <si>
    <t>2.ch118</t>
  </si>
  <si>
    <t>0.ch058</t>
  </si>
  <si>
    <t>2.ch059</t>
  </si>
  <si>
    <t>2.ch119</t>
  </si>
  <si>
    <t>0.ch059</t>
  </si>
  <si>
    <t>0.ch119</t>
  </si>
  <si>
    <t>2.ch052</t>
  </si>
  <si>
    <t>2.ch122</t>
  </si>
  <si>
    <t>0.ch052</t>
  </si>
  <si>
    <t>2.ch053</t>
  </si>
  <si>
    <t>2.ch123</t>
  </si>
  <si>
    <t>0.ch053</t>
  </si>
  <si>
    <t>2.ch050</t>
  </si>
  <si>
    <t>2.ch114</t>
  </si>
  <si>
    <t>0.ch050</t>
  </si>
  <si>
    <t>0.ch114</t>
  </si>
  <si>
    <t>2.ch051</t>
  </si>
  <si>
    <t>2.ch115</t>
  </si>
  <si>
    <t>0.ch051</t>
  </si>
  <si>
    <t>0.ch115</t>
  </si>
  <si>
    <t>HDVIS18</t>
  </si>
  <si>
    <t>HDVIS23</t>
  </si>
  <si>
    <t>HDVIS10</t>
  </si>
  <si>
    <t>HDVIS22</t>
  </si>
  <si>
    <t>HDVIS9</t>
  </si>
  <si>
    <t>HDVIS19</t>
  </si>
  <si>
    <t>2.bpmu0</t>
  </si>
  <si>
    <t>2.bpmu1</t>
  </si>
  <si>
    <t>s:vbb20_tpad</t>
  </si>
  <si>
    <t>DPS</t>
  </si>
  <si>
    <t>23.dps0</t>
  </si>
  <si>
    <t>23.dps3</t>
  </si>
  <si>
    <t>23.dps6</t>
  </si>
  <si>
    <t>23.dps9</t>
  </si>
  <si>
    <t>23.dps5</t>
  </si>
  <si>
    <t>23.dps2</t>
  </si>
  <si>
    <t>23.dps1</t>
  </si>
  <si>
    <t>23.dps10</t>
  </si>
  <si>
    <t>23.dps4</t>
  </si>
  <si>
    <t>23.dps7</t>
  </si>
  <si>
    <t>23.dps8</t>
  </si>
  <si>
    <t>23.dps11</t>
  </si>
  <si>
    <t>1.u0</t>
  </si>
  <si>
    <t>1.u4</t>
  </si>
  <si>
    <t>1.u1</t>
  </si>
  <si>
    <t>1.u9</t>
  </si>
  <si>
    <t>2.ch042</t>
  </si>
  <si>
    <t>site0</t>
  </si>
  <si>
    <t>2.ch043</t>
  </si>
  <si>
    <t>2.ch106</t>
  </si>
  <si>
    <t>2.ch107</t>
  </si>
  <si>
    <t>HS / CC</t>
  </si>
  <si>
    <t>ext_send_intrig</t>
  </si>
  <si>
    <t>Added missing pins and assigned values to parameter, adapted VCH / VCL</t>
  </si>
  <si>
    <t>TSB sheets</t>
  </si>
  <si>
    <t>Removed "ext_send_..." pins where not required</t>
  </si>
  <si>
    <t>avee,true</t>
  </si>
  <si>
    <t>avee,false</t>
  </si>
  <si>
    <t>PowerSupply_T</t>
  </si>
  <si>
    <t>HDDPS vdd10 shorts test</t>
  </si>
  <si>
    <t>HDDPS vdd18io shorts test</t>
  </si>
  <si>
    <t>HDVIS avee shorts test</t>
  </si>
  <si>
    <t>Changed template type from HDVIS to HDDPS for pins vdd10 and vdd18io, added new pins to init states</t>
  </si>
  <si>
    <t>Continuity_Param Test</t>
  </si>
  <si>
    <t>Changed Isrc to 200uA and Isink to -200uA</t>
  </si>
  <si>
    <t>jtag_tck,jtag_tdi,jtag_tdo,jtag_tms,jtag_trst_n,mipi_c_n,mipi_c_p,mipi_d_0_n,mipi_d_0_p,mipi_d_1_n,mipi_d_1_p,mipi_d_2_n,mipi_d_2_p,mipi_d_3_n,mipi_d_3_p,spi_sclk,spi_ss_n,spi_miso,spi_mosi,irq_out,arst_n,clk_ref,pix_clk,pix_data_0,pix_data_1,pix_data_10,pix_data_11,pix_data_12,pix_data_13,pix_data_14,pix_data_15,pix_data_16,pix_data_17,pix_data_18,pix_data_19,pix_data_2,pix_data_20,pix_data_21,pix_data_22,pix_data_23,pix_data_24,pix_data_25,pix_data_26,pix_data_27,pix_data_28,pix_data_29,pix_data_3,pix_data_30,pix_data_31,pix_data_4,pix_data_5,pix_data_6,pix_data_7,pix_data_8,pix_data_9,pix_cwsync,pix_vsync,i_sync,row_sync,pok18_tpad,pif_in_tpad,pif_out_tpad,vbias_tpad</t>
  </si>
  <si>
    <t>All VBT test type Tests</t>
  </si>
  <si>
    <t>Continuity_Tpad Test</t>
  </si>
  <si>
    <t>Adapted VBT code because pin 'anode_s_tpad' resource type changed from BPMU to HDVIS</t>
  </si>
  <si>
    <t>k1_shareHDVIS</t>
  </si>
  <si>
    <t>v1_Vdd10CapGnd</t>
  </si>
  <si>
    <t>v2_Vdd10CapAvee</t>
  </si>
  <si>
    <t>v3_AveeCapGnd</t>
  </si>
  <si>
    <t>v4_Vdd18CapGnd</t>
  </si>
  <si>
    <t>v5_VqpsCapGnd</t>
  </si>
  <si>
    <t>vqps_eFuse</t>
  </si>
  <si>
    <t>1.u11</t>
  </si>
  <si>
    <t>1.u3</t>
  </si>
  <si>
    <t>1.u8</t>
  </si>
  <si>
    <t>1.u2</t>
  </si>
  <si>
    <t>1.u5</t>
  </si>
  <si>
    <t>1.u7</t>
  </si>
  <si>
    <t>1.u6</t>
  </si>
  <si>
    <t>1.u10</t>
  </si>
  <si>
    <t>0.u7</t>
  </si>
  <si>
    <t>0.u5</t>
  </si>
  <si>
    <t>0.u6</t>
  </si>
  <si>
    <t>0.u4</t>
  </si>
  <si>
    <t>0.u0</t>
  </si>
  <si>
    <t>0.u11</t>
  </si>
  <si>
    <t>0.u10</t>
  </si>
  <si>
    <t>0.u9</t>
  </si>
  <si>
    <t>Hdvis5uA</t>
  </si>
  <si>
    <t>Hdvis50uA</t>
  </si>
  <si>
    <t>All analog Tests</t>
  </si>
  <si>
    <t>Deleted '_merged' from affected pins, add / change pin names where required, removed old utility pins</t>
  </si>
  <si>
    <t>HDDPS only: range [V/s]: 0.0011 to 2200000 or 0 (Disabled)</t>
  </si>
  <si>
    <t>HDDPS: Compliance range -&gt; 11V/200mA</t>
  </si>
  <si>
    <t>HDDPS: -2 V to 11 V</t>
  </si>
  <si>
    <t>revised VBT code regarding HDVIS to HDDPS swap (range, clamp, alarm handling)</t>
  </si>
  <si>
    <t>Migrated status from 03B, revised data postprocessing, removed Pinlist input parameter from func. header,</t>
  </si>
  <si>
    <t>eFuse Tests</t>
  </si>
  <si>
    <t xml:space="preserve">Added new pins to pinlist in custom GUI, revised Serial and Parallel measurement setup for multisite </t>
  </si>
  <si>
    <t>pix_clk,pix_cwsync,pix_vsync,pix_data_0,pix_data_1,pix_data_2,pix_data_3,pix_data_4,pix_data_5,pix_data_6,pix_data_7,pix_data_8,pix_data_9,pix_data_10,pix_data_11,pix_data_12,pix_data_13,pix_data_14,pix_data_15,pix_data_16,pix_data_17,pix_data_18,pix_data_19,pix_data_20,pix_data_21,pix_data_22,pix_data_23,pix_data_24,pix_data_25,pix_data_26,pix_data_27,pix_data_28,pix_data_29,pix_data_30,pix_data_31,pif_in_tpad</t>
  </si>
  <si>
    <t>gpio_15,gpio_14,gpio_13,gpio_12,gpio_11,gpio_10,gpio_9,gpio_8,gpio_7,gpio_6,gpio_5,gpio_4,gpio_3,gpio_2,gpio_1,gpio_0,vbias_tpad</t>
  </si>
  <si>
    <t>for InputLeakage test only</t>
  </si>
  <si>
    <t xml:space="preserve">Added new pins to pinlists in custom GUI and to init state setup, revised measurement setup for multisite </t>
  </si>
  <si>
    <t>PowerSequence Tests</t>
  </si>
  <si>
    <t>Revised VBT code regarding HDVIS to HDDPS swap</t>
  </si>
  <si>
    <t>PowerTest_Type,PatternFile,PatternTimeout,EnablePatternResult,SettlingTime,Measure_Samples,Measure_Period,VDD10_HiLim,VDD10_LoLim,AVEE_HiLim,AVEE_LoLim,VDD18IO_HiLim,VDD18IO_LoLim,TotalPower_HiLim,TotalPower_LoLim,SoNum_VDD10_Fail,SoNum_AVEE_Fail,SoNum_VDD18IO_Fail,SoNum_ToPow_Fail,SoNum_MuRa_Fail,DisableAlarm,VDD10_Vps,VDD18IO_Vps</t>
  </si>
  <si>
    <t>Extended var init. code to x4 where required, revised Vbias_DAC offset cal procedure to cover BPMU and</t>
  </si>
  <si>
    <t>Read EEPROMs</t>
  </si>
  <si>
    <t>Added code to OnProgramValidated to read out PIB and PC IDs and store them into SDR fields</t>
  </si>
  <si>
    <t>(DataCollect Setup GUI -&gt; Lot tab -&gt; More -&gt; SDR tab: Card_ID and Load_ID field)</t>
  </si>
  <si>
    <t>MultiSite Run Data</t>
  </si>
  <si>
    <t>SingleSite Run Data</t>
  </si>
  <si>
    <t>Site X</t>
  </si>
  <si>
    <t>Segment1</t>
  </si>
  <si>
    <t>Segment2</t>
  </si>
  <si>
    <t>Segment3</t>
  </si>
  <si>
    <t>Segment4</t>
  </si>
  <si>
    <t>Segment5</t>
  </si>
  <si>
    <t>Segment6</t>
  </si>
  <si>
    <t>Segment7</t>
  </si>
  <si>
    <t>CC / LK</t>
  </si>
  <si>
    <r>
      <t>Migrated x4 code enhancements from 03B</t>
    </r>
    <r>
      <rPr>
        <sz val="10"/>
        <rFont val="Arial"/>
        <family val="2"/>
      </rPr>
      <t>, improved offline result simulation where required</t>
    </r>
  </si>
  <si>
    <t>HDVIS channels, intro new site var to collect BPMU channel numbers during offset cal function run for later</t>
  </si>
  <si>
    <t>reuse during VbiasDAC test, adapted OnPreShutdownSite</t>
  </si>
  <si>
    <t>Completed optimization task for data readback and postprocessing</t>
  </si>
  <si>
    <t>Pattern_DACcal,Pattern_DACsweep,Measure_Pin,Samples,PatResultMonitoring,ExportIstepToFile,PrintIstepToSheet</t>
  </si>
  <si>
    <t>eFuse_PreTest</t>
  </si>
  <si>
    <t>eFuse_PostTest</t>
  </si>
  <si>
    <t xml:space="preserve"> - 27-Oct-21</t>
  </si>
  <si>
    <t>Created new x4 sheets</t>
  </si>
  <si>
    <t>Pattern</t>
  </si>
  <si>
    <t>Setup X4 Program - Enhancements</t>
  </si>
  <si>
    <t>Active / StaticPower Tests</t>
  </si>
  <si>
    <t>Merged actual 04A enhancements with 03B x4 code</t>
  </si>
  <si>
    <t>Adapted datalogging for 'monitoring' case that is enhanced w/ site loop</t>
  </si>
  <si>
    <t>Resources / Level / TSB sheets</t>
  </si>
  <si>
    <t>Cleaned entries from alias pin name workarounds, replaced old with valid netlist pin names where required</t>
  </si>
  <si>
    <t>Added few new variables for Vbias_DAC test measurement instrument selection and Vbias_DAC test offset</t>
  </si>
  <si>
    <t>cal data management</t>
  </si>
  <si>
    <t>Added few new variables for EEPROM read out data management and new TestLimit function and alarm handling</t>
  </si>
  <si>
    <t>Added initialization step for global array to control alarm handling in VBT test type tests (enable / disable)</t>
  </si>
  <si>
    <t>Setup X4 Program - Merge 04A with code from 03B</t>
  </si>
  <si>
    <t>in OnProgramStarted</t>
  </si>
  <si>
    <t>DIB Checker for PC components</t>
  </si>
  <si>
    <t>Arg24</t>
  </si>
  <si>
    <t>Arg25</t>
  </si>
  <si>
    <t>Arg26</t>
  </si>
  <si>
    <t>Arg27</t>
  </si>
  <si>
    <t>Arg28</t>
  </si>
  <si>
    <t>Arg29</t>
  </si>
  <si>
    <t>Arg30</t>
  </si>
  <si>
    <t>Arg31</t>
  </si>
  <si>
    <t>Arg32</t>
  </si>
  <si>
    <t>Arg33</t>
  </si>
  <si>
    <t>Arg34</t>
  </si>
  <si>
    <t>Arg35</t>
  </si>
  <si>
    <t>Arg36</t>
  </si>
  <si>
    <t>Arg37</t>
  </si>
  <si>
    <t>Arg38</t>
  </si>
  <si>
    <t>Arg39</t>
  </si>
  <si>
    <t>Arg40</t>
  </si>
  <si>
    <t>Arg41</t>
  </si>
  <si>
    <t>Arg42</t>
  </si>
  <si>
    <t>Arg43</t>
  </si>
  <si>
    <t>Arg44</t>
  </si>
  <si>
    <t>Arg45</t>
  </si>
  <si>
    <t>Arg46</t>
  </si>
  <si>
    <t>spi_miso, jtag_tdo, irq_out, pok18_tpad, pif_out_tpad</t>
  </si>
  <si>
    <t>This is temporary, will be deleted later</t>
  </si>
  <si>
    <t>Adapted pattern paths to point to separate location for modified TabLite pattern, modified pattern names,</t>
  </si>
  <si>
    <t>changed all init. state pin names to valid netlist pin names where required</t>
  </si>
  <si>
    <t>nonpixmipi_inputs</t>
  </si>
  <si>
    <t>gpio_bus, pix_inputs, nonpixmipi_inputs, mipi_inputs, arst_n, vbias_tpad</t>
  </si>
  <si>
    <t>TestLimit' function including alarm status processing (overlay test result with alarm status)</t>
  </si>
  <si>
    <t>Recompiled TabLite pattern after adapting pin names to get rid of alias definitions (TabRoyale in sep. prog.)</t>
  </si>
  <si>
    <t xml:space="preserve"> - 30-Nov-21</t>
  </si>
  <si>
    <t>Added new function to handle alarm status for HDDPS / HDVIS power supply pins, created new common</t>
  </si>
  <si>
    <t>ROYL_X4_PROD_RT</t>
  </si>
  <si>
    <t>Release 01A</t>
  </si>
  <si>
    <t>Compiled and modified new pattern</t>
  </si>
  <si>
    <t>PixelArray_CMP Test</t>
  </si>
  <si>
    <t>Adapted pattern paths to point to separate location for new TabRoyale pattern, modified pattern names</t>
  </si>
  <si>
    <t>TristateLeakage</t>
  </si>
  <si>
    <t>10022000</t>
  </si>
  <si>
    <t>10022</t>
  </si>
  <si>
    <t>.\Patterns_TR\top_boundary_scan_leakage_02.pat</t>
  </si>
  <si>
    <t>Digital_SPI_Functional</t>
  </si>
  <si>
    <t>Digital_JTAG_Functional</t>
  </si>
  <si>
    <t>Digital_Tap2SPI_Functional</t>
  </si>
  <si>
    <t>Digital_BoundaryScan</t>
  </si>
  <si>
    <t>PixelArray_CMP</t>
  </si>
  <si>
    <t>12050000</t>
  </si>
  <si>
    <t>12050</t>
  </si>
  <si>
    <t>VBT_PixArray_SRAM_Test</t>
  </si>
  <si>
    <t>VBT_PixArray_CMP_Test</t>
  </si>
  <si>
    <t>PatternFile,str_OutputFileName,lng_CapLength</t>
  </si>
  <si>
    <t>.\Patterns_TR\pixel_array_sram_patt_spi_pifctrl_slim_02.pat</t>
  </si>
  <si>
    <t>.\Patterns_TR\pixel_array_cmp_patt_spi_pifctrl_slim_02.pat</t>
  </si>
  <si>
    <t>PixArrayTest_CMP</t>
  </si>
  <si>
    <t>.\Patterns_TR\PAI_SCAN\COMP_transition_pats_02.PAT</t>
  </si>
  <si>
    <t>.\Patterns_TR\Conti_Func_02.PAT</t>
  </si>
  <si>
    <t>.\Patterns_TR\top_boundary_scan_02.pat</t>
  </si>
  <si>
    <t>.\Patterns_TR\top_enscan_man_test_02.PAT</t>
  </si>
  <si>
    <t>.\Patterns_TR\top_bg_man_test_02.pat</t>
  </si>
  <si>
    <t>.\Patterns_TR\top_cathode_man_test_02.pat</t>
  </si>
  <si>
    <t>.\Patterns_TR\top_adc_temp_man_test_02.pat</t>
  </si>
  <si>
    <t>.\Patterns_TR\top_adc_anode_man_test_02.pat</t>
  </si>
  <si>
    <t>.\Patterns_TR\top_daccal_man_test_02.pat</t>
  </si>
  <si>
    <t>.\Patterns_TR\top_dacsweep_man_test_02.pat</t>
  </si>
  <si>
    <t>.\Patterns_TR\top_spi_man_test_02.PAT</t>
  </si>
  <si>
    <t>.\Patterns_TR\top_jtag_idcode_02.pat</t>
  </si>
  <si>
    <t>.\Patterns_TR\top_jtag_idcode_02.pat,.\Patterns_TR\top_tap2spi_man_test_02.PAT</t>
  </si>
  <si>
    <t>.\Patterns_TR\PAI_SCAN\COMP_stuck_pats_02.PAT,.\Patterns_TR\PAI_SCAN\COMP_transition_pats_02.PAT,.\Patterns_TR\TOP_SCAN\COMP2_stuck_pats_02.PAT,.\Patterns_TR\TOP_SCAN\COMP2_transition_pats_02.PAT</t>
  </si>
  <si>
    <t>.\Patterns_TR\top_vbb20_man_test_02.PAT</t>
  </si>
  <si>
    <t>.\Patterns_TR\top_therm_man_test_02.PAT</t>
  </si>
  <si>
    <t>TristateLeakage Test</t>
  </si>
  <si>
    <t>Added new timing info for almost all tests</t>
  </si>
  <si>
    <t>Scan Test</t>
  </si>
  <si>
    <t xml:space="preserve">New scan test has four independent pattern with individual timing and can run in any order, instead of </t>
  </si>
  <si>
    <t>TabLite Scan VBT code with loop structure to handle group of patterns with same timing we swapped to</t>
  </si>
  <si>
    <t>Added new PixelArray Compare test</t>
  </si>
  <si>
    <t>VBT_BoundEnScan</t>
  </si>
  <si>
    <t>.\Patterns_TR\PAI_SCAN\COMP_stuck_pats_02.PAT</t>
  </si>
  <si>
    <t>Digital_PAI_Scan_Stuck</t>
  </si>
  <si>
    <t>Digital_PAI_Scan_Trans</t>
  </si>
  <si>
    <t>Digital_TOP_Scan_Stuck</t>
  </si>
  <si>
    <t>Digital_TOP_Scan_Trans</t>
  </si>
  <si>
    <t>Digital_PAITOP_Scan</t>
  </si>
  <si>
    <t>VBT_PAITOP_Scan</t>
  </si>
  <si>
    <t>.\Patterns_TR\TOP_SCAN\COMP2_stuck_pats_02.PAT</t>
  </si>
  <si>
    <t>.\Patterns_TR\TOP_SCAN\COMP2_transition_pats_02.PAT</t>
  </si>
  <si>
    <t xml:space="preserve">Auto </t>
  </si>
  <si>
    <t>TSB_COMP_stuck</t>
  </si>
  <si>
    <t>TSB_COMP_trans</t>
  </si>
  <si>
    <t>TSB_COMP2_stuck</t>
  </si>
  <si>
    <t>TSB_COMP2_trans</t>
  </si>
  <si>
    <t>PAI_Scan_Stuck</t>
  </si>
  <si>
    <t>PAI_Scan_Trans</t>
  </si>
  <si>
    <t>TOP_Scan_Stuck</t>
  </si>
  <si>
    <t>TOP_Scan_Trans</t>
  </si>
  <si>
    <t>vdd10_merged</t>
  </si>
  <si>
    <t>merged current</t>
  </si>
  <si>
    <t>only for HDDPS, max value 0.001, no effect on HDVIS settings</t>
  </si>
  <si>
    <t>Expected to change, this is just the default value</t>
  </si>
  <si>
    <t>nonpifmipi_inputs</t>
  </si>
  <si>
    <t>pif_inputs</t>
  </si>
  <si>
    <t>Largeswing-VT50Ohm</t>
  </si>
  <si>
    <t>miso</t>
  </si>
  <si>
    <t>Uses miso voh / vol,</t>
  </si>
  <si>
    <t>10mA source temporary; 0, _miso_Isrc</t>
  </si>
  <si>
    <t>10mA sink temporary, _miso_Isink</t>
  </si>
  <si>
    <t>(_voh_miso-_vol_miso)/2; 1.8,</t>
  </si>
  <si>
    <t>Voltage Clamp settings</t>
  </si>
  <si>
    <t>tdo</t>
  </si>
  <si>
    <t>Voltage Clamp Settings</t>
  </si>
  <si>
    <t>TSB_pat_basic</t>
  </si>
  <si>
    <t>PatternFile,LoLimit_VBG10,HiLimit_VBG10,LoLimit_TBIAS,HiLimit_TBIAS,PatResultMonitoring,Debugging</t>
  </si>
  <si>
    <t>BandGap Test</t>
  </si>
  <si>
    <t>Changed one parameter to measure from CTATP_DIV2 to VBG10_DIV2 and Lo / Hi limits to 0.4V / 0.6V</t>
  </si>
  <si>
    <t>VBB20 Test</t>
  </si>
  <si>
    <t>Setup X4 Program for TabROYALE - Differences to TabLITE 04B</t>
  </si>
  <si>
    <t>BoundEnScan VBT code to manage the individual timing thus setup four individual Scan tests</t>
  </si>
  <si>
    <t>HS /</t>
  </si>
  <si>
    <t>Created DIB checker function in separate VBT module following the proposal from GF for DIB checker support,</t>
  </si>
  <si>
    <t xml:space="preserve">function will be called after successful TDR, further the project specific production properties file need to </t>
  </si>
  <si>
    <t>be adapted by two additional parameters (DIB checker func name, Datalog path) - refer to .pptx from GF</t>
  </si>
  <si>
    <t>Refer to TabROYALE program 01A for details</t>
  </si>
  <si>
    <t>(incomplete)</t>
  </si>
  <si>
    <t xml:space="preserve"> - 21-Dec-21</t>
  </si>
  <si>
    <t>Added new leakage test, initially planned for TabLITE but never debugged and released before, uses Bscan</t>
  </si>
  <si>
    <t>test pattern, because the HiZ state of pins miso and irq_out is limited to few hundred ns it is not possible</t>
  </si>
  <si>
    <t>to successfully run the measurement - FPE agreed to stop the clock here (Halt pattern) to do the meas. !</t>
  </si>
  <si>
    <t>PatternFile,PatResultMonitoring,iozh_TestVoltage,iozl_TestVoltage,TristateLeakage_iozh_LoLimit,TristateLeakage_iozh_HiLimit,TristateLeakage_iozl_LoLimit,TristateLeakage_iozl_HiLimit</t>
  </si>
  <si>
    <t>HDDPS_ext_send_in</t>
  </si>
  <si>
    <t>HDDPS_ext_send_trig</t>
  </si>
  <si>
    <t>ExtraLongFlow  Bin note: if repairable set 2, else 3</t>
  </si>
  <si>
    <t>flag-true  FuCoFail   If custom binning in VBT Bin/Sort Number column must be EMPTY</t>
  </si>
  <si>
    <t>VDD10_Voltage,AVEE_Voltage,VDD18_Voltage,t1_delay,t2_delay,t3_delay,lowlimit_pok18,highlimit_pok18</t>
  </si>
  <si>
    <t>10255</t>
  </si>
  <si>
    <t>Changed VIH from 1.8V to 1.0V otherwise to high I_leak on pins clk_ref, row_sync, i_sync, ViH LoLim: -100uA</t>
  </si>
  <si>
    <t>Adapted all AVEE range measure limits to reflect increased measurement values</t>
  </si>
  <si>
    <t>Improved cal loop Exit management, increased sample value from 5 to 50, set vbias_tpad init.state to 'off' otherwise test fails</t>
  </si>
  <si>
    <t>Sequence</t>
  </si>
  <si>
    <t>Channel</t>
  </si>
  <si>
    <t>Path RTD</t>
  </si>
  <si>
    <t>DrvRcv RTD</t>
  </si>
  <si>
    <t>2.ch20</t>
  </si>
  <si>
    <t>2.ch85</t>
  </si>
  <si>
    <t>0.ch23</t>
  </si>
  <si>
    <t>0.ch91</t>
  </si>
  <si>
    <t>2.ch27</t>
  </si>
  <si>
    <t>2.ch86</t>
  </si>
  <si>
    <t>0.ch25</t>
  </si>
  <si>
    <t>0.ch84</t>
  </si>
  <si>
    <t>2.ch3</t>
  </si>
  <si>
    <t>2.ch68</t>
  </si>
  <si>
    <t>0.ch0</t>
  </si>
  <si>
    <t>0.ch68</t>
  </si>
  <si>
    <t>2.ch8</t>
  </si>
  <si>
    <t>2.ch64</t>
  </si>
  <si>
    <t>0.ch3</t>
  </si>
  <si>
    <t>0.ch64</t>
  </si>
  <si>
    <t>2.ch38</t>
  </si>
  <si>
    <t>0.ch38</t>
  </si>
  <si>
    <t>2.ch49</t>
  </si>
  <si>
    <t>0.ch49</t>
  </si>
  <si>
    <t>2.ch48</t>
  </si>
  <si>
    <t>0.ch48</t>
  </si>
  <si>
    <t>2.ch41</t>
  </si>
  <si>
    <t>2.ch99</t>
  </si>
  <si>
    <t>0.ch41</t>
  </si>
  <si>
    <t>0.ch99</t>
  </si>
  <si>
    <t>2.ch40</t>
  </si>
  <si>
    <t>2.ch98</t>
  </si>
  <si>
    <t>0.ch40</t>
  </si>
  <si>
    <t>0.ch98</t>
  </si>
  <si>
    <t>2.ch39</t>
  </si>
  <si>
    <t>2.ch97</t>
  </si>
  <si>
    <t>0.ch39</t>
  </si>
  <si>
    <t>0.ch97</t>
  </si>
  <si>
    <t>2.ch19</t>
  </si>
  <si>
    <t>2.ch83</t>
  </si>
  <si>
    <t>0.ch19</t>
  </si>
  <si>
    <t>0.ch83</t>
  </si>
  <si>
    <t>2.ch18</t>
  </si>
  <si>
    <t>2.ch82</t>
  </si>
  <si>
    <t>0.ch18</t>
  </si>
  <si>
    <t>0.ch82</t>
  </si>
  <si>
    <t>2.ch17</t>
  </si>
  <si>
    <t>2.ch81</t>
  </si>
  <si>
    <t>0.ch17</t>
  </si>
  <si>
    <t>0.ch81</t>
  </si>
  <si>
    <t>2.ch16</t>
  </si>
  <si>
    <t>2.ch80</t>
  </si>
  <si>
    <t>0.ch16</t>
  </si>
  <si>
    <t>0.ch80</t>
  </si>
  <si>
    <t>2.ch15</t>
  </si>
  <si>
    <t>2.ch79</t>
  </si>
  <si>
    <t>0.ch15</t>
  </si>
  <si>
    <t>0.ch79</t>
  </si>
  <si>
    <t>2.ch14</t>
  </si>
  <si>
    <t>2.ch78</t>
  </si>
  <si>
    <t>0.ch14</t>
  </si>
  <si>
    <t>0.ch78</t>
  </si>
  <si>
    <t>2.ch13</t>
  </si>
  <si>
    <t>2.ch77</t>
  </si>
  <si>
    <t>0.ch13</t>
  </si>
  <si>
    <t>0.ch77</t>
  </si>
  <si>
    <t>2.ch12</t>
  </si>
  <si>
    <t>2.ch76</t>
  </si>
  <si>
    <t>0.ch12</t>
  </si>
  <si>
    <t>0.ch76</t>
  </si>
  <si>
    <t>2.ch11</t>
  </si>
  <si>
    <t>2.ch75</t>
  </si>
  <si>
    <t>0.ch11</t>
  </si>
  <si>
    <t>0.ch75</t>
  </si>
  <si>
    <t>2.ch10</t>
  </si>
  <si>
    <t>2.ch74</t>
  </si>
  <si>
    <t>0.ch10</t>
  </si>
  <si>
    <t>0.ch74</t>
  </si>
  <si>
    <t>2.ch9</t>
  </si>
  <si>
    <t>2.ch73</t>
  </si>
  <si>
    <t>0.ch9</t>
  </si>
  <si>
    <t>0.ch73</t>
  </si>
  <si>
    <t>2.ch24</t>
  </si>
  <si>
    <t>2.ch90</t>
  </si>
  <si>
    <t>0.ch26</t>
  </si>
  <si>
    <t>0.ch86</t>
  </si>
  <si>
    <t>2.ch2</t>
  </si>
  <si>
    <t>2.ch72</t>
  </si>
  <si>
    <t>0.ch8</t>
  </si>
  <si>
    <t>0.ch67</t>
  </si>
  <si>
    <t>2.ch22</t>
  </si>
  <si>
    <t>2.ch89</t>
  </si>
  <si>
    <t>0.ch24</t>
  </si>
  <si>
    <t>0.ch85</t>
  </si>
  <si>
    <t>2.ch25</t>
  </si>
  <si>
    <t>2.ch91</t>
  </si>
  <si>
    <t>0.ch27</t>
  </si>
  <si>
    <t>0.ch87</t>
  </si>
  <si>
    <t>2.ch23</t>
  </si>
  <si>
    <t>2.ch88</t>
  </si>
  <si>
    <t>0.ch22</t>
  </si>
  <si>
    <t>0.ch90</t>
  </si>
  <si>
    <t>2.ch21</t>
  </si>
  <si>
    <t>2.ch84</t>
  </si>
  <si>
    <t>0.ch20</t>
  </si>
  <si>
    <t>0.ch89</t>
  </si>
  <si>
    <t>2.ch26</t>
  </si>
  <si>
    <t>2.ch87</t>
  </si>
  <si>
    <t>0.ch21</t>
  </si>
  <si>
    <t>0.ch88</t>
  </si>
  <si>
    <t>2.ch63</t>
  </si>
  <si>
    <t>0.ch63</t>
  </si>
  <si>
    <t>2.ch36</t>
  </si>
  <si>
    <t>0.ch33</t>
  </si>
  <si>
    <t>2.ch55</t>
  </si>
  <si>
    <t>0.ch55</t>
  </si>
  <si>
    <t>2.ch54</t>
  </si>
  <si>
    <t>0.ch54</t>
  </si>
  <si>
    <t>2.ch57</t>
  </si>
  <si>
    <t>0.ch57</t>
  </si>
  <si>
    <t>2.ch56</t>
  </si>
  <si>
    <t>0.ch56</t>
  </si>
  <si>
    <t>2.ch59</t>
  </si>
  <si>
    <t>0.ch59</t>
  </si>
  <si>
    <t>2.ch58</t>
  </si>
  <si>
    <t>0.ch58</t>
  </si>
  <si>
    <t>2.ch53</t>
  </si>
  <si>
    <t>0.ch53</t>
  </si>
  <si>
    <t>2.ch52</t>
  </si>
  <si>
    <t>0.ch52</t>
  </si>
  <si>
    <t>2.ch51</t>
  </si>
  <si>
    <t>0.ch51</t>
  </si>
  <si>
    <t>2.ch50</t>
  </si>
  <si>
    <t>0.ch50</t>
  </si>
  <si>
    <t>2.ch4</t>
  </si>
  <si>
    <t>2.ch67</t>
  </si>
  <si>
    <t>0.ch1</t>
  </si>
  <si>
    <t>0.ch66</t>
  </si>
  <si>
    <t>1.ch52</t>
  </si>
  <si>
    <t>1.ch73</t>
  </si>
  <si>
    <t>1.ch10</t>
  </si>
  <si>
    <t>1.ch33</t>
  </si>
  <si>
    <t>1.ch45</t>
  </si>
  <si>
    <t>1.ch70</t>
  </si>
  <si>
    <t>1.ch8</t>
  </si>
  <si>
    <t>1.ch67</t>
  </si>
  <si>
    <t>1.ch17</t>
  </si>
  <si>
    <t>1.ch80</t>
  </si>
  <si>
    <t>1.ch95</t>
  </si>
  <si>
    <t>1.ch34</t>
  </si>
  <si>
    <t>1.ch46</t>
  </si>
  <si>
    <t>1.ch69</t>
  </si>
  <si>
    <t>1.ch19</t>
  </si>
  <si>
    <t>1.ch39</t>
  </si>
  <si>
    <t>1.ch51</t>
  </si>
  <si>
    <t>1.ch3</t>
  </si>
  <si>
    <t>1.ch18</t>
  </si>
  <si>
    <t>1.ch81</t>
  </si>
  <si>
    <t>1.ch93</t>
  </si>
  <si>
    <t>1.ch37</t>
  </si>
  <si>
    <t>1.ch49</t>
  </si>
  <si>
    <t>1.ch65</t>
  </si>
  <si>
    <t>1.ch21</t>
  </si>
  <si>
    <t>1.ch61</t>
  </si>
  <si>
    <t>1.ch66</t>
  </si>
  <si>
    <t>1.ch22</t>
  </si>
  <si>
    <t>1.ch83</t>
  </si>
  <si>
    <t>1.ch92</t>
  </si>
  <si>
    <t>1.ch41</t>
  </si>
  <si>
    <t>1.ch53</t>
  </si>
  <si>
    <t>1.ch1</t>
  </si>
  <si>
    <t>1.ch20</t>
  </si>
  <si>
    <t>1.ch38</t>
  </si>
  <si>
    <t>1.ch58</t>
  </si>
  <si>
    <t>1.ch2</t>
  </si>
  <si>
    <t>1.ch25</t>
  </si>
  <si>
    <t>1.ch98</t>
  </si>
  <si>
    <t>1.ch77</t>
  </si>
  <si>
    <t>1.ch86</t>
  </si>
  <si>
    <t>1.ch85</t>
  </si>
  <si>
    <t>1.ch91</t>
  </si>
  <si>
    <t>1.ch42</t>
  </si>
  <si>
    <t>1.ch55</t>
  </si>
  <si>
    <t>1.ch13</t>
  </si>
  <si>
    <t>1.ch23</t>
  </si>
  <si>
    <t>1.ch40</t>
  </si>
  <si>
    <t>1.ch56</t>
  </si>
  <si>
    <t>1.ch0</t>
  </si>
  <si>
    <t>1.ch27</t>
  </si>
  <si>
    <t>1.ch84</t>
  </si>
  <si>
    <t>1.ch90</t>
  </si>
  <si>
    <t>1.ch62</t>
  </si>
  <si>
    <t>1.ch15</t>
  </si>
  <si>
    <t>1.ch24</t>
  </si>
  <si>
    <t>1.ch57</t>
  </si>
  <si>
    <t>1.ch75</t>
  </si>
  <si>
    <t>1.ch26</t>
  </si>
  <si>
    <t>1.ch96</t>
  </si>
  <si>
    <t>1.ch60</t>
  </si>
  <si>
    <t>1.ch7</t>
  </si>
  <si>
    <t>1.ch89</t>
  </si>
  <si>
    <t>1.ch43</t>
  </si>
  <si>
    <t>1.ch5</t>
  </si>
  <si>
    <t>1.ch28</t>
  </si>
  <si>
    <t>1.ch76</t>
  </si>
  <si>
    <t>1.ch29</t>
  </si>
  <si>
    <t>1.ch99</t>
  </si>
  <si>
    <t>1.ch59</t>
  </si>
  <si>
    <t>1.ch9</t>
  </si>
  <si>
    <t>1.ch30</t>
  </si>
  <si>
    <t>1.ch54</t>
  </si>
  <si>
    <t>1.ch72</t>
  </si>
  <si>
    <t>1.ch82</t>
  </si>
  <si>
    <t>1.ch6</t>
  </si>
  <si>
    <t>1.ch31</t>
  </si>
  <si>
    <t>1.ch50</t>
  </si>
  <si>
    <t>1.ch4</t>
  </si>
  <si>
    <t>1.ch88</t>
  </si>
  <si>
    <t>1.ch35</t>
  </si>
  <si>
    <t>1.ch47</t>
  </si>
  <si>
    <t>1.ch68</t>
  </si>
  <si>
    <t>1.ch11</t>
  </si>
  <si>
    <t>1.ch79</t>
  </si>
  <si>
    <t>1.ch87</t>
  </si>
  <si>
    <t>1.ch97</t>
  </si>
  <si>
    <t>1.ch63</t>
  </si>
  <si>
    <t>1.ch74</t>
  </si>
  <si>
    <t>1.ch14</t>
  </si>
  <si>
    <t>1.ch36</t>
  </si>
  <si>
    <t>1.ch48</t>
  </si>
  <si>
    <t>1.ch64</t>
  </si>
  <si>
    <t>1.ch12</t>
  </si>
  <si>
    <t>1.ch78</t>
  </si>
  <si>
    <t>1.ch94</t>
  </si>
  <si>
    <t>1.ch32</t>
  </si>
  <si>
    <t>1.ch44</t>
  </si>
  <si>
    <t>1.ch71</t>
  </si>
  <si>
    <t>1.ch16</t>
  </si>
  <si>
    <t>2.ch0</t>
  </si>
  <si>
    <t>2.ch66</t>
  </si>
  <si>
    <t>0.ch2</t>
  </si>
  <si>
    <t>0.ch65</t>
  </si>
  <si>
    <t>2.ch1</t>
  </si>
  <si>
    <t>2.ch65</t>
  </si>
  <si>
    <t>0.ch4</t>
  </si>
  <si>
    <t>0.ch72</t>
  </si>
  <si>
    <t>2.ch42</t>
  </si>
  <si>
    <t>2.ch43</t>
  </si>
  <si>
    <t>2.ch35</t>
  </si>
  <si>
    <t>0.ch32</t>
  </si>
  <si>
    <t>2.ch33</t>
  </si>
  <si>
    <t>2.ch96</t>
  </si>
  <si>
    <t>0.ch35</t>
  </si>
  <si>
    <t>2.ch32</t>
  </si>
  <si>
    <t>0.ch34</t>
  </si>
  <si>
    <t>2.ch34</t>
  </si>
  <si>
    <t>0.ch37</t>
  </si>
  <si>
    <t>0.ch96</t>
  </si>
  <si>
    <t>Delta</t>
  </si>
  <si>
    <t>Average</t>
  </si>
  <si>
    <t>Median</t>
  </si>
  <si>
    <t>.\Patterns_TR\top_jtag_efuse_byte_read_02_211227.PAT</t>
  </si>
  <si>
    <t>.\Patterns_TR\top_jtag_efuse_bit_write_02_211227.PAT</t>
  </si>
  <si>
    <t>VBT_Digita_JTAG</t>
  </si>
  <si>
    <t>Patterns</t>
  </si>
  <si>
    <t>Update  eFuse read/write bit in pattern</t>
  </si>
  <si>
    <t>Digital_JTAG_Fast</t>
  </si>
  <si>
    <t xml:space="preserve">Update  JTAG_ID test module </t>
  </si>
  <si>
    <t>eFuse read/write</t>
  </si>
  <si>
    <t>Update  eFuse read/write bit in code</t>
  </si>
  <si>
    <t>Arg0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</si>
  <si>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</si>
  <si>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</si>
  <si>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</si>
  <si>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</si>
  <si>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</si>
  <si>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</si>
  <si>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</si>
  <si>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</si>
  <si>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</si>
  <si>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</si>
  <si>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Arg11</t>
  </si>
  <si>
    <t>Arg12</t>
  </si>
  <si>
    <t>Arg13</t>
  </si>
  <si>
    <t>Arg14</t>
  </si>
  <si>
    <t>Arg15</t>
  </si>
  <si>
    <t>Arg16</t>
  </si>
  <si>
    <t>Arg17</t>
  </si>
  <si>
    <t>Arg18</t>
  </si>
  <si>
    <t>Arg19</t>
  </si>
  <si>
    <t>Arg20</t>
  </si>
  <si>
    <t>Arg21</t>
  </si>
  <si>
    <t>Arg22</t>
  </si>
  <si>
    <t>Arg23</t>
  </si>
  <si>
    <t>DC_StaticPower_Vnom/DC_StaticPower_Vmin</t>
  </si>
  <si>
    <t>change low limit of vddio18 to 0.15mA/0.1mA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</si>
</sst>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???.###E+00;\-???.###E+00;0"/>
    <numFmt numFmtId="165" formatCode="##0.0000"/>
  </numFmts>
  <fonts count="17" x14ac:knownFonts="1">
    <font>
      <sz val="10"/>
      <name val="Arial"/>
    </font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b/>
      <sz val="20"/>
      <color indexed="47"/>
      <name val="Arial"/>
      <family val="2"/>
    </font>
    <font>
      <b/>
      <sz val="8"/>
      <color indexed="48"/>
      <name val="Arial"/>
      <family val="2"/>
    </font>
    <font>
      <b/>
      <sz val="10"/>
      <color indexed="47"/>
      <name val="Arial"/>
      <family val="2"/>
    </font>
    <font>
      <sz val="10"/>
      <color rgb="FF808080"/>
      <name val="Courier New"/>
      <family val="3"/>
    </font>
    <font>
      <sz val="10"/>
      <color rgb="FF808080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b/>
      <sz val="10"/>
      <color indexed="9"/>
      <name val="Arial"/>
      <family val="2"/>
    </font>
    <font>
      <sz val="10"/>
      <color rgb="FF808080"/>
      <name val="Arial"/>
    </font>
    <font>
      <sz val="8"/>
      <color rgb="FF000000"/>
      <name val="Arial"/>
      <family val="2"/>
    </font>
    <font>
      <b/>
      <sz val="8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0"/>
        <bgColor indexed="64"/>
      </patternFill>
    </fill>
    <fill>
      <patternFill patternType="lightUp">
        <fgColor rgb="FFC0C0C0"/>
      </patternFill>
    </fill>
    <fill>
      <patternFill patternType="solid">
        <fgColor indexed="4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/>
      <right style="hair">
        <color indexed="23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</borders>
  <cellStyleXfs count="16">
    <xf numFmtId="0" fontId="0" fillId="0" borderId="0"/>
    <xf numFmtId="49" fontId="3" fillId="9" borderId="2"/>
    <xf numFmtId="164" fontId="1" fillId="5" borderId="1"/>
    <xf numFmtId="0" fontId="6" fillId="7" borderId="0"/>
    <xf numFmtId="0" fontId="14" fillId="3" borderId="1"/>
    <xf numFmtId="0" fontId="10" fillId="0" borderId="0"/>
    <xf numFmtId="0" fontId="8" fillId="6" borderId="1"/>
    <xf numFmtId="164" fontId="7" fillId="4" borderId="1"/>
    <xf numFmtId="164" fontId="7" fillId="3" borderId="1"/>
    <xf numFmtId="0" fontId="4" fillId="7" borderId="0"/>
    <xf numFmtId="49" fontId="8" fillId="4" borderId="1"/>
    <xf numFmtId="164" fontId="2" fillId="0" borderId="1"/>
    <xf numFmtId="0" fontId="1" fillId="0" borderId="1"/>
    <xf numFmtId="0" fontId="3" fillId="0" borderId="1"/>
    <xf numFmtId="49" fontId="1" fillId="0" borderId="1"/>
    <xf numFmtId="49" fontId="9" fillId="8" borderId="2"/>
  </cellStyleXfs>
  <cellXfs count="96">
    <xf numFmtId="0" fontId="0" fillId="0" borderId="0" xfId="0"/>
    <xf numFmtId="0" fontId="3" fillId="0" borderId="0" xfId="0" applyFont="1" applyAlignment="1">
      <alignment horizontal="right"/>
    </xf>
    <xf numFmtId="0" fontId="0" fillId="0" borderId="3" xfId="0" applyBorder="1"/>
    <xf numFmtId="0" fontId="0" fillId="0" borderId="0" xfId="0"/>
    <xf numFmtId="0" fontId="10" fillId="0" borderId="0" xfId="5"/>
    <xf numFmtId="0" fontId="10" fillId="0" borderId="0" xfId="5"/>
    <xf numFmtId="0" fontId="10" fillId="0" borderId="0" xfId="5" applyFont="1"/>
    <xf numFmtId="0" fontId="10" fillId="0" borderId="0" xfId="5" applyFont="1" applyAlignment="1">
      <alignment wrapText="1"/>
    </xf>
    <xf numFmtId="0" fontId="3" fillId="0" borderId="0" xfId="5" applyFont="1"/>
    <xf numFmtId="0" fontId="10" fillId="0" borderId="0" xfId="5" quotePrefix="1" applyFont="1" applyAlignment="1">
      <alignment wrapText="1"/>
    </xf>
    <xf numFmtId="0" fontId="11" fillId="0" borderId="0" xfId="5" applyFont="1"/>
    <xf numFmtId="0" fontId="10" fillId="0" borderId="0" xfId="5" quotePrefix="1" applyFont="1"/>
    <xf numFmtId="0" fontId="10" fillId="0" borderId="0" xfId="5" applyFont="1" applyFill="1"/>
    <xf numFmtId="0" fontId="10" fillId="0" borderId="0" xfId="5" applyFont="1"/>
    <xf numFmtId="0" fontId="12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0" fillId="0" borderId="0" xfId="5" applyAlignment="1">
      <alignment horizontal="center"/>
    </xf>
    <xf numFmtId="15" fontId="3" fillId="0" borderId="0" xfId="5" applyNumberFormat="1" applyFont="1" applyAlignment="1">
      <alignment horizontal="center"/>
    </xf>
    <xf numFmtId="0" fontId="10" fillId="0" borderId="0" xfId="5" applyFont="1" applyAlignment="1">
      <alignment horizontal="center"/>
    </xf>
    <xf numFmtId="15" fontId="10" fillId="0" borderId="0" xfId="5" applyNumberFormat="1" applyFont="1" applyAlignment="1">
      <alignment horizontal="center"/>
    </xf>
    <xf numFmtId="0" fontId="3" fillId="0" borderId="0" xfId="5" applyFont="1" applyAlignment="1">
      <alignment horizontal="center"/>
    </xf>
    <xf numFmtId="15" fontId="10" fillId="0" borderId="0" xfId="5" applyNumberFormat="1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0" fillId="0" borderId="0" xfId="5" applyFill="1"/>
    <xf numFmtId="0" fontId="0" fillId="0" borderId="0" xfId="0"/>
    <xf numFmtId="0" fontId="0" fillId="0" borderId="0" xfId="0"/>
    <xf numFmtId="0" fontId="10" fillId="0" borderId="0" xfId="5" applyFont="1" applyAlignment="1">
      <alignment vertical="top" wrapText="1"/>
    </xf>
    <xf numFmtId="0" fontId="10" fillId="0" borderId="0" xfId="5" applyFont="1" applyAlignment="1">
      <alignment horizontal="left" vertical="top" wrapText="1"/>
    </xf>
    <xf numFmtId="0" fontId="0" fillId="0" borderId="0" xfId="0"/>
    <xf numFmtId="0" fontId="0" fillId="0" borderId="0" xfId="0"/>
    <xf numFmtId="0" fontId="10" fillId="0" borderId="0" xfId="5" applyFont="1" applyAlignment="1">
      <alignment vertical="top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0" fillId="0" borderId="0" xfId="5"/>
    <xf numFmtId="0" fontId="10" fillId="0" borderId="0" xfId="5" applyFont="1"/>
    <xf numFmtId="0" fontId="11" fillId="0" borderId="0" xfId="5" applyFont="1"/>
    <xf numFmtId="11" fontId="10" fillId="0" borderId="0" xfId="5" applyNumberFormat="1"/>
    <xf numFmtId="0" fontId="3" fillId="0" borderId="0" xfId="5" applyFont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/>
    <xf numFmtId="0" fontId="3" fillId="0" borderId="0" xfId="5" applyFont="1" applyAlignment="1"/>
    <xf numFmtId="0" fontId="10" fillId="0" borderId="0" xfId="5" applyFont="1" applyAlignment="1"/>
    <xf numFmtId="0" fontId="10" fillId="0" borderId="0" xfId="5" applyFont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right"/>
    </xf>
    <xf numFmtId="165" fontId="15" fillId="0" borderId="0" xfId="0" applyNumberFormat="1" applyFont="1" applyAlignment="1">
      <alignment horizontal="right"/>
    </xf>
    <xf numFmtId="0" fontId="16" fillId="0" borderId="0" xfId="0" applyFont="1" applyAlignment="1">
      <alignment horizontal="center"/>
    </xf>
    <xf numFmtId="165" fontId="16" fillId="0" borderId="0" xfId="0" applyNumberFormat="1" applyFont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10" fillId="0" borderId="0" xfId="0" applyFont="1"/>
    <xf numFmtId="49" fontId="9" fillId="2" borderId="2" xfId="15" applyFill="1" applyAlignment="1">
      <alignment horizontal="center"/>
    </xf>
    <xf numFmtId="49" fontId="9" fillId="8" borderId="2" xfId="15" applyAlignment="1"/>
    <xf numFmtId="49" fontId="3" fillId="9" borderId="2" xfId="1" applyAlignment="1"/>
    <xf numFmtId="0" fontId="4" fillId="7" borderId="0" xfId="9"/>
    <xf numFmtId="0" fontId="5" fillId="7" borderId="0" xfId="9" applyFont="1"/>
    <xf numFmtId="0" fontId="4" fillId="7" borderId="0" xfId="9"/>
    <xf numFmtId="49" fontId="13" fillId="2" borderId="2" xfId="1" applyFont="1" applyFill="1" applyAlignment="1">
      <alignment horizontal="center"/>
    </xf>
    <xf numFmtId="49" fontId="9" fillId="2" borderId="4" xfId="15" applyFill="1" applyBorder="1" applyAlignment="1">
      <alignment horizontal="center"/>
    </xf>
    <xf numFmtId="49" fontId="9" fillId="2" borderId="5" xfId="15" applyFill="1" applyBorder="1" applyAlignment="1">
      <alignment horizontal="center"/>
    </xf>
    <xf numFmtId="49" fontId="9" fillId="2" borderId="6" xfId="15" applyFill="1" applyBorder="1" applyAlignment="1">
      <alignment horizontal="center"/>
    </xf>
    <xf numFmtId="0" fontId="10" fillId="0" borderId="1" xfId="12" applyFont="1"/>
    <xf numFmtId="49" fontId="10" fillId="0" borderId="1" xfId="14" applyFont="1"/>
    <xf numFmtId="0" fontId="3" fillId="0" borderId="1" xfId="13" applyFont="1"/>
    <xf numFmtId="0" fontId="10" fillId="6" borderId="1" xfId="6" applyFont="1"/>
    <xf numFmtId="49" fontId="10" fillId="4" borderId="1" xfId="10" applyFont="1"/>
    <xf numFmtId="164" fontId="2" fillId="0" borderId="1" xfId="11" applyFont="1"/>
    <xf numFmtId="164" fontId="2" fillId="3" borderId="1" xfId="8" applyFont="1"/>
    <xf numFmtId="164" fontId="2" fillId="4" borderId="1" xfId="7" applyFont="1"/>
    <xf numFmtId="49" fontId="10" fillId="0" borderId="1" xfId="14" quotePrefix="1" applyFont="1"/>
  </cellXfs>
  <cellStyles count="16">
    <cellStyle name="Normal" xfId="0" builtinId="0"/>
    <cellStyle name="Normal 2" xfId="5"/>
    <cellStyle name="terColOpt" xfId="1"/>
    <cellStyle name="terColReqd" xfId="15"/>
    <cellStyle name="terEngrBack" xfId="7"/>
    <cellStyle name="terEngrFore" xfId="11"/>
    <cellStyle name="terError" xfId="2"/>
    <cellStyle name="terGroupBack" xfId="6"/>
    <cellStyle name="terGroupFore" xfId="13"/>
    <cellStyle name="terNormal" xfId="12"/>
    <cellStyle name="terNormalReadOnly" xfId="4"/>
    <cellStyle name="terReadOnly" xfId="8"/>
    <cellStyle name="terText" xfId="14"/>
    <cellStyle name="terTextBack" xfId="10"/>
    <cellStyle name="terTitle" xfId="9"/>
    <cellStyle name="terTitleBar" xf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3399"/>
      <rgbColor rgb="00D2EBFF"/>
      <rgbColor rgb="00FFC0C0"/>
      <rgbColor rgb="00E0E0E0"/>
      <rgbColor rgb="000000FF"/>
      <rgbColor rgb="00FF0000"/>
      <rgbColor rgb="00008000"/>
      <rgbColor rgb="00008080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Steps of Segment 1-7 and Site 0-3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Site0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VbiasDAC_Isweep!$B$4:$B$451</c:f>
              <c:numCache>
                <c:formatCode>0.00E+00</c:formatCode>
                <c:ptCount val="448"/>
                <c:pt idx="0">
                  <c:v>1.96468177784619E-9</c:v>
                </c:pt>
                <c:pt idx="1">
                  <c:v>7.5614779155898473E-9</c:v>
                </c:pt>
                <c:pt idx="2">
                  <c:v>1.4912108787741656E-8</c:v>
                </c:pt>
                <c:pt idx="3">
                  <c:v>2.2107989536269213E-8</c:v>
                </c:pt>
                <c:pt idx="4">
                  <c:v>3.2605206255447415E-8</c:v>
                </c:pt>
                <c:pt idx="5">
                  <c:v>4.0626420996637631E-8</c:v>
                </c:pt>
                <c:pt idx="6">
                  <c:v>4.9576136479573343E-8</c:v>
                </c:pt>
                <c:pt idx="7">
                  <c:v>5.7558663689857495E-8</c:v>
                </c:pt>
                <c:pt idx="8">
                  <c:v>6.3452064231214291E-8</c:v>
                </c:pt>
                <c:pt idx="9">
                  <c:v>7.1873050125100487E-8</c:v>
                </c:pt>
                <c:pt idx="10">
                  <c:v>8.1789953880687745E-8</c:v>
                </c:pt>
                <c:pt idx="11">
                  <c:v>9.1062065454507314E-8</c:v>
                </c:pt>
                <c:pt idx="12">
                  <c:v>1.0451243036618158E-7</c:v>
                </c:pt>
                <c:pt idx="13">
                  <c:v>1.1262391601281928E-7</c:v>
                </c:pt>
                <c:pt idx="14">
                  <c:v>1.2450098800098038E-7</c:v>
                </c:pt>
                <c:pt idx="15">
                  <c:v>1.3386337048024741E-7</c:v>
                </c:pt>
                <c:pt idx="16">
                  <c:v>1.5012502930442888E-7</c:v>
                </c:pt>
                <c:pt idx="17">
                  <c:v>1.5983559956185048E-7</c:v>
                </c:pt>
                <c:pt idx="18">
                  <c:v>1.7118394196096203E-7</c:v>
                </c:pt>
                <c:pt idx="19">
                  <c:v>1.8150061686924529E-7</c:v>
                </c:pt>
                <c:pt idx="20">
                  <c:v>1.9569894071177008E-7</c:v>
                </c:pt>
                <c:pt idx="21">
                  <c:v>2.0600271977641796E-7</c:v>
                </c:pt>
                <c:pt idx="22">
                  <c:v>2.1781531254640228E-7</c:v>
                </c:pt>
                <c:pt idx="23">
                  <c:v>2.2842859185829866E-7</c:v>
                </c:pt>
                <c:pt idx="24">
                  <c:v>2.3488940951961102E-7</c:v>
                </c:pt>
                <c:pt idx="25">
                  <c:v>2.4605721010782768E-7</c:v>
                </c:pt>
                <c:pt idx="26">
                  <c:v>2.5808903221961297E-7</c:v>
                </c:pt>
                <c:pt idx="27">
                  <c:v>2.6899891593512249E-7</c:v>
                </c:pt>
                <c:pt idx="28">
                  <c:v>2.8275878109404527E-7</c:v>
                </c:pt>
                <c:pt idx="29">
                  <c:v>2.938105190895437E-7</c:v>
                </c:pt>
                <c:pt idx="30">
                  <c:v>3.0653871675763814E-7</c:v>
                </c:pt>
                <c:pt idx="31">
                  <c:v>3.1682959997865068E-7</c:v>
                </c:pt>
                <c:pt idx="32">
                  <c:v>3.2016962348020738E-7</c:v>
                </c:pt>
                <c:pt idx="33">
                  <c:v>3.3066684019938558E-7</c:v>
                </c:pt>
                <c:pt idx="34">
                  <c:v>3.4389797576925882E-7</c:v>
                </c:pt>
                <c:pt idx="35">
                  <c:v>3.5583952697559668E-7</c:v>
                </c:pt>
                <c:pt idx="36">
                  <c:v>3.6998626744358004E-7</c:v>
                </c:pt>
                <c:pt idx="37">
                  <c:v>3.8212125630444824E-7</c:v>
                </c:pt>
                <c:pt idx="38">
                  <c:v>3.9539107940522754E-7</c:v>
                </c:pt>
                <c:pt idx="39">
                  <c:v>4.0578512937532289E-7</c:v>
                </c:pt>
                <c:pt idx="40">
                  <c:v>4.1267150987660194E-7</c:v>
                </c:pt>
                <c:pt idx="41">
                  <c:v>4.2254972610128316E-7</c:v>
                </c:pt>
                <c:pt idx="42">
                  <c:v>4.3802473846370806E-7</c:v>
                </c:pt>
                <c:pt idx="43">
                  <c:v>4.4854774687015695E-7</c:v>
                </c:pt>
                <c:pt idx="44">
                  <c:v>4.6400986338894643E-7</c:v>
                </c:pt>
                <c:pt idx="45">
                  <c:v>4.768670194933943E-7</c:v>
                </c:pt>
                <c:pt idx="46">
                  <c:v>4.8821536189250598E-7</c:v>
                </c:pt>
                <c:pt idx="47">
                  <c:v>4.9958949597888819E-7</c:v>
                </c:pt>
                <c:pt idx="48">
                  <c:v>5.2039049176271426E-7</c:v>
                </c:pt>
                <c:pt idx="49">
                  <c:v>5.3168725078728446E-7</c:v>
                </c:pt>
                <c:pt idx="50">
                  <c:v>5.4520209491713547E-7</c:v>
                </c:pt>
                <c:pt idx="51">
                  <c:v>5.5607329110173888E-7</c:v>
                </c:pt>
                <c:pt idx="52">
                  <c:v>5.7388245116216287E-7</c:v>
                </c:pt>
                <c:pt idx="53">
                  <c:v>5.847020639722249E-7</c:v>
                </c:pt>
                <c:pt idx="54">
                  <c:v>5.9806215797845179E-7</c:v>
                </c:pt>
                <c:pt idx="55">
                  <c:v>6.1116433511197149E-7</c:v>
                </c:pt>
                <c:pt idx="56">
                  <c:v>6.1545865104254436E-7</c:v>
                </c:pt>
                <c:pt idx="57">
                  <c:v>6.2896059932876011E-7</c:v>
                </c:pt>
                <c:pt idx="58">
                  <c:v>6.4250123514588175E-7</c:v>
                </c:pt>
                <c:pt idx="59">
                  <c:v>6.5397853598134693E-7</c:v>
                </c:pt>
                <c:pt idx="60">
                  <c:v>6.6870558941292125E-7</c:v>
                </c:pt>
                <c:pt idx="61">
                  <c:v>6.8292970494271678E-7</c:v>
                </c:pt>
                <c:pt idx="62">
                  <c:v>6.9413619306183939E-7</c:v>
                </c:pt>
                <c:pt idx="63">
                  <c:v>7.0623249439180148E-7</c:v>
                </c:pt>
                <c:pt idx="64">
                  <c:v>7.1738739913638282E-7</c:v>
                </c:pt>
                <c:pt idx="65">
                  <c:v>7.3067011808079749E-7</c:v>
                </c:pt>
                <c:pt idx="66">
                  <c:v>7.4332094068707976E-7</c:v>
                </c:pt>
                <c:pt idx="67">
                  <c:v>7.5620388847879837E-7</c:v>
                </c:pt>
                <c:pt idx="68">
                  <c:v>7.7340694388836081E-7</c:v>
                </c:pt>
                <c:pt idx="69">
                  <c:v>7.8743762176362589E-7</c:v>
                </c:pt>
                <c:pt idx="70">
                  <c:v>7.9829592210459414E-7</c:v>
                </c:pt>
                <c:pt idx="71">
                  <c:v>8.0875445129286623E-7</c:v>
                </c:pt>
                <c:pt idx="72">
                  <c:v>8.1843922986301707E-7</c:v>
                </c:pt>
                <c:pt idx="73">
                  <c:v>8.2894934242583064E-7</c:v>
                </c:pt>
                <c:pt idx="74">
                  <c:v>8.4419222960281914E-7</c:v>
                </c:pt>
                <c:pt idx="75">
                  <c:v>8.5686884389637215E-7</c:v>
                </c:pt>
                <c:pt idx="76">
                  <c:v>8.7169906407702933E-7</c:v>
                </c:pt>
                <c:pt idx="77">
                  <c:v>8.8491730380326715E-7</c:v>
                </c:pt>
                <c:pt idx="78">
                  <c:v>8.9857400221310713E-7</c:v>
                </c:pt>
                <c:pt idx="79">
                  <c:v>9.1068319938670459E-7</c:v>
                </c:pt>
                <c:pt idx="80">
                  <c:v>9.3067175702150339E-7</c:v>
                </c:pt>
                <c:pt idx="81">
                  <c:v>9.4283253756964223E-7</c:v>
                </c:pt>
                <c:pt idx="82">
                  <c:v>9.5683742375763667E-7</c:v>
                </c:pt>
                <c:pt idx="83">
                  <c:v>9.7002987179660385E-7</c:v>
                </c:pt>
                <c:pt idx="84">
                  <c:v>9.8426688317003496E-7</c:v>
                </c:pt>
                <c:pt idx="85">
                  <c:v>9.9833624857620605E-7</c:v>
                </c:pt>
                <c:pt idx="86">
                  <c:v>1.0131793646004987E-6</c:v>
                </c:pt>
                <c:pt idx="87">
                  <c:v>1.0246695612795991E-6</c:v>
                </c:pt>
                <c:pt idx="88">
                  <c:v>1.032793942769872E-6</c:v>
                </c:pt>
                <c:pt idx="89">
                  <c:v>1.0457671614670383E-6</c:v>
                </c:pt>
                <c:pt idx="90">
                  <c:v>1.0568317953061719E-6</c:v>
                </c:pt>
                <c:pt idx="91">
                  <c:v>1.0711332858977797E-6</c:v>
                </c:pt>
                <c:pt idx="92">
                  <c:v>1.0876786532819389E-6</c:v>
                </c:pt>
                <c:pt idx="93">
                  <c:v>1.0985240577792717E-6</c:v>
                </c:pt>
                <c:pt idx="94">
                  <c:v>1.1144246329816632E-6</c:v>
                </c:pt>
                <c:pt idx="95">
                  <c:v>1.1256311211007857E-6</c:v>
                </c:pt>
                <c:pt idx="96">
                  <c:v>1.1309184169912811E-6</c:v>
                </c:pt>
                <c:pt idx="97">
                  <c:v>1.1405258204996198E-6</c:v>
                </c:pt>
                <c:pt idx="98">
                  <c:v>1.1561168954547629E-6</c:v>
                </c:pt>
                <c:pt idx="99">
                  <c:v>1.1683292593774432E-6</c:v>
                </c:pt>
                <c:pt idx="100">
                  <c:v>1.1817538326018466E-6</c:v>
                </c:pt>
                <c:pt idx="101">
                  <c:v>1.1955781769789463E-6</c:v>
                </c:pt>
                <c:pt idx="102">
                  <c:v>1.2098796675705539E-6</c:v>
                </c:pt>
                <c:pt idx="103">
                  <c:v>1.226051055489288E-6</c:v>
                </c:pt>
                <c:pt idx="104">
                  <c:v>1.2315704765652194E-6</c:v>
                </c:pt>
                <c:pt idx="105">
                  <c:v>1.2418355680989612E-6</c:v>
                </c:pt>
                <c:pt idx="106">
                  <c:v>1.2568721217777842E-6</c:v>
                </c:pt>
                <c:pt idx="107">
                  <c:v>1.2715089043039109E-6</c:v>
                </c:pt>
                <c:pt idx="108">
                  <c:v>1.2929417964258695E-6</c:v>
                </c:pt>
                <c:pt idx="109">
                  <c:v>1.3039161593595557E-6</c:v>
                </c:pt>
                <c:pt idx="110">
                  <c:v>1.3145423345150874E-6</c:v>
                </c:pt>
                <c:pt idx="111">
                  <c:v>1.3258133018523868E-6</c:v>
                </c:pt>
                <c:pt idx="112">
                  <c:v>1.3466014017925775E-6</c:v>
                </c:pt>
                <c:pt idx="113">
                  <c:v>1.3612510801623398E-6</c:v>
                </c:pt>
                <c:pt idx="114">
                  <c:v>1.3748175076667321E-6</c:v>
                </c:pt>
                <c:pt idx="115">
                  <c:v>1.3864366627821862E-6</c:v>
                </c:pt>
                <c:pt idx="116">
                  <c:v>1.4049293025552838E-6</c:v>
                </c:pt>
                <c:pt idx="117">
                  <c:v>1.4137113720709601E-6</c:v>
                </c:pt>
                <c:pt idx="118">
                  <c:v>1.4305404480150972E-6</c:v>
                </c:pt>
                <c:pt idx="119">
                  <c:v>1.4440810838322189E-6</c:v>
                </c:pt>
                <c:pt idx="120">
                  <c:v>1.4493812755663493E-6</c:v>
                </c:pt>
                <c:pt idx="121">
                  <c:v>1.461348618459958E-6</c:v>
                </c:pt>
                <c:pt idx="122">
                  <c:v>1.4727227525463401E-6</c:v>
                </c:pt>
                <c:pt idx="123">
                  <c:v>1.4875013893524559E-6</c:v>
                </c:pt>
                <c:pt idx="124">
                  <c:v>1.5046141738565708E-6</c:v>
                </c:pt>
                <c:pt idx="125">
                  <c:v>1.51660730843745E-6</c:v>
                </c:pt>
                <c:pt idx="126">
                  <c:v>1.5332945301015981E-6</c:v>
                </c:pt>
                <c:pt idx="127">
                  <c:v>1.5451071228715825E-6</c:v>
                </c:pt>
                <c:pt idx="128">
                  <c:v>1.5153644237317693E-6</c:v>
                </c:pt>
                <c:pt idx="129">
                  <c:v>1.5412231087766917E-6</c:v>
                </c:pt>
                <c:pt idx="130">
                  <c:v>1.572669348881572E-6</c:v>
                </c:pt>
                <c:pt idx="131">
                  <c:v>1.5883924689340121E-6</c:v>
                </c:pt>
                <c:pt idx="132">
                  <c:v>1.6233471738439825E-6</c:v>
                </c:pt>
                <c:pt idx="133">
                  <c:v>1.6424488155605832E-6</c:v>
                </c:pt>
                <c:pt idx="134">
                  <c:v>1.6736351693836051E-6</c:v>
                </c:pt>
                <c:pt idx="135">
                  <c:v>1.6997537407103857E-6</c:v>
                </c:pt>
                <c:pt idx="136">
                  <c:v>1.7146972019172505E-6</c:v>
                </c:pt>
                <c:pt idx="137">
                  <c:v>1.7419852615123946E-6</c:v>
                </c:pt>
                <c:pt idx="138">
                  <c:v>1.7696631505303264E-6</c:v>
                </c:pt>
                <c:pt idx="139">
                  <c:v>1.7964314375617534E-6</c:v>
                </c:pt>
                <c:pt idx="140">
                  <c:v>1.8254087579889779E-6</c:v>
                </c:pt>
                <c:pt idx="141">
                  <c:v>1.8498380684836783E-6</c:v>
                </c:pt>
                <c:pt idx="142">
                  <c:v>1.8838831714071439E-6</c:v>
                </c:pt>
                <c:pt idx="143">
                  <c:v>1.9028548699828156E-6</c:v>
                </c:pt>
                <c:pt idx="144">
                  <c:v>1.9406683239932294E-6</c:v>
                </c:pt>
                <c:pt idx="145">
                  <c:v>1.9700354738432412E-6</c:v>
                </c:pt>
                <c:pt idx="146">
                  <c:v>1.9927755235058613E-6</c:v>
                </c:pt>
                <c:pt idx="147">
                  <c:v>2.021882787074015E-6</c:v>
                </c:pt>
                <c:pt idx="148">
                  <c:v>2.0520295957696026E-6</c:v>
                </c:pt>
                <c:pt idx="149">
                  <c:v>2.0773685082508081E-6</c:v>
                </c:pt>
                <c:pt idx="150">
                  <c:v>2.1028373638729425E-6</c:v>
                </c:pt>
                <c:pt idx="151">
                  <c:v>2.1328542294276011E-6</c:v>
                </c:pt>
                <c:pt idx="152">
                  <c:v>2.1444191689703049E-6</c:v>
                </c:pt>
                <c:pt idx="153">
                  <c:v>2.1787241581756291E-6</c:v>
                </c:pt>
                <c:pt idx="154">
                  <c:v>2.1992551744424516E-6</c:v>
                </c:pt>
                <c:pt idx="155">
                  <c:v>2.2270630066013126E-6</c:v>
                </c:pt>
                <c:pt idx="156">
                  <c:v>2.2648764606117266E-6</c:v>
                </c:pt>
                <c:pt idx="157">
                  <c:v>2.2803396943823085E-6</c:v>
                </c:pt>
                <c:pt idx="158">
                  <c:v>2.3123057070509058E-6</c:v>
                </c:pt>
                <c:pt idx="159">
                  <c:v>2.334136154727021E-6</c:v>
                </c:pt>
                <c:pt idx="160">
                  <c:v>2.3462208668334421E-6</c:v>
                </c:pt>
                <c:pt idx="161">
                  <c:v>2.366881826241194E-6</c:v>
                </c:pt>
                <c:pt idx="162">
                  <c:v>2.3933902269907623E-6</c:v>
                </c:pt>
                <c:pt idx="163">
                  <c:v>2.4150907315259485E-6</c:v>
                </c:pt>
                <c:pt idx="164">
                  <c:v>2.4466669147717582E-6</c:v>
                </c:pt>
                <c:pt idx="165">
                  <c:v>2.4773334960310628E-6</c:v>
                </c:pt>
                <c:pt idx="166">
                  <c:v>2.5069605321629334E-6</c:v>
                </c:pt>
                <c:pt idx="167">
                  <c:v>2.5282712072753317E-6</c:v>
                </c:pt>
                <c:pt idx="168">
                  <c:v>2.5437344410459136E-6</c:v>
                </c:pt>
                <c:pt idx="169">
                  <c:v>2.5802484636470349E-6</c:v>
                </c:pt>
                <c:pt idx="170">
                  <c:v>2.5984405033771309E-6</c:v>
                </c:pt>
                <c:pt idx="171">
                  <c:v>2.6300166866229402E-6</c:v>
                </c:pt>
                <c:pt idx="172">
                  <c:v>2.6697792877472933E-6</c:v>
                </c:pt>
                <c:pt idx="173">
                  <c:v>2.6917396785643375E-6</c:v>
                </c:pt>
                <c:pt idx="174">
                  <c:v>2.7159091027771797E-6</c:v>
                </c:pt>
                <c:pt idx="175">
                  <c:v>2.7356604601984268E-6</c:v>
                </c:pt>
                <c:pt idx="176">
                  <c:v>2.7820501615101717E-6</c:v>
                </c:pt>
                <c:pt idx="177">
                  <c:v>2.800761973803985E-6</c:v>
                </c:pt>
                <c:pt idx="178">
                  <c:v>2.8315584982042189E-6</c:v>
                </c:pt>
                <c:pt idx="179">
                  <c:v>2.8502703104980318E-6</c:v>
                </c:pt>
                <c:pt idx="180">
                  <c:v>2.8915922293135361E-6</c:v>
                </c:pt>
                <c:pt idx="181">
                  <c:v>2.9049763728292495E-6</c:v>
                </c:pt>
                <c:pt idx="182">
                  <c:v>2.9390214757527152E-6</c:v>
                </c:pt>
                <c:pt idx="183">
                  <c:v>2.9564338566372353E-6</c:v>
                </c:pt>
                <c:pt idx="184">
                  <c:v>2.9803433945682187E-6</c:v>
                </c:pt>
                <c:pt idx="185">
                  <c:v>2.9963264009025175E-6</c:v>
                </c:pt>
                <c:pt idx="186">
                  <c:v>3.0305014469669122E-6</c:v>
                </c:pt>
                <c:pt idx="187">
                  <c:v>3.0484336004151497E-6</c:v>
                </c:pt>
                <c:pt idx="188">
                  <c:v>3.0940436428813192E-6</c:v>
                </c:pt>
                <c:pt idx="189">
                  <c:v>3.125749769268058E-6</c:v>
                </c:pt>
                <c:pt idx="190">
                  <c:v>3.1440717521390834E-6</c:v>
                </c:pt>
                <c:pt idx="191">
                  <c:v>3.1660321429561276E-6</c:v>
                </c:pt>
                <c:pt idx="192">
                  <c:v>3.0094506581363724E-6</c:v>
                </c:pt>
                <c:pt idx="193">
                  <c:v>3.0614279145080756E-6</c:v>
                </c:pt>
                <c:pt idx="194">
                  <c:v>3.1122356826114151E-6</c:v>
                </c:pt>
                <c:pt idx="195">
                  <c:v>3.1608344173189576E-6</c:v>
                </c:pt>
                <c:pt idx="196">
                  <c:v>3.2233370681059303E-6</c:v>
                </c:pt>
                <c:pt idx="197">
                  <c:v>3.267387792880949E-6</c:v>
                </c:pt>
                <c:pt idx="198">
                  <c:v>3.3265119220037609E-6</c:v>
                </c:pt>
                <c:pt idx="199">
                  <c:v>3.3677038976783358E-6</c:v>
                </c:pt>
                <c:pt idx="200">
                  <c:v>3.4051275222659619E-6</c:v>
                </c:pt>
                <c:pt idx="201">
                  <c:v>3.4573646649195236E-6</c:v>
                </c:pt>
                <c:pt idx="202">
                  <c:v>3.5115509546870239E-6</c:v>
                </c:pt>
                <c:pt idx="203">
                  <c:v>3.5575508265759809E-6</c:v>
                </c:pt>
                <c:pt idx="204">
                  <c:v>3.6164150694169347E-6</c:v>
                </c:pt>
                <c:pt idx="205">
                  <c:v>3.6641042021379719E-6</c:v>
                </c:pt>
                <c:pt idx="206">
                  <c:v>3.7212791841468456E-6</c:v>
                </c:pt>
                <c:pt idx="207">
                  <c:v>3.7679287717404489E-6</c:v>
                </c:pt>
                <c:pt idx="208">
                  <c:v>3.8323805696413607E-6</c:v>
                </c:pt>
                <c:pt idx="209">
                  <c:v>3.8827985083219128E-6</c:v>
                </c:pt>
                <c:pt idx="210">
                  <c:v>3.9350356509754744E-6</c:v>
                </c:pt>
                <c:pt idx="211">
                  <c:v>3.9811654660053608E-6</c:v>
                </c:pt>
                <c:pt idx="212">
                  <c:v>4.0487358992885746E-6</c:v>
                </c:pt>
                <c:pt idx="213">
                  <c:v>4.0961651457277537E-6</c:v>
                </c:pt>
                <c:pt idx="214">
                  <c:v>4.1493118903678198E-6</c:v>
                </c:pt>
                <c:pt idx="215">
                  <c:v>4.1963513073842106E-6</c:v>
                </c:pt>
                <c:pt idx="216">
                  <c:v>4.2362438516494931E-6</c:v>
                </c:pt>
                <c:pt idx="217">
                  <c:v>4.2804245195654405E-6</c:v>
                </c:pt>
                <c:pt idx="218">
                  <c:v>4.3326616622190022E-6</c:v>
                </c:pt>
                <c:pt idx="219">
                  <c:v>4.3902264736506633E-6</c:v>
                </c:pt>
                <c:pt idx="220">
                  <c:v>4.4467517399548906E-6</c:v>
                </c:pt>
                <c:pt idx="221">
                  <c:v>4.4978193943400882E-6</c:v>
                </c:pt>
                <c:pt idx="222">
                  <c:v>4.5525254566713058E-6</c:v>
                </c:pt>
                <c:pt idx="223">
                  <c:v>4.6007343619560608E-6</c:v>
                </c:pt>
                <c:pt idx="224">
                  <c:v>4.599954703110485E-6</c:v>
                </c:pt>
                <c:pt idx="225">
                  <c:v>4.6560901399919248E-6</c:v>
                </c:pt>
                <c:pt idx="226">
                  <c:v>4.7107962023231416E-6</c:v>
                </c:pt>
                <c:pt idx="227">
                  <c:v>4.7551068133800184E-6</c:v>
                </c:pt>
                <c:pt idx="228">
                  <c:v>4.810072761993095E-6</c:v>
                </c:pt>
                <c:pt idx="229">
                  <c:v>4.8642590517605949E-6</c:v>
                </c:pt>
                <c:pt idx="230">
                  <c:v>4.9170159669778735E-6</c:v>
                </c:pt>
                <c:pt idx="231">
                  <c:v>4.9687333370677183E-6</c:v>
                </c:pt>
                <c:pt idx="232">
                  <c:v>5.0104450853060096E-6</c:v>
                </c:pt>
                <c:pt idx="233">
                  <c:v>5.0477387667527067E-6</c:v>
                </c:pt>
                <c:pt idx="234">
                  <c:v>5.1069928390164481E-6</c:v>
                </c:pt>
                <c:pt idx="235">
                  <c:v>5.1574107776970001E-6</c:v>
                </c:pt>
                <c:pt idx="236">
                  <c:v>5.2179642813700342E-6</c:v>
                </c:pt>
                <c:pt idx="237">
                  <c:v>5.2611054041585477E-6</c:v>
                </c:pt>
                <c:pt idx="238">
                  <c:v>5.3176306704627741E-6</c:v>
                </c:pt>
                <c:pt idx="239">
                  <c:v>5.3583028735736325E-6</c:v>
                </c:pt>
                <c:pt idx="240">
                  <c:v>5.4362687581311862E-6</c:v>
                </c:pt>
                <c:pt idx="241">
                  <c:v>5.4853872654024464E-6</c:v>
                </c:pt>
                <c:pt idx="242">
                  <c:v>5.5485396318940651E-6</c:v>
                </c:pt>
                <c:pt idx="243">
                  <c:v>5.5922005272462963E-6</c:v>
                </c:pt>
                <c:pt idx="244">
                  <c:v>5.6502851112416736E-6</c:v>
                </c:pt>
                <c:pt idx="245">
                  <c:v>5.7026521970361647E-6</c:v>
                </c:pt>
                <c:pt idx="246">
                  <c:v>5.7585277476357456E-6</c:v>
                </c:pt>
                <c:pt idx="247">
                  <c:v>5.8058270509339953E-6</c:v>
                </c:pt>
                <c:pt idx="248">
                  <c:v>5.8338947693747148E-6</c:v>
                </c:pt>
                <c:pt idx="249">
                  <c:v>5.8772957784450863E-6</c:v>
                </c:pt>
                <c:pt idx="250">
                  <c:v>5.9474650745468864E-6</c:v>
                </c:pt>
                <c:pt idx="251">
                  <c:v>5.995284150408853E-6</c:v>
                </c:pt>
                <c:pt idx="252">
                  <c:v>6.0542783363907354E-6</c:v>
                </c:pt>
                <c:pt idx="253">
                  <c:v>6.0961200277699562E-6</c:v>
                </c:pt>
                <c:pt idx="254">
                  <c:v>6.1549842706109101E-6</c:v>
                </c:pt>
                <c:pt idx="255">
                  <c:v>6.2048824367277452E-6</c:v>
                </c:pt>
                <c:pt idx="256">
                  <c:v>6.2174869213978832E-6</c:v>
                </c:pt>
                <c:pt idx="257">
                  <c:v>6.2681647463602933E-6</c:v>
                </c:pt>
                <c:pt idx="258">
                  <c:v>6.3093567220348686E-6</c:v>
                </c:pt>
                <c:pt idx="259">
                  <c:v>6.3589950018698448E-6</c:v>
                </c:pt>
                <c:pt idx="260">
                  <c:v>6.4207179938112421E-6</c:v>
                </c:pt>
                <c:pt idx="261">
                  <c:v>6.4646387754453306E-6</c:v>
                </c:pt>
                <c:pt idx="262">
                  <c:v>6.520644269185841E-6</c:v>
                </c:pt>
                <c:pt idx="263">
                  <c:v>6.5750904452351998E-6</c:v>
                </c:pt>
                <c:pt idx="264">
                  <c:v>6.6116044678363211E-6</c:v>
                </c:pt>
                <c:pt idx="265">
                  <c:v>6.6444800824914231E-6</c:v>
                </c:pt>
                <c:pt idx="266">
                  <c:v>6.7016550645002968E-6</c:v>
                </c:pt>
                <c:pt idx="267">
                  <c:v>6.7502537992078392E-6</c:v>
                </c:pt>
                <c:pt idx="268">
                  <c:v>6.8088581557669342E-6</c:v>
                </c:pt>
                <c:pt idx="269">
                  <c:v>6.8503100177233675E-6</c:v>
                </c:pt>
                <c:pt idx="270">
                  <c:v>6.9086544880006036E-6</c:v>
                </c:pt>
                <c:pt idx="271">
                  <c:v>6.9449086243198669E-6</c:v>
                </c:pt>
                <c:pt idx="272">
                  <c:v>7.0300213816285306E-6</c:v>
                </c:pt>
                <c:pt idx="273">
                  <c:v>7.0599083040422597E-6</c:v>
                </c:pt>
                <c:pt idx="274">
                  <c:v>7.1135748212460436E-6</c:v>
                </c:pt>
                <c:pt idx="275">
                  <c:v>7.1680209972954024E-6</c:v>
                </c:pt>
                <c:pt idx="276">
                  <c:v>7.2305236480823755E-6</c:v>
                </c:pt>
                <c:pt idx="277">
                  <c:v>7.2806817004810687E-6</c:v>
                </c:pt>
                <c:pt idx="278">
                  <c:v>7.3218736761556431E-6</c:v>
                </c:pt>
                <c:pt idx="279">
                  <c:v>7.3695628088766811E-6</c:v>
                </c:pt>
                <c:pt idx="280">
                  <c:v>7.4220598378121008E-6</c:v>
                </c:pt>
                <c:pt idx="281">
                  <c:v>7.4531162484941932E-6</c:v>
                </c:pt>
                <c:pt idx="282">
                  <c:v>7.4945681104506257E-6</c:v>
                </c:pt>
                <c:pt idx="283">
                  <c:v>7.5438165608628145E-6</c:v>
                </c:pt>
                <c:pt idx="284">
                  <c:v>7.6068389842135045E-6</c:v>
                </c:pt>
                <c:pt idx="285">
                  <c:v>7.6559574914847655E-6</c:v>
                </c:pt>
                <c:pt idx="286">
                  <c:v>7.702607079078368E-6</c:v>
                </c:pt>
                <c:pt idx="287">
                  <c:v>7.7313245132237347E-6</c:v>
                </c:pt>
                <c:pt idx="288">
                  <c:v>7.7613413787783925E-6</c:v>
                </c:pt>
                <c:pt idx="289">
                  <c:v>7.8131886920091658E-6</c:v>
                </c:pt>
                <c:pt idx="290">
                  <c:v>7.8476236243554195E-6</c:v>
                </c:pt>
                <c:pt idx="291">
                  <c:v>7.8843975332383996E-6</c:v>
                </c:pt>
                <c:pt idx="292">
                  <c:v>7.9524877390853303E-6</c:v>
                </c:pt>
                <c:pt idx="293">
                  <c:v>7.988871818545523E-6</c:v>
                </c:pt>
                <c:pt idx="294">
                  <c:v>8.0268152156968656E-6</c:v>
                </c:pt>
                <c:pt idx="295">
                  <c:v>8.0674874188077223E-6</c:v>
                </c:pt>
                <c:pt idx="296">
                  <c:v>8.0982839432079567E-6</c:v>
                </c:pt>
                <c:pt idx="297">
                  <c:v>8.1445437013787734E-6</c:v>
                </c:pt>
                <c:pt idx="298">
                  <c:v>8.1827469848119749E-6</c:v>
                </c:pt>
                <c:pt idx="299">
                  <c:v>8.2306960038148701E-6</c:v>
                </c:pt>
                <c:pt idx="300">
                  <c:v>8.2933285977427727E-6</c:v>
                </c:pt>
                <c:pt idx="301">
                  <c:v>8.3238652358611465E-6</c:v>
                </c:pt>
                <c:pt idx="302">
                  <c:v>8.3598594858985517E-6</c:v>
                </c:pt>
                <c:pt idx="303">
                  <c:v>8.398582541895471E-6</c:v>
                </c:pt>
                <c:pt idx="304">
                  <c:v>8.466542804601473E-6</c:v>
                </c:pt>
                <c:pt idx="305">
                  <c:v>8.4973393290017074E-6</c:v>
                </c:pt>
                <c:pt idx="306">
                  <c:v>8.4998082486793625E-6</c:v>
                </c:pt>
                <c:pt idx="307">
                  <c:v>8.537491759548848E-6</c:v>
                </c:pt>
                <c:pt idx="308">
                  <c:v>8.5767345881094833E-6</c:v>
                </c:pt>
                <c:pt idx="309">
                  <c:v>8.6305310484541958E-6</c:v>
                </c:pt>
                <c:pt idx="310">
                  <c:v>8.6592484825995625E-6</c:v>
                </c:pt>
                <c:pt idx="311">
                  <c:v>8.6897851207179363E-6</c:v>
                </c:pt>
                <c:pt idx="312">
                  <c:v>8.7209714745409598E-6</c:v>
                </c:pt>
                <c:pt idx="313">
                  <c:v>8.7573555540011525E-6</c:v>
                </c:pt>
                <c:pt idx="314">
                  <c:v>8.8030955396082498E-6</c:v>
                </c:pt>
                <c:pt idx="315">
                  <c:v>8.825055930425294E-6</c:v>
                </c:pt>
                <c:pt idx="316">
                  <c:v>8.8870388086485502E-6</c:v>
                </c:pt>
                <c:pt idx="317">
                  <c:v>8.9121178348478976E-6</c:v>
                </c:pt>
                <c:pt idx="318">
                  <c:v>8.9587674224415001E-6</c:v>
                </c:pt>
                <c:pt idx="319">
                  <c:v>8.9722815090981434E-6</c:v>
                </c:pt>
                <c:pt idx="320">
                  <c:v>9.0237389929061293E-6</c:v>
                </c:pt>
                <c:pt idx="321">
                  <c:v>9.0984562989404521E-6</c:v>
                </c:pt>
                <c:pt idx="322">
                  <c:v>9.1383488432057338E-6</c:v>
                </c:pt>
                <c:pt idx="323">
                  <c:v>9.1600493477409208E-6</c:v>
                </c:pt>
                <c:pt idx="324">
                  <c:v>9.2104672864214729E-6</c:v>
                </c:pt>
                <c:pt idx="325">
                  <c:v>9.2460717070360889E-6</c:v>
                </c:pt>
                <c:pt idx="326">
                  <c:v>9.2725801077856577E-6</c:v>
                </c:pt>
                <c:pt idx="327">
                  <c:v>9.2972693045622159E-6</c:v>
                </c:pt>
                <c:pt idx="328">
                  <c:v>9.3240375915936436E-6</c:v>
                </c:pt>
                <c:pt idx="329">
                  <c:v>9.3597719553491882E-6</c:v>
                </c:pt>
                <c:pt idx="330">
                  <c:v>9.3973255230777451E-6</c:v>
                </c:pt>
                <c:pt idx="331">
                  <c:v>9.4237039806863835E-6</c:v>
                </c:pt>
                <c:pt idx="332">
                  <c:v>9.464116297515383E-6</c:v>
                </c:pt>
                <c:pt idx="333">
                  <c:v>9.4869862903189325E-6</c:v>
                </c:pt>
                <c:pt idx="334">
                  <c:v>9.5218110520879736E-6</c:v>
                </c:pt>
                <c:pt idx="335">
                  <c:v>9.5433816134822303E-6</c:v>
                </c:pt>
                <c:pt idx="336">
                  <c:v>9.5845735891568048E-6</c:v>
                </c:pt>
                <c:pt idx="337">
                  <c:v>9.6071836956784953E-6</c:v>
                </c:pt>
                <c:pt idx="338">
                  <c:v>9.6355113004010729E-6</c:v>
                </c:pt>
                <c:pt idx="339">
                  <c:v>9.6522739655809479E-6</c:v>
                </c:pt>
                <c:pt idx="340">
                  <c:v>9.7064602553484495E-6</c:v>
                </c:pt>
                <c:pt idx="341">
                  <c:v>9.7090591181670333E-6</c:v>
                </c:pt>
                <c:pt idx="342">
                  <c:v>9.7290703618701384E-6</c:v>
                </c:pt>
                <c:pt idx="343">
                  <c:v>9.7368669503258947E-6</c:v>
                </c:pt>
                <c:pt idx="344">
                  <c:v>9.7603866588340889E-6</c:v>
                </c:pt>
                <c:pt idx="345">
                  <c:v>9.7918328989389713E-6</c:v>
                </c:pt>
                <c:pt idx="346">
                  <c:v>9.7959910794487066E-6</c:v>
                </c:pt>
                <c:pt idx="347">
                  <c:v>9.8093752229644196E-6</c:v>
                </c:pt>
                <c:pt idx="348">
                  <c:v>9.830945784358678E-6</c:v>
                </c:pt>
                <c:pt idx="349">
                  <c:v>9.8364033962777061E-6</c:v>
                </c:pt>
                <c:pt idx="350">
                  <c:v>9.8422508376195233E-6</c:v>
                </c:pt>
                <c:pt idx="351">
                  <c:v>9.8510869712027118E-6</c:v>
                </c:pt>
                <c:pt idx="352">
                  <c:v>9.8644711147184264E-6</c:v>
                </c:pt>
                <c:pt idx="353">
                  <c:v>9.8704484992011723E-6</c:v>
                </c:pt>
                <c:pt idx="354">
                  <c:v>9.870318556060242E-6</c:v>
                </c:pt>
                <c:pt idx="355">
                  <c:v>9.8946179234140128E-6</c:v>
                </c:pt>
                <c:pt idx="356">
                  <c:v>9.8800642916299374E-6</c:v>
                </c:pt>
                <c:pt idx="357">
                  <c:v>9.8868213349582581E-6</c:v>
                </c:pt>
                <c:pt idx="358">
                  <c:v>9.9008551941786175E-6</c:v>
                </c:pt>
                <c:pt idx="359">
                  <c:v>9.9031941707153457E-6</c:v>
                </c:pt>
                <c:pt idx="360">
                  <c:v>9.8976066156553874E-6</c:v>
                </c:pt>
                <c:pt idx="361">
                  <c:v>9.8953975822595894E-6</c:v>
                </c:pt>
                <c:pt idx="362">
                  <c:v>9.897736558796316E-6</c:v>
                </c:pt>
                <c:pt idx="363">
                  <c:v>9.8981263882191034E-6</c:v>
                </c:pt>
                <c:pt idx="364">
                  <c:v>9.9002054784739711E-6</c:v>
                </c:pt>
                <c:pt idx="365">
                  <c:v>9.9050133746883545E-6</c:v>
                </c:pt>
                <c:pt idx="366">
                  <c:v>9.9021546255879102E-6</c:v>
                </c:pt>
                <c:pt idx="367">
                  <c:v>9.9102111003255254E-6</c:v>
                </c:pt>
                <c:pt idx="368">
                  <c:v>9.9047534884064956E-6</c:v>
                </c:pt>
                <c:pt idx="369">
                  <c:v>9.9069625218022936E-6</c:v>
                </c:pt>
                <c:pt idx="370">
                  <c:v>9.8994258196283962E-6</c:v>
                </c:pt>
                <c:pt idx="371">
                  <c:v>9.9017647961651227E-6</c:v>
                </c:pt>
                <c:pt idx="372">
                  <c:v>9.9148890533989785E-6</c:v>
                </c:pt>
                <c:pt idx="373">
                  <c:v>9.9093014983390201E-6</c:v>
                </c:pt>
                <c:pt idx="374">
                  <c:v>9.9119003611576056E-6</c:v>
                </c:pt>
                <c:pt idx="375">
                  <c:v>9.9087817257753024E-6</c:v>
                </c:pt>
                <c:pt idx="376">
                  <c:v>9.9190472339087138E-6</c:v>
                </c:pt>
                <c:pt idx="377">
                  <c:v>9.9093014983390201E-6</c:v>
                </c:pt>
                <c:pt idx="378">
                  <c:v>9.9085218394934452E-6</c:v>
                </c:pt>
                <c:pt idx="379">
                  <c:v>9.9125500768622502E-6</c:v>
                </c:pt>
                <c:pt idx="380">
                  <c:v>9.9177478024994211E-6</c:v>
                </c:pt>
                <c:pt idx="381">
                  <c:v>9.9020246824469816E-6</c:v>
                </c:pt>
                <c:pt idx="382">
                  <c:v>9.9065726923795061E-6</c:v>
                </c:pt>
                <c:pt idx="383">
                  <c:v>9.9061828629567169E-6</c:v>
                </c:pt>
                <c:pt idx="384">
                  <c:v>9.9124201337213216E-6</c:v>
                </c:pt>
                <c:pt idx="385">
                  <c:v>9.913069849425968E-6</c:v>
                </c:pt>
                <c:pt idx="386">
                  <c:v>9.9051433178292831E-6</c:v>
                </c:pt>
                <c:pt idx="387">
                  <c:v>9.9151489396808357E-6</c:v>
                </c:pt>
                <c:pt idx="388">
                  <c:v>9.9241150164049544E-6</c:v>
                </c:pt>
                <c:pt idx="389">
                  <c:v>9.9086517826343738E-6</c:v>
                </c:pt>
                <c:pt idx="390">
                  <c:v>9.9143692808352607E-6</c:v>
                </c:pt>
                <c:pt idx="391">
                  <c:v>9.9090416120571613E-6</c:v>
                </c:pt>
                <c:pt idx="392">
                  <c:v>9.9219059830091565E-6</c:v>
                </c:pt>
                <c:pt idx="393">
                  <c:v>9.9072224080841508E-6</c:v>
                </c:pt>
                <c:pt idx="394">
                  <c:v>9.9225556987138028E-6</c:v>
                </c:pt>
                <c:pt idx="395">
                  <c:v>9.9115105317348164E-6</c:v>
                </c:pt>
                <c:pt idx="396">
                  <c:v>9.9057930335339295E-6</c:v>
                </c:pt>
                <c:pt idx="397">
                  <c:v>9.915278882821766E-6</c:v>
                </c:pt>
                <c:pt idx="398">
                  <c:v>9.9124201337213216E-6</c:v>
                </c:pt>
                <c:pt idx="399">
                  <c:v>9.9102111003255254E-6</c:v>
                </c:pt>
                <c:pt idx="400">
                  <c:v>9.9094314414799487E-6</c:v>
                </c:pt>
                <c:pt idx="401">
                  <c:v>9.9106009297483129E-6</c:v>
                </c:pt>
                <c:pt idx="402">
                  <c:v>9.9178777456403514E-6</c:v>
                </c:pt>
                <c:pt idx="403">
                  <c:v>9.9164483710901284E-6</c:v>
                </c:pt>
                <c:pt idx="404">
                  <c:v>9.9228155849956617E-6</c:v>
                </c:pt>
                <c:pt idx="405">
                  <c:v>9.9147591102580482E-6</c:v>
                </c:pt>
                <c:pt idx="406">
                  <c:v>9.9150189965399071E-6</c:v>
                </c:pt>
                <c:pt idx="407">
                  <c:v>9.9242449595458847E-6</c:v>
                </c:pt>
                <c:pt idx="408">
                  <c:v>9.9159285985264123E-6</c:v>
                </c:pt>
                <c:pt idx="409">
                  <c:v>9.9122901905803931E-6</c:v>
                </c:pt>
                <c:pt idx="410">
                  <c:v>9.9148890533989768E-6</c:v>
                </c:pt>
                <c:pt idx="411">
                  <c:v>9.9080020669297274E-6</c:v>
                </c:pt>
                <c:pt idx="412">
                  <c:v>9.9163184279491998E-6</c:v>
                </c:pt>
                <c:pt idx="413">
                  <c:v>9.9164483710901284E-6</c:v>
                </c:pt>
                <c:pt idx="414">
                  <c:v>9.9185274613449961E-6</c:v>
                </c:pt>
                <c:pt idx="415">
                  <c:v>9.91800768878128E-6</c:v>
                </c:pt>
                <c:pt idx="416">
                  <c:v>9.9224257555728742E-6</c:v>
                </c:pt>
                <c:pt idx="417">
                  <c:v>9.9194370633315013E-6</c:v>
                </c:pt>
                <c:pt idx="418">
                  <c:v>9.9146291671171196E-6</c:v>
                </c:pt>
                <c:pt idx="419">
                  <c:v>9.9129399062850394E-6</c:v>
                </c:pt>
                <c:pt idx="420">
                  <c:v>9.9121602474394628E-6</c:v>
                </c:pt>
                <c:pt idx="421">
                  <c:v>9.9290528557602664E-6</c:v>
                </c:pt>
                <c:pt idx="422">
                  <c:v>9.9269737655053987E-6</c:v>
                </c:pt>
                <c:pt idx="423">
                  <c:v>9.9208664378817243E-6</c:v>
                </c:pt>
                <c:pt idx="424">
                  <c:v>9.9102111003255237E-6</c:v>
                </c:pt>
                <c:pt idx="425">
                  <c:v>9.9148890533989785E-6</c:v>
                </c:pt>
                <c:pt idx="426">
                  <c:v>9.9189172907677852E-6</c:v>
                </c:pt>
                <c:pt idx="427">
                  <c:v>9.9204766084589351E-6</c:v>
                </c:pt>
                <c:pt idx="428">
                  <c:v>9.9203466653180066E-6</c:v>
                </c:pt>
                <c:pt idx="429">
                  <c:v>9.9193071201905727E-6</c:v>
                </c:pt>
                <c:pt idx="430">
                  <c:v>9.91800768878128E-6</c:v>
                </c:pt>
                <c:pt idx="431">
                  <c:v>9.9237251869821669E-6</c:v>
                </c:pt>
                <c:pt idx="432">
                  <c:v>9.9164483710901284E-6</c:v>
                </c:pt>
                <c:pt idx="433">
                  <c:v>9.9265839360826096E-6</c:v>
                </c:pt>
                <c:pt idx="434">
                  <c:v>9.9222958124319456E-6</c:v>
                </c:pt>
                <c:pt idx="435">
                  <c:v>9.9189172907677835E-6</c:v>
                </c:pt>
                <c:pt idx="436">
                  <c:v>9.9159285985264123E-6</c:v>
                </c:pt>
                <c:pt idx="437">
                  <c:v>9.9159285985264123E-6</c:v>
                </c:pt>
                <c:pt idx="438">
                  <c:v>9.9295726283239842E-6</c:v>
                </c:pt>
                <c:pt idx="439">
                  <c:v>9.9265839360826113E-6</c:v>
                </c:pt>
                <c:pt idx="440">
                  <c:v>9.9196969496133602E-6</c:v>
                </c:pt>
                <c:pt idx="441">
                  <c:v>9.915278882821766E-6</c:v>
                </c:pt>
                <c:pt idx="442">
                  <c:v>9.9167082573719873E-6</c:v>
                </c:pt>
                <c:pt idx="443">
                  <c:v>9.9169681436538462E-6</c:v>
                </c:pt>
                <c:pt idx="444">
                  <c:v>9.9177478024994211E-6</c:v>
                </c:pt>
                <c:pt idx="445">
                  <c:v>9.9186574044859264E-6</c:v>
                </c:pt>
                <c:pt idx="446">
                  <c:v>9.9125500768622502E-6</c:v>
                </c:pt>
                <c:pt idx="447">
                  <c:v>9.9191771770496424E-6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6F-4732-AD6F-A825DF026D9F}"/>
            </c:ext>
          </c:extLst>
        </c:ser>
        <c:ser>
          <c:idx val="1"/>
          <c:order val="1"/>
          <c:tx>
            <c:v>Site1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VbiasDAC_Isweep!$C$4:$C$451</c:f>
              <c:numCache>
                <c:formatCode>0.00E+00</c:formatCode>
                <c:ptCount val="448"/>
                <c:pt idx="0">
                  <c:v>1.3680126922909564E-9</c:v>
                </c:pt>
                <c:pt idx="1">
                  <c:v>3.7533317127794322E-9</c:v>
                </c:pt>
                <c:pt idx="2">
                  <c:v>8.3047782761979815E-9</c:v>
                </c:pt>
                <c:pt idx="3">
                  <c:v>1.1399246194669517E-8</c:v>
                </c:pt>
                <c:pt idx="4">
                  <c:v>1.8168394766325998E-8</c:v>
                </c:pt>
                <c:pt idx="5">
                  <c:v>2.199779881543452E-8</c:v>
                </c:pt>
                <c:pt idx="6">
                  <c:v>2.6446096448237353E-8</c:v>
                </c:pt>
                <c:pt idx="7">
                  <c:v>3.1074904709617688E-8</c:v>
                </c:pt>
                <c:pt idx="8">
                  <c:v>3.545873426078569E-8</c:v>
                </c:pt>
                <c:pt idx="9">
                  <c:v>4.0525925477282831E-8</c:v>
                </c:pt>
                <c:pt idx="10">
                  <c:v>4.5103159273355311E-8</c:v>
                </c:pt>
                <c:pt idx="11">
                  <c:v>5.0776350457219792E-8</c:v>
                </c:pt>
                <c:pt idx="12">
                  <c:v>5.7184477771721264E-8</c:v>
                </c:pt>
                <c:pt idx="13">
                  <c:v>6.1980903045352139E-8</c:v>
                </c:pt>
                <c:pt idx="14">
                  <c:v>6.6944945331233551E-8</c:v>
                </c:pt>
                <c:pt idx="15">
                  <c:v>7.2579455666117139E-8</c:v>
                </c:pt>
                <c:pt idx="16">
                  <c:v>7.7414561788728921E-8</c:v>
                </c:pt>
                <c:pt idx="17">
                  <c:v>8.2649370017476599E-8</c:v>
                </c:pt>
                <c:pt idx="18">
                  <c:v>8.771656123397374E-8</c:v>
                </c:pt>
                <c:pt idx="19">
                  <c:v>9.3918390687243761E-8</c:v>
                </c:pt>
                <c:pt idx="20">
                  <c:v>1.0242817746304049E-7</c:v>
                </c:pt>
                <c:pt idx="21">
                  <c:v>1.0763719845913424E-7</c:v>
                </c:pt>
                <c:pt idx="22">
                  <c:v>1.1441924064711768E-7</c:v>
                </c:pt>
                <c:pt idx="23">
                  <c:v>1.1969272972484628E-7</c:v>
                </c:pt>
                <c:pt idx="24">
                  <c:v>1.2319979336578068E-7</c:v>
                </c:pt>
                <c:pt idx="25">
                  <c:v>1.2913085687618446E-7</c:v>
                </c:pt>
                <c:pt idx="26">
                  <c:v>1.3601604799478361E-7</c:v>
                </c:pt>
                <c:pt idx="27">
                  <c:v>1.4149583493374362E-7</c:v>
                </c:pt>
                <c:pt idx="28">
                  <c:v>1.4992826001157855E-7</c:v>
                </c:pt>
                <c:pt idx="29">
                  <c:v>1.5665872773425415E-7</c:v>
                </c:pt>
                <c:pt idx="30">
                  <c:v>1.6310553589773651E-7</c:v>
                </c:pt>
                <c:pt idx="31">
                  <c:v>1.6942340789794922E-7</c:v>
                </c:pt>
                <c:pt idx="32">
                  <c:v>1.7098353547351196E-7</c:v>
                </c:pt>
                <c:pt idx="33">
                  <c:v>1.7749481171862915E-7</c:v>
                </c:pt>
                <c:pt idx="34">
                  <c:v>1.8417370497599687E-7</c:v>
                </c:pt>
                <c:pt idx="35">
                  <c:v>1.9029817273130513E-7</c:v>
                </c:pt>
                <c:pt idx="36">
                  <c:v>1.9910451268262204E-7</c:v>
                </c:pt>
                <c:pt idx="37">
                  <c:v>2.0542238468283475E-7</c:v>
                </c:pt>
                <c:pt idx="38">
                  <c:v>2.1362272466678432E-7</c:v>
                </c:pt>
                <c:pt idx="39">
                  <c:v>2.200308519812858E-7</c:v>
                </c:pt>
                <c:pt idx="40">
                  <c:v>2.2415680920591449E-7</c:v>
                </c:pt>
                <c:pt idx="41">
                  <c:v>2.3118383010411028E-7</c:v>
                </c:pt>
                <c:pt idx="42">
                  <c:v>2.3846872332884531E-7</c:v>
                </c:pt>
                <c:pt idx="43">
                  <c:v>2.4481238256171196E-7</c:v>
                </c:pt>
                <c:pt idx="44">
                  <c:v>2.5408289270079961E-7</c:v>
                </c:pt>
                <c:pt idx="45">
                  <c:v>2.6011710514181911E-7</c:v>
                </c:pt>
                <c:pt idx="46">
                  <c:v>2.6791774301963274E-7</c:v>
                </c:pt>
                <c:pt idx="47">
                  <c:v>2.7595046599133176E-7</c:v>
                </c:pt>
                <c:pt idx="48">
                  <c:v>2.810950189057907E-7</c:v>
                </c:pt>
                <c:pt idx="49">
                  <c:v>2.873484228243686E-7</c:v>
                </c:pt>
                <c:pt idx="50">
                  <c:v>2.9450437988583399E-7</c:v>
                </c:pt>
                <c:pt idx="51">
                  <c:v>3.0128642207381745E-7</c:v>
                </c:pt>
                <c:pt idx="52">
                  <c:v>3.1188497469458248E-7</c:v>
                </c:pt>
                <c:pt idx="53">
                  <c:v>3.1995637851526238E-7</c:v>
                </c:pt>
                <c:pt idx="54">
                  <c:v>3.2553931438483813E-7</c:v>
                </c:pt>
                <c:pt idx="55">
                  <c:v>3.3322390971570907E-7</c:v>
                </c:pt>
                <c:pt idx="56">
                  <c:v>3.3751748395258834E-7</c:v>
                </c:pt>
                <c:pt idx="57">
                  <c:v>3.4432531337322575E-7</c:v>
                </c:pt>
                <c:pt idx="58">
                  <c:v>3.528995682306573E-7</c:v>
                </c:pt>
                <c:pt idx="59">
                  <c:v>3.6001684444314181E-7</c:v>
                </c:pt>
                <c:pt idx="60">
                  <c:v>3.6918420565161375E-7</c:v>
                </c:pt>
                <c:pt idx="61">
                  <c:v>3.7712667330902403E-7</c:v>
                </c:pt>
                <c:pt idx="62">
                  <c:v>3.8348322615821759E-7</c:v>
                </c:pt>
                <c:pt idx="63">
                  <c:v>3.9016211941558534E-7</c:v>
                </c:pt>
                <c:pt idx="64">
                  <c:v>3.9680233182397215E-7</c:v>
                </c:pt>
                <c:pt idx="65">
                  <c:v>4.0308152297520401E-7</c:v>
                </c:pt>
                <c:pt idx="66">
                  <c:v>4.1054692682851654E-7</c:v>
                </c:pt>
                <c:pt idx="67">
                  <c:v>4.1881173489410095E-7</c:v>
                </c:pt>
                <c:pt idx="68">
                  <c:v>4.296165853760974E-7</c:v>
                </c:pt>
                <c:pt idx="69">
                  <c:v>4.3464509574361365E-7</c:v>
                </c:pt>
                <c:pt idx="70">
                  <c:v>4.4262624425000481E-7</c:v>
                </c:pt>
                <c:pt idx="71">
                  <c:v>4.4933092474002646E-7</c:v>
                </c:pt>
                <c:pt idx="72">
                  <c:v>4.5536513718104596E-7</c:v>
                </c:pt>
                <c:pt idx="73">
                  <c:v>4.6320445590784052E-7</c:v>
                </c:pt>
                <c:pt idx="74">
                  <c:v>4.700896470264397E-7</c:v>
                </c:pt>
                <c:pt idx="75">
                  <c:v>4.7831577424304317E-7</c:v>
                </c:pt>
                <c:pt idx="76">
                  <c:v>4.8914641195769358E-7</c:v>
                </c:pt>
                <c:pt idx="77">
                  <c:v>4.9490985845584686E-7</c:v>
                </c:pt>
                <c:pt idx="78">
                  <c:v>5.0312309205612336E-7</c:v>
                </c:pt>
                <c:pt idx="79">
                  <c:v>5.1057560229310902E-7</c:v>
                </c:pt>
                <c:pt idx="80">
                  <c:v>5.1795075083213281E-7</c:v>
                </c:pt>
                <c:pt idx="81">
                  <c:v>5.2363683563232423E-7</c:v>
                </c:pt>
                <c:pt idx="82">
                  <c:v>5.3071543099582786E-7</c:v>
                </c:pt>
                <c:pt idx="83">
                  <c:v>5.3983121773899194E-7</c:v>
                </c:pt>
                <c:pt idx="84">
                  <c:v>5.4947564275156158E-7</c:v>
                </c:pt>
                <c:pt idx="85">
                  <c:v>5.5699262107018202E-7</c:v>
                </c:pt>
                <c:pt idx="86">
                  <c:v>5.6572159932353709E-7</c:v>
                </c:pt>
                <c:pt idx="87">
                  <c:v>5.7398640738912149E-7</c:v>
                </c:pt>
                <c:pt idx="88">
                  <c:v>5.7914385391990736E-7</c:v>
                </c:pt>
                <c:pt idx="89">
                  <c:v>5.8752470453243446E-7</c:v>
                </c:pt>
                <c:pt idx="90">
                  <c:v>5.9500300200207397E-7</c:v>
                </c:pt>
                <c:pt idx="91">
                  <c:v>6.022492143778282E-7</c:v>
                </c:pt>
                <c:pt idx="92">
                  <c:v>6.1243517127613026E-7</c:v>
                </c:pt>
                <c:pt idx="93">
                  <c:v>6.2152517078664049E-7</c:v>
                </c:pt>
                <c:pt idx="94">
                  <c:v>6.3065385114613144E-7</c:v>
                </c:pt>
                <c:pt idx="95">
                  <c:v>6.3769376566065424E-7</c:v>
                </c:pt>
                <c:pt idx="96">
                  <c:v>6.3949887194642931E-7</c:v>
                </c:pt>
                <c:pt idx="97">
                  <c:v>6.4777657362834058E-7</c:v>
                </c:pt>
                <c:pt idx="98">
                  <c:v>6.5535802002859592E-7</c:v>
                </c:pt>
                <c:pt idx="99">
                  <c:v>6.6455116846972176E-7</c:v>
                </c:pt>
                <c:pt idx="100">
                  <c:v>6.7548495511498778E-7</c:v>
                </c:pt>
                <c:pt idx="101">
                  <c:v>6.8325980576014756E-7</c:v>
                </c:pt>
                <c:pt idx="102">
                  <c:v>6.9129252873184658E-7</c:v>
                </c:pt>
                <c:pt idx="103">
                  <c:v>6.9908027299333324E-7</c:v>
                </c:pt>
                <c:pt idx="104">
                  <c:v>7.0544971945885383E-7</c:v>
                </c:pt>
                <c:pt idx="105">
                  <c:v>7.1424316579384379E-7</c:v>
                </c:pt>
                <c:pt idx="106">
                  <c:v>7.221727398349272E-7</c:v>
                </c:pt>
                <c:pt idx="107">
                  <c:v>7.314432499740148E-7</c:v>
                </c:pt>
                <c:pt idx="108">
                  <c:v>7.4046878140289004E-7</c:v>
                </c:pt>
                <c:pt idx="109">
                  <c:v>7.4893988732970588E-7</c:v>
                </c:pt>
                <c:pt idx="110">
                  <c:v>7.5728205709325204E-7</c:v>
                </c:pt>
                <c:pt idx="111">
                  <c:v>7.6541792899556688E-7</c:v>
                </c:pt>
                <c:pt idx="112">
                  <c:v>7.7298648177949513E-7</c:v>
                </c:pt>
                <c:pt idx="113">
                  <c:v>7.8006507714299875E-7</c:v>
                </c:pt>
                <c:pt idx="114">
                  <c:v>7.8827831074327525E-7</c:v>
                </c:pt>
                <c:pt idx="115">
                  <c:v>7.9575660821291486E-7</c:v>
                </c:pt>
                <c:pt idx="116">
                  <c:v>8.075800543847415E-7</c:v>
                </c:pt>
                <c:pt idx="117">
                  <c:v>8.1326613918493291E-7</c:v>
                </c:pt>
                <c:pt idx="118">
                  <c:v>8.2405809605060239E-7</c:v>
                </c:pt>
                <c:pt idx="119">
                  <c:v>8.3353490405092143E-7</c:v>
                </c:pt>
                <c:pt idx="120">
                  <c:v>8.4040720155319373E-7</c:v>
                </c:pt>
                <c:pt idx="121">
                  <c:v>8.4517783959417058E-7</c:v>
                </c:pt>
                <c:pt idx="122">
                  <c:v>8.5359737105567861E-7</c:v>
                </c:pt>
                <c:pt idx="123">
                  <c:v>8.627647322641505E-7</c:v>
                </c:pt>
                <c:pt idx="124">
                  <c:v>8.745494975869963E-7</c:v>
                </c:pt>
                <c:pt idx="125">
                  <c:v>8.8042898663209217E-7</c:v>
                </c:pt>
                <c:pt idx="126">
                  <c:v>8.883456670568485E-7</c:v>
                </c:pt>
                <c:pt idx="127">
                  <c:v>8.9782247505716764E-7</c:v>
                </c:pt>
                <c:pt idx="128">
                  <c:v>8.6144806251228636E-7</c:v>
                </c:pt>
                <c:pt idx="129">
                  <c:v>8.7651867779908705E-7</c:v>
                </c:pt>
                <c:pt idx="130">
                  <c:v>8.9171921218318781E-7</c:v>
                </c:pt>
                <c:pt idx="131">
                  <c:v>9.1198659136198882E-7</c:v>
                </c:pt>
                <c:pt idx="132">
                  <c:v>9.2926583130288964E-7</c:v>
                </c:pt>
                <c:pt idx="133">
                  <c:v>9.4160814554639016E-7</c:v>
                </c:pt>
                <c:pt idx="134">
                  <c:v>9.5836770909809115E-7</c:v>
                </c:pt>
                <c:pt idx="135">
                  <c:v>9.8058387473639216E-7</c:v>
                </c:pt>
                <c:pt idx="136">
                  <c:v>9.866900723094925E-7</c:v>
                </c:pt>
                <c:pt idx="137">
                  <c:v>1.0008512539151932E-6</c:v>
                </c:pt>
                <c:pt idx="138">
                  <c:v>1.0226776622615943E-6</c:v>
                </c:pt>
                <c:pt idx="139">
                  <c:v>1.0407364167862952E-6</c:v>
                </c:pt>
                <c:pt idx="140">
                  <c:v>1.0629525824245962E-6</c:v>
                </c:pt>
                <c:pt idx="141">
                  <c:v>1.0717870810409965E-6</c:v>
                </c:pt>
                <c:pt idx="142">
                  <c:v>1.0912749456359975E-6</c:v>
                </c:pt>
                <c:pt idx="143">
                  <c:v>1.1154398977337988E-6</c:v>
                </c:pt>
                <c:pt idx="144">
                  <c:v>1.120506742528499E-6</c:v>
                </c:pt>
                <c:pt idx="145">
                  <c:v>1.1392150925396997E-6</c:v>
                </c:pt>
                <c:pt idx="146">
                  <c:v>1.1532463550481004E-6</c:v>
                </c:pt>
                <c:pt idx="147">
                  <c:v>1.1726043005458015E-6</c:v>
                </c:pt>
                <c:pt idx="148">
                  <c:v>1.1962495762544025E-6</c:v>
                </c:pt>
                <c:pt idx="149">
                  <c:v>1.2088517286925032E-6</c:v>
                </c:pt>
                <c:pt idx="150">
                  <c:v>1.2249616967577039E-6</c:v>
                </c:pt>
                <c:pt idx="151">
                  <c:v>1.2397724738499048E-6</c:v>
                </c:pt>
                <c:pt idx="152">
                  <c:v>1.2512053544123053E-6</c:v>
                </c:pt>
                <c:pt idx="153">
                  <c:v>1.2638075068504058E-6</c:v>
                </c:pt>
                <c:pt idx="154">
                  <c:v>1.287972458948207E-6</c:v>
                </c:pt>
                <c:pt idx="155">
                  <c:v>1.3013541259701075E-6</c:v>
                </c:pt>
                <c:pt idx="156">
                  <c:v>1.3252592398733089E-6</c:v>
                </c:pt>
                <c:pt idx="157">
                  <c:v>1.3446171853710097E-6</c:v>
                </c:pt>
                <c:pt idx="158">
                  <c:v>1.3621562635065106E-6</c:v>
                </c:pt>
                <c:pt idx="159">
                  <c:v>1.3817740471988114E-6</c:v>
                </c:pt>
                <c:pt idx="160">
                  <c:v>1.3851519437286118E-6</c:v>
                </c:pt>
                <c:pt idx="161">
                  <c:v>1.3980139343613124E-6</c:v>
                </c:pt>
                <c:pt idx="162">
                  <c:v>1.4128247114535131E-6</c:v>
                </c:pt>
                <c:pt idx="163">
                  <c:v>1.4308834659782138E-6</c:v>
                </c:pt>
                <c:pt idx="164">
                  <c:v>1.4511508451570148E-6</c:v>
                </c:pt>
                <c:pt idx="165">
                  <c:v>1.4662214604438156E-6</c:v>
                </c:pt>
                <c:pt idx="166">
                  <c:v>1.4902564934443168E-6</c:v>
                </c:pt>
                <c:pt idx="167">
                  <c:v>1.5037680795635173E-6</c:v>
                </c:pt>
                <c:pt idx="168">
                  <c:v>1.5111734681096176E-6</c:v>
                </c:pt>
                <c:pt idx="169">
                  <c:v>1.5285826271478185E-6</c:v>
                </c:pt>
                <c:pt idx="170">
                  <c:v>1.5539168511213198E-6</c:v>
                </c:pt>
                <c:pt idx="171">
                  <c:v>1.5640505407107203E-6</c:v>
                </c:pt>
                <c:pt idx="172">
                  <c:v>1.5857470299598213E-6</c:v>
                </c:pt>
                <c:pt idx="173">
                  <c:v>1.5996483733709218E-6</c:v>
                </c:pt>
                <c:pt idx="174">
                  <c:v>1.623813325468723E-6</c:v>
                </c:pt>
                <c:pt idx="175">
                  <c:v>1.6353761251284237E-6</c:v>
                </c:pt>
                <c:pt idx="176">
                  <c:v>1.6475885202746244E-6</c:v>
                </c:pt>
                <c:pt idx="177">
                  <c:v>1.664348083826325E-6</c:v>
                </c:pt>
                <c:pt idx="178">
                  <c:v>1.6856548157835261E-6</c:v>
                </c:pt>
                <c:pt idx="179">
                  <c:v>1.7089103342002272E-6</c:v>
                </c:pt>
                <c:pt idx="180">
                  <c:v>1.723331354000528E-6</c:v>
                </c:pt>
                <c:pt idx="181">
                  <c:v>1.7445081668604289E-6</c:v>
                </c:pt>
                <c:pt idx="182">
                  <c:v>1.7642558696500299E-6</c:v>
                </c:pt>
                <c:pt idx="183">
                  <c:v>1.7856925207045308E-6</c:v>
                </c:pt>
                <c:pt idx="184">
                  <c:v>1.789330255428931E-6</c:v>
                </c:pt>
                <c:pt idx="185">
                  <c:v>1.8088181200239319E-6</c:v>
                </c:pt>
                <c:pt idx="186">
                  <c:v>1.8283059846189329E-6</c:v>
                </c:pt>
                <c:pt idx="187">
                  <c:v>1.8440261953922337E-6</c:v>
                </c:pt>
                <c:pt idx="188">
                  <c:v>1.8635140599872346E-6</c:v>
                </c:pt>
                <c:pt idx="189">
                  <c:v>1.8826121672903353E-6</c:v>
                </c:pt>
                <c:pt idx="190">
                  <c:v>1.9033992228583364E-6</c:v>
                </c:pt>
                <c:pt idx="191">
                  <c:v>1.9122337214747369E-6</c:v>
                </c:pt>
                <c:pt idx="192">
                  <c:v>1.8136251266240322E-6</c:v>
                </c:pt>
                <c:pt idx="193">
                  <c:v>1.8396089460840335E-6</c:v>
                </c:pt>
                <c:pt idx="194">
                  <c:v>1.8750768596469353E-6</c:v>
                </c:pt>
                <c:pt idx="195">
                  <c:v>1.9048283329286368E-6</c:v>
                </c:pt>
                <c:pt idx="196">
                  <c:v>1.9569258909459392E-6</c:v>
                </c:pt>
                <c:pt idx="197">
                  <c:v>1.9908347753412409E-6</c:v>
                </c:pt>
                <c:pt idx="198">
                  <c:v>2.0178579475796418E-6</c:v>
                </c:pt>
                <c:pt idx="199">
                  <c:v>2.0542352948236439E-6</c:v>
                </c:pt>
                <c:pt idx="200">
                  <c:v>2.0882740983162455E-6</c:v>
                </c:pt>
                <c:pt idx="201">
                  <c:v>2.1159468660411466E-6</c:v>
                </c:pt>
                <c:pt idx="202">
                  <c:v>2.1406314945281479E-6</c:v>
                </c:pt>
                <c:pt idx="203">
                  <c:v>2.1779182754532497E-6</c:v>
                </c:pt>
                <c:pt idx="204">
                  <c:v>2.2233899595082518E-6</c:v>
                </c:pt>
                <c:pt idx="205">
                  <c:v>2.2552201383467533E-6</c:v>
                </c:pt>
                <c:pt idx="206">
                  <c:v>2.2904282137150553E-6</c:v>
                </c:pt>
                <c:pt idx="207">
                  <c:v>2.3274551564455568E-6</c:v>
                </c:pt>
                <c:pt idx="208">
                  <c:v>2.3543484095866582E-6</c:v>
                </c:pt>
                <c:pt idx="209">
                  <c:v>2.3830605300899594E-6</c:v>
                </c:pt>
                <c:pt idx="210">
                  <c:v>2.4160599808041614E-6</c:v>
                </c:pt>
                <c:pt idx="211">
                  <c:v>2.4480200787399628E-6</c:v>
                </c:pt>
                <c:pt idx="212">
                  <c:v>2.4872556461245648E-6</c:v>
                </c:pt>
                <c:pt idx="213">
                  <c:v>2.5259715371199666E-6</c:v>
                </c:pt>
                <c:pt idx="214">
                  <c:v>2.5594906642233679E-6</c:v>
                </c:pt>
                <c:pt idx="215">
                  <c:v>2.5874232701428694E-6</c:v>
                </c:pt>
                <c:pt idx="216">
                  <c:v>2.6135370087001706E-6</c:v>
                </c:pt>
                <c:pt idx="217">
                  <c:v>2.660827560117373E-6</c:v>
                </c:pt>
                <c:pt idx="218">
                  <c:v>2.6882404896476742E-6</c:v>
                </c:pt>
                <c:pt idx="219">
                  <c:v>2.7276059761295762E-6</c:v>
                </c:pt>
                <c:pt idx="220">
                  <c:v>2.7603455886491778E-6</c:v>
                </c:pt>
                <c:pt idx="221">
                  <c:v>2.7998409942283797E-6</c:v>
                </c:pt>
                <c:pt idx="222">
                  <c:v>2.8423245390454819E-6</c:v>
                </c:pt>
                <c:pt idx="223">
                  <c:v>2.8618124036404828E-6</c:v>
                </c:pt>
                <c:pt idx="224">
                  <c:v>2.869997306770383E-6</c:v>
                </c:pt>
                <c:pt idx="225">
                  <c:v>2.8948118543546843E-6</c:v>
                </c:pt>
                <c:pt idx="226">
                  <c:v>2.9418425675772863E-6</c:v>
                </c:pt>
                <c:pt idx="227">
                  <c:v>2.9639288141182875E-6</c:v>
                </c:pt>
                <c:pt idx="228">
                  <c:v>3.0113492846327899E-6</c:v>
                </c:pt>
                <c:pt idx="229">
                  <c:v>3.0457778454172913E-6</c:v>
                </c:pt>
                <c:pt idx="230">
                  <c:v>3.0815055971747932E-6</c:v>
                </c:pt>
                <c:pt idx="231">
                  <c:v>3.1100877985807945E-6</c:v>
                </c:pt>
                <c:pt idx="232">
                  <c:v>3.1333433169974958E-6</c:v>
                </c:pt>
                <c:pt idx="233">
                  <c:v>3.1682915541711975E-6</c:v>
                </c:pt>
                <c:pt idx="234">
                  <c:v>3.2096058271125993E-6</c:v>
                </c:pt>
                <c:pt idx="235">
                  <c:v>3.2351998892807007E-6</c:v>
                </c:pt>
                <c:pt idx="236">
                  <c:v>3.2879470427845034E-6</c:v>
                </c:pt>
                <c:pt idx="237">
                  <c:v>3.3148402959256043E-6</c:v>
                </c:pt>
                <c:pt idx="238">
                  <c:v>3.3600521417860065E-6</c:v>
                </c:pt>
                <c:pt idx="239">
                  <c:v>3.3924019970137082E-6</c:v>
                </c:pt>
                <c:pt idx="240">
                  <c:v>3.4083820459816089E-6</c:v>
                </c:pt>
                <c:pt idx="241">
                  <c:v>3.4438499595445105E-6</c:v>
                </c:pt>
                <c:pt idx="242">
                  <c:v>3.4971167894375134E-6</c:v>
                </c:pt>
                <c:pt idx="243">
                  <c:v>3.5223210943137145E-6</c:v>
                </c:pt>
                <c:pt idx="244">
                  <c:v>3.5496041047467158E-6</c:v>
                </c:pt>
                <c:pt idx="245">
                  <c:v>3.5813043644879169E-6</c:v>
                </c:pt>
                <c:pt idx="246">
                  <c:v>3.6308035405592194E-6</c:v>
                </c:pt>
                <c:pt idx="247">
                  <c:v>3.6556180881435206E-6</c:v>
                </c:pt>
                <c:pt idx="248">
                  <c:v>3.6878380242739224E-6</c:v>
                </c:pt>
                <c:pt idx="249">
                  <c:v>3.7252547242963241E-6</c:v>
                </c:pt>
                <c:pt idx="250">
                  <c:v>3.7482504045184251E-6</c:v>
                </c:pt>
                <c:pt idx="251">
                  <c:v>3.7841080753732269E-6</c:v>
                </c:pt>
                <c:pt idx="252">
                  <c:v>3.8333474132499291E-6</c:v>
                </c:pt>
                <c:pt idx="253">
                  <c:v>3.8714137087588315E-6</c:v>
                </c:pt>
                <c:pt idx="254">
                  <c:v>3.8955786608566321E-6</c:v>
                </c:pt>
                <c:pt idx="255">
                  <c:v>3.9446880796360347E-6</c:v>
                </c:pt>
                <c:pt idx="256">
                  <c:v>3.9413101831062341E-6</c:v>
                </c:pt>
                <c:pt idx="257">
                  <c:v>3.9815851032692362E-6</c:v>
                </c:pt>
                <c:pt idx="258">
                  <c:v>4.0169230977348382E-6</c:v>
                </c:pt>
                <c:pt idx="259">
                  <c:v>4.0466745710165399E-6</c:v>
                </c:pt>
                <c:pt idx="260">
                  <c:v>4.0911069022931424E-6</c:v>
                </c:pt>
                <c:pt idx="261">
                  <c:v>4.1311219842615437E-6</c:v>
                </c:pt>
                <c:pt idx="262">
                  <c:v>4.1603537811540448E-6</c:v>
                </c:pt>
                <c:pt idx="263">
                  <c:v>4.1930933936736468E-6</c:v>
                </c:pt>
                <c:pt idx="264">
                  <c:v>4.2224551096634482E-6</c:v>
                </c:pt>
                <c:pt idx="265">
                  <c:v>4.2541553694046497E-6</c:v>
                </c:pt>
                <c:pt idx="266">
                  <c:v>4.2962491569298512E-6</c:v>
                </c:pt>
                <c:pt idx="267">
                  <c:v>4.3327564232711533E-6</c:v>
                </c:pt>
                <c:pt idx="268">
                  <c:v>4.3696534469043548E-6</c:v>
                </c:pt>
                <c:pt idx="269">
                  <c:v>4.412266910818757E-6</c:v>
                </c:pt>
                <c:pt idx="270">
                  <c:v>4.4426679795869589E-6</c:v>
                </c:pt>
                <c:pt idx="271">
                  <c:v>4.4787854886363598E-6</c:v>
                </c:pt>
                <c:pt idx="272">
                  <c:v>4.5029504407341613E-6</c:v>
                </c:pt>
                <c:pt idx="273">
                  <c:v>4.535300295961863E-6</c:v>
                </c:pt>
                <c:pt idx="274">
                  <c:v>4.5775240025843649E-6</c:v>
                </c:pt>
                <c:pt idx="275">
                  <c:v>4.6159800553851667E-6</c:v>
                </c:pt>
                <c:pt idx="276">
                  <c:v>4.6553455418670687E-6</c:v>
                </c:pt>
                <c:pt idx="277">
                  <c:v>4.7056242325221714E-6</c:v>
                </c:pt>
                <c:pt idx="278">
                  <c:v>4.7278403981604722E-6</c:v>
                </c:pt>
                <c:pt idx="279">
                  <c:v>4.7605800106800742E-6</c:v>
                </c:pt>
                <c:pt idx="280">
                  <c:v>4.7965676006321756E-6</c:v>
                </c:pt>
                <c:pt idx="281">
                  <c:v>4.831126080513977E-6</c:v>
                </c:pt>
                <c:pt idx="282">
                  <c:v>4.8504840260116787E-6</c:v>
                </c:pt>
                <c:pt idx="283">
                  <c:v>4.8962155482612807E-6</c:v>
                </c:pt>
                <c:pt idx="284">
                  <c:v>4.9328527336998823E-6</c:v>
                </c:pt>
                <c:pt idx="285">
                  <c:v>4.9642931552464839E-6</c:v>
                </c:pt>
                <c:pt idx="286">
                  <c:v>5.0247055354909867E-6</c:v>
                </c:pt>
                <c:pt idx="287">
                  <c:v>5.0402958271669875E-6</c:v>
                </c:pt>
                <c:pt idx="288">
                  <c:v>5.0358785778587873E-6</c:v>
                </c:pt>
                <c:pt idx="289">
                  <c:v>5.0830392101786892E-6</c:v>
                </c:pt>
                <c:pt idx="290">
                  <c:v>5.1298100852066918E-6</c:v>
                </c:pt>
                <c:pt idx="291">
                  <c:v>5.1646284032830931E-6</c:v>
                </c:pt>
                <c:pt idx="292">
                  <c:v>5.2045135661541949E-6</c:v>
                </c:pt>
                <c:pt idx="293">
                  <c:v>5.2319264956844966E-6</c:v>
                </c:pt>
                <c:pt idx="294">
                  <c:v>5.2720714967501983E-6</c:v>
                </c:pt>
                <c:pt idx="295">
                  <c:v>5.3219604301134006E-6</c:v>
                </c:pt>
                <c:pt idx="296">
                  <c:v>5.3367712072056017E-6</c:v>
                </c:pt>
                <c:pt idx="297">
                  <c:v>5.3706800916009029E-6</c:v>
                </c:pt>
                <c:pt idx="298">
                  <c:v>5.4041992187043047E-6</c:v>
                </c:pt>
                <c:pt idx="299">
                  <c:v>5.4592849159595079E-6</c:v>
                </c:pt>
                <c:pt idx="300">
                  <c:v>5.4846191399330085E-6</c:v>
                </c:pt>
                <c:pt idx="301">
                  <c:v>5.5321695295448108E-6</c:v>
                </c:pt>
                <c:pt idx="302">
                  <c:v>5.5641296274806122E-6</c:v>
                </c:pt>
                <c:pt idx="303">
                  <c:v>5.5830978156864137E-6</c:v>
                </c:pt>
                <c:pt idx="304">
                  <c:v>5.6254514414062159E-6</c:v>
                </c:pt>
                <c:pt idx="305">
                  <c:v>5.6758600511586181E-6</c:v>
                </c:pt>
                <c:pt idx="306">
                  <c:v>5.7014541133267195E-6</c:v>
                </c:pt>
                <c:pt idx="307">
                  <c:v>5.7526422376629214E-6</c:v>
                </c:pt>
                <c:pt idx="308">
                  <c:v>5.7810945199716227E-6</c:v>
                </c:pt>
                <c:pt idx="309">
                  <c:v>5.8157829189507245E-6</c:v>
                </c:pt>
                <c:pt idx="310">
                  <c:v>5.8513807516109265E-6</c:v>
                </c:pt>
                <c:pt idx="311">
                  <c:v>5.8952934064983282E-6</c:v>
                </c:pt>
                <c:pt idx="312">
                  <c:v>5.9177694103312298E-6</c:v>
                </c:pt>
                <c:pt idx="313">
                  <c:v>5.953107404796831E-6</c:v>
                </c:pt>
                <c:pt idx="314">
                  <c:v>5.9905241048192332E-6</c:v>
                </c:pt>
                <c:pt idx="315">
                  <c:v>6.0348265169985352E-6</c:v>
                </c:pt>
                <c:pt idx="316">
                  <c:v>6.0787391718859378E-6</c:v>
                </c:pt>
                <c:pt idx="317">
                  <c:v>6.1158960337137393E-6</c:v>
                </c:pt>
                <c:pt idx="318">
                  <c:v>6.1407105812980401E-6</c:v>
                </c:pt>
                <c:pt idx="319">
                  <c:v>6.1876113754233421E-6</c:v>
                </c:pt>
                <c:pt idx="320">
                  <c:v>6.1920286247315424E-6</c:v>
                </c:pt>
                <c:pt idx="321">
                  <c:v>6.2391892570514452E-6</c:v>
                </c:pt>
                <c:pt idx="322">
                  <c:v>6.2569881733815457E-6</c:v>
                </c:pt>
                <c:pt idx="323">
                  <c:v>6.2973930126418482E-6</c:v>
                </c:pt>
                <c:pt idx="324">
                  <c:v>6.3613132085134511E-6</c:v>
                </c:pt>
                <c:pt idx="325">
                  <c:v>6.3967811220763526E-6</c:v>
                </c:pt>
                <c:pt idx="326">
                  <c:v>6.415099714795653E-6</c:v>
                </c:pt>
                <c:pt idx="327">
                  <c:v>6.4380953950177544E-6</c:v>
                </c:pt>
                <c:pt idx="328">
                  <c:v>6.4825277262943568E-6</c:v>
                </c:pt>
                <c:pt idx="329">
                  <c:v>6.5189050735383585E-6</c:v>
                </c:pt>
                <c:pt idx="330">
                  <c:v>6.5643767575933606E-6</c:v>
                </c:pt>
                <c:pt idx="331">
                  <c:v>6.565935786760961E-6</c:v>
                </c:pt>
                <c:pt idx="332">
                  <c:v>6.6537610965357645E-6</c:v>
                </c:pt>
                <c:pt idx="333">
                  <c:v>6.6813039451633657E-6</c:v>
                </c:pt>
                <c:pt idx="334">
                  <c:v>6.7180710496992685E-6</c:v>
                </c:pt>
                <c:pt idx="335">
                  <c:v>6.7430155163808697E-6</c:v>
                </c:pt>
                <c:pt idx="336">
                  <c:v>6.7654915202137704E-6</c:v>
                </c:pt>
                <c:pt idx="337">
                  <c:v>6.8218764084419723E-6</c:v>
                </c:pt>
                <c:pt idx="338">
                  <c:v>6.8373367810206736E-6</c:v>
                </c:pt>
                <c:pt idx="339">
                  <c:v>6.9071033362707775E-6</c:v>
                </c:pt>
                <c:pt idx="340">
                  <c:v>6.9462089845580787E-6</c:v>
                </c:pt>
                <c:pt idx="341">
                  <c:v>6.9654370109584801E-6</c:v>
                </c:pt>
                <c:pt idx="342">
                  <c:v>7.008829989456682E-6</c:v>
                </c:pt>
                <c:pt idx="343">
                  <c:v>7.0307863169003829E-6</c:v>
                </c:pt>
                <c:pt idx="344">
                  <c:v>7.0692423697011847E-6</c:v>
                </c:pt>
                <c:pt idx="345">
                  <c:v>7.0966552992314864E-6</c:v>
                </c:pt>
                <c:pt idx="346">
                  <c:v>7.1217296850103871E-6</c:v>
                </c:pt>
                <c:pt idx="347">
                  <c:v>7.1690202364275895E-6</c:v>
                </c:pt>
                <c:pt idx="348">
                  <c:v>7.2098148329797914E-6</c:v>
                </c:pt>
                <c:pt idx="349">
                  <c:v>7.2582746562726938E-6</c:v>
                </c:pt>
                <c:pt idx="350">
                  <c:v>7.2794514691325949E-6</c:v>
                </c:pt>
                <c:pt idx="351">
                  <c:v>7.3337576518039975E-6</c:v>
                </c:pt>
                <c:pt idx="352">
                  <c:v>7.3236239622145966E-6</c:v>
                </c:pt>
                <c:pt idx="353">
                  <c:v>7.3785797403725003E-6</c:v>
                </c:pt>
                <c:pt idx="354">
                  <c:v>7.4031344497622011E-6</c:v>
                </c:pt>
                <c:pt idx="355">
                  <c:v>7.4306772983898023E-6</c:v>
                </c:pt>
                <c:pt idx="356">
                  <c:v>7.4797867171692049E-6</c:v>
                </c:pt>
                <c:pt idx="357">
                  <c:v>7.5057705366292058E-6</c:v>
                </c:pt>
                <c:pt idx="358">
                  <c:v>7.5508524633923084E-6</c:v>
                </c:pt>
                <c:pt idx="359">
                  <c:v>7.5730686290306084E-6</c:v>
                </c:pt>
                <c:pt idx="360">
                  <c:v>7.607757028009711E-6</c:v>
                </c:pt>
                <c:pt idx="361">
                  <c:v>7.6573861231783135E-6</c:v>
                </c:pt>
                <c:pt idx="362">
                  <c:v>7.6851888100005137E-6</c:v>
                </c:pt>
                <c:pt idx="363">
                  <c:v>7.7219559145364165E-6</c:v>
                </c:pt>
                <c:pt idx="364">
                  <c:v>7.772104686094218E-6</c:v>
                </c:pt>
                <c:pt idx="365">
                  <c:v>7.800167211111019E-6</c:v>
                </c:pt>
                <c:pt idx="366">
                  <c:v>7.8245920014034212E-6</c:v>
                </c:pt>
                <c:pt idx="367">
                  <c:v>7.8642173260799222E-6</c:v>
                </c:pt>
                <c:pt idx="368">
                  <c:v>7.8924097701940253E-6</c:v>
                </c:pt>
                <c:pt idx="369">
                  <c:v>7.9082599000646243E-6</c:v>
                </c:pt>
                <c:pt idx="370">
                  <c:v>7.9778965362174287E-6</c:v>
                </c:pt>
                <c:pt idx="371">
                  <c:v>7.990108931363629E-6</c:v>
                </c:pt>
                <c:pt idx="372">
                  <c:v>8.058706214738032E-6</c:v>
                </c:pt>
                <c:pt idx="373">
                  <c:v>8.069099742522032E-6</c:v>
                </c:pt>
                <c:pt idx="374">
                  <c:v>8.1078156335174338E-6</c:v>
                </c:pt>
                <c:pt idx="375">
                  <c:v>8.1508188547237379E-6</c:v>
                </c:pt>
                <c:pt idx="376">
                  <c:v>8.1757633214053383E-6</c:v>
                </c:pt>
                <c:pt idx="377">
                  <c:v>8.2272112839361401E-6</c:v>
                </c:pt>
                <c:pt idx="378">
                  <c:v>8.2399433554715402E-6</c:v>
                </c:pt>
                <c:pt idx="379">
                  <c:v>8.2665767704180421E-6</c:v>
                </c:pt>
                <c:pt idx="380">
                  <c:v>8.3069816096783437E-6</c:v>
                </c:pt>
                <c:pt idx="381">
                  <c:v>8.3369929211546454E-6</c:v>
                </c:pt>
                <c:pt idx="382">
                  <c:v>8.3862322590313475E-6</c:v>
                </c:pt>
                <c:pt idx="383">
                  <c:v>8.41481446043735E-6</c:v>
                </c:pt>
                <c:pt idx="384">
                  <c:v>8.4179325187725507E-6</c:v>
                </c:pt>
                <c:pt idx="385">
                  <c:v>8.4465147201785516E-6</c:v>
                </c:pt>
                <c:pt idx="386">
                  <c:v>8.4884785886064527E-6</c:v>
                </c:pt>
                <c:pt idx="387">
                  <c:v>8.4980926018066538E-6</c:v>
                </c:pt>
                <c:pt idx="388">
                  <c:v>8.5347297872452545E-6</c:v>
                </c:pt>
                <c:pt idx="389">
                  <c:v>8.5822801768570568E-6</c:v>
                </c:pt>
                <c:pt idx="390">
                  <c:v>8.5938429765167585E-6</c:v>
                </c:pt>
                <c:pt idx="391">
                  <c:v>8.6150197893766597E-6</c:v>
                </c:pt>
                <c:pt idx="392">
                  <c:v>8.6598418779451607E-6</c:v>
                </c:pt>
                <c:pt idx="393">
                  <c:v>8.6923216522701628E-6</c:v>
                </c:pt>
                <c:pt idx="394">
                  <c:v>8.7215534491626656E-6</c:v>
                </c:pt>
                <c:pt idx="395">
                  <c:v>8.7354547925737657E-6</c:v>
                </c:pt>
                <c:pt idx="396">
                  <c:v>8.7772887419043664E-6</c:v>
                </c:pt>
                <c:pt idx="397">
                  <c:v>8.8430278051381712E-6</c:v>
                </c:pt>
                <c:pt idx="398">
                  <c:v>8.8465356207652697E-6</c:v>
                </c:pt>
                <c:pt idx="399">
                  <c:v>8.8883695700958721E-6</c:v>
                </c:pt>
                <c:pt idx="400">
                  <c:v>8.9168218524045743E-6</c:v>
                </c:pt>
                <c:pt idx="401">
                  <c:v>8.9613841027784762E-6</c:v>
                </c:pt>
                <c:pt idx="402">
                  <c:v>8.9925646861304779E-6</c:v>
                </c:pt>
                <c:pt idx="403">
                  <c:v>9.0364773410178797E-6</c:v>
                </c:pt>
                <c:pt idx="404">
                  <c:v>9.0557053674182802E-6</c:v>
                </c:pt>
                <c:pt idx="405">
                  <c:v>9.0801301577106807E-6</c:v>
                </c:pt>
                <c:pt idx="406">
                  <c:v>9.0946810966082827E-6</c:v>
                </c:pt>
                <c:pt idx="407">
                  <c:v>9.1363851268415848E-6</c:v>
                </c:pt>
                <c:pt idx="408">
                  <c:v>9.154703719560886E-6</c:v>
                </c:pt>
                <c:pt idx="409">
                  <c:v>9.1980966980590879E-6</c:v>
                </c:pt>
                <c:pt idx="410">
                  <c:v>9.2217419737676895E-6</c:v>
                </c:pt>
                <c:pt idx="411">
                  <c:v>9.242918786627589E-6</c:v>
                </c:pt>
                <c:pt idx="412">
                  <c:v>9.3347715884186941E-6</c:v>
                </c:pt>
                <c:pt idx="413">
                  <c:v>9.3054098724288927E-6</c:v>
                </c:pt>
                <c:pt idx="414">
                  <c:v>9.3421769769647938E-6</c:v>
                </c:pt>
                <c:pt idx="415">
                  <c:v>9.370629259273496E-6</c:v>
                </c:pt>
                <c:pt idx="416">
                  <c:v>9.3773850523330955E-6</c:v>
                </c:pt>
                <c:pt idx="417">
                  <c:v>9.3941446158847972E-6</c:v>
                </c:pt>
                <c:pt idx="418">
                  <c:v>9.4292227721557985E-6</c:v>
                </c:pt>
                <c:pt idx="419">
                  <c:v>9.423636250971899E-6</c:v>
                </c:pt>
                <c:pt idx="420">
                  <c:v>9.4924933725409011E-6</c:v>
                </c:pt>
                <c:pt idx="421">
                  <c:v>9.5067844732439024E-6</c:v>
                </c:pt>
                <c:pt idx="422">
                  <c:v>9.5582324357747042E-6</c:v>
                </c:pt>
                <c:pt idx="423">
                  <c:v>9.5977278413539066E-6</c:v>
                </c:pt>
                <c:pt idx="424">
                  <c:v>9.6089008837217055E-6</c:v>
                </c:pt>
                <c:pt idx="425">
                  <c:v>9.6243612563004068E-6</c:v>
                </c:pt>
                <c:pt idx="426">
                  <c:v>9.7132259188536117E-6</c:v>
                </c:pt>
                <c:pt idx="427">
                  <c:v>9.6972458698857105E-6</c:v>
                </c:pt>
                <c:pt idx="428">
                  <c:v>9.7227100129565124E-6</c:v>
                </c:pt>
                <c:pt idx="429">
                  <c:v>9.7441466640110126E-6</c:v>
                </c:pt>
                <c:pt idx="430">
                  <c:v>9.7889687525795153E-6</c:v>
                </c:pt>
                <c:pt idx="431">
                  <c:v>9.7997520376554165E-6</c:v>
                </c:pt>
                <c:pt idx="432">
                  <c:v>9.8253460998235187E-6</c:v>
                </c:pt>
                <c:pt idx="433">
                  <c:v>9.8471725081699183E-6</c:v>
                </c:pt>
                <c:pt idx="434">
                  <c:v>9.8626328807486197E-6</c:v>
                </c:pt>
                <c:pt idx="435">
                  <c:v>9.9035573963981211E-6</c:v>
                </c:pt>
                <c:pt idx="436">
                  <c:v>9.9225255846039226E-6</c:v>
                </c:pt>
                <c:pt idx="437">
                  <c:v>9.9522770578856234E-6</c:v>
                </c:pt>
                <c:pt idx="438">
                  <c:v>1.0000217204789325E-5</c:v>
                </c:pt>
                <c:pt idx="439">
                  <c:v>1.0023082965914128E-5</c:v>
                </c:pt>
                <c:pt idx="440">
                  <c:v>1.0042830668703728E-5</c:v>
                </c:pt>
                <c:pt idx="441">
                  <c:v>1.0062318533298728E-5</c:v>
                </c:pt>
                <c:pt idx="442">
                  <c:v>1.007349157566653E-5</c:v>
                </c:pt>
                <c:pt idx="443">
                  <c:v>1.0099735233321131E-5</c:v>
                </c:pt>
                <c:pt idx="444">
                  <c:v>1.0118573502429632E-5</c:v>
                </c:pt>
                <c:pt idx="445">
                  <c:v>1.0165474296554934E-5</c:v>
                </c:pt>
                <c:pt idx="446">
                  <c:v>1.0157289393425034E-5</c:v>
                </c:pt>
                <c:pt idx="447">
                  <c:v>1.0200292614631334E-5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6F-4732-AD6F-A825DF026D9F}"/>
            </c:ext>
          </c:extLst>
        </c:ser>
        <c:ser>
          <c:idx val="2"/>
          <c:order val="2"/>
          <c:tx>
            <c:v>Site2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VbiasDAC_Isweep!$D$4:$D$451</c:f>
              <c:numCache>
                <c:formatCode>0.00E+00</c:formatCode>
                <c:ptCount val="448"/>
                <c:pt idx="0">
                  <c:v>7.5612629460141898E-10</c:v>
                </c:pt>
                <c:pt idx="1">
                  <c:v>1.7062798821909251E-9</c:v>
                </c:pt>
                <c:pt idx="2">
                  <c:v>4.5683436060019227E-9</c:v>
                </c:pt>
                <c:pt idx="3">
                  <c:v>7.9976632030006854E-9</c:v>
                </c:pt>
                <c:pt idx="4">
                  <c:v>1.1994238673187211E-8</c:v>
                </c:pt>
                <c:pt idx="5">
                  <c:v>1.5127038154656006E-8</c:v>
                </c:pt>
                <c:pt idx="6">
                  <c:v>1.9059152730162108E-8</c:v>
                </c:pt>
                <c:pt idx="7">
                  <c:v>2.2991267305668207E-8</c:v>
                </c:pt>
                <c:pt idx="8">
                  <c:v>2.3416709210559034E-8</c:v>
                </c:pt>
                <c:pt idx="9">
                  <c:v>2.7335931607129048E-8</c:v>
                </c:pt>
                <c:pt idx="10">
                  <c:v>3.1512997582420769E-8</c:v>
                </c:pt>
                <c:pt idx="11">
                  <c:v>3.5909230599625947E-8</c:v>
                </c:pt>
                <c:pt idx="12">
                  <c:v>4.2033015594266594E-8</c:v>
                </c:pt>
                <c:pt idx="13">
                  <c:v>4.5539688264881869E-8</c:v>
                </c:pt>
                <c:pt idx="14">
                  <c:v>5.0516069334210904E-8</c:v>
                </c:pt>
                <c:pt idx="15">
                  <c:v>5.49896554250326E-8</c:v>
                </c:pt>
                <c:pt idx="16">
                  <c:v>5.6562501255235046E-8</c:v>
                </c:pt>
                <c:pt idx="17">
                  <c:v>6.1719372829669273E-8</c:v>
                </c:pt>
                <c:pt idx="18">
                  <c:v>6.6927813119847842E-8</c:v>
                </c:pt>
                <c:pt idx="19">
                  <c:v>7.1672134968327342E-8</c:v>
                </c:pt>
                <c:pt idx="20">
                  <c:v>7.7976410468073187E-8</c:v>
                </c:pt>
                <c:pt idx="21">
                  <c:v>8.3043036789954808E-8</c:v>
                </c:pt>
                <c:pt idx="22">
                  <c:v>8.8702703342896385E-8</c:v>
                </c:pt>
                <c:pt idx="23">
                  <c:v>9.3292319044142836E-8</c:v>
                </c:pt>
                <c:pt idx="24">
                  <c:v>9.414320285392449E-8</c:v>
                </c:pt>
                <c:pt idx="25">
                  <c:v>9.9364535323039146E-8</c:v>
                </c:pt>
                <c:pt idx="26">
                  <c:v>1.059266544015067E-7</c:v>
                </c:pt>
                <c:pt idx="27">
                  <c:v>1.1127690865998222E-7</c:v>
                </c:pt>
                <c:pt idx="28">
                  <c:v>1.1831603835908493E-7</c:v>
                </c:pt>
                <c:pt idx="29">
                  <c:v>1.2298300713394792E-7</c:v>
                </c:pt>
                <c:pt idx="30">
                  <c:v>1.2995767593837019E-7</c:v>
                </c:pt>
                <c:pt idx="31">
                  <c:v>1.3501141008131574E-7</c:v>
                </c:pt>
                <c:pt idx="32">
                  <c:v>1.4564745770358635E-7</c:v>
                </c:pt>
                <c:pt idx="33">
                  <c:v>1.5164232090886614E-7</c:v>
                </c:pt>
                <c:pt idx="34">
                  <c:v>1.5765007629308203E-7</c:v>
                </c:pt>
                <c:pt idx="35">
                  <c:v>1.6401881268750828E-7</c:v>
                </c:pt>
                <c:pt idx="36">
                  <c:v>1.7161230608086268E-7</c:v>
                </c:pt>
                <c:pt idx="37">
                  <c:v>1.7768452235975899E-7</c:v>
                </c:pt>
                <c:pt idx="38">
                  <c:v>1.8418218054354612E-7</c:v>
                </c:pt>
                <c:pt idx="39">
                  <c:v>1.9111817281116017E-7</c:v>
                </c:pt>
                <c:pt idx="40">
                  <c:v>1.9122131024264884E-7</c:v>
                </c:pt>
                <c:pt idx="41">
                  <c:v>1.9782210585792465E-7</c:v>
                </c:pt>
                <c:pt idx="42">
                  <c:v>2.0511907913574909E-7</c:v>
                </c:pt>
                <c:pt idx="43">
                  <c:v>2.1102369708847628E-7</c:v>
                </c:pt>
                <c:pt idx="44">
                  <c:v>2.1960988825990926E-7</c:v>
                </c:pt>
                <c:pt idx="45">
                  <c:v>2.259141637596551E-7</c:v>
                </c:pt>
                <c:pt idx="46">
                  <c:v>2.329017247430135E-7</c:v>
                </c:pt>
                <c:pt idx="47">
                  <c:v>2.3903840191659026E-7</c:v>
                </c:pt>
                <c:pt idx="48">
                  <c:v>2.4159105334593518E-7</c:v>
                </c:pt>
                <c:pt idx="49">
                  <c:v>2.4842390818206056E-7</c:v>
                </c:pt>
                <c:pt idx="50">
                  <c:v>2.5569509710201278E-7</c:v>
                </c:pt>
                <c:pt idx="51">
                  <c:v>2.6219275528579991E-7</c:v>
                </c:pt>
                <c:pt idx="52">
                  <c:v>2.7016012186830083E-7</c:v>
                </c:pt>
                <c:pt idx="53">
                  <c:v>2.777793996195274E-7</c:v>
                </c:pt>
                <c:pt idx="54">
                  <c:v>2.8472828406607752E-7</c:v>
                </c:pt>
                <c:pt idx="55">
                  <c:v>2.9141932493390595E-7</c:v>
                </c:pt>
                <c:pt idx="56">
                  <c:v>2.9310820037453313E-7</c:v>
                </c:pt>
                <c:pt idx="57">
                  <c:v>2.9994105521065846E-7</c:v>
                </c:pt>
                <c:pt idx="58">
                  <c:v>3.0690283183614468E-7</c:v>
                </c:pt>
                <c:pt idx="59">
                  <c:v>3.1387750064056701E-7</c:v>
                </c:pt>
                <c:pt idx="60">
                  <c:v>3.2233477002263912E-7</c:v>
                </c:pt>
                <c:pt idx="61">
                  <c:v>3.2978644944769659E-7</c:v>
                </c:pt>
                <c:pt idx="62">
                  <c:v>3.3829528754551305E-7</c:v>
                </c:pt>
                <c:pt idx="63">
                  <c:v>3.4449642561377023E-7</c:v>
                </c:pt>
                <c:pt idx="64">
                  <c:v>3.5977365765303162E-7</c:v>
                </c:pt>
                <c:pt idx="65">
                  <c:v>3.6582008957405576E-7</c:v>
                </c:pt>
                <c:pt idx="66">
                  <c:v>3.7430314331400007E-7</c:v>
                </c:pt>
                <c:pt idx="67">
                  <c:v>3.8139384172884714E-7</c:v>
                </c:pt>
                <c:pt idx="68">
                  <c:v>3.9022498430006575E-7</c:v>
                </c:pt>
                <c:pt idx="69">
                  <c:v>3.9923661737638955E-7</c:v>
                </c:pt>
                <c:pt idx="70">
                  <c:v>4.0525726493954154E-7</c:v>
                </c:pt>
                <c:pt idx="71">
                  <c:v>4.1252845385949381E-7</c:v>
                </c:pt>
                <c:pt idx="72">
                  <c:v>4.1317306280629805E-7</c:v>
                </c:pt>
                <c:pt idx="73">
                  <c:v>4.2129513553603196E-7</c:v>
                </c:pt>
                <c:pt idx="74">
                  <c:v>4.3039701386490837E-7</c:v>
                </c:pt>
                <c:pt idx="75">
                  <c:v>4.3792604636358234E-7</c:v>
                </c:pt>
                <c:pt idx="76">
                  <c:v>4.4674429675586489E-7</c:v>
                </c:pt>
                <c:pt idx="77">
                  <c:v>4.5258445381391163E-7</c:v>
                </c:pt>
                <c:pt idx="78">
                  <c:v>4.6229226455278413E-7</c:v>
                </c:pt>
                <c:pt idx="79">
                  <c:v>4.6820977468444736E-7</c:v>
                </c:pt>
                <c:pt idx="80">
                  <c:v>4.6939585514656725E-7</c:v>
                </c:pt>
                <c:pt idx="81">
                  <c:v>4.7758238877098162E-7</c:v>
                </c:pt>
                <c:pt idx="82">
                  <c:v>4.881281911406996E-7</c:v>
                </c:pt>
                <c:pt idx="83">
                  <c:v>4.9577325324979832E-7</c:v>
                </c:pt>
                <c:pt idx="84">
                  <c:v>5.0682185059802371E-7</c:v>
                </c:pt>
                <c:pt idx="85">
                  <c:v>5.1187558474096925E-7</c:v>
                </c:pt>
                <c:pt idx="86">
                  <c:v>5.2059069770176306E-7</c:v>
                </c:pt>
                <c:pt idx="87">
                  <c:v>5.2772007265341838E-7</c:v>
                </c:pt>
                <c:pt idx="88">
                  <c:v>5.2991174307255296E-7</c:v>
                </c:pt>
                <c:pt idx="89">
                  <c:v>5.3940038676951185E-7</c:v>
                </c:pt>
                <c:pt idx="90">
                  <c:v>5.4499559242777299E-7</c:v>
                </c:pt>
                <c:pt idx="91">
                  <c:v>5.535946757781421E-7</c:v>
                </c:pt>
                <c:pt idx="92">
                  <c:v>5.631477803697815E-7</c:v>
                </c:pt>
                <c:pt idx="93">
                  <c:v>5.7136009835206801E-7</c:v>
                </c:pt>
                <c:pt idx="94">
                  <c:v>5.7974001466052362E-7</c:v>
                </c:pt>
                <c:pt idx="95">
                  <c:v>5.8533522031878476E-7</c:v>
                </c:pt>
                <c:pt idx="96">
                  <c:v>5.9922009703294892E-7</c:v>
                </c:pt>
                <c:pt idx="97">
                  <c:v>6.0827040664608102E-7</c:v>
                </c:pt>
                <c:pt idx="98">
                  <c:v>6.1608306708134894E-7</c:v>
                </c:pt>
                <c:pt idx="99">
                  <c:v>6.2425670852682715E-7</c:v>
                </c:pt>
                <c:pt idx="100">
                  <c:v>6.3462202039143994E-7</c:v>
                </c:pt>
                <c:pt idx="101">
                  <c:v>6.4479394957201143E-7</c:v>
                </c:pt>
                <c:pt idx="102">
                  <c:v>6.5354773906961354E-7</c:v>
                </c:pt>
                <c:pt idx="103">
                  <c:v>6.6013564250595327E-7</c:v>
                </c:pt>
                <c:pt idx="104">
                  <c:v>6.6174716487296406E-7</c:v>
                </c:pt>
                <c:pt idx="105">
                  <c:v>6.6753575321526639E-7</c:v>
                </c:pt>
                <c:pt idx="106">
                  <c:v>6.7697282819648109E-7</c:v>
                </c:pt>
                <c:pt idx="107">
                  <c:v>6.850304400315345E-7</c:v>
                </c:pt>
                <c:pt idx="108">
                  <c:v>6.9561491893806079E-7</c:v>
                </c:pt>
                <c:pt idx="109">
                  <c:v>7.0322130451035131E-7</c:v>
                </c:pt>
                <c:pt idx="110">
                  <c:v>7.1245210462858862E-7</c:v>
                </c:pt>
                <c:pt idx="111">
                  <c:v>7.1891108627556744E-7</c:v>
                </c:pt>
                <c:pt idx="112">
                  <c:v>7.2163133603108152E-7</c:v>
                </c:pt>
                <c:pt idx="113">
                  <c:v>7.2758752269955305E-7</c:v>
                </c:pt>
                <c:pt idx="114">
                  <c:v>7.3939675860500743E-7</c:v>
                </c:pt>
                <c:pt idx="115">
                  <c:v>7.4664216316708755E-7</c:v>
                </c:pt>
                <c:pt idx="116">
                  <c:v>7.5540884484362565E-7</c:v>
                </c:pt>
                <c:pt idx="117">
                  <c:v>7.6426577177271646E-7</c:v>
                </c:pt>
                <c:pt idx="118">
                  <c:v>7.7420564173243845E-7</c:v>
                </c:pt>
                <c:pt idx="119">
                  <c:v>7.8392634465024695E-7</c:v>
                </c:pt>
                <c:pt idx="120">
                  <c:v>7.8325595134557056E-7</c:v>
                </c:pt>
                <c:pt idx="121">
                  <c:v>7.9127488664381577E-7</c:v>
                </c:pt>
                <c:pt idx="122">
                  <c:v>8.0022205882545918E-7</c:v>
                </c:pt>
                <c:pt idx="123">
                  <c:v>8.0995565392220377E-7</c:v>
                </c:pt>
                <c:pt idx="124">
                  <c:v>8.1962478812426787E-7</c:v>
                </c:pt>
                <c:pt idx="125">
                  <c:v>8.2986117819951986E-7</c:v>
                </c:pt>
                <c:pt idx="126">
                  <c:v>8.3902751742307677E-7</c:v>
                </c:pt>
                <c:pt idx="127">
                  <c:v>8.4754924769982927E-7</c:v>
                </c:pt>
                <c:pt idx="128">
                  <c:v>8.2233891624934339E-7</c:v>
                </c:pt>
                <c:pt idx="129">
                  <c:v>8.3480568018717691E-7</c:v>
                </c:pt>
                <c:pt idx="130">
                  <c:v>8.5324610184522229E-7</c:v>
                </c:pt>
                <c:pt idx="131">
                  <c:v>8.7142679925456289E-7</c:v>
                </c:pt>
                <c:pt idx="132">
                  <c:v>8.8960749666390348E-7</c:v>
                </c:pt>
                <c:pt idx="133">
                  <c:v>9.0493122733749043E-7</c:v>
                </c:pt>
                <c:pt idx="134">
                  <c:v>9.2402095961729799E-7</c:v>
                </c:pt>
                <c:pt idx="135">
                  <c:v>9.3804606904736078E-7</c:v>
                </c:pt>
                <c:pt idx="136">
                  <c:v>9.4090303578311421E-7</c:v>
                </c:pt>
                <c:pt idx="137">
                  <c:v>9.5726566345152064E-7</c:v>
                </c:pt>
                <c:pt idx="138">
                  <c:v>9.7544636086086123E-7</c:v>
                </c:pt>
                <c:pt idx="139">
                  <c:v>9.9232843702667745E-7</c:v>
                </c:pt>
                <c:pt idx="140">
                  <c:v>1.0115480314308374E-6</c:v>
                </c:pt>
                <c:pt idx="141">
                  <c:v>1.0270016242287769E-6</c:v>
                </c:pt>
                <c:pt idx="142">
                  <c:v>1.0498573581148049E-6</c:v>
                </c:pt>
                <c:pt idx="143">
                  <c:v>1.0650512266640396E-6</c:v>
                </c:pt>
                <c:pt idx="144">
                  <c:v>1.0715443328816613E-6</c:v>
                </c:pt>
                <c:pt idx="145">
                  <c:v>1.0849201316899618E-6</c:v>
                </c:pt>
                <c:pt idx="146">
                  <c:v>1.1062175200837607E-6</c:v>
                </c:pt>
                <c:pt idx="147">
                  <c:v>1.1173856627780698E-6</c:v>
                </c:pt>
                <c:pt idx="148">
                  <c:v>1.1398518102910407E-6</c:v>
                </c:pt>
                <c:pt idx="149">
                  <c:v>1.1575130592029715E-6</c:v>
                </c:pt>
                <c:pt idx="150">
                  <c:v>1.1750444459905499E-6</c:v>
                </c:pt>
                <c:pt idx="151">
                  <c:v>1.1941341782703575E-6</c:v>
                </c:pt>
                <c:pt idx="152">
                  <c:v>1.197900179876578E-6</c:v>
                </c:pt>
                <c:pt idx="153">
                  <c:v>1.2120551514309931E-6</c:v>
                </c:pt>
                <c:pt idx="154">
                  <c:v>1.2282879169750471E-6</c:v>
                </c:pt>
                <c:pt idx="155">
                  <c:v>1.2494554432444936E-6</c:v>
                </c:pt>
                <c:pt idx="156">
                  <c:v>1.2678958649025392E-6</c:v>
                </c:pt>
                <c:pt idx="157">
                  <c:v>1.2851675274414126E-6</c:v>
                </c:pt>
                <c:pt idx="158">
                  <c:v>1.2990627747471229E-6</c:v>
                </c:pt>
                <c:pt idx="159">
                  <c:v>1.3171136100321109E-6</c:v>
                </c:pt>
                <c:pt idx="160">
                  <c:v>1.3472416228818752E-6</c:v>
                </c:pt>
                <c:pt idx="161">
                  <c:v>1.3636042505502819E-6</c:v>
                </c:pt>
                <c:pt idx="162">
                  <c:v>1.3877586056798343E-6</c:v>
                </c:pt>
                <c:pt idx="163">
                  <c:v>1.4061990273378797E-6</c:v>
                </c:pt>
                <c:pt idx="164">
                  <c:v>1.4219123443845241E-6</c:v>
                </c:pt>
                <c:pt idx="165">
                  <c:v>1.4368464886850538E-6</c:v>
                </c:pt>
                <c:pt idx="166">
                  <c:v>1.4594424983223769E-6</c:v>
                </c:pt>
                <c:pt idx="167">
                  <c:v>1.4784023684778321E-6</c:v>
                </c:pt>
                <c:pt idx="168">
                  <c:v>1.480480162467471E-6</c:v>
                </c:pt>
                <c:pt idx="169">
                  <c:v>1.4950247203949435E-6</c:v>
                </c:pt>
                <c:pt idx="170">
                  <c:v>1.509569278322416E-6</c:v>
                </c:pt>
                <c:pt idx="171">
                  <c:v>1.5317757015866819E-6</c:v>
                </c:pt>
                <c:pt idx="172">
                  <c:v>1.552813365731776E-6</c:v>
                </c:pt>
                <c:pt idx="173">
                  <c:v>1.571123925265469E-6</c:v>
                </c:pt>
                <c:pt idx="174">
                  <c:v>1.58826572567999E-6</c:v>
                </c:pt>
                <c:pt idx="175">
                  <c:v>1.6086540792033217E-6</c:v>
                </c:pt>
                <c:pt idx="176">
                  <c:v>1.6090436655763793E-6</c:v>
                </c:pt>
                <c:pt idx="177">
                  <c:v>1.629432019099711E-6</c:v>
                </c:pt>
                <c:pt idx="178">
                  <c:v>1.6511189938665674E-6</c:v>
                </c:pt>
                <c:pt idx="179">
                  <c:v>1.6713774852655467E-6</c:v>
                </c:pt>
                <c:pt idx="180">
                  <c:v>1.6891685963018301E-6</c:v>
                </c:pt>
                <c:pt idx="181">
                  <c:v>1.7078687422085803E-6</c:v>
                </c:pt>
                <c:pt idx="182">
                  <c:v>1.7242313698769867E-6</c:v>
                </c:pt>
                <c:pt idx="183">
                  <c:v>1.7409835839184505E-6</c:v>
                </c:pt>
                <c:pt idx="184">
                  <c:v>1.7535802099806366E-6</c:v>
                </c:pt>
                <c:pt idx="185">
                  <c:v>1.7695532512759857E-6</c:v>
                </c:pt>
                <c:pt idx="186">
                  <c:v>1.7904610532967274E-6</c:v>
                </c:pt>
                <c:pt idx="187">
                  <c:v>1.806304232467724E-6</c:v>
                </c:pt>
                <c:pt idx="188">
                  <c:v>1.8338350028304398E-6</c:v>
                </c:pt>
                <c:pt idx="189">
                  <c:v>1.8477302501361501E-6</c:v>
                </c:pt>
                <c:pt idx="190">
                  <c:v>1.8650019126750237E-6</c:v>
                </c:pt>
                <c:pt idx="191">
                  <c:v>1.8944806149030256E-6</c:v>
                </c:pt>
                <c:pt idx="192">
                  <c:v>1.817082788788976E-6</c:v>
                </c:pt>
                <c:pt idx="193">
                  <c:v>1.842016316664643E-6</c:v>
                </c:pt>
                <c:pt idx="194">
                  <c:v>1.8737026750066365E-6</c:v>
                </c:pt>
                <c:pt idx="195">
                  <c:v>1.9101939319496701E-6</c:v>
                </c:pt>
                <c:pt idx="196">
                  <c:v>1.9564248482191363E-6</c:v>
                </c:pt>
                <c:pt idx="197">
                  <c:v>2.003305075110364E-6</c:v>
                </c:pt>
                <c:pt idx="198">
                  <c:v>2.0439519200326755E-6</c:v>
                </c:pt>
                <c:pt idx="199">
                  <c:v>2.0673271024161133E-6</c:v>
                </c:pt>
                <c:pt idx="200">
                  <c:v>2.0686257236596377E-6</c:v>
                </c:pt>
                <c:pt idx="201">
                  <c:v>2.1012211168720982E-6</c:v>
                </c:pt>
                <c:pt idx="202">
                  <c:v>2.1432964451622864E-6</c:v>
                </c:pt>
                <c:pt idx="203">
                  <c:v>2.186800256820351E-6</c:v>
                </c:pt>
                <c:pt idx="204">
                  <c:v>2.2253693077530238E-6</c:v>
                </c:pt>
                <c:pt idx="205">
                  <c:v>2.2588737358359514E-6</c:v>
                </c:pt>
                <c:pt idx="206">
                  <c:v>2.2977025110173285E-6</c:v>
                </c:pt>
                <c:pt idx="207">
                  <c:v>2.3265319026235687E-6</c:v>
                </c:pt>
                <c:pt idx="208">
                  <c:v>2.3341937679603621E-6</c:v>
                </c:pt>
                <c:pt idx="209">
                  <c:v>2.3670488854215278E-6</c:v>
                </c:pt>
                <c:pt idx="210">
                  <c:v>2.4108124213282972E-6</c:v>
                </c:pt>
                <c:pt idx="211">
                  <c:v>2.4473036782713308E-6</c:v>
                </c:pt>
                <c:pt idx="212">
                  <c:v>2.4914568005511578E-6</c:v>
                </c:pt>
                <c:pt idx="213">
                  <c:v>2.5223639861470367E-6</c:v>
                </c:pt>
                <c:pt idx="214">
                  <c:v>2.559634415836185E-6</c:v>
                </c:pt>
                <c:pt idx="215">
                  <c:v>2.604436848737774E-6</c:v>
                </c:pt>
                <c:pt idx="216">
                  <c:v>2.6043069866134216E-6</c:v>
                </c:pt>
                <c:pt idx="217">
                  <c:v>2.6397593465616356E-6</c:v>
                </c:pt>
                <c:pt idx="218">
                  <c:v>2.6862499870798066E-6</c:v>
                </c:pt>
                <c:pt idx="219">
                  <c:v>2.721182898530611E-6</c:v>
                </c:pt>
                <c:pt idx="220">
                  <c:v>2.762349191950332E-6</c:v>
                </c:pt>
                <c:pt idx="221">
                  <c:v>2.797282103401136E-6</c:v>
                </c:pt>
                <c:pt idx="222">
                  <c:v>2.8374094998260379E-6</c:v>
                </c:pt>
                <c:pt idx="223">
                  <c:v>2.8716931006550804E-6</c:v>
                </c:pt>
                <c:pt idx="224">
                  <c:v>2.933767196095543E-6</c:v>
                </c:pt>
                <c:pt idx="225">
                  <c:v>2.9706480394116337E-6</c:v>
                </c:pt>
                <c:pt idx="226">
                  <c:v>3.0054510887380853E-6</c:v>
                </c:pt>
                <c:pt idx="227">
                  <c:v>3.0353193773391451E-6</c:v>
                </c:pt>
                <c:pt idx="228">
                  <c:v>3.0902510559402238E-6</c:v>
                </c:pt>
                <c:pt idx="229">
                  <c:v>3.1290798311216014E-6</c:v>
                </c:pt>
                <c:pt idx="230">
                  <c:v>3.1610259137122994E-6</c:v>
                </c:pt>
                <c:pt idx="231">
                  <c:v>3.1960886872874562E-6</c:v>
                </c:pt>
                <c:pt idx="232">
                  <c:v>3.2005039995154389E-6</c:v>
                </c:pt>
                <c:pt idx="233">
                  <c:v>3.2440078111735039E-6</c:v>
                </c:pt>
                <c:pt idx="234">
                  <c:v>3.2737462376502109E-6</c:v>
                </c:pt>
                <c:pt idx="235">
                  <c:v>3.3098479082201873E-6</c:v>
                </c:pt>
                <c:pt idx="236">
                  <c:v>3.3632212413290368E-6</c:v>
                </c:pt>
                <c:pt idx="237">
                  <c:v>3.392050632935277E-6</c:v>
                </c:pt>
                <c:pt idx="238">
                  <c:v>3.4265939580130242E-6</c:v>
                </c:pt>
                <c:pt idx="239">
                  <c:v>3.4946417111736987E-6</c:v>
                </c:pt>
                <c:pt idx="240">
                  <c:v>3.4910055716918304E-6</c:v>
                </c:pt>
                <c:pt idx="241">
                  <c:v>3.5130821328317443E-6</c:v>
                </c:pt>
                <c:pt idx="242">
                  <c:v>3.5519109080131214E-6</c:v>
                </c:pt>
                <c:pt idx="243">
                  <c:v>3.5956744439198912E-6</c:v>
                </c:pt>
                <c:pt idx="244">
                  <c:v>3.6358018403447927E-6</c:v>
                </c:pt>
                <c:pt idx="245">
                  <c:v>3.6681375093085484E-6</c:v>
                </c:pt>
                <c:pt idx="246">
                  <c:v>3.7169656680650633E-6</c:v>
                </c:pt>
                <c:pt idx="247">
                  <c:v>3.7581319614847843E-6</c:v>
                </c:pt>
                <c:pt idx="248">
                  <c:v>3.7604694797231279E-6</c:v>
                </c:pt>
                <c:pt idx="249">
                  <c:v>3.7938440456817031E-6</c:v>
                </c:pt>
                <c:pt idx="250">
                  <c:v>3.8299457162516795E-6</c:v>
                </c:pt>
                <c:pt idx="251">
                  <c:v>3.8660473868216555E-6</c:v>
                </c:pt>
                <c:pt idx="252">
                  <c:v>3.9131873379615884E-6</c:v>
                </c:pt>
                <c:pt idx="253">
                  <c:v>3.9612363239719881E-6</c:v>
                </c:pt>
                <c:pt idx="254">
                  <c:v>4.0087658614849791E-6</c:v>
                </c:pt>
                <c:pt idx="255">
                  <c:v>4.0305826983761874E-6</c:v>
                </c:pt>
                <c:pt idx="256">
                  <c:v>4.0295438013813682E-6</c:v>
                </c:pt>
                <c:pt idx="257">
                  <c:v>4.0692816114332121E-6</c:v>
                </c:pt>
                <c:pt idx="258">
                  <c:v>4.0997992106560342E-6</c:v>
                </c:pt>
                <c:pt idx="259">
                  <c:v>4.1492766800343111E-6</c:v>
                </c:pt>
                <c:pt idx="260">
                  <c:v>4.1869366960965167E-6</c:v>
                </c:pt>
                <c:pt idx="261">
                  <c:v>4.2332974744903344E-6</c:v>
                </c:pt>
                <c:pt idx="262">
                  <c:v>4.2621268660965745E-6</c:v>
                </c:pt>
                <c:pt idx="263">
                  <c:v>4.3131626809670802E-6</c:v>
                </c:pt>
                <c:pt idx="264">
                  <c:v>4.3165390962002441E-6</c:v>
                </c:pt>
                <c:pt idx="265">
                  <c:v>4.3486150409152942E-6</c:v>
                </c:pt>
                <c:pt idx="266">
                  <c:v>4.3826389174956318E-6</c:v>
                </c:pt>
                <c:pt idx="267">
                  <c:v>4.4251038321588777E-6</c:v>
                </c:pt>
                <c:pt idx="268">
                  <c:v>4.4763993712780881E-6</c:v>
                </c:pt>
                <c:pt idx="269">
                  <c:v>4.5045794522625663E-6</c:v>
                </c:pt>
                <c:pt idx="270">
                  <c:v>4.542239468324771E-6</c:v>
                </c:pt>
                <c:pt idx="271">
                  <c:v>4.5727570675475931E-6</c:v>
                </c:pt>
                <c:pt idx="272">
                  <c:v>4.5944440423144499E-6</c:v>
                </c:pt>
                <c:pt idx="273">
                  <c:v>4.6308054371331298E-6</c:v>
                </c:pt>
                <c:pt idx="274">
                  <c:v>4.6601542772367795E-6</c:v>
                </c:pt>
                <c:pt idx="275">
                  <c:v>4.7133977482212775E-6</c:v>
                </c:pt>
                <c:pt idx="276">
                  <c:v>4.7643037009674308E-6</c:v>
                </c:pt>
                <c:pt idx="277">
                  <c:v>4.7968990941798912E-6</c:v>
                </c:pt>
                <c:pt idx="278">
                  <c:v>4.8383251118483171E-6</c:v>
                </c:pt>
                <c:pt idx="279">
                  <c:v>4.8666350549571477E-6</c:v>
                </c:pt>
                <c:pt idx="280">
                  <c:v>4.8852053387395452E-6</c:v>
                </c:pt>
                <c:pt idx="281">
                  <c:v>4.9157229379623674E-6</c:v>
                </c:pt>
                <c:pt idx="282">
                  <c:v>4.9459808129364839E-6</c:v>
                </c:pt>
                <c:pt idx="283">
                  <c:v>4.9964971793095799E-6</c:v>
                </c:pt>
                <c:pt idx="284">
                  <c:v>5.0516885821593639E-6</c:v>
                </c:pt>
                <c:pt idx="285">
                  <c:v>5.081167284387366E-6</c:v>
                </c:pt>
                <c:pt idx="286">
                  <c:v>5.1242815096723739E-6</c:v>
                </c:pt>
                <c:pt idx="287">
                  <c:v>5.1532407634029664E-6</c:v>
                </c:pt>
                <c:pt idx="288">
                  <c:v>5.2102502359936839E-6</c:v>
                </c:pt>
                <c:pt idx="289">
                  <c:v>5.266480535838287E-6</c:v>
                </c:pt>
                <c:pt idx="290">
                  <c:v>5.2919335122113641E-6</c:v>
                </c:pt>
                <c:pt idx="291">
                  <c:v>5.3437484998279841E-6</c:v>
                </c:pt>
                <c:pt idx="292">
                  <c:v>5.3916676237140322E-6</c:v>
                </c:pt>
                <c:pt idx="293">
                  <c:v>5.4399763339731367E-6</c:v>
                </c:pt>
                <c:pt idx="294">
                  <c:v>5.4746495211752363E-6</c:v>
                </c:pt>
                <c:pt idx="295">
                  <c:v>5.4952975989472731E-6</c:v>
                </c:pt>
                <c:pt idx="296">
                  <c:v>5.5132185721079086E-6</c:v>
                </c:pt>
                <c:pt idx="297">
                  <c:v>5.5542550034032773E-6</c:v>
                </c:pt>
                <c:pt idx="298">
                  <c:v>5.5984081256831052E-6</c:v>
                </c:pt>
                <c:pt idx="299">
                  <c:v>5.6491842163049052E-6</c:v>
                </c:pt>
                <c:pt idx="300">
                  <c:v>5.6820393337660712E-6</c:v>
                </c:pt>
                <c:pt idx="301">
                  <c:v>5.7148944512272365E-6</c:v>
                </c:pt>
                <c:pt idx="302">
                  <c:v>5.7685275085847917E-6</c:v>
                </c:pt>
                <c:pt idx="303">
                  <c:v>5.8106028368749796E-6</c:v>
                </c:pt>
                <c:pt idx="304">
                  <c:v>5.8200827719527069E-6</c:v>
                </c:pt>
                <c:pt idx="305">
                  <c:v>5.8469642316936603E-6</c:v>
                </c:pt>
                <c:pt idx="306">
                  <c:v>5.8773519687921301E-6</c:v>
                </c:pt>
                <c:pt idx="307">
                  <c:v>5.9190377107092607E-6</c:v>
                </c:pt>
                <c:pt idx="308">
                  <c:v>5.9731902165642247E-6</c:v>
                </c:pt>
                <c:pt idx="309">
                  <c:v>6.0186419600875765E-6</c:v>
                </c:pt>
                <c:pt idx="310">
                  <c:v>6.0735736386886548E-6</c:v>
                </c:pt>
                <c:pt idx="311">
                  <c:v>6.1078572395176972E-6</c:v>
                </c:pt>
                <c:pt idx="312">
                  <c:v>6.1072079288959352E-6</c:v>
                </c:pt>
                <c:pt idx="313">
                  <c:v>6.133569940139479E-6</c:v>
                </c:pt>
                <c:pt idx="314">
                  <c:v>6.1857745141291562E-6</c:v>
                </c:pt>
                <c:pt idx="315">
                  <c:v>6.2339533622639092E-6</c:v>
                </c:pt>
                <c:pt idx="316">
                  <c:v>6.2578479931447566E-6</c:v>
                </c:pt>
                <c:pt idx="317">
                  <c:v>6.2797946921603182E-6</c:v>
                </c:pt>
                <c:pt idx="318">
                  <c:v>6.3562834834039008E-6</c:v>
                </c:pt>
                <c:pt idx="319">
                  <c:v>6.3910865327303528E-6</c:v>
                </c:pt>
                <c:pt idx="320">
                  <c:v>6.4879636774972666E-6</c:v>
                </c:pt>
                <c:pt idx="321">
                  <c:v>6.5417265969791742E-6</c:v>
                </c:pt>
                <c:pt idx="322">
                  <c:v>6.5728935068237583E-6</c:v>
                </c:pt>
                <c:pt idx="323">
                  <c:v>6.6027617954248176E-6</c:v>
                </c:pt>
                <c:pt idx="324">
                  <c:v>6.6734067910725408E-6</c:v>
                </c:pt>
                <c:pt idx="325">
                  <c:v>6.7066514949067633E-6</c:v>
                </c:pt>
                <c:pt idx="326">
                  <c:v>6.7474282019534272E-6</c:v>
                </c:pt>
                <c:pt idx="327">
                  <c:v>6.7792444224197733E-6</c:v>
                </c:pt>
                <c:pt idx="328">
                  <c:v>6.8000223623161624E-6</c:v>
                </c:pt>
                <c:pt idx="329">
                  <c:v>6.8100217458913002E-6</c:v>
                </c:pt>
                <c:pt idx="330">
                  <c:v>6.8519672120571356E-6</c:v>
                </c:pt>
                <c:pt idx="331">
                  <c:v>6.889886952368046E-6</c:v>
                </c:pt>
                <c:pt idx="332">
                  <c:v>6.930663659414709E-6</c:v>
                </c:pt>
                <c:pt idx="333">
                  <c:v>7.0046850702955962E-6</c:v>
                </c:pt>
                <c:pt idx="334">
                  <c:v>7.0218268707101174E-6</c:v>
                </c:pt>
                <c:pt idx="335">
                  <c:v>7.054811850295635E-6</c:v>
                </c:pt>
                <c:pt idx="336">
                  <c:v>7.1015622150625099E-6</c:v>
                </c:pt>
                <c:pt idx="337">
                  <c:v>7.1389625068760107E-6</c:v>
                </c:pt>
                <c:pt idx="338">
                  <c:v>7.1455854752179854E-6</c:v>
                </c:pt>
                <c:pt idx="339">
                  <c:v>7.2325930985341146E-6</c:v>
                </c:pt>
                <c:pt idx="340">
                  <c:v>7.2551891081714381E-6</c:v>
                </c:pt>
                <c:pt idx="341">
                  <c:v>7.2807719466688675E-6</c:v>
                </c:pt>
                <c:pt idx="342">
                  <c:v>7.3223278264616458E-6</c:v>
                </c:pt>
                <c:pt idx="343">
                  <c:v>7.3480405270834276E-6</c:v>
                </c:pt>
                <c:pt idx="344">
                  <c:v>7.3769997808140193E-6</c:v>
                </c:pt>
                <c:pt idx="345">
                  <c:v>7.3949207539746557E-6</c:v>
                </c:pt>
                <c:pt idx="346">
                  <c:v>7.43413911552909E-6</c:v>
                </c:pt>
                <c:pt idx="347">
                  <c:v>7.4705005103477708E-6</c:v>
                </c:pt>
                <c:pt idx="348">
                  <c:v>7.5304968117985951E-6</c:v>
                </c:pt>
                <c:pt idx="349">
                  <c:v>7.569585311228677E-6</c:v>
                </c:pt>
                <c:pt idx="350">
                  <c:v>7.5842597312805027E-6</c:v>
                </c:pt>
                <c:pt idx="351">
                  <c:v>7.6346462355292463E-6</c:v>
                </c:pt>
                <c:pt idx="352">
                  <c:v>7.7068495766691983E-6</c:v>
                </c:pt>
                <c:pt idx="353">
                  <c:v>7.7417824881200018E-6</c:v>
                </c:pt>
                <c:pt idx="354">
                  <c:v>7.7572360809179428E-6</c:v>
                </c:pt>
                <c:pt idx="355">
                  <c:v>7.8134663807625459E-6</c:v>
                </c:pt>
                <c:pt idx="356">
                  <c:v>7.8770988216952381E-6</c:v>
                </c:pt>
                <c:pt idx="357">
                  <c:v>7.8964482782237492E-6</c:v>
                </c:pt>
                <c:pt idx="358">
                  <c:v>7.9207324954776546E-6</c:v>
                </c:pt>
                <c:pt idx="359">
                  <c:v>7.9855336955295192E-6</c:v>
                </c:pt>
                <c:pt idx="360">
                  <c:v>7.9900788698818539E-6</c:v>
                </c:pt>
                <c:pt idx="361">
                  <c:v>8.0312451633015741E-6</c:v>
                </c:pt>
                <c:pt idx="362">
                  <c:v>8.0570877260477083E-6</c:v>
                </c:pt>
                <c:pt idx="363">
                  <c:v>8.087345601021824E-6</c:v>
                </c:pt>
                <c:pt idx="364">
                  <c:v>8.134225827913053E-6</c:v>
                </c:pt>
                <c:pt idx="365">
                  <c:v>8.1648732892602284E-6</c:v>
                </c:pt>
                <c:pt idx="366">
                  <c:v>8.1916248868768285E-6</c:v>
                </c:pt>
                <c:pt idx="367">
                  <c:v>8.2434398744934485E-6</c:v>
                </c:pt>
                <c:pt idx="368">
                  <c:v>8.2596726400375038E-6</c:v>
                </c:pt>
                <c:pt idx="369">
                  <c:v>8.2633087795193709E-6</c:v>
                </c:pt>
                <c:pt idx="370">
                  <c:v>8.3026570031981576E-6</c:v>
                </c:pt>
                <c:pt idx="371">
                  <c:v>8.335252396410618E-6</c:v>
                </c:pt>
                <c:pt idx="372">
                  <c:v>8.4131696710220787E-6</c:v>
                </c:pt>
                <c:pt idx="373">
                  <c:v>8.418234293871823E-6</c:v>
                </c:pt>
                <c:pt idx="374">
                  <c:v>8.4518685840791026E-6</c:v>
                </c:pt>
                <c:pt idx="375">
                  <c:v>8.5113454370325164E-6</c:v>
                </c:pt>
                <c:pt idx="376">
                  <c:v>8.5047224686905434E-6</c:v>
                </c:pt>
                <c:pt idx="377">
                  <c:v>8.5371879997786507E-6</c:v>
                </c:pt>
                <c:pt idx="378">
                  <c:v>8.5651083565144249E-6</c:v>
                </c:pt>
                <c:pt idx="379">
                  <c:v>8.6378311461517864E-6</c:v>
                </c:pt>
                <c:pt idx="380">
                  <c:v>8.6593882587942891E-6</c:v>
                </c:pt>
                <c:pt idx="381">
                  <c:v>8.6975677233539051E-6</c:v>
                </c:pt>
                <c:pt idx="382">
                  <c:v>8.7122421434057299E-6</c:v>
                </c:pt>
                <c:pt idx="383">
                  <c:v>8.7771732055819461E-6</c:v>
                </c:pt>
                <c:pt idx="384">
                  <c:v>8.8485973739757836E-6</c:v>
                </c:pt>
                <c:pt idx="385">
                  <c:v>8.9259952000898347E-6</c:v>
                </c:pt>
                <c:pt idx="386">
                  <c:v>8.9254757515924252E-6</c:v>
                </c:pt>
                <c:pt idx="387">
                  <c:v>8.9910561243904024E-6</c:v>
                </c:pt>
                <c:pt idx="388">
                  <c:v>8.9839137075510182E-6</c:v>
                </c:pt>
                <c:pt idx="389">
                  <c:v>9.0531302198308659E-6</c:v>
                </c:pt>
                <c:pt idx="390">
                  <c:v>9.0916992707635382E-6</c:v>
                </c:pt>
                <c:pt idx="391">
                  <c:v>9.1241648018516454E-6</c:v>
                </c:pt>
                <c:pt idx="392">
                  <c:v>9.132086391437144E-6</c:v>
                </c:pt>
                <c:pt idx="393">
                  <c:v>9.1365017036651272E-6</c:v>
                </c:pt>
                <c:pt idx="394">
                  <c:v>9.1555914359449351E-6</c:v>
                </c:pt>
                <c:pt idx="395">
                  <c:v>9.2301322953232302E-6</c:v>
                </c:pt>
                <c:pt idx="396">
                  <c:v>9.2712985887429521E-6</c:v>
                </c:pt>
                <c:pt idx="397">
                  <c:v>9.2855834224217206E-6</c:v>
                </c:pt>
                <c:pt idx="398">
                  <c:v>9.2983099106082587E-6</c:v>
                </c:pt>
                <c:pt idx="399">
                  <c:v>9.3251913703492121E-6</c:v>
                </c:pt>
                <c:pt idx="400">
                  <c:v>9.3240226112300397E-6</c:v>
                </c:pt>
                <c:pt idx="401">
                  <c:v>9.3711625623699735E-6</c:v>
                </c:pt>
                <c:pt idx="402">
                  <c:v>9.3927196750124778E-6</c:v>
                </c:pt>
                <c:pt idx="403">
                  <c:v>9.4460930081213266E-6</c:v>
                </c:pt>
                <c:pt idx="404">
                  <c:v>9.453884735582472E-6</c:v>
                </c:pt>
                <c:pt idx="405">
                  <c:v>9.5132317264115343E-6</c:v>
                </c:pt>
                <c:pt idx="406">
                  <c:v>9.5343992526809806E-6</c:v>
                </c:pt>
                <c:pt idx="407">
                  <c:v>9.5827079629400851E-6</c:v>
                </c:pt>
                <c:pt idx="408">
                  <c:v>9.549203534857157E-6</c:v>
                </c:pt>
                <c:pt idx="409">
                  <c:v>9.5708905096240146E-6</c:v>
                </c:pt>
                <c:pt idx="410">
                  <c:v>9.6502362676033508E-6</c:v>
                </c:pt>
                <c:pt idx="411">
                  <c:v>9.651664750971228E-6</c:v>
                </c:pt>
                <c:pt idx="412">
                  <c:v>9.6636120664116517E-6</c:v>
                </c:pt>
                <c:pt idx="413">
                  <c:v>9.7352959590541941E-6</c:v>
                </c:pt>
                <c:pt idx="414">
                  <c:v>9.7145180191578041E-6</c:v>
                </c:pt>
                <c:pt idx="415">
                  <c:v>9.7438668592614538E-6</c:v>
                </c:pt>
                <c:pt idx="416">
                  <c:v>9.8115250260490711E-6</c:v>
                </c:pt>
                <c:pt idx="417">
                  <c:v>9.8172389595205782E-6</c:v>
                </c:pt>
                <c:pt idx="418">
                  <c:v>9.8520420088470302E-6</c:v>
                </c:pt>
                <c:pt idx="419">
                  <c:v>9.8925589916449893E-6</c:v>
                </c:pt>
                <c:pt idx="420">
                  <c:v>9.8843776778107859E-6</c:v>
                </c:pt>
                <c:pt idx="421">
                  <c:v>9.9159341740284272E-6</c:v>
                </c:pt>
                <c:pt idx="422">
                  <c:v>9.9512566718522888E-6</c:v>
                </c:pt>
                <c:pt idx="423">
                  <c:v>9.9555421219559186E-6</c:v>
                </c:pt>
                <c:pt idx="424">
                  <c:v>9.9870986181735599E-6</c:v>
                </c:pt>
                <c:pt idx="425">
                  <c:v>1.0009694627810883E-5</c:v>
                </c:pt>
                <c:pt idx="426">
                  <c:v>1.0005409177707254E-5</c:v>
                </c:pt>
                <c:pt idx="427">
                  <c:v>1.0022031529624364E-5</c:v>
                </c:pt>
                <c:pt idx="428">
                  <c:v>1.0072418033873108E-5</c:v>
                </c:pt>
                <c:pt idx="429">
                  <c:v>1.0062938098795381E-5</c:v>
                </c:pt>
                <c:pt idx="430">
                  <c:v>1.0068652032266888E-5</c:v>
                </c:pt>
                <c:pt idx="431">
                  <c:v>1.0127609436722892E-5</c:v>
                </c:pt>
                <c:pt idx="432">
                  <c:v>1.0118778812266927E-5</c:v>
                </c:pt>
                <c:pt idx="433">
                  <c:v>1.0098520320867947E-5</c:v>
                </c:pt>
                <c:pt idx="434">
                  <c:v>1.0122544813873148E-5</c:v>
                </c:pt>
                <c:pt idx="435">
                  <c:v>1.0166697936152974E-5</c:v>
                </c:pt>
                <c:pt idx="436">
                  <c:v>1.0182411253199618E-5</c:v>
                </c:pt>
                <c:pt idx="437">
                  <c:v>1.0191501601904289E-5</c:v>
                </c:pt>
                <c:pt idx="438">
                  <c:v>1.0163191658795458E-5</c:v>
                </c:pt>
                <c:pt idx="439">
                  <c:v>1.0173840352992358E-5</c:v>
                </c:pt>
                <c:pt idx="440">
                  <c:v>1.0214746922163374E-5</c:v>
                </c:pt>
                <c:pt idx="441">
                  <c:v>1.0187605738173715E-5</c:v>
                </c:pt>
                <c:pt idx="442">
                  <c:v>1.0190202980660763E-5</c:v>
                </c:pt>
                <c:pt idx="443">
                  <c:v>1.0199812777862844E-5</c:v>
                </c:pt>
                <c:pt idx="444">
                  <c:v>1.019851415661932E-5</c:v>
                </c:pt>
                <c:pt idx="445">
                  <c:v>1.0206955194702228E-5</c:v>
                </c:pt>
                <c:pt idx="446">
                  <c:v>1.0244615210764435E-5</c:v>
                </c:pt>
                <c:pt idx="447">
                  <c:v>1.0217474026774775E-5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6F-4732-AD6F-A825DF026D9F}"/>
            </c:ext>
          </c:extLst>
        </c:ser>
        <c:ser>
          <c:idx val="3"/>
          <c:order val="3"/>
          <c:tx>
            <c:v>Site3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VbiasDAC_Isweep!$E$4:$E$451</c:f>
              <c:numCache>
                <c:formatCode>0.00E+00</c:formatCode>
                <c:ptCount val="448"/>
                <c:pt idx="0">
                  <c:v>7.395673211730358E-10</c:v>
                </c:pt>
                <c:pt idx="1">
                  <c:v>2.9170390507591506E-9</c:v>
                </c:pt>
                <c:pt idx="2">
                  <c:v>1.0235405573865141E-8</c:v>
                </c:pt>
                <c:pt idx="3">
                  <c:v>1.3572477632816645E-8</c:v>
                </c:pt>
                <c:pt idx="4">
                  <c:v>1.6561669592958529E-8</c:v>
                </c:pt>
                <c:pt idx="5">
                  <c:v>2.1174302014211954E-8</c:v>
                </c:pt>
                <c:pt idx="6">
                  <c:v>2.8879201980439738E-8</c:v>
                </c:pt>
                <c:pt idx="7">
                  <c:v>3.2731651963553641E-8</c:v>
                </c:pt>
                <c:pt idx="8">
                  <c:v>3.9238298256103859E-8</c:v>
                </c:pt>
                <c:pt idx="9">
                  <c:v>4.3541703922859855E-8</c:v>
                </c:pt>
                <c:pt idx="10">
                  <c:v>5.32179244490088E-8</c:v>
                </c:pt>
                <c:pt idx="11">
                  <c:v>5.7212103361267347E-8</c:v>
                </c:pt>
                <c:pt idx="12">
                  <c:v>6.0948593311444702E-8</c:v>
                </c:pt>
                <c:pt idx="13">
                  <c:v>6.5870452487195569E-8</c:v>
                </c:pt>
                <c:pt idx="14">
                  <c:v>7.5533788565240457E-8</c:v>
                </c:pt>
                <c:pt idx="15">
                  <c:v>8.0339687708054779E-8</c:v>
                </c:pt>
                <c:pt idx="16">
                  <c:v>8.5454813605366536E-8</c:v>
                </c:pt>
                <c:pt idx="17">
                  <c:v>9.0273597196284916E-8</c:v>
                </c:pt>
                <c:pt idx="18">
                  <c:v>1.0054250233522062E-7</c:v>
                </c:pt>
                <c:pt idx="19">
                  <c:v>1.049103302424969E-7</c:v>
                </c:pt>
                <c:pt idx="20">
                  <c:v>1.0997391834739243E-7</c:v>
                </c:pt>
                <c:pt idx="21">
                  <c:v>1.1426443956604435E-7</c:v>
                </c:pt>
                <c:pt idx="22">
                  <c:v>1.2564140724192921E-7</c:v>
                </c:pt>
                <c:pt idx="23">
                  <c:v>1.3027980855939074E-7</c:v>
                </c:pt>
                <c:pt idx="24">
                  <c:v>1.3842277976115655E-7</c:v>
                </c:pt>
                <c:pt idx="25">
                  <c:v>1.43254447800179E-7</c:v>
                </c:pt>
                <c:pt idx="26">
                  <c:v>1.5501794891918564E-7</c:v>
                </c:pt>
                <c:pt idx="27">
                  <c:v>1.5932135458594162E-7</c:v>
                </c:pt>
                <c:pt idx="28">
                  <c:v>1.6371495138942606E-7</c:v>
                </c:pt>
                <c:pt idx="29">
                  <c:v>1.6930680186658801E-7</c:v>
                </c:pt>
                <c:pt idx="30">
                  <c:v>1.8054204061332821E-7</c:v>
                </c:pt>
                <c:pt idx="31">
                  <c:v>1.8588908657651304E-7</c:v>
                </c:pt>
                <c:pt idx="32">
                  <c:v>1.9783296996897651E-7</c:v>
                </c:pt>
                <c:pt idx="33">
                  <c:v>2.0213637563573252E-7</c:v>
                </c:pt>
                <c:pt idx="34">
                  <c:v>2.1458275250425431E-7</c:v>
                </c:pt>
                <c:pt idx="35">
                  <c:v>2.1956903392052548E-7</c:v>
                </c:pt>
                <c:pt idx="36">
                  <c:v>2.2425897303040327E-7</c:v>
                </c:pt>
                <c:pt idx="37">
                  <c:v>2.2919371665425818E-7</c:v>
                </c:pt>
                <c:pt idx="38">
                  <c:v>2.4149836459363529E-7</c:v>
                </c:pt>
                <c:pt idx="39">
                  <c:v>2.4727059734425416E-7</c:v>
                </c:pt>
                <c:pt idx="40">
                  <c:v>2.5569702640430927E-7</c:v>
                </c:pt>
                <c:pt idx="41">
                  <c:v>2.6118580129663876E-7</c:v>
                </c:pt>
                <c:pt idx="42">
                  <c:v>2.7289776462322916E-7</c:v>
                </c:pt>
                <c:pt idx="43">
                  <c:v>2.7928845088284285E-7</c:v>
                </c:pt>
                <c:pt idx="44">
                  <c:v>2.8386242995978407E-7</c:v>
                </c:pt>
                <c:pt idx="45">
                  <c:v>2.9025311621939781E-7</c:v>
                </c:pt>
                <c:pt idx="46">
                  <c:v>3.0251911081446272E-7</c:v>
                </c:pt>
                <c:pt idx="47">
                  <c:v>3.0731212550917299E-7</c:v>
                </c:pt>
                <c:pt idx="48">
                  <c:v>3.1412799855622066E-7</c:v>
                </c:pt>
                <c:pt idx="49">
                  <c:v>3.2117579166914142E-7</c:v>
                </c:pt>
                <c:pt idx="50">
                  <c:v>3.3270737272227496E-7</c:v>
                </c:pt>
                <c:pt idx="51">
                  <c:v>3.3844095212858158E-7</c:v>
                </c:pt>
                <c:pt idx="52">
                  <c:v>3.4396838036522327E-7</c:v>
                </c:pt>
                <c:pt idx="53">
                  <c:v>3.4829755492818742E-7</c:v>
                </c:pt>
                <c:pt idx="54">
                  <c:v>3.6104027410310259E-7</c:v>
                </c:pt>
                <c:pt idx="55">
                  <c:v>3.6795922273498272E-7</c:v>
                </c:pt>
                <c:pt idx="56">
                  <c:v>3.75548162668274E-7</c:v>
                </c:pt>
                <c:pt idx="57">
                  <c:v>3.8317575594587738E-7</c:v>
                </c:pt>
                <c:pt idx="58">
                  <c:v>3.9582828398406417E-7</c:v>
                </c:pt>
                <c:pt idx="59">
                  <c:v>4.0117532994724901E-7</c:v>
                </c:pt>
                <c:pt idx="60">
                  <c:v>4.0554315785452531E-7</c:v>
                </c:pt>
                <c:pt idx="61">
                  <c:v>4.1287440882573533E-7</c:v>
                </c:pt>
                <c:pt idx="62">
                  <c:v>4.2496002114734348E-7</c:v>
                </c:pt>
                <c:pt idx="63">
                  <c:v>4.3052610272829732E-7</c:v>
                </c:pt>
                <c:pt idx="64">
                  <c:v>4.4276632842715417E-7</c:v>
                </c:pt>
                <c:pt idx="65">
                  <c:v>4.4945335699316126E-7</c:v>
                </c:pt>
                <c:pt idx="66">
                  <c:v>4.6253107181878198E-7</c:v>
                </c:pt>
                <c:pt idx="67">
                  <c:v>4.6902483366322818E-7</c:v>
                </c:pt>
                <c:pt idx="68">
                  <c:v>4.742688040415805E-7</c:v>
                </c:pt>
                <c:pt idx="69">
                  <c:v>4.7895874315145832E-7</c:v>
                </c:pt>
                <c:pt idx="70">
                  <c:v>4.9430412084339355E-7</c:v>
                </c:pt>
                <c:pt idx="71">
                  <c:v>4.9953520677364195E-7</c:v>
                </c:pt>
                <c:pt idx="72">
                  <c:v>5.0703395557020469E-7</c:v>
                </c:pt>
                <c:pt idx="73">
                  <c:v>5.1458424215918378E-7</c:v>
                </c:pt>
                <c:pt idx="74">
                  <c:v>5.27326961334099E-7</c:v>
                </c:pt>
                <c:pt idx="75">
                  <c:v>5.3384649207475326E-7</c:v>
                </c:pt>
                <c:pt idx="76">
                  <c:v>5.3679703069058301E-7</c:v>
                </c:pt>
                <c:pt idx="77">
                  <c:v>5.4358713484142251E-7</c:v>
                </c:pt>
                <c:pt idx="78">
                  <c:v>5.5738637876087062E-7</c:v>
                </c:pt>
                <c:pt idx="79">
                  <c:v>5.6400898508635734E-7</c:v>
                </c:pt>
                <c:pt idx="80">
                  <c:v>5.6947199108247872E-7</c:v>
                </c:pt>
                <c:pt idx="81">
                  <c:v>5.7563075727621937E-7</c:v>
                </c:pt>
                <c:pt idx="82">
                  <c:v>5.9012576139328675E-7</c:v>
                </c:pt>
                <c:pt idx="83">
                  <c:v>5.9661952323773284E-7</c:v>
                </c:pt>
                <c:pt idx="84">
                  <c:v>6.0047197322084668E-7</c:v>
                </c:pt>
                <c:pt idx="85">
                  <c:v>6.0755841967807968E-7</c:v>
                </c:pt>
                <c:pt idx="86">
                  <c:v>6.2093247681009376E-7</c:v>
                </c:pt>
                <c:pt idx="87">
                  <c:v>6.2566106926428372E-7</c:v>
                </c:pt>
                <c:pt idx="88">
                  <c:v>6.3627785450202899E-7</c:v>
                </c:pt>
                <c:pt idx="89">
                  <c:v>6.412770203664043E-7</c:v>
                </c:pt>
                <c:pt idx="90">
                  <c:v>6.5548856662518225E-7</c:v>
                </c:pt>
                <c:pt idx="91">
                  <c:v>6.6137675940873755E-7</c:v>
                </c:pt>
                <c:pt idx="92">
                  <c:v>6.6767725453162292E-7</c:v>
                </c:pt>
                <c:pt idx="93">
                  <c:v>6.7444158978625435E-7</c:v>
                </c:pt>
                <c:pt idx="94">
                  <c:v>6.872358467535857E-7</c:v>
                </c:pt>
                <c:pt idx="95">
                  <c:v>6.9264731495729085E-7</c:v>
                </c:pt>
                <c:pt idx="96">
                  <c:v>7.0747731472506378E-7</c:v>
                </c:pt>
                <c:pt idx="97">
                  <c:v>7.1125245801955332E-7</c:v>
                </c:pt>
                <c:pt idx="98">
                  <c:v>7.2719052032427526E-7</c:v>
                </c:pt>
                <c:pt idx="99">
                  <c:v>7.3140373485430292E-7</c:v>
                </c:pt>
                <c:pt idx="100">
                  <c:v>7.3761403884045969E-7</c:v>
                </c:pt>
                <c:pt idx="101">
                  <c:v>7.4086091976268284E-7</c:v>
                </c:pt>
                <c:pt idx="102">
                  <c:v>7.5634802638376268E-7</c:v>
                </c:pt>
                <c:pt idx="103">
                  <c:v>7.6298351715735359E-7</c:v>
                </c:pt>
                <c:pt idx="104">
                  <c:v>7.7281435106075122E-7</c:v>
                </c:pt>
                <c:pt idx="105">
                  <c:v>7.790246550469081E-7</c:v>
                </c:pt>
                <c:pt idx="106">
                  <c:v>7.9443445497936364E-7</c:v>
                </c:pt>
                <c:pt idx="107">
                  <c:v>7.9916304743355361E-7</c:v>
                </c:pt>
                <c:pt idx="108">
                  <c:v>8.0404625326499226E-7</c:v>
                </c:pt>
                <c:pt idx="109">
                  <c:v>8.0952214370921773E-7</c:v>
                </c:pt>
                <c:pt idx="110">
                  <c:v>8.2363061438316332E-7</c:v>
                </c:pt>
                <c:pt idx="111">
                  <c:v>8.2954457606292669E-7</c:v>
                </c:pt>
                <c:pt idx="112">
                  <c:v>8.3583218673770797E-7</c:v>
                </c:pt>
                <c:pt idx="113">
                  <c:v>8.3898887652320264E-7</c:v>
                </c:pt>
                <c:pt idx="114">
                  <c:v>8.5330349836681305E-7</c:v>
                </c:pt>
                <c:pt idx="115">
                  <c:v>8.6115012726218554E-7</c:v>
                </c:pt>
                <c:pt idx="116">
                  <c:v>8.6742485348886273E-7</c:v>
                </c:pt>
                <c:pt idx="117">
                  <c:v>8.7210190815063647E-7</c:v>
                </c:pt>
                <c:pt idx="118">
                  <c:v>8.864036455461429E-7</c:v>
                </c:pt>
                <c:pt idx="119">
                  <c:v>8.9413431440857874E-7</c:v>
                </c:pt>
                <c:pt idx="120">
                  <c:v>9.0397803276008055E-7</c:v>
                </c:pt>
                <c:pt idx="121">
                  <c:v>9.1004660781709271E-7</c:v>
                </c:pt>
                <c:pt idx="122">
                  <c:v>9.2296970926546469E-7</c:v>
                </c:pt>
                <c:pt idx="123">
                  <c:v>9.3106114267481435E-7</c:v>
                </c:pt>
                <c:pt idx="124">
                  <c:v>9.3687202876974526E-7</c:v>
                </c:pt>
                <c:pt idx="125">
                  <c:v>9.4247676369501125E-7</c:v>
                </c:pt>
                <c:pt idx="126">
                  <c:v>9.5689446112345423E-7</c:v>
                </c:pt>
                <c:pt idx="127">
                  <c:v>9.6374898751481404E-7</c:v>
                </c:pt>
                <c:pt idx="128">
                  <c:v>9.1882676268326567E-7</c:v>
                </c:pt>
                <c:pt idx="129">
                  <c:v>9.3311018771897164E-7</c:v>
                </c:pt>
                <c:pt idx="130">
                  <c:v>9.5700246232415246E-7</c:v>
                </c:pt>
                <c:pt idx="131">
                  <c:v>9.707664900858329E-7</c:v>
                </c:pt>
                <c:pt idx="132">
                  <c:v>9.8024549033680148E-7</c:v>
                </c:pt>
                <c:pt idx="133">
                  <c:v>9.9673635378711656E-7</c:v>
                </c:pt>
                <c:pt idx="134">
                  <c:v>1.0177719433851563E-6</c:v>
                </c:pt>
                <c:pt idx="135">
                  <c:v>1.0302374779617725E-6</c:v>
                </c:pt>
                <c:pt idx="136">
                  <c:v>1.050883519604293E-6</c:v>
                </c:pt>
                <c:pt idx="137">
                  <c:v>1.0595834239442229E-6</c:v>
                </c:pt>
                <c:pt idx="138">
                  <c:v>1.0876308767416093E-6</c:v>
                </c:pt>
                <c:pt idx="139">
                  <c:v>1.1033426442808859E-6</c:v>
                </c:pt>
                <c:pt idx="140">
                  <c:v>1.1112634527097774E-6</c:v>
                </c:pt>
                <c:pt idx="141">
                  <c:v>1.1278841654785989E-6</c:v>
                </c:pt>
                <c:pt idx="142">
                  <c:v>1.149049604395145E-6</c:v>
                </c:pt>
                <c:pt idx="143">
                  <c:v>1.1606061937422163E-6</c:v>
                </c:pt>
                <c:pt idx="144">
                  <c:v>1.1768373585555186E-6</c:v>
                </c:pt>
                <c:pt idx="145">
                  <c:v>1.1880043999470706E-6</c:v>
                </c:pt>
                <c:pt idx="146">
                  <c:v>1.2138444143298476E-6</c:v>
                </c:pt>
                <c:pt idx="147">
                  <c:v>1.2233234145808162E-6</c:v>
                </c:pt>
                <c:pt idx="148">
                  <c:v>1.242151565764247E-6</c:v>
                </c:pt>
                <c:pt idx="149">
                  <c:v>1.2568245387554721E-6</c:v>
                </c:pt>
                <c:pt idx="150">
                  <c:v>1.2781198269905248E-6</c:v>
                </c:pt>
                <c:pt idx="151">
                  <c:v>1.2885077724710383E-6</c:v>
                </c:pt>
                <c:pt idx="152">
                  <c:v>1.3055180331953789E-6</c:v>
                </c:pt>
                <c:pt idx="153">
                  <c:v>1.3208402527791363E-6</c:v>
                </c:pt>
                <c:pt idx="154">
                  <c:v>1.3473295137544457E-6</c:v>
                </c:pt>
                <c:pt idx="155">
                  <c:v>1.3571980619609334E-6</c:v>
                </c:pt>
                <c:pt idx="156">
                  <c:v>1.3678457060784597E-6</c:v>
                </c:pt>
                <c:pt idx="157">
                  <c:v>1.3801813913365695E-6</c:v>
                </c:pt>
                <c:pt idx="158">
                  <c:v>1.4022557754826604E-6</c:v>
                </c:pt>
                <c:pt idx="159">
                  <c:v>1.4187466389329755E-6</c:v>
                </c:pt>
                <c:pt idx="160">
                  <c:v>1.4477030369599068E-6</c:v>
                </c:pt>
                <c:pt idx="161">
                  <c:v>1.455493996070292E-6</c:v>
                </c:pt>
                <c:pt idx="162">
                  <c:v>1.481593709090082E-6</c:v>
                </c:pt>
                <c:pt idx="163">
                  <c:v>1.4996427643624741E-6</c:v>
                </c:pt>
                <c:pt idx="164">
                  <c:v>1.5063949289248078E-6</c:v>
                </c:pt>
                <c:pt idx="165">
                  <c:v>1.5262618746562899E-6</c:v>
                </c:pt>
                <c:pt idx="166">
                  <c:v>1.5478168615283553E-6</c:v>
                </c:pt>
                <c:pt idx="167">
                  <c:v>1.5632689304306189E-6</c:v>
                </c:pt>
                <c:pt idx="168">
                  <c:v>1.5826164788880752E-6</c:v>
                </c:pt>
                <c:pt idx="169">
                  <c:v>1.5885895475393705E-6</c:v>
                </c:pt>
                <c:pt idx="170">
                  <c:v>1.6201429319364302E-6</c:v>
                </c:pt>
                <c:pt idx="171">
                  <c:v>1.6307905760539565E-6</c:v>
                </c:pt>
                <c:pt idx="172">
                  <c:v>1.635595000838694E-6</c:v>
                </c:pt>
                <c:pt idx="173">
                  <c:v>1.6537739054295925E-6</c:v>
                </c:pt>
                <c:pt idx="174">
                  <c:v>1.6794840704938632E-6</c:v>
                </c:pt>
                <c:pt idx="175">
                  <c:v>1.6924690023445051E-6</c:v>
                </c:pt>
                <c:pt idx="176">
                  <c:v>1.7084404685207945E-6</c:v>
                </c:pt>
                <c:pt idx="177">
                  <c:v>1.7196075099123464E-6</c:v>
                </c:pt>
                <c:pt idx="178">
                  <c:v>1.743369935199021E-6</c:v>
                </c:pt>
                <c:pt idx="179">
                  <c:v>1.7576533602347272E-6</c:v>
                </c:pt>
                <c:pt idx="180">
                  <c:v>1.7667428125301764E-6</c:v>
                </c:pt>
                <c:pt idx="181">
                  <c:v>1.7833635252989978E-6</c:v>
                </c:pt>
                <c:pt idx="182">
                  <c:v>1.8062170053561273E-6</c:v>
                </c:pt>
                <c:pt idx="183">
                  <c:v>1.8184228412957307E-6</c:v>
                </c:pt>
                <c:pt idx="184">
                  <c:v>1.8386793349827319E-6</c:v>
                </c:pt>
                <c:pt idx="185">
                  <c:v>1.850495622966816E-6</c:v>
                </c:pt>
                <c:pt idx="186">
                  <c:v>1.8760759387125805E-6</c:v>
                </c:pt>
                <c:pt idx="187">
                  <c:v>1.8897101171557544E-6</c:v>
                </c:pt>
                <c:pt idx="188">
                  <c:v>1.9030845969619155E-6</c:v>
                </c:pt>
                <c:pt idx="189">
                  <c:v>1.9136023917609355E-6</c:v>
                </c:pt>
                <c:pt idx="190">
                  <c:v>1.9438572829729308E-6</c:v>
                </c:pt>
                <c:pt idx="191">
                  <c:v>1.9580108586901306E-6</c:v>
                </c:pt>
                <c:pt idx="192">
                  <c:v>1.8730894043869329E-6</c:v>
                </c:pt>
                <c:pt idx="193">
                  <c:v>1.8968518296736073E-6</c:v>
                </c:pt>
                <c:pt idx="194">
                  <c:v>1.9465841186615657E-6</c:v>
                </c:pt>
                <c:pt idx="195">
                  <c:v>1.97216443440733E-6</c:v>
                </c:pt>
                <c:pt idx="196">
                  <c:v>1.9967059556050432E-6</c:v>
                </c:pt>
                <c:pt idx="197">
                  <c:v>2.0200788329361986E-6</c:v>
                </c:pt>
                <c:pt idx="198">
                  <c:v>2.0704603685166885E-6</c:v>
                </c:pt>
                <c:pt idx="199">
                  <c:v>2.0955212869884273E-6</c:v>
                </c:pt>
                <c:pt idx="200">
                  <c:v>2.135125329132885E-6</c:v>
                </c:pt>
                <c:pt idx="201">
                  <c:v>2.1574594119159886E-6</c:v>
                </c:pt>
                <c:pt idx="202">
                  <c:v>2.2099185365925818E-6</c:v>
                </c:pt>
                <c:pt idx="203">
                  <c:v>2.2297854823240637E-6</c:v>
                </c:pt>
                <c:pt idx="204">
                  <c:v>2.2480942362334685E-6</c:v>
                </c:pt>
                <c:pt idx="205">
                  <c:v>2.2738044012977396E-6</c:v>
                </c:pt>
                <c:pt idx="206">
                  <c:v>2.3201606080045309E-6</c:v>
                </c:pt>
                <c:pt idx="207">
                  <c:v>2.3524930883126291E-6</c:v>
                </c:pt>
                <c:pt idx="208">
                  <c:v>2.3761256642807969E-6</c:v>
                </c:pt>
                <c:pt idx="209">
                  <c:v>2.3972911031973433E-6</c:v>
                </c:pt>
                <c:pt idx="210">
                  <c:v>2.4519576662885455E-6</c:v>
                </c:pt>
                <c:pt idx="211">
                  <c:v>2.4842901465966434E-6</c:v>
                </c:pt>
                <c:pt idx="212">
                  <c:v>2.5046764896021511E-6</c:v>
                </c:pt>
                <c:pt idx="213">
                  <c:v>2.530776202621941E-6</c:v>
                </c:pt>
                <c:pt idx="214">
                  <c:v>2.5779115052397709E-6</c:v>
                </c:pt>
                <c:pt idx="215">
                  <c:v>2.6023231771189774E-6</c:v>
                </c:pt>
                <c:pt idx="216">
                  <c:v>2.6427063151744734E-6</c:v>
                </c:pt>
                <c:pt idx="217">
                  <c:v>2.6681567816017317E-6</c:v>
                </c:pt>
                <c:pt idx="218">
                  <c:v>2.7260695776555939E-6</c:v>
                </c:pt>
                <c:pt idx="219">
                  <c:v>2.7421708931503898E-6</c:v>
                </c:pt>
                <c:pt idx="220">
                  <c:v>2.767361660940635E-6</c:v>
                </c:pt>
                <c:pt idx="221">
                  <c:v>2.7908643875902968E-6</c:v>
                </c:pt>
                <c:pt idx="222">
                  <c:v>2.8441026081779279E-6</c:v>
                </c:pt>
                <c:pt idx="223">
                  <c:v>2.8721500609753143E-6</c:v>
                </c:pt>
                <c:pt idx="224">
                  <c:v>2.9150003360824324E-6</c:v>
                </c:pt>
                <c:pt idx="225">
                  <c:v>2.9494104054866332E-6</c:v>
                </c:pt>
                <c:pt idx="226">
                  <c:v>2.9907024887716743E-6</c:v>
                </c:pt>
                <c:pt idx="227">
                  <c:v>3.0170619004284773E-6</c:v>
                </c:pt>
                <c:pt idx="228">
                  <c:v>3.0393959832115812E-6</c:v>
                </c:pt>
                <c:pt idx="229">
                  <c:v>3.0657553948683838E-6</c:v>
                </c:pt>
                <c:pt idx="230">
                  <c:v>3.1209413552336115E-6</c:v>
                </c:pt>
                <c:pt idx="231">
                  <c:v>3.1465216709793762E-6</c:v>
                </c:pt>
                <c:pt idx="232">
                  <c:v>3.184048124027731E-6</c:v>
                </c:pt>
                <c:pt idx="233">
                  <c:v>3.204304617714732E-6</c:v>
                </c:pt>
                <c:pt idx="234">
                  <c:v>3.2593607287614533E-6</c:v>
                </c:pt>
                <c:pt idx="235">
                  <c:v>3.2802664690409866E-6</c:v>
                </c:pt>
                <c:pt idx="236">
                  <c:v>3.3029900997796097E-6</c:v>
                </c:pt>
                <c:pt idx="237">
                  <c:v>3.3320763471250476E-6</c:v>
                </c:pt>
                <c:pt idx="238">
                  <c:v>3.3740176770026206E-6</c:v>
                </c:pt>
                <c:pt idx="239">
                  <c:v>3.4099859382288984E-6</c:v>
                </c:pt>
                <c:pt idx="240">
                  <c:v>3.4341379114710925E-6</c:v>
                </c:pt>
                <c:pt idx="241">
                  <c:v>3.4616659669944529E-6</c:v>
                </c:pt>
                <c:pt idx="242">
                  <c:v>3.5110087080268918E-6</c:v>
                </c:pt>
                <c:pt idx="243">
                  <c:v>3.5330830921729829E-6</c:v>
                </c:pt>
                <c:pt idx="244">
                  <c:v>3.5576246133706962E-6</c:v>
                </c:pt>
                <c:pt idx="245">
                  <c:v>3.5776214084206844E-6</c:v>
                </c:pt>
                <c:pt idx="246">
                  <c:v>3.6380013415261691E-6</c:v>
                </c:pt>
                <c:pt idx="247">
                  <c:v>3.6607249722647921E-6</c:v>
                </c:pt>
                <c:pt idx="248">
                  <c:v>3.6926679046173708E-6</c:v>
                </c:pt>
                <c:pt idx="249">
                  <c:v>3.7142228914894365E-6</c:v>
                </c:pt>
                <c:pt idx="250">
                  <c:v>3.773823728683882E-6</c:v>
                </c:pt>
                <c:pt idx="251">
                  <c:v>3.800702537614711E-6</c:v>
                </c:pt>
                <c:pt idx="252">
                  <c:v>3.8182321956130767E-6</c:v>
                </c:pt>
                <c:pt idx="253">
                  <c:v>3.8434229634033222E-6</c:v>
                </c:pt>
                <c:pt idx="254">
                  <c:v>3.8975701292204981E-6</c:v>
                </c:pt>
                <c:pt idx="255">
                  <c:v>3.9319801986246988E-6</c:v>
                </c:pt>
                <c:pt idx="256">
                  <c:v>3.986516912397395E-6</c:v>
                </c:pt>
                <c:pt idx="257">
                  <c:v>4.0076823513139407E-6</c:v>
                </c:pt>
                <c:pt idx="258">
                  <c:v>4.0629981609976752E-6</c:v>
                </c:pt>
                <c:pt idx="259">
                  <c:v>4.0915650110690876E-6</c:v>
                </c:pt>
                <c:pt idx="260">
                  <c:v>4.1041603949642095E-6</c:v>
                </c:pt>
                <c:pt idx="261">
                  <c:v>4.1336361902651669E-6</c:v>
                </c:pt>
                <c:pt idx="262">
                  <c:v>4.1883027533563683E-6</c:v>
                </c:pt>
                <c:pt idx="263">
                  <c:v>4.2134935211466139E-6</c:v>
                </c:pt>
                <c:pt idx="264">
                  <c:v>4.2533572619280843E-6</c:v>
                </c:pt>
                <c:pt idx="265">
                  <c:v>4.2834823038215733E-6</c:v>
                </c:pt>
                <c:pt idx="266">
                  <c:v>4.3280206200692743E-6</c:v>
                </c:pt>
                <c:pt idx="267">
                  <c:v>4.3517830453559493E-6</c:v>
                </c:pt>
                <c:pt idx="268">
                  <c:v>4.3720395390429507E-6</c:v>
                </c:pt>
                <c:pt idx="269">
                  <c:v>4.401904882299426E-6</c:v>
                </c:pt>
                <c:pt idx="270">
                  <c:v>4.4605967742643273E-6</c:v>
                </c:pt>
                <c:pt idx="271">
                  <c:v>4.4700757745152961E-6</c:v>
                </c:pt>
                <c:pt idx="272">
                  <c:v>4.5066932823341058E-6</c:v>
                </c:pt>
                <c:pt idx="273">
                  <c:v>4.5350004337685053E-6</c:v>
                </c:pt>
                <c:pt idx="274">
                  <c:v>4.5920042845928232E-6</c:v>
                </c:pt>
                <c:pt idx="275">
                  <c:v>4.6103130385022276E-6</c:v>
                </c:pt>
                <c:pt idx="276">
                  <c:v>4.6487484367801275E-6</c:v>
                </c:pt>
                <c:pt idx="277">
                  <c:v>4.6697840263781672E-6</c:v>
                </c:pt>
                <c:pt idx="278">
                  <c:v>4.7161402330849584E-6</c:v>
                </c:pt>
                <c:pt idx="279">
                  <c:v>4.74146085019371E-6</c:v>
                </c:pt>
                <c:pt idx="280">
                  <c:v>4.7870379609894621E-6</c:v>
                </c:pt>
                <c:pt idx="281">
                  <c:v>4.8136570712832791E-6</c:v>
                </c:pt>
                <c:pt idx="282">
                  <c:v>4.8649475520933137E-6</c:v>
                </c:pt>
                <c:pt idx="283">
                  <c:v>4.8803996209955769E-6</c:v>
                </c:pt>
                <c:pt idx="284">
                  <c:v>4.9115634574371177E-6</c:v>
                </c:pt>
                <c:pt idx="285">
                  <c:v>4.9287035674799651E-6</c:v>
                </c:pt>
                <c:pt idx="286">
                  <c:v>4.9914207883185646E-6</c:v>
                </c:pt>
                <c:pt idx="287">
                  <c:v>5.0184294465679004E-6</c:v>
                </c:pt>
                <c:pt idx="288">
                  <c:v>5.064525954637678E-6</c:v>
                </c:pt>
                <c:pt idx="289">
                  <c:v>5.1014031610935013E-6</c:v>
                </c:pt>
                <c:pt idx="290">
                  <c:v>5.1447728334746454E-6</c:v>
                </c:pt>
                <c:pt idx="291">
                  <c:v>5.1821694372044933E-6</c:v>
                </c:pt>
                <c:pt idx="292">
                  <c:v>5.2029453281655203E-6</c:v>
                </c:pt>
                <c:pt idx="293">
                  <c:v>5.2233316711710285E-6</c:v>
                </c:pt>
                <c:pt idx="294">
                  <c:v>5.2718953162924286E-6</c:v>
                </c:pt>
                <c:pt idx="295">
                  <c:v>5.2989039745417636E-6</c:v>
                </c:pt>
                <c:pt idx="296">
                  <c:v>5.33889756464174E-6</c:v>
                </c:pt>
                <c:pt idx="297">
                  <c:v>5.3601928528767924E-6</c:v>
                </c:pt>
                <c:pt idx="298">
                  <c:v>5.4162877584715652E-6</c:v>
                </c:pt>
                <c:pt idx="299">
                  <c:v>5.441348676943304E-6</c:v>
                </c:pt>
                <c:pt idx="300">
                  <c:v>5.4638126090449143E-6</c:v>
                </c:pt>
                <c:pt idx="301">
                  <c:v>5.4903018700202237E-6</c:v>
                </c:pt>
                <c:pt idx="302">
                  <c:v>5.5441893372003876E-6</c:v>
                </c:pt>
                <c:pt idx="303">
                  <c:v>5.5702890502201775E-6</c:v>
                </c:pt>
                <c:pt idx="304">
                  <c:v>5.6097632430461284E-6</c:v>
                </c:pt>
                <c:pt idx="305">
                  <c:v>5.6233974214893022E-6</c:v>
                </c:pt>
                <c:pt idx="306">
                  <c:v>5.6700133268331062E-6</c:v>
                </c:pt>
                <c:pt idx="307">
                  <c:v>5.7083188757925001E-6</c:v>
                </c:pt>
                <c:pt idx="308">
                  <c:v>5.7155904376288592E-6</c:v>
                </c:pt>
                <c:pt idx="309">
                  <c:v>5.7459751781593609E-6</c:v>
                </c:pt>
                <c:pt idx="310">
                  <c:v>5.7928507821401785E-6</c:v>
                </c:pt>
                <c:pt idx="311">
                  <c:v>5.8255728104037959E-6</c:v>
                </c:pt>
                <c:pt idx="312">
                  <c:v>5.8703708252885097E-6</c:v>
                </c:pt>
                <c:pt idx="313">
                  <c:v>5.8820572639540874E-6</c:v>
                </c:pt>
                <c:pt idx="314">
                  <c:v>5.956980320732291E-6</c:v>
                </c:pt>
                <c:pt idx="315">
                  <c:v>5.9737308828196188E-6</c:v>
                </c:pt>
                <c:pt idx="316">
                  <c:v>5.9846382255741574E-6</c:v>
                </c:pt>
                <c:pt idx="317">
                  <c:v>6.0126856783715442E-6</c:v>
                </c:pt>
                <c:pt idx="318">
                  <c:v>6.0707283237439131E-6</c:v>
                </c:pt>
                <c:pt idx="319">
                  <c:v>6.0989056258598059E-6</c:v>
                </c:pt>
                <c:pt idx="320">
                  <c:v>6.1608437507873671E-6</c:v>
                </c:pt>
                <c:pt idx="321">
                  <c:v>6.1923971351844267E-6</c:v>
                </c:pt>
                <c:pt idx="322">
                  <c:v>6.2305728348253138E-6</c:v>
                </c:pt>
                <c:pt idx="323">
                  <c:v>6.2627754658149057E-6</c:v>
                </c:pt>
                <c:pt idx="324">
                  <c:v>6.2964064393080681E-6</c:v>
                </c:pt>
                <c:pt idx="325">
                  <c:v>6.3199091659577295E-6</c:v>
                </c:pt>
                <c:pt idx="326">
                  <c:v>6.3630191397018599E-6</c:v>
                </c:pt>
                <c:pt idx="327">
                  <c:v>6.397039661150542E-6</c:v>
                </c:pt>
                <c:pt idx="328">
                  <c:v>6.4449540596794098E-6</c:v>
                </c:pt>
                <c:pt idx="329">
                  <c:v>6.4552121558414169E-6</c:v>
                </c:pt>
                <c:pt idx="330">
                  <c:v>6.5111772121176829E-6</c:v>
                </c:pt>
                <c:pt idx="331">
                  <c:v>6.5389649662780569E-6</c:v>
                </c:pt>
                <c:pt idx="332">
                  <c:v>6.5792182550150461E-6</c:v>
                </c:pt>
                <c:pt idx="333">
                  <c:v>6.6046687214423045E-6</c:v>
                </c:pt>
                <c:pt idx="334">
                  <c:v>6.650765229512083E-6</c:v>
                </c:pt>
                <c:pt idx="335">
                  <c:v>6.6750470520727826E-6</c:v>
                </c:pt>
                <c:pt idx="336">
                  <c:v>6.7025751075961439E-6</c:v>
                </c:pt>
                <c:pt idx="337">
                  <c:v>6.7365956290448251E-6</c:v>
                </c:pt>
                <c:pt idx="338">
                  <c:v>6.7868473153068095E-6</c:v>
                </c:pt>
                <c:pt idx="339">
                  <c:v>6.7969755621503098E-6</c:v>
                </c:pt>
                <c:pt idx="340">
                  <c:v>6.8109992885490032E-6</c:v>
                </c:pt>
                <c:pt idx="341">
                  <c:v>6.8420332756720364E-6</c:v>
                </c:pt>
                <c:pt idx="342">
                  <c:v>6.8976087839927836E-6</c:v>
                </c:pt>
                <c:pt idx="343">
                  <c:v>6.917995126998291E-6</c:v>
                </c:pt>
                <c:pt idx="344">
                  <c:v>6.9735706353190383E-6</c:v>
                </c:pt>
                <c:pt idx="345">
                  <c:v>6.9973330606057132E-6</c:v>
                </c:pt>
                <c:pt idx="346">
                  <c:v>7.0468056509566585E-6</c:v>
                </c:pt>
                <c:pt idx="347">
                  <c:v>7.065893500777102E-6</c:v>
                </c:pt>
                <c:pt idx="348">
                  <c:v>7.0822545149089103E-6</c:v>
                </c:pt>
                <c:pt idx="349">
                  <c:v>7.1277017763861564E-6</c:v>
                </c:pt>
                <c:pt idx="350">
                  <c:v>7.1783430106036595E-6</c:v>
                </c:pt>
                <c:pt idx="351">
                  <c:v>7.2005472440682579E-6</c:v>
                </c:pt>
                <c:pt idx="352">
                  <c:v>7.2541750126114082E-6</c:v>
                </c:pt>
                <c:pt idx="353">
                  <c:v>7.2841702051863903E-6</c:v>
                </c:pt>
                <c:pt idx="354">
                  <c:v>7.3459784807954456E-6</c:v>
                </c:pt>
                <c:pt idx="355">
                  <c:v>7.3609111524236841E-6</c:v>
                </c:pt>
                <c:pt idx="356">
                  <c:v>7.3981779068350261E-6</c:v>
                </c:pt>
                <c:pt idx="357">
                  <c:v>7.425316414402867E-6</c:v>
                </c:pt>
                <c:pt idx="358">
                  <c:v>7.4775158404424475E-6</c:v>
                </c:pt>
                <c:pt idx="359">
                  <c:v>7.4988111286775E-6</c:v>
                </c:pt>
                <c:pt idx="360">
                  <c:v>7.5407524585550734E-6</c:v>
                </c:pt>
                <c:pt idx="361">
                  <c:v>7.5504911574430541E-6</c:v>
                </c:pt>
                <c:pt idx="362">
                  <c:v>7.6276216526358666E-6</c:v>
                </c:pt>
                <c:pt idx="363">
                  <c:v>7.6447617626787148E-6</c:v>
                </c:pt>
                <c:pt idx="364">
                  <c:v>7.6855344486897313E-6</c:v>
                </c:pt>
                <c:pt idx="365">
                  <c:v>7.6874821884673274E-6</c:v>
                </c:pt>
                <c:pt idx="366">
                  <c:v>7.7455248338396955E-6</c:v>
                </c:pt>
                <c:pt idx="367">
                  <c:v>7.7764289716442236E-6</c:v>
                </c:pt>
                <c:pt idx="368">
                  <c:v>7.7999316982938849E-6</c:v>
                </c:pt>
                <c:pt idx="369">
                  <c:v>7.8253821647211424E-6</c:v>
                </c:pt>
                <c:pt idx="370">
                  <c:v>7.8625190698139785E-6</c:v>
                </c:pt>
                <c:pt idx="371">
                  <c:v>7.8996559749068145E-6</c:v>
                </c:pt>
                <c:pt idx="372">
                  <c:v>7.9445838391100351E-6</c:v>
                </c:pt>
                <c:pt idx="373">
                  <c:v>7.9674373191671633E-6</c:v>
                </c:pt>
                <c:pt idx="374">
                  <c:v>8.024571019309988E-6</c:v>
                </c:pt>
                <c:pt idx="375">
                  <c:v>8.0459961568635473E-6</c:v>
                </c:pt>
                <c:pt idx="376">
                  <c:v>8.0548259105219829E-6</c:v>
                </c:pt>
                <c:pt idx="377">
                  <c:v>8.0796271303567089E-6</c:v>
                </c:pt>
                <c:pt idx="378">
                  <c:v>8.1471487759800475E-6</c:v>
                </c:pt>
                <c:pt idx="379">
                  <c:v>8.1775335165105483E-6</c:v>
                </c:pt>
                <c:pt idx="380">
                  <c:v>8.1832468865248308E-6</c:v>
                </c:pt>
                <c:pt idx="381">
                  <c:v>8.2250583670838983E-6</c:v>
                </c:pt>
                <c:pt idx="382">
                  <c:v>8.282192067226723E-6</c:v>
                </c:pt>
                <c:pt idx="383">
                  <c:v>8.3085514788835239E-6</c:v>
                </c:pt>
                <c:pt idx="384">
                  <c:v>8.3860715220318551E-6</c:v>
                </c:pt>
                <c:pt idx="385">
                  <c:v>8.3946415770532805E-6</c:v>
                </c:pt>
                <c:pt idx="386">
                  <c:v>8.4416470303526032E-6</c:v>
                </c:pt>
                <c:pt idx="387">
                  <c:v>8.4673571954168743E-6</c:v>
                </c:pt>
                <c:pt idx="388">
                  <c:v>8.4826794150006316E-6</c:v>
                </c:pt>
                <c:pt idx="389">
                  <c:v>8.5078701827908771E-6</c:v>
                </c:pt>
                <c:pt idx="390">
                  <c:v>8.5798067052434318E-6</c:v>
                </c:pt>
                <c:pt idx="391">
                  <c:v>8.5778589654658357E-6</c:v>
                </c:pt>
                <c:pt idx="392">
                  <c:v>8.6300583915054171E-6</c:v>
                </c:pt>
                <c:pt idx="393">
                  <c:v>8.6483671454148215E-6</c:v>
                </c:pt>
                <c:pt idx="394">
                  <c:v>8.6953725987141442E-6</c:v>
                </c:pt>
                <c:pt idx="395">
                  <c:v>8.7200439692303643E-6</c:v>
                </c:pt>
                <c:pt idx="396">
                  <c:v>8.7271856817482173E-6</c:v>
                </c:pt>
                <c:pt idx="397">
                  <c:v>8.7526361481754748E-6</c:v>
                </c:pt>
                <c:pt idx="398">
                  <c:v>8.7861372723501305E-6</c:v>
                </c:pt>
                <c:pt idx="399">
                  <c:v>8.8331427256494532E-6</c:v>
                </c:pt>
                <c:pt idx="400">
                  <c:v>8.8741751102974816E-6</c:v>
                </c:pt>
                <c:pt idx="401">
                  <c:v>8.9048195494649977E-6</c:v>
                </c:pt>
                <c:pt idx="402">
                  <c:v>8.9204014676857669E-6</c:v>
                </c:pt>
                <c:pt idx="403">
                  <c:v>8.9432549477428967E-6</c:v>
                </c:pt>
                <c:pt idx="404">
                  <c:v>8.9687054141701542E-6</c:v>
                </c:pt>
                <c:pt idx="405">
                  <c:v>9.0064915658555218E-6</c:v>
                </c:pt>
                <c:pt idx="406">
                  <c:v>9.034149470697389E-6</c:v>
                </c:pt>
                <c:pt idx="407">
                  <c:v>9.0877772392405393E-6</c:v>
                </c:pt>
                <c:pt idx="408">
                  <c:v>9.1006323217726749E-6</c:v>
                </c:pt>
                <c:pt idx="409">
                  <c:v>9.1264723361554519E-6</c:v>
                </c:pt>
                <c:pt idx="410">
                  <c:v>9.1665957755739369E-6</c:v>
                </c:pt>
                <c:pt idx="411">
                  <c:v>9.1813985978836669E-6</c:v>
                </c:pt>
                <c:pt idx="412">
                  <c:v>9.2089266534070282E-6</c:v>
                </c:pt>
                <c:pt idx="413">
                  <c:v>9.2211324893466323E-6</c:v>
                </c:pt>
                <c:pt idx="414">
                  <c:v>9.291770518614124E-6</c:v>
                </c:pt>
                <c:pt idx="415">
                  <c:v>9.317740382315407E-6</c:v>
                </c:pt>
                <c:pt idx="416">
                  <c:v>9.3683816165329101E-6</c:v>
                </c:pt>
                <c:pt idx="417">
                  <c:v>9.3729263426806339E-6</c:v>
                </c:pt>
                <c:pt idx="418">
                  <c:v>9.4265541112237859E-6</c:v>
                </c:pt>
                <c:pt idx="419">
                  <c:v>9.4387599471633882E-6</c:v>
                </c:pt>
                <c:pt idx="420">
                  <c:v>9.4633014683611006E-6</c:v>
                </c:pt>
                <c:pt idx="421">
                  <c:v>9.4630417697240887E-6</c:v>
                </c:pt>
                <c:pt idx="422">
                  <c:v>9.5427692512870297E-6</c:v>
                </c:pt>
                <c:pt idx="423">
                  <c:v>9.5661421286181851E-6</c:v>
                </c:pt>
                <c:pt idx="424">
                  <c:v>9.5875672661717444E-6</c:v>
                </c:pt>
                <c:pt idx="425">
                  <c:v>9.6049670748516037E-6</c:v>
                </c:pt>
                <c:pt idx="426">
                  <c:v>9.6588545420317676E-6</c:v>
                </c:pt>
                <c:pt idx="427">
                  <c:v>9.6592440899872871E-6</c:v>
                </c:pt>
                <c:pt idx="428">
                  <c:v>9.6463890074551516E-6</c:v>
                </c:pt>
                <c:pt idx="429">
                  <c:v>9.7057301460125843E-6</c:v>
                </c:pt>
                <c:pt idx="430">
                  <c:v>9.7094957762492707E-6</c:v>
                </c:pt>
                <c:pt idx="431">
                  <c:v>9.762993695473915E-6</c:v>
                </c:pt>
                <c:pt idx="432">
                  <c:v>9.7767577232355939E-6</c:v>
                </c:pt>
                <c:pt idx="433">
                  <c:v>9.818828902431675E-6</c:v>
                </c:pt>
                <c:pt idx="434">
                  <c:v>9.8492136429621759E-6</c:v>
                </c:pt>
                <c:pt idx="435">
                  <c:v>9.8659642050495037E-6</c:v>
                </c:pt>
                <c:pt idx="436">
                  <c:v>9.8731059175673585E-6</c:v>
                </c:pt>
                <c:pt idx="437">
                  <c:v>9.9020623155942887E-6</c:v>
                </c:pt>
                <c:pt idx="438">
                  <c:v>9.9667272762104844E-6</c:v>
                </c:pt>
                <c:pt idx="439">
                  <c:v>9.9415365084202388E-6</c:v>
                </c:pt>
                <c:pt idx="440">
                  <c:v>9.9839972355718377E-6</c:v>
                </c:pt>
                <c:pt idx="441">
                  <c:v>1.0002825386755269E-5</c:v>
                </c:pt>
                <c:pt idx="442">
                  <c:v>1.0058920292350041E-5</c:v>
                </c:pt>
                <c:pt idx="443">
                  <c:v>1.0097485539946448E-5</c:v>
                </c:pt>
                <c:pt idx="444">
                  <c:v>1.0121767362507148E-5</c:v>
                </c:pt>
                <c:pt idx="445">
                  <c:v>1.0120468869322084E-5</c:v>
                </c:pt>
                <c:pt idx="446">
                  <c:v>1.0146308883704861E-5</c:v>
                </c:pt>
                <c:pt idx="447">
                  <c:v>1.0147607376889926E-5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96F-4732-AD6F-A825DF026D9F}"/>
            </c:ext>
          </c:extLst>
        </c:ser>
        <c:ser>
          <c:idx val="4"/>
          <c:order val="4"/>
          <c:tx>
            <c:v>SiteX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VbiasDAC_Isweep!$F$4:$F$451</c:f>
              <c:numCache>
                <c:formatCode>General</c:formatCode>
                <c:ptCount val="448"/>
                <c:pt idx="0">
                  <c:v>7.3506308721517907E-11</c:v>
                </c:pt>
                <c:pt idx="1">
                  <c:v>2.2915914140024154E-9</c:v>
                </c:pt>
                <c:pt idx="2">
                  <c:v>4.896551828343932E-9</c:v>
                </c:pt>
                <c:pt idx="3">
                  <c:v>7.991554300828906E-9</c:v>
                </c:pt>
                <c:pt idx="4">
                  <c:v>1.0222535249745155E-8</c:v>
                </c:pt>
                <c:pt idx="5">
                  <c:v>1.3124100067699814E-8</c:v>
                </c:pt>
                <c:pt idx="6">
                  <c:v>1.746999937281413E-8</c:v>
                </c:pt>
                <c:pt idx="7">
                  <c:v>2.0732647812558704E-8</c:v>
                </c:pt>
                <c:pt idx="8">
                  <c:v>2.5104338804943727E-8</c:v>
                </c:pt>
                <c:pt idx="9">
                  <c:v>2.8637799961030738E-8</c:v>
                </c:pt>
                <c:pt idx="10">
                  <c:v>3.3035282640686465E-8</c:v>
                </c:pt>
                <c:pt idx="11">
                  <c:v>3.7742265567590693E-8</c:v>
                </c:pt>
                <c:pt idx="12">
                  <c:v>4.0360121825567572E-8</c:v>
                </c:pt>
                <c:pt idx="13">
                  <c:v>4.4783396192494006E-8</c:v>
                </c:pt>
                <c:pt idx="14">
                  <c:v>5.043177570477908E-8</c:v>
                </c:pt>
                <c:pt idx="15">
                  <c:v>5.4248945420843877E-8</c:v>
                </c:pt>
                <c:pt idx="16">
                  <c:v>5.5551425628014638E-8</c:v>
                </c:pt>
                <c:pt idx="17">
                  <c:v>5.9523345467703678E-8</c:v>
                </c:pt>
                <c:pt idx="18">
                  <c:v>6.5635975350861516E-8</c:v>
                </c:pt>
                <c:pt idx="19">
                  <c:v>7.0587979306837473E-8</c:v>
                </c:pt>
                <c:pt idx="20">
                  <c:v>7.3863523590217397E-8</c:v>
                </c:pt>
                <c:pt idx="21">
                  <c:v>7.8880006764370126E-8</c:v>
                </c:pt>
                <c:pt idx="22">
                  <c:v>8.5044220022069358E-8</c:v>
                </c:pt>
                <c:pt idx="23">
                  <c:v>8.9145098298111942E-8</c:v>
                </c:pt>
                <c:pt idx="24">
                  <c:v>9.3916560443192942E-8</c:v>
                </c:pt>
                <c:pt idx="25">
                  <c:v>9.8958835304616371E-8</c:v>
                </c:pt>
                <c:pt idx="26">
                  <c:v>1.0587100749316615E-7</c:v>
                </c:pt>
                <c:pt idx="27">
                  <c:v>1.1043613614008149E-7</c:v>
                </c:pt>
                <c:pt idx="28">
                  <c:v>1.148594105070079E-7</c:v>
                </c:pt>
                <c:pt idx="29">
                  <c:v>1.2014670639750308E-7</c:v>
                </c:pt>
                <c:pt idx="30">
                  <c:v>1.2756181648783164E-7</c:v>
                </c:pt>
                <c:pt idx="31">
                  <c:v>1.3226879941473586E-7</c:v>
                </c:pt>
                <c:pt idx="32">
                  <c:v>1.421728073266878E-7</c:v>
                </c:pt>
                <c:pt idx="33">
                  <c:v>1.4725376971901727E-7</c:v>
                </c:pt>
                <c:pt idx="34">
                  <c:v>1.5359852478761146E-7</c:v>
                </c:pt>
                <c:pt idx="35">
                  <c:v>1.5998196738711173E-7</c:v>
                </c:pt>
                <c:pt idx="36">
                  <c:v>1.6543690924486647E-7</c:v>
                </c:pt>
                <c:pt idx="37">
                  <c:v>1.7036312151357174E-7</c:v>
                </c:pt>
                <c:pt idx="38">
                  <c:v>1.7763637732391142E-7</c:v>
                </c:pt>
                <c:pt idx="39">
                  <c:v>1.82975256588948E-7</c:v>
                </c:pt>
                <c:pt idx="40">
                  <c:v>1.8934580334481291E-7</c:v>
                </c:pt>
                <c:pt idx="41">
                  <c:v>1.9496839116982727E-7</c:v>
                </c:pt>
                <c:pt idx="42">
                  <c:v>2.0229323035470837E-7</c:v>
                </c:pt>
                <c:pt idx="43">
                  <c:v>2.0826400595787728E-7</c:v>
                </c:pt>
                <c:pt idx="44">
                  <c:v>2.1275175954298049E-7</c:v>
                </c:pt>
                <c:pt idx="45">
                  <c:v>2.1948338992063531E-7</c:v>
                </c:pt>
                <c:pt idx="46">
                  <c:v>2.2720800025821239E-7</c:v>
                </c:pt>
                <c:pt idx="47">
                  <c:v>2.3324325507955809E-7</c:v>
                </c:pt>
                <c:pt idx="48">
                  <c:v>2.3334642182864089E-7</c:v>
                </c:pt>
                <c:pt idx="49">
                  <c:v>2.3978144780268257E-7</c:v>
                </c:pt>
                <c:pt idx="50">
                  <c:v>2.4804768357294453E-7</c:v>
                </c:pt>
                <c:pt idx="51">
                  <c:v>2.5431506357972661E-7</c:v>
                </c:pt>
                <c:pt idx="52">
                  <c:v>2.592541716920672E-7</c:v>
                </c:pt>
                <c:pt idx="53">
                  <c:v>2.656118226042967E-7</c:v>
                </c:pt>
                <c:pt idx="54">
                  <c:v>2.7343959969095666E-7</c:v>
                </c:pt>
                <c:pt idx="55">
                  <c:v>2.7979725060318617E-7</c:v>
                </c:pt>
                <c:pt idx="56">
                  <c:v>2.8584540126816727E-7</c:v>
                </c:pt>
                <c:pt idx="57">
                  <c:v>2.9283494851852918E-7</c:v>
                </c:pt>
                <c:pt idx="58">
                  <c:v>3.0055955885610623E-7</c:v>
                </c:pt>
                <c:pt idx="59">
                  <c:v>3.0682693886288825E-7</c:v>
                </c:pt>
                <c:pt idx="60">
                  <c:v>3.1226898487700769E-7</c:v>
                </c:pt>
                <c:pt idx="61">
                  <c:v>3.1994201184004337E-7</c:v>
                </c:pt>
                <c:pt idx="62">
                  <c:v>3.2684128818495779E-7</c:v>
                </c:pt>
                <c:pt idx="63">
                  <c:v>3.341016481516621E-7</c:v>
                </c:pt>
                <c:pt idx="64">
                  <c:v>3.4977009816861729E-7</c:v>
                </c:pt>
                <c:pt idx="65">
                  <c:v>3.5541847768090233E-7</c:v>
                </c:pt>
                <c:pt idx="66">
                  <c:v>3.6346548410936327E-7</c:v>
                </c:pt>
                <c:pt idx="67">
                  <c:v>3.7045503135972518E-7</c:v>
                </c:pt>
                <c:pt idx="68">
                  <c:v>3.751878059739001E-7</c:v>
                </c:pt>
                <c:pt idx="69">
                  <c:v>3.8273187450058224E-7</c:v>
                </c:pt>
                <c:pt idx="70">
                  <c:v>3.9027594302726432E-7</c:v>
                </c:pt>
                <c:pt idx="71">
                  <c:v>3.9587273916500799E-7</c:v>
                </c:pt>
                <c:pt idx="72">
                  <c:v>4.0305572406990019E-7</c:v>
                </c:pt>
                <c:pt idx="73">
                  <c:v>4.1038056325478129E-7</c:v>
                </c:pt>
                <c:pt idx="74">
                  <c:v>4.1916263277045743E-7</c:v>
                </c:pt>
                <c:pt idx="75">
                  <c:v>4.2478522059547179E-7</c:v>
                </c:pt>
                <c:pt idx="76">
                  <c:v>4.3198110134399935E-7</c:v>
                </c:pt>
                <c:pt idx="77">
                  <c:v>4.3938331559069252E-7</c:v>
                </c:pt>
                <c:pt idx="78">
                  <c:v>4.4748190539369489E-7</c:v>
                </c:pt>
                <c:pt idx="79">
                  <c:v>4.5469068198585782E-7</c:v>
                </c:pt>
                <c:pt idx="80">
                  <c:v>4.569474546220448E-7</c:v>
                </c:pt>
                <c:pt idx="81">
                  <c:v>4.6264741750887127E-7</c:v>
                </c:pt>
                <c:pt idx="82">
                  <c:v>4.7212586258085645E-7</c:v>
                </c:pt>
                <c:pt idx="83">
                  <c:v>4.797473061693508E-7</c:v>
                </c:pt>
                <c:pt idx="84">
                  <c:v>4.8502170621621054E-7</c:v>
                </c:pt>
                <c:pt idx="85">
                  <c:v>4.9292685836468262E-7</c:v>
                </c:pt>
                <c:pt idx="86">
                  <c:v>5.0056119779681224E-7</c:v>
                </c:pt>
                <c:pt idx="87">
                  <c:v>5.0957539249792467E-7</c:v>
                </c:pt>
                <c:pt idx="88">
                  <c:v>5.1386970842849754E-7</c:v>
                </c:pt>
                <c:pt idx="89">
                  <c:v>5.2137508942427356E-7</c:v>
                </c:pt>
                <c:pt idx="90">
                  <c:v>5.3019584647085576E-7</c:v>
                </c:pt>
                <c:pt idx="91">
                  <c:v>5.3942927051376927E-7</c:v>
                </c:pt>
                <c:pt idx="92">
                  <c:v>5.439943991606846E-7</c:v>
                </c:pt>
                <c:pt idx="93">
                  <c:v>5.5153846768736673E-7</c:v>
                </c:pt>
                <c:pt idx="94">
                  <c:v>5.6135220469387116E-7</c:v>
                </c:pt>
                <c:pt idx="95">
                  <c:v>5.6810962675879667E-7</c:v>
                </c:pt>
                <c:pt idx="96">
                  <c:v>5.7987063615423956E-7</c:v>
                </c:pt>
                <c:pt idx="97">
                  <c:v>5.8635724550282272E-7</c:v>
                </c:pt>
                <c:pt idx="98">
                  <c:v>5.961451908220564E-7</c:v>
                </c:pt>
                <c:pt idx="99">
                  <c:v>6.03998759595987E-7</c:v>
                </c:pt>
                <c:pt idx="100">
                  <c:v>6.0882180511560941E-7</c:v>
                </c:pt>
                <c:pt idx="101">
                  <c:v>6.169332907622471E-7</c:v>
                </c:pt>
                <c:pt idx="102">
                  <c:v>6.2376808788898482E-7</c:v>
                </c:pt>
                <c:pt idx="103">
                  <c:v>6.3395580436091446E-7</c:v>
                </c:pt>
                <c:pt idx="104">
                  <c:v>6.3951391296775202E-7</c:v>
                </c:pt>
                <c:pt idx="105">
                  <c:v>6.4832177417069885E-7</c:v>
                </c:pt>
                <c:pt idx="106">
                  <c:v>6.5731017718454064E-7</c:v>
                </c:pt>
                <c:pt idx="107">
                  <c:v>6.6379678653312369E-7</c:v>
                </c:pt>
                <c:pt idx="108">
                  <c:v>6.705542085980493E-7</c:v>
                </c:pt>
                <c:pt idx="109">
                  <c:v>6.777371935029415E-7</c:v>
                </c:pt>
                <c:pt idx="110">
                  <c:v>6.8593895005502666E-7</c:v>
                </c:pt>
                <c:pt idx="111">
                  <c:v>6.9281243471267029E-7</c:v>
                </c:pt>
                <c:pt idx="112">
                  <c:v>6.9309614327264812E-7</c:v>
                </c:pt>
                <c:pt idx="113">
                  <c:v>7.020458587555838E-7</c:v>
                </c:pt>
                <c:pt idx="114">
                  <c:v>7.114985121402984E-7</c:v>
                </c:pt>
                <c:pt idx="115">
                  <c:v>7.1777878799071584E-7</c:v>
                </c:pt>
                <c:pt idx="116">
                  <c:v>7.2454910589927661E-7</c:v>
                </c:pt>
                <c:pt idx="117">
                  <c:v>7.3293140426225675E-7</c:v>
                </c:pt>
                <c:pt idx="118">
                  <c:v>7.4278382879966729E-7</c:v>
                </c:pt>
                <c:pt idx="119">
                  <c:v>7.5016025135908982E-7</c:v>
                </c:pt>
                <c:pt idx="120">
                  <c:v>7.569305692676507E-7</c:v>
                </c:pt>
                <c:pt idx="121">
                  <c:v>7.6480992972885204E-7</c:v>
                </c:pt>
                <c:pt idx="122">
                  <c:v>7.7510081294986453E-7</c:v>
                </c:pt>
                <c:pt idx="123">
                  <c:v>7.8045258805853648E-7</c:v>
                </c:pt>
                <c:pt idx="124">
                  <c:v>7.8733896855981548E-7</c:v>
                </c:pt>
                <c:pt idx="125">
                  <c:v>7.949733079919451E-7</c:v>
                </c:pt>
                <c:pt idx="126">
                  <c:v>8.049675868093445E-7</c:v>
                </c:pt>
                <c:pt idx="127">
                  <c:v>8.1238269689967314E-7</c:v>
                </c:pt>
                <c:pt idx="128">
                  <c:v>7.8679272401256161E-7</c:v>
                </c:pt>
                <c:pt idx="129">
                  <c:v>7.9978703810548731E-7</c:v>
                </c:pt>
                <c:pt idx="130">
                  <c:v>8.1628981700350305E-7</c:v>
                </c:pt>
                <c:pt idx="131">
                  <c:v>8.3019373308293356E-7</c:v>
                </c:pt>
                <c:pt idx="132">
                  <c:v>8.3838015096147682E-7</c:v>
                </c:pt>
                <c:pt idx="133">
                  <c:v>8.5384338473205841E-7</c:v>
                </c:pt>
                <c:pt idx="134">
                  <c:v>8.7411451471702265E-7</c:v>
                </c:pt>
                <c:pt idx="135">
                  <c:v>8.864591131053021E-7</c:v>
                </c:pt>
                <c:pt idx="136">
                  <c:v>9.0270200572145928E-7</c:v>
                </c:pt>
                <c:pt idx="137">
                  <c:v>9.1842512577389943E-7</c:v>
                </c:pt>
                <c:pt idx="138">
                  <c:v>9.3349853012169333E-7</c:v>
                </c:pt>
                <c:pt idx="139">
                  <c:v>9.5402954638851614E-7</c:v>
                </c:pt>
                <c:pt idx="140">
                  <c:v>9.5883744260289869E-7</c:v>
                </c:pt>
                <c:pt idx="141">
                  <c:v>9.7430067637348038E-7</c:v>
                </c:pt>
                <c:pt idx="142">
                  <c:v>9.9379214751286904E-7</c:v>
                </c:pt>
                <c:pt idx="143">
                  <c:v>1.0070463478876532E-6</c:v>
                </c:pt>
                <c:pt idx="144">
                  <c:v>1.0109446421155309E-6</c:v>
                </c:pt>
                <c:pt idx="145">
                  <c:v>1.0283570230000515E-6</c:v>
                </c:pt>
                <c:pt idx="146">
                  <c:v>1.0512270158036007E-6</c:v>
                </c:pt>
                <c:pt idx="147">
                  <c:v>1.0621422396416584E-6</c:v>
                </c:pt>
                <c:pt idx="148">
                  <c:v>1.0763060420029475E-6</c:v>
                </c:pt>
                <c:pt idx="149">
                  <c:v>1.0876110952637928E-6</c:v>
                </c:pt>
                <c:pt idx="150">
                  <c:v>1.1115206331947763E-6</c:v>
                </c:pt>
                <c:pt idx="151">
                  <c:v>1.1207465962007535E-6</c:v>
                </c:pt>
                <c:pt idx="152">
                  <c:v>1.1414075556085055E-6</c:v>
                </c:pt>
                <c:pt idx="153">
                  <c:v>1.1545318128423606E-6</c:v>
                </c:pt>
                <c:pt idx="154">
                  <c:v>1.1792210096189195E-6</c:v>
                </c:pt>
                <c:pt idx="155">
                  <c:v>1.1874074274974627E-6</c:v>
                </c:pt>
                <c:pt idx="156">
                  <c:v>1.1983226513355203E-6</c:v>
                </c:pt>
                <c:pt idx="157">
                  <c:v>1.2214525304209282E-6</c:v>
                </c:pt>
                <c:pt idx="158">
                  <c:v>1.2380852524598732E-6</c:v>
                </c:pt>
                <c:pt idx="159">
                  <c:v>1.2564072353308985E-6</c:v>
                </c:pt>
                <c:pt idx="160">
                  <c:v>1.2723902416651972E-6</c:v>
                </c:pt>
                <c:pt idx="161">
                  <c:v>1.2948704050459587E-6</c:v>
                </c:pt>
                <c:pt idx="162">
                  <c:v>1.3103336388165404E-6</c:v>
                </c:pt>
                <c:pt idx="163">
                  <c:v>1.3286556216875656E-6</c:v>
                </c:pt>
                <c:pt idx="164">
                  <c:v>1.348017149686025E-6</c:v>
                </c:pt>
                <c:pt idx="165">
                  <c:v>1.357113169551073E-6</c:v>
                </c:pt>
                <c:pt idx="166">
                  <c:v>1.3736159484490887E-6</c:v>
                </c:pt>
                <c:pt idx="167">
                  <c:v>1.392327760742902E-6</c:v>
                </c:pt>
                <c:pt idx="168">
                  <c:v>1.4120791181641491E-6</c:v>
                </c:pt>
                <c:pt idx="169">
                  <c:v>1.4192259909152582E-6</c:v>
                </c:pt>
                <c:pt idx="170">
                  <c:v>1.44690387993319E-6</c:v>
                </c:pt>
                <c:pt idx="171">
                  <c:v>1.4569095017847428E-6</c:v>
                </c:pt>
                <c:pt idx="172">
                  <c:v>1.4762710297832022E-6</c:v>
                </c:pt>
                <c:pt idx="173">
                  <c:v>1.4815986985613019E-6</c:v>
                </c:pt>
                <c:pt idx="174">
                  <c:v>1.5049884639285681E-6</c:v>
                </c:pt>
                <c:pt idx="175">
                  <c:v>1.5173330623168476E-6</c:v>
                </c:pt>
                <c:pt idx="176">
                  <c:v>1.5199319251354329E-6</c:v>
                </c:pt>
                <c:pt idx="177">
                  <c:v>1.5403329982613263E-6</c:v>
                </c:pt>
                <c:pt idx="178">
                  <c:v>1.5572256065821298E-6</c:v>
                </c:pt>
                <c:pt idx="179">
                  <c:v>1.5730786697754992E-6</c:v>
                </c:pt>
                <c:pt idx="180">
                  <c:v>1.5838639504726275E-6</c:v>
                </c:pt>
                <c:pt idx="181">
                  <c:v>1.6054345118668843E-6</c:v>
                </c:pt>
                <c:pt idx="182">
                  <c:v>1.6198582005100319E-6</c:v>
                </c:pt>
                <c:pt idx="183">
                  <c:v>1.639609557931279E-6</c:v>
                </c:pt>
                <c:pt idx="184">
                  <c:v>1.6531236445879217E-6</c:v>
                </c:pt>
                <c:pt idx="185">
                  <c:v>1.673914547136603E-6</c:v>
                </c:pt>
                <c:pt idx="186">
                  <c:v>1.6898975534709016E-6</c:v>
                </c:pt>
                <c:pt idx="187">
                  <c:v>1.7045811283959077E-6</c:v>
                </c:pt>
                <c:pt idx="188">
                  <c:v>1.7167957836432579E-6</c:v>
                </c:pt>
                <c:pt idx="189">
                  <c:v>1.7356375390780004E-6</c:v>
                </c:pt>
                <c:pt idx="190">
                  <c:v>1.757597929895045E-6</c:v>
                </c:pt>
                <c:pt idx="191">
                  <c:v>1.7702024145651828E-6</c:v>
                </c:pt>
                <c:pt idx="192">
                  <c:v>1.6792422159147027E-6</c:v>
                </c:pt>
                <c:pt idx="193">
                  <c:v>1.7086093657647149E-6</c:v>
                </c:pt>
                <c:pt idx="194">
                  <c:v>1.7543493513718134E-6</c:v>
                </c:pt>
                <c:pt idx="195">
                  <c:v>1.780857752121382E-6</c:v>
                </c:pt>
                <c:pt idx="196">
                  <c:v>1.799569564415195E-6</c:v>
                </c:pt>
                <c:pt idx="197">
                  <c:v>1.8316655202247217E-6</c:v>
                </c:pt>
                <c:pt idx="198">
                  <c:v>1.8657106231481872E-6</c:v>
                </c:pt>
                <c:pt idx="199">
                  <c:v>1.8941681710116946E-6</c:v>
                </c:pt>
                <c:pt idx="200">
                  <c:v>1.9300324779081698E-6</c:v>
                </c:pt>
                <c:pt idx="201">
                  <c:v>1.9591397414763235E-6</c:v>
                </c:pt>
                <c:pt idx="202">
                  <c:v>1.9951339915137275E-6</c:v>
                </c:pt>
                <c:pt idx="203">
                  <c:v>2.0299587532827686E-6</c:v>
                </c:pt>
                <c:pt idx="204">
                  <c:v>2.0556874951867616E-6</c:v>
                </c:pt>
                <c:pt idx="205">
                  <c:v>2.0864840195869955E-6</c:v>
                </c:pt>
                <c:pt idx="206">
                  <c:v>2.1229980421881173E-6</c:v>
                </c:pt>
                <c:pt idx="207">
                  <c:v>2.1536646234474218E-6</c:v>
                </c:pt>
                <c:pt idx="208">
                  <c:v>2.1556137705613608E-6</c:v>
                </c:pt>
                <c:pt idx="209">
                  <c:v>2.1865402381025242E-6</c:v>
                </c:pt>
                <c:pt idx="210">
                  <c:v>2.2318903942868349E-6</c:v>
                </c:pt>
                <c:pt idx="211">
                  <c:v>2.2587886244591915E-6</c:v>
                </c:pt>
                <c:pt idx="212">
                  <c:v>2.2813987309808821E-6</c:v>
                </c:pt>
                <c:pt idx="213">
                  <c:v>2.317133094736428E-6</c:v>
                </c:pt>
                <c:pt idx="214">
                  <c:v>2.3522177427873276E-6</c:v>
                </c:pt>
                <c:pt idx="215">
                  <c:v>2.3780764278322496E-6</c:v>
                </c:pt>
                <c:pt idx="216">
                  <c:v>2.4151102229970882E-6</c:v>
                </c:pt>
                <c:pt idx="217">
                  <c:v>2.444217486565242E-6</c:v>
                </c:pt>
                <c:pt idx="218">
                  <c:v>2.4817710542937971E-6</c:v>
                </c:pt>
                <c:pt idx="219">
                  <c:v>2.5091890570298707E-6</c:v>
                </c:pt>
                <c:pt idx="220">
                  <c:v>2.5445335913626287E-6</c:v>
                </c:pt>
                <c:pt idx="221">
                  <c:v>2.5700024469847632E-6</c:v>
                </c:pt>
                <c:pt idx="222">
                  <c:v>2.6070362421496014E-6</c:v>
                </c:pt>
                <c:pt idx="223">
                  <c:v>2.6431604353279353E-6</c:v>
                </c:pt>
                <c:pt idx="224">
                  <c:v>2.6924088857401236E-6</c:v>
                </c:pt>
                <c:pt idx="225">
                  <c:v>2.7237251827040749E-6</c:v>
                </c:pt>
                <c:pt idx="226">
                  <c:v>2.7582900581912571E-6</c:v>
                </c:pt>
                <c:pt idx="227">
                  <c:v>2.7889566394505621E-6</c:v>
                </c:pt>
                <c:pt idx="228">
                  <c:v>2.8144254950726965E-6</c:v>
                </c:pt>
                <c:pt idx="229">
                  <c:v>2.852498835364969E-6</c:v>
                </c:pt>
                <c:pt idx="230">
                  <c:v>2.8890128579660904E-6</c:v>
                </c:pt>
                <c:pt idx="231">
                  <c:v>2.9125325664742862E-6</c:v>
                </c:pt>
                <c:pt idx="232">
                  <c:v>2.9578827226585968E-6</c:v>
                </c:pt>
                <c:pt idx="233">
                  <c:v>2.9860803842402457E-6</c:v>
                </c:pt>
                <c:pt idx="234">
                  <c:v>3.0214249185730038E-6</c:v>
                </c:pt>
                <c:pt idx="235">
                  <c:v>3.0453344565039871E-6</c:v>
                </c:pt>
                <c:pt idx="236">
                  <c:v>3.0767806966088674E-6</c:v>
                </c:pt>
                <c:pt idx="237">
                  <c:v>3.1074472778681723E-6</c:v>
                </c:pt>
                <c:pt idx="238">
                  <c:v>3.1527974340524834E-6</c:v>
                </c:pt>
                <c:pt idx="239">
                  <c:v>3.1851532761438685E-6</c:v>
                </c:pt>
                <c:pt idx="240">
                  <c:v>3.1885317978080293E-6</c:v>
                </c:pt>
                <c:pt idx="241">
                  <c:v>3.2210175830403434E-6</c:v>
                </c:pt>
                <c:pt idx="242">
                  <c:v>3.2571417762186768E-6</c:v>
                </c:pt>
                <c:pt idx="243">
                  <c:v>3.2924863105514353E-6</c:v>
                </c:pt>
                <c:pt idx="244">
                  <c:v>3.3240624937972446E-6</c:v>
                </c:pt>
                <c:pt idx="245">
                  <c:v>3.3518703259561061E-6</c:v>
                </c:pt>
                <c:pt idx="246">
                  <c:v>3.3946216193218317E-6</c:v>
                </c:pt>
                <c:pt idx="247">
                  <c:v>3.4264576888494995E-6</c:v>
                </c:pt>
                <c:pt idx="248">
                  <c:v>3.4585536446590261E-6</c:v>
                </c:pt>
                <c:pt idx="249">
                  <c:v>3.4838925571402316E-6</c:v>
                </c:pt>
                <c:pt idx="250">
                  <c:v>3.5287229407608253E-6</c:v>
                </c:pt>
                <c:pt idx="251">
                  <c:v>3.5599092945838472E-6</c:v>
                </c:pt>
                <c:pt idx="252">
                  <c:v>3.5830391736692551E-6</c:v>
                </c:pt>
                <c:pt idx="253">
                  <c:v>3.6088978587141775E-6</c:v>
                </c:pt>
                <c:pt idx="254">
                  <c:v>3.6542480148984881E-6</c:v>
                </c:pt>
                <c:pt idx="255">
                  <c:v>3.6832253353257128E-6</c:v>
                </c:pt>
                <c:pt idx="256">
                  <c:v>3.687383515835449E-6</c:v>
                </c:pt>
                <c:pt idx="257">
                  <c:v>3.7329935583016181E-6</c:v>
                </c:pt>
                <c:pt idx="258">
                  <c:v>3.7730160457078296E-6</c:v>
                </c:pt>
                <c:pt idx="259">
                  <c:v>3.806411432926649E-6</c:v>
                </c:pt>
                <c:pt idx="260">
                  <c:v>3.8304509139985613E-6</c:v>
                </c:pt>
                <c:pt idx="261">
                  <c:v>3.8617672109625118E-6</c:v>
                </c:pt>
                <c:pt idx="262">
                  <c:v>3.8989309492682795E-6</c:v>
                </c:pt>
                <c:pt idx="263">
                  <c:v>3.9321963933461698E-6</c:v>
                </c:pt>
                <c:pt idx="264">
                  <c:v>3.9705296199203008E-6</c:v>
                </c:pt>
                <c:pt idx="265">
                  <c:v>3.9970380206698687E-6</c:v>
                </c:pt>
                <c:pt idx="266">
                  <c:v>4.0329023275663445E-6</c:v>
                </c:pt>
                <c:pt idx="267">
                  <c:v>4.0669474304898098E-6</c:v>
                </c:pt>
                <c:pt idx="268">
                  <c:v>4.1087891218690306E-6</c:v>
                </c:pt>
                <c:pt idx="269">
                  <c:v>4.1295800244177115E-6</c:v>
                </c:pt>
                <c:pt idx="270">
                  <c:v>4.1735008060518008E-6</c:v>
                </c:pt>
                <c:pt idx="271">
                  <c:v>4.1970205145599967E-6</c:v>
                </c:pt>
                <c:pt idx="272">
                  <c:v>4.2084555109617714E-6</c:v>
                </c:pt>
                <c:pt idx="273">
                  <c:v>4.2499073729182039E-6</c:v>
                </c:pt>
                <c:pt idx="274">
                  <c:v>4.2873309975058304E-6</c:v>
                </c:pt>
                <c:pt idx="275">
                  <c:v>4.3153987159465499E-6</c:v>
                </c:pt>
                <c:pt idx="276">
                  <c:v>4.3438562638100577E-6</c:v>
                </c:pt>
                <c:pt idx="277">
                  <c:v>4.3821894903841887E-6</c:v>
                </c:pt>
                <c:pt idx="278">
                  <c:v>4.4200029443946027E-6</c:v>
                </c:pt>
                <c:pt idx="279">
                  <c:v>4.4393644723930623E-6</c:v>
                </c:pt>
                <c:pt idx="280">
                  <c:v>4.4719802007663055E-6</c:v>
                </c:pt>
                <c:pt idx="281">
                  <c:v>4.5066750193944172E-6</c:v>
                </c:pt>
                <c:pt idx="282">
                  <c:v>4.5489065401964263E-6</c:v>
                </c:pt>
                <c:pt idx="283">
                  <c:v>4.586330164784052E-6</c:v>
                </c:pt>
                <c:pt idx="284">
                  <c:v>4.6160871440568517E-6</c:v>
                </c:pt>
                <c:pt idx="285">
                  <c:v>4.6514316783896097E-6</c:v>
                </c:pt>
                <c:pt idx="286">
                  <c:v>4.6913242226548923E-6</c:v>
                </c:pt>
                <c:pt idx="287">
                  <c:v>4.7264088707057914E-6</c:v>
                </c:pt>
                <c:pt idx="288">
                  <c:v>4.7739680602859009E-6</c:v>
                </c:pt>
                <c:pt idx="289">
                  <c:v>4.8055442435317093E-6</c:v>
                </c:pt>
                <c:pt idx="290">
                  <c:v>4.845176901515133E-6</c:v>
                </c:pt>
                <c:pt idx="291">
                  <c:v>4.8702559277144804E-6</c:v>
                </c:pt>
                <c:pt idx="292">
                  <c:v>4.915606083898791E-6</c:v>
                </c:pt>
                <c:pt idx="293">
                  <c:v>4.9474421534264592E-6</c:v>
                </c:pt>
                <c:pt idx="294">
                  <c:v>4.9916228213424066E-6</c:v>
                </c:pt>
                <c:pt idx="295">
                  <c:v>5.017741392669187E-6</c:v>
                </c:pt>
                <c:pt idx="296">
                  <c:v>5.0458091111099073E-6</c:v>
                </c:pt>
                <c:pt idx="297">
                  <c:v>5.0895999496030672E-6</c:v>
                </c:pt>
                <c:pt idx="298">
                  <c:v>5.1313116978413585E-6</c:v>
                </c:pt>
                <c:pt idx="299">
                  <c:v>5.1674358910196924E-6</c:v>
                </c:pt>
                <c:pt idx="300">
                  <c:v>5.1981024722789965E-6</c:v>
                </c:pt>
                <c:pt idx="301">
                  <c:v>5.231108030075028E-6</c:v>
                </c:pt>
                <c:pt idx="302">
                  <c:v>5.2673621663942912E-6</c:v>
                </c:pt>
                <c:pt idx="303">
                  <c:v>5.2988084064991711E-6</c:v>
                </c:pt>
                <c:pt idx="304">
                  <c:v>5.3132320951423188E-6</c:v>
                </c:pt>
                <c:pt idx="305">
                  <c:v>5.329215101476618E-6</c:v>
                </c:pt>
                <c:pt idx="306">
                  <c:v>5.3758646890702213E-6</c:v>
                </c:pt>
                <c:pt idx="307">
                  <c:v>5.4147176882080692E-6</c:v>
                </c:pt>
                <c:pt idx="308">
                  <c:v>5.4501921656817567E-6</c:v>
                </c:pt>
                <c:pt idx="309">
                  <c:v>5.4778700546996887E-6</c:v>
                </c:pt>
                <c:pt idx="310">
                  <c:v>5.5146439635826681E-6</c:v>
                </c:pt>
                <c:pt idx="311">
                  <c:v>5.5459602605466193E-6</c:v>
                </c:pt>
                <c:pt idx="312">
                  <c:v>5.5874121225030527E-6</c:v>
                </c:pt>
                <c:pt idx="313">
                  <c:v>5.616779272353064E-6</c:v>
                </c:pt>
                <c:pt idx="314">
                  <c:v>5.6588808500141445E-6</c:v>
                </c:pt>
                <c:pt idx="315">
                  <c:v>5.6903270901190244E-6</c:v>
                </c:pt>
                <c:pt idx="316">
                  <c:v>5.7187846379825322E-6</c:v>
                </c:pt>
                <c:pt idx="317">
                  <c:v>5.7564681488520168E-6</c:v>
                </c:pt>
                <c:pt idx="318">
                  <c:v>5.8005188736270347E-6</c:v>
                </c:pt>
                <c:pt idx="319">
                  <c:v>5.8376826119328024E-6</c:v>
                </c:pt>
                <c:pt idx="320">
                  <c:v>5.8844621426673352E-6</c:v>
                </c:pt>
                <c:pt idx="321">
                  <c:v>5.9224055398186786E-6</c:v>
                </c:pt>
                <c:pt idx="322">
                  <c:v>5.9655466626071921E-6</c:v>
                </c:pt>
                <c:pt idx="323">
                  <c:v>5.9988121066850825E-6</c:v>
                </c:pt>
                <c:pt idx="324">
                  <c:v>6.0368854469773546E-6</c:v>
                </c:pt>
                <c:pt idx="325">
                  <c:v>6.0593656103581157E-6</c:v>
                </c:pt>
                <c:pt idx="326">
                  <c:v>6.1056253685289316E-6</c:v>
                </c:pt>
                <c:pt idx="327">
                  <c:v>6.1385009831840336E-6</c:v>
                </c:pt>
                <c:pt idx="328">
                  <c:v>6.1967155103203411E-6</c:v>
                </c:pt>
                <c:pt idx="329">
                  <c:v>6.2158171520369419E-6</c:v>
                </c:pt>
                <c:pt idx="330">
                  <c:v>6.2588283316845259E-6</c:v>
                </c:pt>
                <c:pt idx="331">
                  <c:v>6.2965118425540105E-6</c:v>
                </c:pt>
                <c:pt idx="332">
                  <c:v>6.3327659788732738E-6</c:v>
                </c:pt>
                <c:pt idx="333">
                  <c:v>6.3638223895553662E-6</c:v>
                </c:pt>
                <c:pt idx="334">
                  <c:v>6.4024155024113561E-6</c:v>
                </c:pt>
                <c:pt idx="335">
                  <c:v>6.440748728985487E-6</c:v>
                </c:pt>
                <c:pt idx="336">
                  <c:v>6.4533532136556242E-6</c:v>
                </c:pt>
                <c:pt idx="337">
                  <c:v>6.4957146775985627E-6</c:v>
                </c:pt>
                <c:pt idx="338">
                  <c:v>6.5279405765490184E-6</c:v>
                </c:pt>
                <c:pt idx="339">
                  <c:v>6.5544489772985871E-6</c:v>
                </c:pt>
                <c:pt idx="340">
                  <c:v>6.5851155585578921E-6</c:v>
                </c:pt>
                <c:pt idx="341">
                  <c:v>6.6179911732129941E-6</c:v>
                </c:pt>
                <c:pt idx="342">
                  <c:v>6.6700983727256264E-6</c:v>
                </c:pt>
                <c:pt idx="343">
                  <c:v>6.6984259774482047E-6</c:v>
                </c:pt>
                <c:pt idx="344">
                  <c:v>6.730521933257731E-6</c:v>
                </c:pt>
                <c:pt idx="345">
                  <c:v>6.7623580027853992E-6</c:v>
                </c:pt>
                <c:pt idx="346">
                  <c:v>6.8001714567958132E-6</c:v>
                </c:pt>
                <c:pt idx="347">
                  <c:v>6.8283691183774621E-6</c:v>
                </c:pt>
                <c:pt idx="348">
                  <c:v>6.8668322880925217E-6</c:v>
                </c:pt>
                <c:pt idx="349">
                  <c:v>6.9038660832573608E-6</c:v>
                </c:pt>
                <c:pt idx="350">
                  <c:v>6.9402501627175526E-6</c:v>
                </c:pt>
                <c:pt idx="351">
                  <c:v>6.9854703757609347E-6</c:v>
                </c:pt>
                <c:pt idx="352">
                  <c:v>7.0392668361056471E-6</c:v>
                </c:pt>
                <c:pt idx="353">
                  <c:v>7.0840972197262408E-6</c:v>
                </c:pt>
                <c:pt idx="354">
                  <c:v>7.1174926069450606E-6</c:v>
                </c:pt>
                <c:pt idx="355">
                  <c:v>7.1458202116676381E-6</c:v>
                </c:pt>
                <c:pt idx="356">
                  <c:v>7.1799952577320329E-6</c:v>
                </c:pt>
                <c:pt idx="357">
                  <c:v>7.2178087117424469E-6</c:v>
                </c:pt>
                <c:pt idx="358">
                  <c:v>7.2536730186389219E-6</c:v>
                </c:pt>
                <c:pt idx="359">
                  <c:v>7.2856390313075195E-6</c:v>
                </c:pt>
                <c:pt idx="360">
                  <c:v>7.3183847028216921E-6</c:v>
                </c:pt>
                <c:pt idx="361">
                  <c:v>7.3554184979865312E-6</c:v>
                </c:pt>
                <c:pt idx="362">
                  <c:v>7.3988195070569028E-6</c:v>
                </c:pt>
                <c:pt idx="363">
                  <c:v>7.4315651785710754E-6</c:v>
                </c:pt>
                <c:pt idx="364">
                  <c:v>7.4665198834810459E-6</c:v>
                </c:pt>
                <c:pt idx="365">
                  <c:v>7.4974463510222097E-6</c:v>
                </c:pt>
                <c:pt idx="366">
                  <c:v>7.5407174169516518E-6</c:v>
                </c:pt>
                <c:pt idx="367">
                  <c:v>7.5691749648151596E-6</c:v>
                </c:pt>
                <c:pt idx="368">
                  <c:v>7.5769715532709151E-6</c:v>
                </c:pt>
                <c:pt idx="369">
                  <c:v>7.6154347229859755E-6</c:v>
                </c:pt>
                <c:pt idx="370">
                  <c:v>7.6360956823937262E-6</c:v>
                </c:pt>
                <c:pt idx="371">
                  <c:v>7.6774176012092309E-6</c:v>
                </c:pt>
                <c:pt idx="372">
                  <c:v>7.6983384468988413E-6</c:v>
                </c:pt>
                <c:pt idx="373">
                  <c:v>7.7457676933380204E-6</c:v>
                </c:pt>
                <c:pt idx="374">
                  <c:v>7.7805924551070615E-6</c:v>
                </c:pt>
                <c:pt idx="375">
                  <c:v>7.810349434379862E-6</c:v>
                </c:pt>
                <c:pt idx="376">
                  <c:v>7.8406261862163787E-6</c:v>
                </c:pt>
                <c:pt idx="377">
                  <c:v>7.8755808911263484E-6</c:v>
                </c:pt>
                <c:pt idx="378">
                  <c:v>7.9274282043571217E-6</c:v>
                </c:pt>
                <c:pt idx="379">
                  <c:v>7.9588744444620025E-6</c:v>
                </c:pt>
                <c:pt idx="380">
                  <c:v>8.0016257378277285E-6</c:v>
                </c:pt>
                <c:pt idx="381">
                  <c:v>8.0252753894768529E-6</c:v>
                </c:pt>
                <c:pt idx="382">
                  <c:v>8.0461962351664633E-6</c:v>
                </c:pt>
                <c:pt idx="383">
                  <c:v>8.0836198597540899E-6</c:v>
                </c:pt>
                <c:pt idx="384">
                  <c:v>8.2026477768452886E-6</c:v>
                </c:pt>
                <c:pt idx="385">
                  <c:v>8.2485177055933178E-6</c:v>
                </c:pt>
                <c:pt idx="386">
                  <c:v>8.2742464474973116E-6</c:v>
                </c:pt>
                <c:pt idx="387">
                  <c:v>8.3068621758705548E-6</c:v>
                </c:pt>
                <c:pt idx="388">
                  <c:v>8.3384383591163641E-6</c:v>
                </c:pt>
                <c:pt idx="389">
                  <c:v>8.3710540874896073E-6</c:v>
                </c:pt>
                <c:pt idx="390">
                  <c:v>8.4134155514325458E-6</c:v>
                </c:pt>
                <c:pt idx="391">
                  <c:v>8.4374550325044594E-6</c:v>
                </c:pt>
                <c:pt idx="392">
                  <c:v>8.4683815000456224E-6</c:v>
                </c:pt>
                <c:pt idx="393">
                  <c:v>8.5078842148881166E-6</c:v>
                </c:pt>
                <c:pt idx="394">
                  <c:v>8.5311440371144535E-6</c:v>
                </c:pt>
                <c:pt idx="395">
                  <c:v>8.579222999258279E-6</c:v>
                </c:pt>
                <c:pt idx="396">
                  <c:v>8.6056014568669175E-6</c:v>
                </c:pt>
                <c:pt idx="397">
                  <c:v>8.6240533828788727E-6</c:v>
                </c:pt>
                <c:pt idx="398">
                  <c:v>8.6631662682985795E-6</c:v>
                </c:pt>
                <c:pt idx="399">
                  <c:v>8.6870758062295628E-6</c:v>
                </c:pt>
                <c:pt idx="400">
                  <c:v>8.7095559696103248E-6</c:v>
                </c:pt>
                <c:pt idx="401">
                  <c:v>8.7302169290180763E-6</c:v>
                </c:pt>
                <c:pt idx="402">
                  <c:v>8.782713957953496E-6</c:v>
                </c:pt>
                <c:pt idx="403">
                  <c:v>8.8177986060043943E-6</c:v>
                </c:pt>
                <c:pt idx="404">
                  <c:v>8.8449567224586094E-6</c:v>
                </c:pt>
                <c:pt idx="405">
                  <c:v>8.8687363172486641E-6</c:v>
                </c:pt>
                <c:pt idx="406">
                  <c:v>8.886538527555973E-6</c:v>
                </c:pt>
                <c:pt idx="407">
                  <c:v>8.9122672694599651E-6</c:v>
                </c:pt>
                <c:pt idx="408">
                  <c:v>8.962945094422376E-6</c:v>
                </c:pt>
                <c:pt idx="409">
                  <c:v>8.9830862812664115E-6</c:v>
                </c:pt>
                <c:pt idx="410">
                  <c:v>9.0173912704717348E-6</c:v>
                </c:pt>
                <c:pt idx="411">
                  <c:v>9.0449392163487374E-6</c:v>
                </c:pt>
                <c:pt idx="412">
                  <c:v>9.0754758544671129E-6</c:v>
                </c:pt>
                <c:pt idx="413">
                  <c:v>9.1062723788673473E-6</c:v>
                </c:pt>
                <c:pt idx="414">
                  <c:v>9.1472044682600628E-6</c:v>
                </c:pt>
                <c:pt idx="415">
                  <c:v>9.1821591731700342E-6</c:v>
                </c:pt>
                <c:pt idx="416">
                  <c:v>9.2250404096766888E-6</c:v>
                </c:pt>
                <c:pt idx="417">
                  <c:v>9.2573962517680748E-6</c:v>
                </c:pt>
                <c:pt idx="418">
                  <c:v>9.2992379431472956E-6</c:v>
                </c:pt>
                <c:pt idx="419">
                  <c:v>9.3367915108758507E-6</c:v>
                </c:pt>
                <c:pt idx="420">
                  <c:v>9.3569326977198845E-6</c:v>
                </c:pt>
                <c:pt idx="421">
                  <c:v>9.3770738845639199E-6</c:v>
                </c:pt>
                <c:pt idx="422">
                  <c:v>9.4090398972325167E-6</c:v>
                </c:pt>
                <c:pt idx="423">
                  <c:v>9.4598476653358562E-6</c:v>
                </c:pt>
                <c:pt idx="424">
                  <c:v>9.4902543603133031E-6</c:v>
                </c:pt>
                <c:pt idx="425">
                  <c:v>9.4998701527420682E-6</c:v>
                </c:pt>
                <c:pt idx="426">
                  <c:v>9.5372937773296948E-6</c:v>
                </c:pt>
                <c:pt idx="427">
                  <c:v>9.5582146230193035E-6</c:v>
                </c:pt>
                <c:pt idx="428">
                  <c:v>9.597847281002728E-6</c:v>
                </c:pt>
                <c:pt idx="429">
                  <c:v>9.611881140223089E-6</c:v>
                </c:pt>
                <c:pt idx="430">
                  <c:v>9.6343613036038493E-6</c:v>
                </c:pt>
                <c:pt idx="431">
                  <c:v>9.5979772241436583E-6</c:v>
                </c:pt>
                <c:pt idx="432">
                  <c:v>9.6710052693459009E-6</c:v>
                </c:pt>
                <c:pt idx="433">
                  <c:v>9.7228525825766743E-6</c:v>
                </c:pt>
                <c:pt idx="434">
                  <c:v>9.7485813244806681E-6</c:v>
                </c:pt>
                <c:pt idx="435">
                  <c:v>9.7685925681837732E-6</c:v>
                </c:pt>
                <c:pt idx="436">
                  <c:v>9.7860049490682929E-6</c:v>
                </c:pt>
                <c:pt idx="437">
                  <c:v>9.8049766476439642E-6</c:v>
                </c:pt>
                <c:pt idx="438">
                  <c:v>9.830705389547958E-6</c:v>
                </c:pt>
                <c:pt idx="439">
                  <c:v>9.8664397533035044E-6</c:v>
                </c:pt>
                <c:pt idx="440">
                  <c:v>9.8887899735433361E-6</c:v>
                </c:pt>
                <c:pt idx="441">
                  <c:v>9.907111956414361E-6</c:v>
                </c:pt>
                <c:pt idx="442">
                  <c:v>9.9425864338880485E-6</c:v>
                </c:pt>
                <c:pt idx="443">
                  <c:v>9.957789781376772E-6</c:v>
                </c:pt>
                <c:pt idx="444">
                  <c:v>9.9692247777785459E-6</c:v>
                </c:pt>
                <c:pt idx="445">
                  <c:v>9.9872868743677136E-6</c:v>
                </c:pt>
                <c:pt idx="446">
                  <c:v>1.0021721806713967E-5</c:v>
                </c:pt>
                <c:pt idx="447">
                  <c:v>1.0052778217396059E-5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96F-4732-AD6F-A825DF026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174400"/>
        <c:axId val="327192960"/>
      </c:lineChart>
      <c:catAx>
        <c:axId val="327174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All Segments Samples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92960"/>
        <c:crosses val="autoZero"/>
        <c:auto val="1"/>
        <c:lblAlgn val="ctr"/>
        <c:lblOffset val="100"/>
        <c:noMultiLvlLbl val="0"/>
      </c:catAx>
      <c:valAx>
        <c:axId val="32719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DAC Current [uA]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7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Path RTD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'RTD Data'!$C$1</c:f>
              <c:strCache>
                <c:ptCount val="1"/>
                <c:pt idx="0">
                  <c:v>Path RTD</c:v>
                </c:pt>
              </c:strCache>
            </c:strRef>
          </c:tx>
          <c:xVal>
            <c:numRef>
              <c:f>'RTD Data'!$A$2:$A$321</c:f>
              <c:numCache>
                <c:formatCode>General</c:formatCode>
                <c:ptCount val="3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</c:numCache>
            </c:numRef>
          </c:xVal>
          <c:yVal>
            <c:numRef>
              <c:f>'RTD Data'!$C$2:$C$321</c:f>
              <c:numCache>
                <c:formatCode>##0.0000</c:formatCode>
                <c:ptCount val="320"/>
                <c:pt idx="0">
                  <c:v>19.037109375000004</c:v>
                </c:pt>
                <c:pt idx="1">
                  <c:v>19.0009765625</c:v>
                </c:pt>
                <c:pt idx="2">
                  <c:v>9.3710937499999964</c:v>
                </c:pt>
                <c:pt idx="3">
                  <c:v>8.20703125</c:v>
                </c:pt>
                <c:pt idx="4">
                  <c:v>18.541992187500004</c:v>
                </c:pt>
                <c:pt idx="5">
                  <c:v>21.1650390625</c:v>
                </c:pt>
                <c:pt idx="6">
                  <c:v>8.7314453124999982</c:v>
                </c:pt>
                <c:pt idx="7">
                  <c:v>8.7304687499999982</c:v>
                </c:pt>
                <c:pt idx="8">
                  <c:v>20.8466796875</c:v>
                </c:pt>
                <c:pt idx="9">
                  <c:v>18.0322265625</c:v>
                </c:pt>
                <c:pt idx="10">
                  <c:v>8.7509765625</c:v>
                </c:pt>
                <c:pt idx="11">
                  <c:v>8.1650390624999982</c:v>
                </c:pt>
                <c:pt idx="12">
                  <c:v>21.6484375</c:v>
                </c:pt>
                <c:pt idx="13">
                  <c:v>20.0244140625</c:v>
                </c:pt>
                <c:pt idx="14">
                  <c:v>8.86328125</c:v>
                </c:pt>
                <c:pt idx="15">
                  <c:v>8.583984375</c:v>
                </c:pt>
                <c:pt idx="16">
                  <c:v>20.9677734375</c:v>
                </c:pt>
                <c:pt idx="17">
                  <c:v>19.650390625</c:v>
                </c:pt>
                <c:pt idx="18">
                  <c:v>8.8242187499999982</c:v>
                </c:pt>
                <c:pt idx="19">
                  <c:v>8.6884765624999982</c:v>
                </c:pt>
                <c:pt idx="20">
                  <c:v>21.38671875</c:v>
                </c:pt>
                <c:pt idx="21">
                  <c:v>19.615234375000004</c:v>
                </c:pt>
                <c:pt idx="22">
                  <c:v>10.370117187499996</c:v>
                </c:pt>
                <c:pt idx="23">
                  <c:v>8.6953125</c:v>
                </c:pt>
                <c:pt idx="24">
                  <c:v>21.951171874999996</c:v>
                </c:pt>
                <c:pt idx="25">
                  <c:v>19.7724609375</c:v>
                </c:pt>
                <c:pt idx="26">
                  <c:v>10.25390625</c:v>
                </c:pt>
                <c:pt idx="27">
                  <c:v>8.8564453124999982</c:v>
                </c:pt>
                <c:pt idx="28">
                  <c:v>19.890624999999996</c:v>
                </c:pt>
                <c:pt idx="29">
                  <c:v>17.3720703125</c:v>
                </c:pt>
                <c:pt idx="30">
                  <c:v>9.1005859374999982</c:v>
                </c:pt>
                <c:pt idx="31">
                  <c:v>8.6767578125</c:v>
                </c:pt>
                <c:pt idx="32">
                  <c:v>20.04296875</c:v>
                </c:pt>
                <c:pt idx="33">
                  <c:v>17.314453124999996</c:v>
                </c:pt>
                <c:pt idx="34">
                  <c:v>9.3105468749999964</c:v>
                </c:pt>
                <c:pt idx="35">
                  <c:v>8.6474609375</c:v>
                </c:pt>
                <c:pt idx="36">
                  <c:v>21.1064453125</c:v>
                </c:pt>
                <c:pt idx="37">
                  <c:v>17.0400390625</c:v>
                </c:pt>
                <c:pt idx="38">
                  <c:v>9.103515625</c:v>
                </c:pt>
                <c:pt idx="39">
                  <c:v>8.9013671875000018</c:v>
                </c:pt>
                <c:pt idx="40">
                  <c:v>20.0830078125</c:v>
                </c:pt>
                <c:pt idx="41">
                  <c:v>18.0556640625</c:v>
                </c:pt>
                <c:pt idx="42">
                  <c:v>10.583984374999998</c:v>
                </c:pt>
                <c:pt idx="43">
                  <c:v>9.1367187499999982</c:v>
                </c:pt>
                <c:pt idx="44">
                  <c:v>20.067382812499996</c:v>
                </c:pt>
                <c:pt idx="45">
                  <c:v>17.926757812499996</c:v>
                </c:pt>
                <c:pt idx="46">
                  <c:v>10.314453125</c:v>
                </c:pt>
                <c:pt idx="47">
                  <c:v>9.232421875</c:v>
                </c:pt>
                <c:pt idx="48">
                  <c:v>19.3056640625</c:v>
                </c:pt>
                <c:pt idx="49">
                  <c:v>20.163085937499996</c:v>
                </c:pt>
                <c:pt idx="50">
                  <c:v>10.109375</c:v>
                </c:pt>
                <c:pt idx="51">
                  <c:v>9.1962890625</c:v>
                </c:pt>
                <c:pt idx="52">
                  <c:v>19.8056640625</c:v>
                </c:pt>
                <c:pt idx="53">
                  <c:v>20.5546875</c:v>
                </c:pt>
                <c:pt idx="54">
                  <c:v>10.2060546875</c:v>
                </c:pt>
                <c:pt idx="55">
                  <c:v>9.1406249999999982</c:v>
                </c:pt>
                <c:pt idx="56">
                  <c:v>22.87890625</c:v>
                </c:pt>
                <c:pt idx="57">
                  <c:v>20.822265625</c:v>
                </c:pt>
                <c:pt idx="58">
                  <c:v>10.365234374999998</c:v>
                </c:pt>
                <c:pt idx="59">
                  <c:v>8.591796875</c:v>
                </c:pt>
                <c:pt idx="60">
                  <c:v>22.7939453125</c:v>
                </c:pt>
                <c:pt idx="61">
                  <c:v>20.67578125</c:v>
                </c:pt>
                <c:pt idx="62">
                  <c:v>10.341796875</c:v>
                </c:pt>
                <c:pt idx="63">
                  <c:v>8.4375</c:v>
                </c:pt>
                <c:pt idx="64">
                  <c:v>23.0302734375</c:v>
                </c:pt>
                <c:pt idx="65">
                  <c:v>18.494140625</c:v>
                </c:pt>
                <c:pt idx="66">
                  <c:v>10.063476562499998</c:v>
                </c:pt>
                <c:pt idx="67">
                  <c:v>8.3417968749999964</c:v>
                </c:pt>
                <c:pt idx="68">
                  <c:v>22.194335937500004</c:v>
                </c:pt>
                <c:pt idx="69">
                  <c:v>17.750976562499996</c:v>
                </c:pt>
                <c:pt idx="70">
                  <c:v>10.134765624999998</c:v>
                </c:pt>
                <c:pt idx="71">
                  <c:v>8.9111328125000018</c:v>
                </c:pt>
                <c:pt idx="72">
                  <c:v>21.578125</c:v>
                </c:pt>
                <c:pt idx="73">
                  <c:v>20.2548828125</c:v>
                </c:pt>
                <c:pt idx="74">
                  <c:v>10.0068359375</c:v>
                </c:pt>
                <c:pt idx="75">
                  <c:v>8.7822265625</c:v>
                </c:pt>
                <c:pt idx="76">
                  <c:v>21.399414062499996</c:v>
                </c:pt>
                <c:pt idx="77">
                  <c:v>20.017578124999996</c:v>
                </c:pt>
                <c:pt idx="78">
                  <c:v>9.7998046875</c:v>
                </c:pt>
                <c:pt idx="79">
                  <c:v>8.8935546874999964</c:v>
                </c:pt>
                <c:pt idx="80">
                  <c:v>21.6171875</c:v>
                </c:pt>
                <c:pt idx="81">
                  <c:v>19.859375</c:v>
                </c:pt>
                <c:pt idx="82">
                  <c:v>9.7822265625</c:v>
                </c:pt>
                <c:pt idx="83">
                  <c:v>8.3046875</c:v>
                </c:pt>
                <c:pt idx="84">
                  <c:v>18.1064453125</c:v>
                </c:pt>
                <c:pt idx="85">
                  <c:v>17.586914062500004</c:v>
                </c:pt>
                <c:pt idx="86">
                  <c:v>8.6103515624999964</c:v>
                </c:pt>
                <c:pt idx="87">
                  <c:v>8.2167968749999982</c:v>
                </c:pt>
                <c:pt idx="88">
                  <c:v>20.837890625</c:v>
                </c:pt>
                <c:pt idx="89">
                  <c:v>19.9501953125</c:v>
                </c:pt>
                <c:pt idx="90">
                  <c:v>9.4560546874999982</c:v>
                </c:pt>
                <c:pt idx="91">
                  <c:v>8.6230468749999982</c:v>
                </c:pt>
                <c:pt idx="92">
                  <c:v>19.1298828125</c:v>
                </c:pt>
                <c:pt idx="93">
                  <c:v>19.7353515625</c:v>
                </c:pt>
                <c:pt idx="94">
                  <c:v>8.7080078125</c:v>
                </c:pt>
                <c:pt idx="95">
                  <c:v>9.1064453124999982</c:v>
                </c:pt>
                <c:pt idx="96">
                  <c:v>17.986328125</c:v>
                </c:pt>
                <c:pt idx="97">
                  <c:v>17.3271484375</c:v>
                </c:pt>
                <c:pt idx="98">
                  <c:v>8.4912109374999982</c:v>
                </c:pt>
                <c:pt idx="99">
                  <c:v>8.2021484375</c:v>
                </c:pt>
                <c:pt idx="100">
                  <c:v>21.981445312500004</c:v>
                </c:pt>
                <c:pt idx="101">
                  <c:v>20.0625</c:v>
                </c:pt>
                <c:pt idx="102">
                  <c:v>8.8046875</c:v>
                </c:pt>
                <c:pt idx="103">
                  <c:v>8.4433593749999982</c:v>
                </c:pt>
                <c:pt idx="104">
                  <c:v>21.828124999999996</c:v>
                </c:pt>
                <c:pt idx="105">
                  <c:v>18.80078125</c:v>
                </c:pt>
                <c:pt idx="106">
                  <c:v>8.9833984375</c:v>
                </c:pt>
                <c:pt idx="107">
                  <c:v>8.5126953125</c:v>
                </c:pt>
                <c:pt idx="108">
                  <c:v>18.4052734375</c:v>
                </c:pt>
                <c:pt idx="109">
                  <c:v>21.4501953125</c:v>
                </c:pt>
                <c:pt idx="110">
                  <c:v>8.8662109375</c:v>
                </c:pt>
                <c:pt idx="111">
                  <c:v>8.5947265624999982</c:v>
                </c:pt>
                <c:pt idx="112">
                  <c:v>22.9736328125</c:v>
                </c:pt>
                <c:pt idx="113">
                  <c:v>21.659179687499993</c:v>
                </c:pt>
                <c:pt idx="114">
                  <c:v>9.1904296875</c:v>
                </c:pt>
                <c:pt idx="115">
                  <c:v>8.5439453125</c:v>
                </c:pt>
                <c:pt idx="116">
                  <c:v>21.0380859375</c:v>
                </c:pt>
                <c:pt idx="117">
                  <c:v>20.2236328125</c:v>
                </c:pt>
                <c:pt idx="118">
                  <c:v>9.1337890625</c:v>
                </c:pt>
                <c:pt idx="119">
                  <c:v>8.6396484375</c:v>
                </c:pt>
                <c:pt idx="120">
                  <c:v>22.7060546875</c:v>
                </c:pt>
                <c:pt idx="121">
                  <c:v>19.9306640625</c:v>
                </c:pt>
                <c:pt idx="122">
                  <c:v>9.5947265625</c:v>
                </c:pt>
                <c:pt idx="123">
                  <c:v>8.4423828125</c:v>
                </c:pt>
                <c:pt idx="124">
                  <c:v>22.5</c:v>
                </c:pt>
                <c:pt idx="125">
                  <c:v>19.879882812499996</c:v>
                </c:pt>
                <c:pt idx="126">
                  <c:v>9.53125</c:v>
                </c:pt>
                <c:pt idx="127">
                  <c:v>8.5244140624999982</c:v>
                </c:pt>
                <c:pt idx="128">
                  <c:v>21.3837890625</c:v>
                </c:pt>
                <c:pt idx="129">
                  <c:v>20.651367187499996</c:v>
                </c:pt>
                <c:pt idx="130">
                  <c:v>9.0468749999999982</c:v>
                </c:pt>
                <c:pt idx="131">
                  <c:v>8.6582031249999982</c:v>
                </c:pt>
                <c:pt idx="132">
                  <c:v>21.2880859375</c:v>
                </c:pt>
                <c:pt idx="133">
                  <c:v>20.6005859375</c:v>
                </c:pt>
                <c:pt idx="134">
                  <c:v>8.9560546874999982</c:v>
                </c:pt>
                <c:pt idx="135">
                  <c:v>8.59765625</c:v>
                </c:pt>
                <c:pt idx="136">
                  <c:v>21.511718750000004</c:v>
                </c:pt>
                <c:pt idx="137">
                  <c:v>21.3994140625</c:v>
                </c:pt>
                <c:pt idx="138">
                  <c:v>9.095703125</c:v>
                </c:pt>
                <c:pt idx="139">
                  <c:v>8.4560546875</c:v>
                </c:pt>
                <c:pt idx="140">
                  <c:v>21.5673828125</c:v>
                </c:pt>
                <c:pt idx="141">
                  <c:v>21.0458984375</c:v>
                </c:pt>
                <c:pt idx="142">
                  <c:v>9.0478515624999964</c:v>
                </c:pt>
                <c:pt idx="143">
                  <c:v>8.4853515625</c:v>
                </c:pt>
                <c:pt idx="144">
                  <c:v>22.189453125</c:v>
                </c:pt>
                <c:pt idx="145">
                  <c:v>20.447265624999996</c:v>
                </c:pt>
                <c:pt idx="146">
                  <c:v>10.01953125</c:v>
                </c:pt>
                <c:pt idx="147">
                  <c:v>8.6679687499999982</c:v>
                </c:pt>
                <c:pt idx="148">
                  <c:v>22.273437499999996</c:v>
                </c:pt>
                <c:pt idx="149">
                  <c:v>20.109375</c:v>
                </c:pt>
                <c:pt idx="150">
                  <c:v>10.063476562499998</c:v>
                </c:pt>
                <c:pt idx="151">
                  <c:v>8.6845703124999982</c:v>
                </c:pt>
                <c:pt idx="152">
                  <c:v>21.7353515625</c:v>
                </c:pt>
                <c:pt idx="153">
                  <c:v>21.62109375</c:v>
                </c:pt>
                <c:pt idx="154">
                  <c:v>10.110351562499998</c:v>
                </c:pt>
                <c:pt idx="155">
                  <c:v>9.9580078124999964</c:v>
                </c:pt>
                <c:pt idx="156">
                  <c:v>21.9814453125</c:v>
                </c:pt>
                <c:pt idx="157">
                  <c:v>21.6591796875</c:v>
                </c:pt>
                <c:pt idx="158">
                  <c:v>10.226562499999998</c:v>
                </c:pt>
                <c:pt idx="159">
                  <c:v>10.291015625</c:v>
                </c:pt>
                <c:pt idx="160">
                  <c:v>21.702148437499996</c:v>
                </c:pt>
                <c:pt idx="161">
                  <c:v>17.7763671875</c:v>
                </c:pt>
                <c:pt idx="162">
                  <c:v>8.9501953125</c:v>
                </c:pt>
                <c:pt idx="163">
                  <c:v>8.6181640625</c:v>
                </c:pt>
                <c:pt idx="164">
                  <c:v>21.16015625</c:v>
                </c:pt>
                <c:pt idx="165">
                  <c:v>19.185546874999996</c:v>
                </c:pt>
                <c:pt idx="166">
                  <c:v>20.725585937500004</c:v>
                </c:pt>
                <c:pt idx="167">
                  <c:v>17.8662109375</c:v>
                </c:pt>
                <c:pt idx="168">
                  <c:v>17.4150390625</c:v>
                </c:pt>
                <c:pt idx="169">
                  <c:v>18.8583984375</c:v>
                </c:pt>
                <c:pt idx="170">
                  <c:v>22.7001953125</c:v>
                </c:pt>
                <c:pt idx="171">
                  <c:v>17.99609375</c:v>
                </c:pt>
                <c:pt idx="172">
                  <c:v>17.716796875</c:v>
                </c:pt>
                <c:pt idx="173">
                  <c:v>20.6982421875</c:v>
                </c:pt>
                <c:pt idx="174">
                  <c:v>19.03125</c:v>
                </c:pt>
                <c:pt idx="175">
                  <c:v>19.803710937500004</c:v>
                </c:pt>
                <c:pt idx="176">
                  <c:v>19.788085937499996</c:v>
                </c:pt>
                <c:pt idx="177">
                  <c:v>22.510742187500004</c:v>
                </c:pt>
                <c:pt idx="178">
                  <c:v>17.4111328125</c:v>
                </c:pt>
                <c:pt idx="179">
                  <c:v>21.3291015625</c:v>
                </c:pt>
                <c:pt idx="180">
                  <c:v>17.896484375</c:v>
                </c:pt>
                <c:pt idx="181">
                  <c:v>19.1328125</c:v>
                </c:pt>
                <c:pt idx="182">
                  <c:v>22.1259765625</c:v>
                </c:pt>
                <c:pt idx="183">
                  <c:v>20.211914062499996</c:v>
                </c:pt>
                <c:pt idx="184">
                  <c:v>18.5068359375</c:v>
                </c:pt>
                <c:pt idx="185">
                  <c:v>18.480468750000004</c:v>
                </c:pt>
                <c:pt idx="186">
                  <c:v>21.024414062500004</c:v>
                </c:pt>
                <c:pt idx="187">
                  <c:v>20.109374999999996</c:v>
                </c:pt>
                <c:pt idx="188">
                  <c:v>19.830078124999996</c:v>
                </c:pt>
                <c:pt idx="189">
                  <c:v>18.572265625000004</c:v>
                </c:pt>
                <c:pt idx="190">
                  <c:v>17.33984375</c:v>
                </c:pt>
                <c:pt idx="191">
                  <c:v>21.1171875</c:v>
                </c:pt>
                <c:pt idx="192">
                  <c:v>17.896484375</c:v>
                </c:pt>
                <c:pt idx="193">
                  <c:v>20.5029296875</c:v>
                </c:pt>
                <c:pt idx="194">
                  <c:v>21.0087890625</c:v>
                </c:pt>
                <c:pt idx="195">
                  <c:v>20.8359375</c:v>
                </c:pt>
                <c:pt idx="196">
                  <c:v>17.513671875</c:v>
                </c:pt>
                <c:pt idx="197">
                  <c:v>22.0283203125</c:v>
                </c:pt>
                <c:pt idx="198">
                  <c:v>18.6796875</c:v>
                </c:pt>
                <c:pt idx="199">
                  <c:v>20.596679687499996</c:v>
                </c:pt>
                <c:pt idx="200">
                  <c:v>18.513671875</c:v>
                </c:pt>
                <c:pt idx="201">
                  <c:v>18.3740234375</c:v>
                </c:pt>
                <c:pt idx="202">
                  <c:v>17.71875</c:v>
                </c:pt>
                <c:pt idx="203">
                  <c:v>20.887695312499996</c:v>
                </c:pt>
                <c:pt idx="204">
                  <c:v>17.0361328125</c:v>
                </c:pt>
                <c:pt idx="205">
                  <c:v>19.1728515625</c:v>
                </c:pt>
                <c:pt idx="206">
                  <c:v>20.595703125</c:v>
                </c:pt>
                <c:pt idx="207">
                  <c:v>20.619140625</c:v>
                </c:pt>
                <c:pt idx="208">
                  <c:v>18.3212890625</c:v>
                </c:pt>
                <c:pt idx="209">
                  <c:v>21.649414062499996</c:v>
                </c:pt>
                <c:pt idx="210">
                  <c:v>20.806640625</c:v>
                </c:pt>
                <c:pt idx="211">
                  <c:v>20.0380859375</c:v>
                </c:pt>
                <c:pt idx="212">
                  <c:v>19.8759765625</c:v>
                </c:pt>
                <c:pt idx="213">
                  <c:v>21.886718749999996</c:v>
                </c:pt>
                <c:pt idx="214">
                  <c:v>21.217773437500004</c:v>
                </c:pt>
                <c:pt idx="215">
                  <c:v>18.876953125</c:v>
                </c:pt>
                <c:pt idx="216">
                  <c:v>17.631835937499996</c:v>
                </c:pt>
                <c:pt idx="217">
                  <c:v>19.09375</c:v>
                </c:pt>
                <c:pt idx="218">
                  <c:v>20.812499999999996</c:v>
                </c:pt>
                <c:pt idx="219">
                  <c:v>20.2197265625</c:v>
                </c:pt>
                <c:pt idx="220">
                  <c:v>17.754882812499996</c:v>
                </c:pt>
                <c:pt idx="221">
                  <c:v>22.162109375</c:v>
                </c:pt>
                <c:pt idx="222">
                  <c:v>20.9375</c:v>
                </c:pt>
                <c:pt idx="223">
                  <c:v>21.019531249999996</c:v>
                </c:pt>
                <c:pt idx="224">
                  <c:v>17.0244140625</c:v>
                </c:pt>
                <c:pt idx="225">
                  <c:v>21.2265625</c:v>
                </c:pt>
                <c:pt idx="226">
                  <c:v>17.8408203125</c:v>
                </c:pt>
                <c:pt idx="227">
                  <c:v>20.271484375</c:v>
                </c:pt>
                <c:pt idx="228">
                  <c:v>17.5146484375</c:v>
                </c:pt>
                <c:pt idx="229">
                  <c:v>18.97265625</c:v>
                </c:pt>
                <c:pt idx="230">
                  <c:v>18.00390625</c:v>
                </c:pt>
                <c:pt idx="231">
                  <c:v>20.4052734375</c:v>
                </c:pt>
                <c:pt idx="232">
                  <c:v>18.855468749999996</c:v>
                </c:pt>
                <c:pt idx="233">
                  <c:v>22.1025390625</c:v>
                </c:pt>
                <c:pt idx="234">
                  <c:v>21.1806640625</c:v>
                </c:pt>
                <c:pt idx="235">
                  <c:v>20.2099609375</c:v>
                </c:pt>
                <c:pt idx="236">
                  <c:v>18.75390625</c:v>
                </c:pt>
                <c:pt idx="237">
                  <c:v>21.671874999999996</c:v>
                </c:pt>
                <c:pt idx="238">
                  <c:v>18.081054687499996</c:v>
                </c:pt>
                <c:pt idx="239">
                  <c:v>20.3916015625</c:v>
                </c:pt>
                <c:pt idx="240">
                  <c:v>19.6943359375</c:v>
                </c:pt>
                <c:pt idx="241">
                  <c:v>22.408203125000004</c:v>
                </c:pt>
                <c:pt idx="242">
                  <c:v>21.5869140625</c:v>
                </c:pt>
                <c:pt idx="243">
                  <c:v>20.1650390625</c:v>
                </c:pt>
                <c:pt idx="244">
                  <c:v>17.55859375</c:v>
                </c:pt>
                <c:pt idx="245">
                  <c:v>20.0576171875</c:v>
                </c:pt>
                <c:pt idx="246">
                  <c:v>21.267578125000004</c:v>
                </c:pt>
                <c:pt idx="247">
                  <c:v>20.96484375</c:v>
                </c:pt>
                <c:pt idx="248">
                  <c:v>18.4052734375</c:v>
                </c:pt>
                <c:pt idx="249">
                  <c:v>20.0556640625</c:v>
                </c:pt>
                <c:pt idx="250">
                  <c:v>21.225585937499996</c:v>
                </c:pt>
                <c:pt idx="251">
                  <c:v>21.2314453125</c:v>
                </c:pt>
                <c:pt idx="252">
                  <c:v>20.033203125</c:v>
                </c:pt>
                <c:pt idx="253">
                  <c:v>22.1083984375</c:v>
                </c:pt>
                <c:pt idx="254">
                  <c:v>17.6337890625</c:v>
                </c:pt>
                <c:pt idx="255">
                  <c:v>21.0029296875</c:v>
                </c:pt>
                <c:pt idx="256">
                  <c:v>20.9794921875</c:v>
                </c:pt>
                <c:pt idx="257">
                  <c:v>22.0283203125</c:v>
                </c:pt>
                <c:pt idx="258">
                  <c:v>20.724609375</c:v>
                </c:pt>
                <c:pt idx="259">
                  <c:v>18.005859375</c:v>
                </c:pt>
                <c:pt idx="260">
                  <c:v>18.5146484375</c:v>
                </c:pt>
                <c:pt idx="261">
                  <c:v>19.7861328125</c:v>
                </c:pt>
                <c:pt idx="262">
                  <c:v>21.2626953125</c:v>
                </c:pt>
                <c:pt idx="263">
                  <c:v>21.359374999999996</c:v>
                </c:pt>
                <c:pt idx="264">
                  <c:v>18.576171874999996</c:v>
                </c:pt>
                <c:pt idx="265">
                  <c:v>19.94921875</c:v>
                </c:pt>
                <c:pt idx="266">
                  <c:v>21.18359375</c:v>
                </c:pt>
                <c:pt idx="267">
                  <c:v>17.930664062499996</c:v>
                </c:pt>
                <c:pt idx="268">
                  <c:v>17.833984375</c:v>
                </c:pt>
                <c:pt idx="269">
                  <c:v>19.224609375</c:v>
                </c:pt>
                <c:pt idx="270">
                  <c:v>22.3125</c:v>
                </c:pt>
                <c:pt idx="271">
                  <c:v>18.013671875</c:v>
                </c:pt>
                <c:pt idx="272">
                  <c:v>20.6728515625</c:v>
                </c:pt>
                <c:pt idx="273">
                  <c:v>19.2412109375</c:v>
                </c:pt>
                <c:pt idx="274">
                  <c:v>21.341796875000004</c:v>
                </c:pt>
                <c:pt idx="275">
                  <c:v>19.1103515625</c:v>
                </c:pt>
                <c:pt idx="276">
                  <c:v>19.533203125</c:v>
                </c:pt>
                <c:pt idx="277">
                  <c:v>22.138671875</c:v>
                </c:pt>
                <c:pt idx="278">
                  <c:v>18.3857421875</c:v>
                </c:pt>
                <c:pt idx="279">
                  <c:v>18.6025390625</c:v>
                </c:pt>
                <c:pt idx="280">
                  <c:v>17.932617187500004</c:v>
                </c:pt>
                <c:pt idx="281">
                  <c:v>20.3603515625</c:v>
                </c:pt>
                <c:pt idx="282">
                  <c:v>21.470703125</c:v>
                </c:pt>
                <c:pt idx="283">
                  <c:v>20.7509765625</c:v>
                </c:pt>
                <c:pt idx="284">
                  <c:v>20.69140625</c:v>
                </c:pt>
                <c:pt idx="285">
                  <c:v>19.654296875000004</c:v>
                </c:pt>
                <c:pt idx="286">
                  <c:v>21.208984375</c:v>
                </c:pt>
                <c:pt idx="287">
                  <c:v>18.816406249999996</c:v>
                </c:pt>
                <c:pt idx="288">
                  <c:v>17.4736328125</c:v>
                </c:pt>
                <c:pt idx="289">
                  <c:v>18.859374999999996</c:v>
                </c:pt>
                <c:pt idx="290">
                  <c:v>22.494140625000004</c:v>
                </c:pt>
                <c:pt idx="291">
                  <c:v>19.649414062499996</c:v>
                </c:pt>
                <c:pt idx="292">
                  <c:v>20.669921875</c:v>
                </c:pt>
                <c:pt idx="293">
                  <c:v>18.064453124999996</c:v>
                </c:pt>
                <c:pt idx="294">
                  <c:v>8.9482421874999982</c:v>
                </c:pt>
                <c:pt idx="295">
                  <c:v>8.533203125</c:v>
                </c:pt>
                <c:pt idx="296">
                  <c:v>20.58984375</c:v>
                </c:pt>
                <c:pt idx="297">
                  <c:v>19.7763671875</c:v>
                </c:pt>
                <c:pt idx="298">
                  <c:v>9.28515625</c:v>
                </c:pt>
                <c:pt idx="299">
                  <c:v>8.2900390624999982</c:v>
                </c:pt>
                <c:pt idx="300">
                  <c:v>15.597656249999998</c:v>
                </c:pt>
                <c:pt idx="301">
                  <c:v>15.597656249999998</c:v>
                </c:pt>
                <c:pt idx="302">
                  <c:v>15.597656249999998</c:v>
                </c:pt>
                <c:pt idx="303">
                  <c:v>15.597656249999998</c:v>
                </c:pt>
                <c:pt idx="304">
                  <c:v>20.740234374999996</c:v>
                </c:pt>
                <c:pt idx="305">
                  <c:v>19.5009765625</c:v>
                </c:pt>
                <c:pt idx="306">
                  <c:v>9.2158203124999982</c:v>
                </c:pt>
                <c:pt idx="307">
                  <c:v>8.2451171874999982</c:v>
                </c:pt>
                <c:pt idx="308">
                  <c:v>20.4326171875</c:v>
                </c:pt>
                <c:pt idx="309">
                  <c:v>17.837890625</c:v>
                </c:pt>
                <c:pt idx="310">
                  <c:v>9.40625</c:v>
                </c:pt>
                <c:pt idx="311">
                  <c:v>8.1904296874999982</c:v>
                </c:pt>
                <c:pt idx="312">
                  <c:v>20.650390625</c:v>
                </c:pt>
                <c:pt idx="313">
                  <c:v>18.126953125</c:v>
                </c:pt>
                <c:pt idx="314">
                  <c:v>9.5390624999999982</c:v>
                </c:pt>
                <c:pt idx="315">
                  <c:v>8.3623046874999964</c:v>
                </c:pt>
                <c:pt idx="316">
                  <c:v>20.6181640625</c:v>
                </c:pt>
                <c:pt idx="317">
                  <c:v>18.8056640625</c:v>
                </c:pt>
                <c:pt idx="318">
                  <c:v>9.7978515625</c:v>
                </c:pt>
                <c:pt idx="319">
                  <c:v>8.5507812499999964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FD-4C97-A479-DD8F17BDA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835520"/>
        <c:axId val="309836176"/>
      </c:scatterChart>
      <c:valAx>
        <c:axId val="30983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Sequence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09836176"/>
        <c:crosses val="autoZero"/>
        <c:crossBetween val="midCat"/>
      </c:valAx>
      <c:valAx>
        <c:axId val="3098361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nSec</a:t>
                </a:r>
              </a:p>
            </c:rich>
          </c:tx>
          <c:layout/>
          <c:overlay val="0"/>
        </c:title>
        <c:numFmt formatCode="##0.0000" sourceLinked="1"/>
        <c:majorTickMark val="out"/>
        <c:minorTickMark val="none"/>
        <c:tickLblPos val="nextTo"/>
        <c:crossAx val="309835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DrvRcv RTD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'RTD Data'!$D$1</c:f>
              <c:strCache>
                <c:ptCount val="1"/>
                <c:pt idx="0">
                  <c:v>DrvRcv RTD</c:v>
                </c:pt>
              </c:strCache>
            </c:strRef>
          </c:tx>
          <c:xVal>
            <c:numRef>
              <c:f>'RTD Data'!$A$2:$A$321</c:f>
              <c:numCache>
                <c:formatCode>General</c:formatCode>
                <c:ptCount val="3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</c:numCache>
            </c:numRef>
          </c:xVal>
          <c:yVal>
            <c:numRef>
              <c:f>'RTD Data'!$D$2:$D$321</c:f>
              <c:numCache>
                <c:formatCode>General</c:formatCode>
                <c:ptCount val="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2-4725-9E09-45C1ECA6D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837160"/>
        <c:axId val="309832896"/>
      </c:scatterChart>
      <c:valAx>
        <c:axId val="3098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Sequence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09832896"/>
        <c:crosses val="autoZero"/>
        <c:crossBetween val="midCat"/>
      </c:valAx>
      <c:valAx>
        <c:axId val="309832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nSec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09837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5</xdr:col>
      <xdr:colOff>1257300</xdr:colOff>
      <xdr:row>0</xdr:row>
      <xdr:rowOff>317500</xdr:rowOff>
    </xdr:to>
    <xdr:pic macro="tl_dt_AEgg">
      <xdr:nvPicPr>
        <xdr:cNvPr id="2" name="Teradyne Logo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8550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2" name="Teradyne Logo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2" name="Teradyne Logo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0250" y="63500"/>
          <a:ext cx="1231900" cy="2540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3" name="Teradyne Logo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0250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2" name="Teradyne Logo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25400</xdr:colOff>
      <xdr:row>0</xdr:row>
      <xdr:rowOff>63500</xdr:rowOff>
    </xdr:from>
    <xdr:to>
      <xdr:col>11</xdr:col>
      <xdr:colOff>336550</xdr:colOff>
      <xdr:row>0</xdr:row>
      <xdr:rowOff>317500</xdr:rowOff>
    </xdr:to>
    <xdr:pic macro="tl_dt_AEgg">
      <xdr:nvPicPr>
        <xdr:cNvPr id="2" name="Teradyne Logo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7</xdr:col>
      <xdr:colOff>361950</xdr:colOff>
      <xdr:row>0</xdr:row>
      <xdr:rowOff>317500</xdr:rowOff>
    </xdr:to>
    <xdr:pic macro="tl_dt_AEgg">
      <xdr:nvPicPr>
        <xdr:cNvPr id="2" name="Teradyne Logo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7</xdr:col>
      <xdr:colOff>361950</xdr:colOff>
      <xdr:row>0</xdr:row>
      <xdr:rowOff>317500</xdr:rowOff>
    </xdr:to>
    <xdr:pic macro="tl_dt_AEgg">
      <xdr:nvPicPr>
        <xdr:cNvPr id="2" name="Teradyne Logo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83344</xdr:colOff>
      <xdr:row>1</xdr:row>
      <xdr:rowOff>0</xdr:rowOff>
    </xdr:from>
    <xdr:to>
      <xdr:col>0</xdr:col>
      <xdr:colOff>194469</xdr:colOff>
      <xdr:row>2</xdr:row>
      <xdr:rowOff>0</xdr:rowOff>
    </xdr:to>
    <xdr:sp macro="" textlink="">
      <xdr:nvSpPr>
        <xdr:cNvPr id="2" name="Right Arrow 1" hidden="1"/>
        <xdr:cNvSpPr/>
      </xdr:nvSpPr>
      <xdr:spPr bwMode="auto">
        <a:xfrm>
          <a:off x="83344" y="323850"/>
          <a:ext cx="111125" cy="161925"/>
        </a:xfrm>
        <a:prstGeom prst="rightArrow">
          <a:avLst>
            <a:gd name="adj1" fmla="val 50000"/>
            <a:gd name="adj2" fmla="val 30000"/>
          </a:avLst>
        </a:prstGeom>
        <a:solidFill>
          <a:srgbClr val="FFFF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25400</xdr:colOff>
      <xdr:row>0</xdr:row>
      <xdr:rowOff>63500</xdr:rowOff>
    </xdr:from>
    <xdr:to>
      <xdr:col>12</xdr:col>
      <xdr:colOff>0</xdr:colOff>
      <xdr:row>0</xdr:row>
      <xdr:rowOff>317500</xdr:rowOff>
    </xdr:to>
    <xdr:pic macro="tl_dt_AEgg">
      <xdr:nvPicPr>
        <xdr:cNvPr id="3" name="Teradyne Logo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4800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25400</xdr:colOff>
      <xdr:row>0</xdr:row>
      <xdr:rowOff>63500</xdr:rowOff>
    </xdr:from>
    <xdr:to>
      <xdr:col>8</xdr:col>
      <xdr:colOff>361950</xdr:colOff>
      <xdr:row>0</xdr:row>
      <xdr:rowOff>317500</xdr:rowOff>
    </xdr:to>
    <xdr:pic macro="tl_dt_AEgg">
      <xdr:nvPicPr>
        <xdr:cNvPr id="2" name="Teradyne Logo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20</xdr:col>
      <xdr:colOff>466726</xdr:colOff>
      <xdr:row>44</xdr:row>
      <xdr:rowOff>147637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422275</xdr:colOff>
      <xdr:row>0</xdr:row>
      <xdr:rowOff>63500</xdr:rowOff>
    </xdr:from>
    <xdr:to>
      <xdr:col>13</xdr:col>
      <xdr:colOff>396875</xdr:colOff>
      <xdr:row>22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422275</xdr:colOff>
      <xdr:row>23</xdr:row>
      <xdr:rowOff>15875</xdr:rowOff>
    </xdr:from>
    <xdr:to>
      <xdr:col>13</xdr:col>
      <xdr:colOff>396875</xdr:colOff>
      <xdr:row>45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1fsp2v11\sort_wspace\PROGRA~1\Teradyne\IG-XL\bin\DataToo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2.75" x14ac:dyDescent="0.2"/>
  <cols>
    <col min="2" max="2" width="17.5703125" customWidth="1"/>
    <col min="3" max="6" width="21.85546875" customWidth="1"/>
    <col min="7" max="7" width="42.85546875" customWidth="1"/>
  </cols>
  <sheetData>
    <row r="1" spans="1:7" ht="25.5" customHeight="1" x14ac:dyDescent="0.4">
      <c r="A1" s="81"/>
      <c r="B1" s="82" t="s">
        <v>59</v>
      </c>
      <c r="C1" s="82"/>
      <c r="D1" s="82"/>
      <c r="E1" s="80"/>
    </row>
    <row r="3" spans="1:7" x14ac:dyDescent="0.2">
      <c r="B3" s="79" t="s">
        <v>58</v>
      </c>
      <c r="C3" s="79" t="s">
        <v>20</v>
      </c>
      <c r="D3" s="79" t="s">
        <v>27</v>
      </c>
      <c r="E3" s="79" t="s">
        <v>28</v>
      </c>
      <c r="F3" s="79" t="s">
        <v>29</v>
      </c>
      <c r="G3" s="79" t="s">
        <v>4</v>
      </c>
    </row>
  </sheetData>
  <mergeCells count="1">
    <mergeCell ref="B1:D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2:D411"/>
  <sheetViews>
    <sheetView workbookViewId="0">
      <selection activeCell="B27" sqref="B27"/>
    </sheetView>
  </sheetViews>
  <sheetFormatPr defaultRowHeight="12.75" x14ac:dyDescent="0.2"/>
  <cols>
    <col min="2" max="2" width="39.7109375" customWidth="1"/>
    <col min="3" max="3" width="88.7109375" customWidth="1"/>
    <col min="4" max="4" width="12.7109375" style="25" customWidth="1"/>
  </cols>
  <sheetData>
    <row r="2" spans="1:4" x14ac:dyDescent="0.2">
      <c r="A2" s="10" t="s">
        <v>347</v>
      </c>
      <c r="B2" s="10" t="s">
        <v>341</v>
      </c>
      <c r="C2" s="10" t="s">
        <v>342</v>
      </c>
      <c r="D2" s="26" t="s">
        <v>343</v>
      </c>
    </row>
    <row r="3" spans="1:4" s="59" customFormat="1" x14ac:dyDescent="0.2">
      <c r="D3" s="25"/>
    </row>
    <row r="4" spans="1:4" s="40" customFormat="1" x14ac:dyDescent="0.2">
      <c r="D4" s="25"/>
    </row>
    <row r="5" spans="1:4" s="59" customFormat="1" x14ac:dyDescent="0.2">
      <c r="A5" s="8" t="s">
        <v>1613</v>
      </c>
      <c r="B5" s="8" t="s">
        <v>1529</v>
      </c>
      <c r="C5" s="8" t="s">
        <v>1611</v>
      </c>
      <c r="D5" s="20">
        <v>44536</v>
      </c>
    </row>
    <row r="6" spans="1:4" s="59" customFormat="1" x14ac:dyDescent="0.2">
      <c r="A6" s="8" t="s">
        <v>1471</v>
      </c>
      <c r="B6" s="50" t="s">
        <v>1481</v>
      </c>
      <c r="C6" s="50" t="s">
        <v>1530</v>
      </c>
      <c r="D6" s="53" t="s">
        <v>1619</v>
      </c>
    </row>
    <row r="7" spans="1:4" s="59" customFormat="1" x14ac:dyDescent="0.2">
      <c r="A7" s="8"/>
      <c r="B7" s="50" t="s">
        <v>1486</v>
      </c>
      <c r="C7" s="50" t="s">
        <v>1567</v>
      </c>
      <c r="D7" s="53"/>
    </row>
    <row r="8" spans="1:4" s="59" customFormat="1" x14ac:dyDescent="0.2">
      <c r="A8" s="49"/>
      <c r="B8" s="50" t="s">
        <v>531</v>
      </c>
      <c r="C8" s="50" t="s">
        <v>1532</v>
      </c>
      <c r="D8" s="19"/>
    </row>
    <row r="9" spans="1:4" s="60" customFormat="1" x14ac:dyDescent="0.2">
      <c r="A9" s="8"/>
      <c r="B9" s="50" t="s">
        <v>1566</v>
      </c>
      <c r="C9" s="50" t="s">
        <v>1620</v>
      </c>
      <c r="D9" s="53"/>
    </row>
    <row r="10" spans="1:4" s="63" customFormat="1" x14ac:dyDescent="0.2">
      <c r="A10" s="8"/>
      <c r="B10" s="50"/>
      <c r="C10" s="50" t="s">
        <v>1621</v>
      </c>
      <c r="D10" s="53"/>
    </row>
    <row r="11" spans="1:4" s="63" customFormat="1" x14ac:dyDescent="0.2">
      <c r="A11" s="8"/>
      <c r="B11" s="50"/>
      <c r="C11" s="50" t="s">
        <v>1622</v>
      </c>
      <c r="D11" s="53"/>
    </row>
    <row r="12" spans="1:4" s="61" customFormat="1" x14ac:dyDescent="0.2">
      <c r="A12" s="49"/>
      <c r="B12" s="50" t="s">
        <v>856</v>
      </c>
      <c r="C12" s="50" t="s">
        <v>1630</v>
      </c>
      <c r="D12" s="53"/>
    </row>
    <row r="13" spans="1:4" s="61" customFormat="1" x14ac:dyDescent="0.2">
      <c r="A13" s="49"/>
      <c r="B13" s="50" t="s">
        <v>1608</v>
      </c>
      <c r="C13" s="50" t="s">
        <v>1609</v>
      </c>
      <c r="D13" s="53"/>
    </row>
    <row r="14" spans="1:4" s="61" customFormat="1" x14ac:dyDescent="0.2">
      <c r="A14" s="49"/>
      <c r="B14" s="50" t="s">
        <v>1610</v>
      </c>
      <c r="C14" s="50" t="s">
        <v>1631</v>
      </c>
      <c r="D14" s="53"/>
    </row>
    <row r="15" spans="1:4" s="64" customFormat="1" x14ac:dyDescent="0.2">
      <c r="A15" s="65"/>
      <c r="B15" s="66" t="s">
        <v>1025</v>
      </c>
      <c r="C15" s="67" t="s">
        <v>1632</v>
      </c>
      <c r="D15" s="20"/>
    </row>
    <row r="16" spans="1:4" s="59" customFormat="1" x14ac:dyDescent="0.2">
      <c r="A16" s="8"/>
      <c r="B16" s="50" t="s">
        <v>1568</v>
      </c>
      <c r="C16" s="50" t="s">
        <v>1569</v>
      </c>
      <c r="D16" s="53"/>
    </row>
    <row r="17" spans="1:4" s="60" customFormat="1" x14ac:dyDescent="0.2">
      <c r="A17" s="49"/>
      <c r="B17" s="50"/>
      <c r="C17" s="50" t="s">
        <v>1570</v>
      </c>
      <c r="D17" s="53"/>
    </row>
    <row r="18" spans="1:4" s="60" customFormat="1" x14ac:dyDescent="0.2">
      <c r="A18" s="49"/>
      <c r="B18" s="50"/>
      <c r="C18" s="50" t="s">
        <v>1612</v>
      </c>
      <c r="D18" s="53"/>
    </row>
    <row r="19" spans="1:4" s="59" customFormat="1" x14ac:dyDescent="0.2">
      <c r="A19" s="8"/>
      <c r="B19" s="50" t="s">
        <v>1531</v>
      </c>
      <c r="C19" s="50" t="s">
        <v>1571</v>
      </c>
      <c r="D19" s="53"/>
    </row>
    <row r="20" spans="1:4" s="59" customFormat="1" x14ac:dyDescent="0.2">
      <c r="A20" s="49"/>
      <c r="B20" s="12" t="s">
        <v>1494</v>
      </c>
      <c r="C20" s="50" t="s">
        <v>1614</v>
      </c>
      <c r="D20" s="53"/>
    </row>
    <row r="21" spans="1:4" s="59" customFormat="1" x14ac:dyDescent="0.2">
      <c r="A21" s="49"/>
      <c r="B21" s="50" t="s">
        <v>1618</v>
      </c>
      <c r="C21" s="50" t="s">
        <v>1615</v>
      </c>
      <c r="D21" s="53"/>
    </row>
    <row r="22" spans="1:4" s="62" customFormat="1" x14ac:dyDescent="0.2">
      <c r="A22" s="49"/>
      <c r="B22" s="50"/>
      <c r="C22" s="50" t="s">
        <v>1616</v>
      </c>
      <c r="D22" s="53"/>
    </row>
    <row r="23" spans="1:4" s="73" customFormat="1" x14ac:dyDescent="0.2">
      <c r="A23" s="8" t="s">
        <v>1017</v>
      </c>
      <c r="B23" s="50" t="s">
        <v>1897</v>
      </c>
      <c r="C23" s="50" t="s">
        <v>1898</v>
      </c>
      <c r="D23" s="20">
        <v>44558</v>
      </c>
    </row>
    <row r="24" spans="1:4" s="73" customFormat="1" x14ac:dyDescent="0.2">
      <c r="A24" s="49"/>
      <c r="B24" s="50" t="s">
        <v>1899</v>
      </c>
      <c r="C24" s="50" t="s">
        <v>1900</v>
      </c>
      <c r="D24" s="53"/>
    </row>
    <row r="25" spans="1:4" s="73" customFormat="1" x14ac:dyDescent="0.2">
      <c r="A25" s="49"/>
      <c r="B25" s="50" t="s">
        <v>1901</v>
      </c>
      <c r="C25" s="50" t="s">
        <v>1902</v>
      </c>
      <c r="D25" s="53"/>
    </row>
    <row r="26" spans="1:4" s="55" customFormat="1" x14ac:dyDescent="0.2">
      <c r="B26" s="12" t="s">
        <v>1927</v>
      </c>
      <c r="C26" s="12" t="s">
        <v>1928</v>
      </c>
      <c r="D26" s="25"/>
    </row>
    <row r="27" spans="1:4" s="74" customFormat="1" x14ac:dyDescent="0.2">
      <c r="B27" s="12"/>
      <c r="C27" s="12"/>
      <c r="D27" s="25"/>
    </row>
    <row r="28" spans="1:4" s="74" customFormat="1" x14ac:dyDescent="0.2">
      <c r="B28" s="12"/>
      <c r="C28" s="12"/>
      <c r="D28" s="25"/>
    </row>
    <row r="29" spans="1:4" s="74" customFormat="1" x14ac:dyDescent="0.2">
      <c r="B29" s="12"/>
      <c r="C29" s="12"/>
      <c r="D29" s="25"/>
    </row>
    <row r="30" spans="1:4" s="74" customFormat="1" x14ac:dyDescent="0.2">
      <c r="B30" s="12"/>
      <c r="C30" s="12"/>
      <c r="D30" s="25"/>
    </row>
    <row r="31" spans="1:4" s="55" customFormat="1" x14ac:dyDescent="0.2">
      <c r="A31" s="8" t="s">
        <v>358</v>
      </c>
      <c r="B31" s="8" t="s">
        <v>1043</v>
      </c>
      <c r="C31" s="8" t="s">
        <v>1482</v>
      </c>
      <c r="D31" s="20">
        <v>44491</v>
      </c>
    </row>
    <row r="32" spans="1:4" s="55" customFormat="1" x14ac:dyDescent="0.2">
      <c r="A32" s="8" t="s">
        <v>1017</v>
      </c>
      <c r="B32" s="50" t="s">
        <v>1481</v>
      </c>
      <c r="C32" s="50" t="s">
        <v>1525</v>
      </c>
      <c r="D32" s="53" t="s">
        <v>1526</v>
      </c>
    </row>
    <row r="33" spans="1:4" s="55" customFormat="1" x14ac:dyDescent="0.2">
      <c r="A33" s="8" t="s">
        <v>1017</v>
      </c>
      <c r="B33" s="50" t="s">
        <v>1486</v>
      </c>
      <c r="C33" s="50" t="s">
        <v>1487</v>
      </c>
      <c r="D33" s="53"/>
    </row>
    <row r="34" spans="1:4" s="57" customFormat="1" x14ac:dyDescent="0.2">
      <c r="A34" s="49"/>
      <c r="B34" s="50" t="s">
        <v>531</v>
      </c>
      <c r="C34" s="50" t="s">
        <v>1520</v>
      </c>
      <c r="D34" s="19"/>
    </row>
    <row r="35" spans="1:4" s="57" customFormat="1" x14ac:dyDescent="0.2">
      <c r="A35" s="49"/>
      <c r="B35" s="50"/>
      <c r="C35" s="50" t="s">
        <v>1521</v>
      </c>
      <c r="D35" s="19"/>
    </row>
    <row r="36" spans="1:4" s="55" customFormat="1" x14ac:dyDescent="0.2">
      <c r="A36" s="49"/>
      <c r="B36" s="50" t="s">
        <v>821</v>
      </c>
      <c r="C36" s="50" t="s">
        <v>1490</v>
      </c>
      <c r="D36" s="19"/>
    </row>
    <row r="37" spans="1:4" s="55" customFormat="1" x14ac:dyDescent="0.2">
      <c r="A37" s="49"/>
      <c r="B37" s="50" t="s">
        <v>823</v>
      </c>
      <c r="C37" s="50" t="s">
        <v>1491</v>
      </c>
      <c r="D37" s="53"/>
    </row>
    <row r="38" spans="1:4" s="56" customFormat="1" x14ac:dyDescent="0.2">
      <c r="A38" s="49"/>
      <c r="B38" s="50"/>
      <c r="C38" s="50" t="s">
        <v>1493</v>
      </c>
      <c r="D38" s="53"/>
    </row>
    <row r="39" spans="1:4" s="55" customFormat="1" x14ac:dyDescent="0.2">
      <c r="A39" s="49"/>
      <c r="B39" s="50" t="s">
        <v>1413</v>
      </c>
      <c r="C39" s="50" t="s">
        <v>1527</v>
      </c>
      <c r="D39" s="53"/>
    </row>
    <row r="40" spans="1:4" s="58" customFormat="1" x14ac:dyDescent="0.2">
      <c r="A40" s="49"/>
      <c r="B40" s="50"/>
      <c r="C40" s="11" t="s">
        <v>1524</v>
      </c>
      <c r="D40" s="53"/>
    </row>
    <row r="41" spans="1:4" s="45" customFormat="1" x14ac:dyDescent="0.2">
      <c r="A41" s="5"/>
      <c r="B41" s="12" t="s">
        <v>1458</v>
      </c>
      <c r="C41" s="13" t="s">
        <v>1459</v>
      </c>
      <c r="D41" s="23"/>
    </row>
    <row r="42" spans="1:4" s="48" customFormat="1" x14ac:dyDescent="0.2">
      <c r="A42" s="5"/>
      <c r="B42" s="13"/>
      <c r="C42" s="13" t="s">
        <v>1460</v>
      </c>
      <c r="D42" s="23"/>
    </row>
    <row r="43" spans="1:4" s="44" customFormat="1" x14ac:dyDescent="0.2">
      <c r="A43" s="5"/>
      <c r="B43" s="12" t="s">
        <v>1494</v>
      </c>
      <c r="C43" s="50" t="s">
        <v>1617</v>
      </c>
      <c r="D43" s="23"/>
    </row>
    <row r="44" spans="1:4" s="44" customFormat="1" x14ac:dyDescent="0.2">
      <c r="D44" s="25"/>
    </row>
    <row r="45" spans="1:4" s="44" customFormat="1" x14ac:dyDescent="0.2">
      <c r="A45" s="8" t="s">
        <v>1398</v>
      </c>
      <c r="B45" s="8" t="s">
        <v>1043</v>
      </c>
      <c r="C45" s="8" t="s">
        <v>1492</v>
      </c>
      <c r="D45" s="20">
        <v>44463</v>
      </c>
    </row>
    <row r="46" spans="1:4" s="44" customFormat="1" x14ac:dyDescent="0.2">
      <c r="A46" s="5"/>
      <c r="B46" s="13" t="s">
        <v>1044</v>
      </c>
      <c r="C46" s="13" t="s">
        <v>1480</v>
      </c>
      <c r="D46" s="23" t="s">
        <v>1479</v>
      </c>
    </row>
    <row r="47" spans="1:4" s="44" customFormat="1" x14ac:dyDescent="0.2">
      <c r="A47" s="5"/>
      <c r="B47" s="13" t="s">
        <v>1045</v>
      </c>
      <c r="C47" s="13" t="s">
        <v>1400</v>
      </c>
      <c r="D47" s="23"/>
    </row>
    <row r="48" spans="1:4" s="44" customFormat="1" x14ac:dyDescent="0.2">
      <c r="A48" s="5"/>
      <c r="B48" s="13" t="s">
        <v>1046</v>
      </c>
      <c r="C48" s="13" t="s">
        <v>1442</v>
      </c>
      <c r="D48" s="23"/>
    </row>
    <row r="49" spans="1:4" s="44" customFormat="1" x14ac:dyDescent="0.2">
      <c r="A49" s="5"/>
      <c r="B49" s="13" t="s">
        <v>1401</v>
      </c>
      <c r="C49" s="13" t="s">
        <v>1402</v>
      </c>
      <c r="D49" s="23"/>
    </row>
    <row r="50" spans="1:4" s="55" customFormat="1" x14ac:dyDescent="0.2">
      <c r="A50" s="49"/>
      <c r="B50" s="50" t="s">
        <v>821</v>
      </c>
      <c r="C50" s="50" t="s">
        <v>1488</v>
      </c>
      <c r="D50" s="19"/>
    </row>
    <row r="51" spans="1:4" s="55" customFormat="1" x14ac:dyDescent="0.2">
      <c r="A51" s="49"/>
      <c r="B51" s="50"/>
      <c r="C51" s="50" t="s">
        <v>1489</v>
      </c>
      <c r="D51" s="19"/>
    </row>
    <row r="52" spans="1:4" s="44" customFormat="1" x14ac:dyDescent="0.2">
      <c r="A52" s="5"/>
      <c r="B52" s="13" t="s">
        <v>823</v>
      </c>
      <c r="C52" s="13" t="s">
        <v>1457</v>
      </c>
      <c r="D52" s="23"/>
    </row>
    <row r="53" spans="1:4" s="45" customFormat="1" x14ac:dyDescent="0.2">
      <c r="A53" s="5"/>
      <c r="B53" s="13"/>
      <c r="C53" s="13" t="s">
        <v>1473</v>
      </c>
      <c r="D53" s="23"/>
    </row>
    <row r="54" spans="1:4" s="54" customFormat="1" x14ac:dyDescent="0.2">
      <c r="A54" s="49"/>
      <c r="B54" s="50"/>
      <c r="C54" s="50" t="s">
        <v>1474</v>
      </c>
      <c r="D54" s="53"/>
    </row>
    <row r="55" spans="1:4" s="45" customFormat="1" x14ac:dyDescent="0.2">
      <c r="A55" s="5"/>
      <c r="B55" s="13" t="s">
        <v>1413</v>
      </c>
      <c r="C55" s="13" t="s">
        <v>1485</v>
      </c>
      <c r="D55" s="23"/>
    </row>
    <row r="56" spans="1:4" s="45" customFormat="1" x14ac:dyDescent="0.2">
      <c r="A56" s="5"/>
      <c r="B56" s="13" t="s">
        <v>1441</v>
      </c>
      <c r="C56" s="13" t="s">
        <v>1472</v>
      </c>
      <c r="D56" s="23"/>
    </row>
    <row r="57" spans="1:4" s="45" customFormat="1" x14ac:dyDescent="0.2">
      <c r="A57" s="5"/>
      <c r="B57" s="13" t="s">
        <v>1410</v>
      </c>
      <c r="C57" s="13" t="s">
        <v>1449</v>
      </c>
      <c r="D57" s="23"/>
    </row>
    <row r="58" spans="1:4" s="45" customFormat="1" x14ac:dyDescent="0.2">
      <c r="A58" s="5"/>
      <c r="B58" s="13" t="s">
        <v>1414</v>
      </c>
      <c r="C58" s="13" t="s">
        <v>1415</v>
      </c>
      <c r="D58" s="23"/>
    </row>
    <row r="59" spans="1:4" s="44" customFormat="1" x14ac:dyDescent="0.2">
      <c r="A59" s="5"/>
      <c r="B59" s="13" t="s">
        <v>694</v>
      </c>
      <c r="C59" s="13" t="s">
        <v>1409</v>
      </c>
      <c r="D59" s="23"/>
    </row>
    <row r="60" spans="1:4" s="47" customFormat="1" x14ac:dyDescent="0.2">
      <c r="A60" s="5"/>
      <c r="B60" s="13" t="s">
        <v>1454</v>
      </c>
      <c r="C60" s="13" t="s">
        <v>1455</v>
      </c>
      <c r="D60" s="23"/>
    </row>
    <row r="61" spans="1:4" s="46" customFormat="1" x14ac:dyDescent="0.2">
      <c r="A61" s="5"/>
      <c r="B61" s="13" t="s">
        <v>1483</v>
      </c>
      <c r="C61" s="13" t="s">
        <v>1447</v>
      </c>
      <c r="D61" s="23"/>
    </row>
    <row r="62" spans="1:4" s="47" customFormat="1" x14ac:dyDescent="0.2">
      <c r="A62" s="5"/>
      <c r="B62" s="13"/>
      <c r="C62" s="13" t="s">
        <v>1446</v>
      </c>
      <c r="D62" s="23"/>
    </row>
    <row r="63" spans="1:4" s="47" customFormat="1" x14ac:dyDescent="0.2">
      <c r="A63" s="5"/>
      <c r="B63" s="13" t="s">
        <v>856</v>
      </c>
      <c r="C63" s="13" t="s">
        <v>1453</v>
      </c>
      <c r="D63" s="23"/>
    </row>
    <row r="64" spans="1:4" s="47" customFormat="1" x14ac:dyDescent="0.2">
      <c r="A64" s="5"/>
      <c r="B64" s="13" t="s">
        <v>1448</v>
      </c>
      <c r="C64" s="13" t="s">
        <v>1484</v>
      </c>
      <c r="D64" s="23"/>
    </row>
    <row r="65" spans="1:4" s="47" customFormat="1" x14ac:dyDescent="0.2">
      <c r="A65" s="5" t="s">
        <v>1471</v>
      </c>
      <c r="B65" s="13" t="s">
        <v>994</v>
      </c>
      <c r="C65" s="50" t="s">
        <v>1475</v>
      </c>
      <c r="D65" s="23"/>
    </row>
    <row r="66" spans="1:4" s="43" customFormat="1" x14ac:dyDescent="0.2">
      <c r="D66" s="25"/>
    </row>
    <row r="67" spans="1:4" s="43" customFormat="1" x14ac:dyDescent="0.2">
      <c r="A67" s="8" t="s">
        <v>358</v>
      </c>
      <c r="B67" s="8" t="s">
        <v>817</v>
      </c>
      <c r="C67" s="8" t="s">
        <v>1041</v>
      </c>
      <c r="D67" s="20">
        <v>44459</v>
      </c>
    </row>
    <row r="68" spans="1:4" s="43" customFormat="1" x14ac:dyDescent="0.2">
      <c r="A68" s="5"/>
      <c r="B68" s="13" t="s">
        <v>823</v>
      </c>
      <c r="C68" s="13" t="s">
        <v>1042</v>
      </c>
      <c r="D68" s="23"/>
    </row>
    <row r="69" spans="1:4" s="40" customFormat="1" x14ac:dyDescent="0.2">
      <c r="D69" s="25"/>
    </row>
    <row r="70" spans="1:4" s="40" customFormat="1" x14ac:dyDescent="0.2">
      <c r="A70" s="8" t="s">
        <v>358</v>
      </c>
      <c r="B70" s="8" t="s">
        <v>817</v>
      </c>
      <c r="C70" s="8" t="s">
        <v>1022</v>
      </c>
      <c r="D70" s="20">
        <v>44454</v>
      </c>
    </row>
    <row r="71" spans="1:4" s="40" customFormat="1" x14ac:dyDescent="0.2">
      <c r="A71" s="5"/>
      <c r="B71" s="13" t="s">
        <v>988</v>
      </c>
      <c r="C71" s="13" t="s">
        <v>1019</v>
      </c>
      <c r="D71" s="23"/>
    </row>
    <row r="72" spans="1:4" s="40" customFormat="1" x14ac:dyDescent="0.2">
      <c r="A72" s="5"/>
      <c r="B72" s="13" t="s">
        <v>823</v>
      </c>
      <c r="C72" s="13" t="s">
        <v>1020</v>
      </c>
      <c r="D72" s="23"/>
    </row>
    <row r="73" spans="1:4" s="40" customFormat="1" x14ac:dyDescent="0.2">
      <c r="A73" s="5"/>
      <c r="B73" s="13"/>
      <c r="C73" s="13" t="s">
        <v>1021</v>
      </c>
      <c r="D73" s="23"/>
    </row>
    <row r="74" spans="1:4" s="40" customFormat="1" x14ac:dyDescent="0.2">
      <c r="A74" s="5"/>
      <c r="B74" s="5" t="s">
        <v>985</v>
      </c>
      <c r="C74" s="5" t="s">
        <v>1037</v>
      </c>
      <c r="D74" s="19"/>
    </row>
    <row r="75" spans="1:4" s="40" customFormat="1" x14ac:dyDescent="0.2">
      <c r="D75" s="25"/>
    </row>
    <row r="76" spans="1:4" s="15" customFormat="1" x14ac:dyDescent="0.2">
      <c r="A76" s="8" t="s">
        <v>1017</v>
      </c>
      <c r="B76" s="8" t="s">
        <v>817</v>
      </c>
      <c r="C76" s="8" t="s">
        <v>1040</v>
      </c>
      <c r="D76" s="20">
        <v>44428</v>
      </c>
    </row>
    <row r="77" spans="1:4" s="37" customFormat="1" ht="25.5" x14ac:dyDescent="0.2">
      <c r="A77" s="8"/>
      <c r="B77" s="42" t="s">
        <v>1029</v>
      </c>
      <c r="C77" s="7" t="s">
        <v>1036</v>
      </c>
      <c r="D77" s="23" t="s">
        <v>1035</v>
      </c>
    </row>
    <row r="78" spans="1:4" s="37" customFormat="1" ht="38.25" x14ac:dyDescent="0.2">
      <c r="A78" s="8"/>
      <c r="B78" s="42" t="s">
        <v>985</v>
      </c>
      <c r="C78" s="38" t="s">
        <v>1039</v>
      </c>
      <c r="D78" s="20"/>
    </row>
    <row r="79" spans="1:4" s="37" customFormat="1" ht="25.5" x14ac:dyDescent="0.2">
      <c r="A79" s="8"/>
      <c r="B79" s="42" t="s">
        <v>1028</v>
      </c>
      <c r="C79" s="39" t="s">
        <v>1018</v>
      </c>
      <c r="D79" s="20"/>
    </row>
    <row r="80" spans="1:4" s="41" customFormat="1" ht="25.5" x14ac:dyDescent="0.2">
      <c r="A80" s="8"/>
      <c r="B80" s="13" t="s">
        <v>1027</v>
      </c>
      <c r="C80" s="39" t="s">
        <v>1038</v>
      </c>
      <c r="D80" s="20"/>
    </row>
    <row r="81" spans="1:4" s="41" customFormat="1" ht="30" customHeight="1" x14ac:dyDescent="0.2">
      <c r="A81" s="8"/>
      <c r="B81" s="42" t="s">
        <v>1026</v>
      </c>
      <c r="C81" s="39" t="s">
        <v>1030</v>
      </c>
      <c r="D81" s="20"/>
    </row>
    <row r="82" spans="1:4" s="41" customFormat="1" x14ac:dyDescent="0.2">
      <c r="A82" s="8"/>
      <c r="B82" s="13" t="s">
        <v>1025</v>
      </c>
      <c r="C82" s="39" t="s">
        <v>1031</v>
      </c>
      <c r="D82" s="20"/>
    </row>
    <row r="83" spans="1:4" s="41" customFormat="1" x14ac:dyDescent="0.2">
      <c r="A83" s="8"/>
      <c r="B83" s="13" t="s">
        <v>994</v>
      </c>
      <c r="C83" s="39" t="s">
        <v>1032</v>
      </c>
      <c r="D83" s="20"/>
    </row>
    <row r="84" spans="1:4" s="41" customFormat="1" x14ac:dyDescent="0.2">
      <c r="A84" s="8"/>
      <c r="B84" s="13" t="s">
        <v>1024</v>
      </c>
      <c r="C84" s="39" t="s">
        <v>1034</v>
      </c>
      <c r="D84" s="20"/>
    </row>
    <row r="85" spans="1:4" s="41" customFormat="1" x14ac:dyDescent="0.2">
      <c r="A85" s="8"/>
      <c r="B85" s="13" t="s">
        <v>1023</v>
      </c>
      <c r="C85" s="39" t="s">
        <v>1033</v>
      </c>
      <c r="D85" s="20"/>
    </row>
    <row r="86" spans="1:4" s="45" customFormat="1" x14ac:dyDescent="0.2">
      <c r="A86" s="8"/>
      <c r="B86" s="13" t="s">
        <v>1410</v>
      </c>
      <c r="C86" s="39" t="s">
        <v>1411</v>
      </c>
      <c r="D86" s="20"/>
    </row>
    <row r="87" spans="1:4" s="40" customFormat="1" x14ac:dyDescent="0.2">
      <c r="D87" s="25"/>
    </row>
    <row r="88" spans="1:4" s="37" customFormat="1" x14ac:dyDescent="0.2">
      <c r="A88" s="8" t="s">
        <v>358</v>
      </c>
      <c r="B88" s="8" t="s">
        <v>817</v>
      </c>
      <c r="C88" s="8" t="s">
        <v>818</v>
      </c>
      <c r="D88" s="20">
        <v>44365</v>
      </c>
    </row>
    <row r="89" spans="1:4" s="15" customFormat="1" x14ac:dyDescent="0.2">
      <c r="A89" s="5"/>
      <c r="B89" s="13" t="s">
        <v>532</v>
      </c>
      <c r="C89" s="13" t="s">
        <v>957</v>
      </c>
      <c r="D89" s="23" t="s">
        <v>1001</v>
      </c>
    </row>
    <row r="90" spans="1:4" s="15" customFormat="1" x14ac:dyDescent="0.2">
      <c r="A90" s="5"/>
      <c r="B90" s="13"/>
      <c r="C90" s="13" t="s">
        <v>864</v>
      </c>
      <c r="D90" s="19"/>
    </row>
    <row r="91" spans="1:4" s="27" customFormat="1" x14ac:dyDescent="0.2">
      <c r="A91" s="5"/>
      <c r="B91" s="13"/>
      <c r="C91" s="13" t="s">
        <v>865</v>
      </c>
      <c r="D91" s="19"/>
    </row>
    <row r="92" spans="1:4" s="27" customFormat="1" x14ac:dyDescent="0.2">
      <c r="A92" s="5"/>
      <c r="B92" s="13"/>
      <c r="C92" s="13" t="s">
        <v>959</v>
      </c>
      <c r="D92" s="19"/>
    </row>
    <row r="93" spans="1:4" s="29" customFormat="1" x14ac:dyDescent="0.2">
      <c r="A93" s="5"/>
      <c r="B93" s="13"/>
      <c r="C93" s="13" t="s">
        <v>977</v>
      </c>
      <c r="D93" s="19"/>
    </row>
    <row r="94" spans="1:4" s="31" customFormat="1" x14ac:dyDescent="0.2">
      <c r="A94" s="5"/>
      <c r="B94" s="13"/>
      <c r="C94" s="13" t="s">
        <v>978</v>
      </c>
      <c r="D94" s="19"/>
    </row>
    <row r="95" spans="1:4" s="31" customFormat="1" x14ac:dyDescent="0.2">
      <c r="A95" s="5"/>
      <c r="B95" s="13"/>
      <c r="C95" s="13" t="s">
        <v>979</v>
      </c>
      <c r="D95" s="19"/>
    </row>
    <row r="96" spans="1:4" s="16" customFormat="1" x14ac:dyDescent="0.2">
      <c r="A96" s="5"/>
      <c r="B96" s="13" t="s">
        <v>531</v>
      </c>
      <c r="C96" s="13" t="s">
        <v>950</v>
      </c>
      <c r="D96" s="19"/>
    </row>
    <row r="97" spans="1:4" s="28" customFormat="1" x14ac:dyDescent="0.2">
      <c r="A97" s="5"/>
      <c r="B97" s="13"/>
      <c r="C97" s="13" t="s">
        <v>951</v>
      </c>
      <c r="D97" s="19"/>
    </row>
    <row r="98" spans="1:4" s="29" customFormat="1" x14ac:dyDescent="0.2">
      <c r="A98" s="5"/>
      <c r="B98" s="13" t="s">
        <v>960</v>
      </c>
      <c r="C98" s="13" t="s">
        <v>961</v>
      </c>
      <c r="D98" s="19"/>
    </row>
    <row r="99" spans="1:4" s="28" customFormat="1" x14ac:dyDescent="0.2">
      <c r="A99" s="5"/>
      <c r="B99" s="13" t="s">
        <v>954</v>
      </c>
      <c r="C99" s="13" t="s">
        <v>955</v>
      </c>
      <c r="D99" s="19"/>
    </row>
    <row r="100" spans="1:4" s="28" customFormat="1" x14ac:dyDescent="0.2">
      <c r="A100" s="5"/>
      <c r="B100" s="13"/>
      <c r="C100" s="13" t="s">
        <v>998</v>
      </c>
      <c r="D100" s="19"/>
    </row>
    <row r="101" spans="1:4" s="16" customFormat="1" x14ac:dyDescent="0.2">
      <c r="A101" s="5"/>
      <c r="B101" s="13" t="s">
        <v>819</v>
      </c>
      <c r="C101" s="13" t="s">
        <v>820</v>
      </c>
      <c r="D101" s="19"/>
    </row>
    <row r="102" spans="1:4" s="16" customFormat="1" x14ac:dyDescent="0.2">
      <c r="A102" s="5"/>
      <c r="B102" s="13"/>
      <c r="C102" s="13" t="s">
        <v>999</v>
      </c>
      <c r="D102" s="19"/>
    </row>
    <row r="103" spans="1:4" s="16" customFormat="1" x14ac:dyDescent="0.2">
      <c r="A103" s="5"/>
      <c r="B103" s="13" t="s">
        <v>821</v>
      </c>
      <c r="C103" s="13" t="s">
        <v>822</v>
      </c>
      <c r="D103" s="19"/>
    </row>
    <row r="104" spans="1:4" s="16" customFormat="1" x14ac:dyDescent="0.2">
      <c r="A104" s="5"/>
      <c r="B104" s="13"/>
      <c r="C104" s="13" t="s">
        <v>980</v>
      </c>
      <c r="D104" s="19"/>
    </row>
    <row r="105" spans="1:4" s="28" customFormat="1" x14ac:dyDescent="0.2">
      <c r="A105" s="5"/>
      <c r="B105" s="13"/>
      <c r="C105" s="13" t="s">
        <v>956</v>
      </c>
      <c r="D105" s="19"/>
    </row>
    <row r="106" spans="1:4" s="16" customFormat="1" x14ac:dyDescent="0.2">
      <c r="A106" s="5"/>
      <c r="B106" s="13" t="s">
        <v>823</v>
      </c>
      <c r="C106" s="13" t="s">
        <v>824</v>
      </c>
      <c r="D106" s="19"/>
    </row>
    <row r="107" spans="1:4" s="16" customFormat="1" x14ac:dyDescent="0.2">
      <c r="A107" s="5"/>
      <c r="B107" s="13"/>
      <c r="C107" s="13" t="s">
        <v>825</v>
      </c>
      <c r="D107" s="19"/>
    </row>
    <row r="108" spans="1:4" s="16" customFormat="1" x14ac:dyDescent="0.2">
      <c r="A108" s="5"/>
      <c r="B108" s="5"/>
      <c r="C108" s="5" t="s">
        <v>826</v>
      </c>
      <c r="D108" s="19"/>
    </row>
    <row r="109" spans="1:4" s="16" customFormat="1" x14ac:dyDescent="0.2">
      <c r="A109" s="5"/>
      <c r="B109" s="5"/>
      <c r="C109" s="5" t="s">
        <v>966</v>
      </c>
      <c r="D109" s="19"/>
    </row>
    <row r="110" spans="1:4" s="16" customFormat="1" x14ac:dyDescent="0.2">
      <c r="A110" s="5"/>
      <c r="B110" s="5" t="s">
        <v>949</v>
      </c>
      <c r="C110" s="5" t="s">
        <v>851</v>
      </c>
      <c r="D110" s="19"/>
    </row>
    <row r="111" spans="1:4" s="16" customFormat="1" x14ac:dyDescent="0.2">
      <c r="A111" s="5"/>
      <c r="B111" s="5"/>
      <c r="C111" s="5" t="s">
        <v>948</v>
      </c>
      <c r="D111" s="19"/>
    </row>
    <row r="112" spans="1:4" s="17" customFormat="1" x14ac:dyDescent="0.2">
      <c r="A112" s="5"/>
      <c r="B112" s="5"/>
      <c r="C112" s="5" t="s">
        <v>863</v>
      </c>
      <c r="D112" s="19"/>
    </row>
    <row r="113" spans="1:4" s="18" customFormat="1" x14ac:dyDescent="0.2">
      <c r="A113" s="5"/>
      <c r="B113" s="5"/>
      <c r="C113" s="5" t="s">
        <v>866</v>
      </c>
      <c r="D113" s="19"/>
    </row>
    <row r="114" spans="1:4" s="16" customFormat="1" x14ac:dyDescent="0.2">
      <c r="A114" s="5"/>
      <c r="B114" s="5" t="s">
        <v>827</v>
      </c>
      <c r="C114" s="5" t="s">
        <v>981</v>
      </c>
      <c r="D114" s="19"/>
    </row>
    <row r="115" spans="1:4" s="16" customFormat="1" x14ac:dyDescent="0.2">
      <c r="A115" s="5"/>
      <c r="B115" s="5"/>
      <c r="C115" s="5" t="s">
        <v>982</v>
      </c>
      <c r="D115" s="19"/>
    </row>
    <row r="116" spans="1:4" s="16" customFormat="1" x14ac:dyDescent="0.2">
      <c r="A116" s="5"/>
      <c r="B116" s="5"/>
      <c r="C116" s="5" t="s">
        <v>983</v>
      </c>
      <c r="D116" s="19"/>
    </row>
    <row r="117" spans="1:4" s="33" customFormat="1" x14ac:dyDescent="0.2">
      <c r="A117" s="5"/>
      <c r="B117" s="5" t="s">
        <v>988</v>
      </c>
      <c r="C117" s="5" t="s">
        <v>989</v>
      </c>
      <c r="D117" s="19"/>
    </row>
    <row r="118" spans="1:4" s="17" customFormat="1" x14ac:dyDescent="0.2">
      <c r="A118" s="5"/>
      <c r="B118" s="5" t="s">
        <v>856</v>
      </c>
      <c r="C118" s="5" t="s">
        <v>857</v>
      </c>
      <c r="D118" s="19"/>
    </row>
    <row r="119" spans="1:4" s="17" customFormat="1" x14ac:dyDescent="0.2">
      <c r="A119" s="5"/>
      <c r="B119" s="5"/>
      <c r="C119" s="5" t="s">
        <v>958</v>
      </c>
      <c r="D119" s="19"/>
    </row>
    <row r="120" spans="1:4" s="16" customFormat="1" x14ac:dyDescent="0.2">
      <c r="A120" s="5"/>
      <c r="B120" s="13" t="s">
        <v>787</v>
      </c>
      <c r="C120" s="5" t="s">
        <v>987</v>
      </c>
      <c r="D120" s="19"/>
    </row>
    <row r="121" spans="1:4" s="29" customFormat="1" x14ac:dyDescent="0.2">
      <c r="A121" s="5"/>
      <c r="B121" s="5" t="s">
        <v>964</v>
      </c>
      <c r="C121" s="5" t="s">
        <v>965</v>
      </c>
      <c r="D121" s="19"/>
    </row>
    <row r="122" spans="1:4" s="16" customFormat="1" x14ac:dyDescent="0.2">
      <c r="A122" s="5"/>
      <c r="B122" s="5" t="s">
        <v>828</v>
      </c>
      <c r="C122" s="5" t="s">
        <v>986</v>
      </c>
      <c r="D122" s="19"/>
    </row>
    <row r="123" spans="1:4" s="32" customFormat="1" x14ac:dyDescent="0.2">
      <c r="A123" s="5"/>
      <c r="B123" s="5" t="s">
        <v>985</v>
      </c>
      <c r="C123" s="5" t="s">
        <v>984</v>
      </c>
      <c r="D123" s="19"/>
    </row>
    <row r="124" spans="1:4" s="36" customFormat="1" x14ac:dyDescent="0.2">
      <c r="A124" s="5"/>
      <c r="B124" s="5" t="s">
        <v>1002</v>
      </c>
      <c r="C124" s="5" t="s">
        <v>1003</v>
      </c>
      <c r="D124" s="19"/>
    </row>
    <row r="125" spans="1:4" s="36" customFormat="1" x14ac:dyDescent="0.2">
      <c r="A125" s="5"/>
      <c r="B125" s="5"/>
      <c r="C125" s="5" t="s">
        <v>1004</v>
      </c>
      <c r="D125" s="19"/>
    </row>
    <row r="126" spans="1:4" s="16" customFormat="1" x14ac:dyDescent="0.2">
      <c r="A126" s="5"/>
      <c r="B126" s="5" t="s">
        <v>700</v>
      </c>
      <c r="C126" s="5" t="s">
        <v>858</v>
      </c>
      <c r="D126" s="19"/>
    </row>
    <row r="127" spans="1:4" s="17" customFormat="1" x14ac:dyDescent="0.2">
      <c r="A127" s="5"/>
      <c r="B127" s="5"/>
      <c r="C127" s="5" t="s">
        <v>952</v>
      </c>
      <c r="D127" s="19"/>
    </row>
    <row r="128" spans="1:4" s="28" customFormat="1" x14ac:dyDescent="0.2">
      <c r="A128" s="5"/>
      <c r="B128" s="5"/>
      <c r="C128" s="5" t="s">
        <v>971</v>
      </c>
      <c r="D128" s="19"/>
    </row>
    <row r="129" spans="1:4" s="30" customFormat="1" x14ac:dyDescent="0.2">
      <c r="A129" s="5"/>
      <c r="B129" s="5"/>
      <c r="C129" s="5" t="s">
        <v>972</v>
      </c>
      <c r="D129" s="19"/>
    </row>
    <row r="130" spans="1:4" s="34" customFormat="1" x14ac:dyDescent="0.2">
      <c r="A130" s="5"/>
      <c r="B130" s="35" t="s">
        <v>994</v>
      </c>
      <c r="C130" s="35" t="s">
        <v>995</v>
      </c>
      <c r="D130" s="19"/>
    </row>
    <row r="131" spans="1:4" s="16" customFormat="1" x14ac:dyDescent="0.2">
      <c r="A131" s="5"/>
      <c r="B131" s="5" t="s">
        <v>830</v>
      </c>
      <c r="C131" s="5" t="s">
        <v>962</v>
      </c>
      <c r="D131" s="19"/>
    </row>
    <row r="132" spans="1:4" s="29" customFormat="1" x14ac:dyDescent="0.2">
      <c r="A132" s="5"/>
      <c r="B132" s="5"/>
      <c r="C132" s="5" t="s">
        <v>963</v>
      </c>
      <c r="D132" s="19"/>
    </row>
    <row r="133" spans="1:4" s="15" customFormat="1" x14ac:dyDescent="0.2">
      <c r="A133" s="5"/>
      <c r="B133" s="5"/>
      <c r="C133" s="5"/>
      <c r="D133" s="19"/>
    </row>
    <row r="134" spans="1:4" s="3" customFormat="1" x14ac:dyDescent="0.2">
      <c r="A134" s="8" t="s">
        <v>358</v>
      </c>
      <c r="B134" s="8" t="s">
        <v>752</v>
      </c>
      <c r="C134" s="8" t="s">
        <v>802</v>
      </c>
      <c r="D134" s="20">
        <v>44307</v>
      </c>
    </row>
    <row r="135" spans="1:4" s="3" customFormat="1" x14ac:dyDescent="0.2">
      <c r="A135" s="5"/>
      <c r="B135" s="6" t="s">
        <v>694</v>
      </c>
      <c r="C135" s="6" t="s">
        <v>803</v>
      </c>
      <c r="D135" s="19"/>
    </row>
    <row r="136" spans="1:4" s="3" customFormat="1" x14ac:dyDescent="0.2">
      <c r="A136" s="5"/>
      <c r="B136" s="6"/>
      <c r="C136" s="6" t="s">
        <v>804</v>
      </c>
      <c r="D136" s="19"/>
    </row>
    <row r="137" spans="1:4" s="3" customFormat="1" x14ac:dyDescent="0.2">
      <c r="A137" s="5"/>
      <c r="B137" s="5" t="s">
        <v>807</v>
      </c>
      <c r="C137" s="12" t="s">
        <v>808</v>
      </c>
      <c r="D137" s="19"/>
    </row>
    <row r="138" spans="1:4" s="3" customFormat="1" x14ac:dyDescent="0.2">
      <c r="A138" s="5"/>
      <c r="B138" s="5" t="s">
        <v>531</v>
      </c>
      <c r="C138" s="12" t="s">
        <v>805</v>
      </c>
      <c r="D138" s="19"/>
    </row>
    <row r="139" spans="1:4" s="3" customFormat="1" x14ac:dyDescent="0.2">
      <c r="A139" s="5"/>
      <c r="B139" s="5" t="s">
        <v>532</v>
      </c>
      <c r="C139" s="12" t="s">
        <v>806</v>
      </c>
      <c r="D139" s="19"/>
    </row>
    <row r="140" spans="1:4" s="3" customFormat="1" x14ac:dyDescent="0.2">
      <c r="A140" s="5"/>
      <c r="B140" s="5"/>
      <c r="C140" s="5"/>
      <c r="D140" s="19"/>
    </row>
    <row r="141" spans="1:4" x14ac:dyDescent="0.2">
      <c r="A141" s="8" t="s">
        <v>358</v>
      </c>
      <c r="B141" s="8" t="s">
        <v>752</v>
      </c>
      <c r="C141" s="8" t="s">
        <v>801</v>
      </c>
      <c r="D141" s="20">
        <v>44279</v>
      </c>
    </row>
    <row r="142" spans="1:4" x14ac:dyDescent="0.2">
      <c r="A142" s="5"/>
      <c r="B142" s="6" t="s">
        <v>532</v>
      </c>
      <c r="C142" s="6" t="s">
        <v>789</v>
      </c>
      <c r="D142" s="19"/>
    </row>
    <row r="143" spans="1:4" x14ac:dyDescent="0.2">
      <c r="A143" s="5"/>
      <c r="B143" s="6"/>
      <c r="C143" s="6" t="s">
        <v>786</v>
      </c>
      <c r="D143" s="19"/>
    </row>
    <row r="144" spans="1:4" x14ac:dyDescent="0.2">
      <c r="A144" s="4"/>
      <c r="B144" s="4" t="s">
        <v>531</v>
      </c>
      <c r="C144" s="12" t="s">
        <v>776</v>
      </c>
      <c r="D144" s="19"/>
    </row>
    <row r="145" spans="1:4" x14ac:dyDescent="0.2">
      <c r="A145" s="4"/>
      <c r="B145" s="13" t="s">
        <v>777</v>
      </c>
      <c r="C145" s="12" t="s">
        <v>795</v>
      </c>
      <c r="D145" s="19"/>
    </row>
    <row r="146" spans="1:4" x14ac:dyDescent="0.2">
      <c r="A146" s="4"/>
      <c r="B146" s="13" t="s">
        <v>787</v>
      </c>
      <c r="C146" s="12" t="s">
        <v>788</v>
      </c>
      <c r="D146" s="19"/>
    </row>
    <row r="147" spans="1:4" x14ac:dyDescent="0.2">
      <c r="A147" s="4"/>
      <c r="B147" s="13"/>
      <c r="C147" s="12" t="s">
        <v>793</v>
      </c>
      <c r="D147" s="19"/>
    </row>
    <row r="148" spans="1:4" x14ac:dyDescent="0.2">
      <c r="A148" s="4"/>
      <c r="B148" s="13" t="s">
        <v>829</v>
      </c>
      <c r="C148" s="12" t="s">
        <v>779</v>
      </c>
      <c r="D148" s="19"/>
    </row>
    <row r="149" spans="1:4" x14ac:dyDescent="0.2">
      <c r="A149" s="4"/>
      <c r="B149" s="13" t="s">
        <v>821</v>
      </c>
      <c r="C149" s="12" t="s">
        <v>778</v>
      </c>
      <c r="D149" s="19"/>
    </row>
    <row r="150" spans="1:4" x14ac:dyDescent="0.2">
      <c r="A150" s="4"/>
      <c r="B150" s="13" t="s">
        <v>700</v>
      </c>
      <c r="C150" s="12" t="s">
        <v>780</v>
      </c>
      <c r="D150" s="19"/>
    </row>
    <row r="151" spans="1:4" x14ac:dyDescent="0.2">
      <c r="A151" s="4"/>
      <c r="B151" s="13"/>
      <c r="C151" s="12" t="s">
        <v>796</v>
      </c>
      <c r="D151" s="19"/>
    </row>
    <row r="152" spans="1:4" x14ac:dyDescent="0.2">
      <c r="A152" s="4"/>
      <c r="B152" s="13"/>
      <c r="C152" s="12" t="s">
        <v>797</v>
      </c>
      <c r="D152" s="19"/>
    </row>
    <row r="153" spans="1:4" x14ac:dyDescent="0.2">
      <c r="A153" s="5"/>
      <c r="B153" s="5"/>
      <c r="C153" s="5"/>
      <c r="D153" s="19"/>
    </row>
    <row r="154" spans="1:4" x14ac:dyDescent="0.2">
      <c r="A154" s="8" t="s">
        <v>358</v>
      </c>
      <c r="B154" s="8" t="s">
        <v>752</v>
      </c>
      <c r="C154" s="8" t="s">
        <v>800</v>
      </c>
      <c r="D154" s="20">
        <v>44265</v>
      </c>
    </row>
    <row r="155" spans="1:4" x14ac:dyDescent="0.2">
      <c r="A155" s="5"/>
      <c r="B155" s="6" t="s">
        <v>532</v>
      </c>
      <c r="C155" s="6" t="s">
        <v>753</v>
      </c>
      <c r="D155" s="19"/>
    </row>
    <row r="156" spans="1:4" x14ac:dyDescent="0.2">
      <c r="A156" s="4"/>
      <c r="B156" s="4"/>
      <c r="C156" s="12" t="s">
        <v>754</v>
      </c>
      <c r="D156" s="19"/>
    </row>
    <row r="157" spans="1:4" x14ac:dyDescent="0.2">
      <c r="A157" s="4"/>
      <c r="B157" s="13" t="s">
        <v>531</v>
      </c>
      <c r="C157" s="12" t="s">
        <v>758</v>
      </c>
      <c r="D157" s="19"/>
    </row>
    <row r="158" spans="1:4" x14ac:dyDescent="0.2">
      <c r="A158" s="5"/>
      <c r="B158" s="6"/>
      <c r="C158" s="6" t="s">
        <v>756</v>
      </c>
      <c r="D158" s="19"/>
    </row>
    <row r="159" spans="1:4" x14ac:dyDescent="0.2">
      <c r="A159" s="4"/>
      <c r="B159" s="12" t="s">
        <v>700</v>
      </c>
      <c r="C159" s="12" t="s">
        <v>757</v>
      </c>
      <c r="D159" s="19"/>
    </row>
    <row r="160" spans="1:4" x14ac:dyDescent="0.2">
      <c r="A160" s="4"/>
      <c r="B160" s="12" t="s">
        <v>759</v>
      </c>
      <c r="C160" s="12" t="s">
        <v>760</v>
      </c>
      <c r="D160" s="19"/>
    </row>
    <row r="161" spans="1:4" x14ac:dyDescent="0.2">
      <c r="A161" s="5"/>
      <c r="B161" s="5" t="s">
        <v>723</v>
      </c>
      <c r="C161" s="5" t="s">
        <v>761</v>
      </c>
      <c r="D161" s="19"/>
    </row>
    <row r="162" spans="1:4" x14ac:dyDescent="0.2">
      <c r="A162" s="5"/>
      <c r="B162" s="5"/>
      <c r="C162" s="5"/>
      <c r="D162" s="19"/>
    </row>
    <row r="163" spans="1:4" x14ac:dyDescent="0.2">
      <c r="A163" s="8" t="s">
        <v>358</v>
      </c>
      <c r="B163" s="8" t="s">
        <v>734</v>
      </c>
      <c r="C163" s="8" t="s">
        <v>799</v>
      </c>
      <c r="D163" s="20">
        <v>44259</v>
      </c>
    </row>
    <row r="164" spans="1:4" x14ac:dyDescent="0.2">
      <c r="A164" s="5"/>
      <c r="B164" s="6" t="s">
        <v>694</v>
      </c>
      <c r="C164" s="6" t="s">
        <v>736</v>
      </c>
      <c r="D164" s="19"/>
    </row>
    <row r="165" spans="1:4" x14ac:dyDescent="0.2">
      <c r="A165" s="4"/>
      <c r="B165" s="4"/>
      <c r="C165" s="12" t="s">
        <v>735</v>
      </c>
      <c r="D165" s="19"/>
    </row>
    <row r="166" spans="1:4" x14ac:dyDescent="0.2">
      <c r="A166" s="4"/>
      <c r="B166" s="13" t="s">
        <v>528</v>
      </c>
      <c r="C166" s="12" t="s">
        <v>737</v>
      </c>
      <c r="D166" s="19"/>
    </row>
    <row r="167" spans="1:4" x14ac:dyDescent="0.2">
      <c r="A167" s="4"/>
      <c r="B167" s="4"/>
      <c r="C167" s="4"/>
      <c r="D167" s="19"/>
    </row>
    <row r="168" spans="1:4" x14ac:dyDescent="0.2">
      <c r="A168" s="8" t="s">
        <v>358</v>
      </c>
      <c r="B168" s="8" t="s">
        <v>687</v>
      </c>
      <c r="C168" s="8" t="s">
        <v>732</v>
      </c>
      <c r="D168" s="20">
        <v>44251</v>
      </c>
    </row>
    <row r="169" spans="1:4" x14ac:dyDescent="0.2">
      <c r="A169" s="5"/>
      <c r="B169" s="6" t="s">
        <v>694</v>
      </c>
      <c r="C169" s="6" t="s">
        <v>733</v>
      </c>
      <c r="D169" s="19"/>
    </row>
    <row r="170" spans="1:4" x14ac:dyDescent="0.2">
      <c r="A170" s="5"/>
      <c r="B170" s="6"/>
      <c r="C170" s="6"/>
      <c r="D170" s="19"/>
    </row>
    <row r="171" spans="1:4" x14ac:dyDescent="0.2">
      <c r="A171" s="8" t="s">
        <v>686</v>
      </c>
      <c r="B171" s="8" t="s">
        <v>687</v>
      </c>
      <c r="C171" s="8" t="s">
        <v>688</v>
      </c>
      <c r="D171" s="20">
        <v>44246</v>
      </c>
    </row>
    <row r="172" spans="1:4" x14ac:dyDescent="0.2">
      <c r="A172" s="5"/>
      <c r="B172" s="6" t="s">
        <v>689</v>
      </c>
      <c r="C172" s="6" t="s">
        <v>690</v>
      </c>
      <c r="D172" s="19"/>
    </row>
    <row r="173" spans="1:4" x14ac:dyDescent="0.2">
      <c r="A173" s="5"/>
      <c r="B173" s="6"/>
      <c r="C173" s="6" t="s">
        <v>691</v>
      </c>
      <c r="D173" s="19"/>
    </row>
    <row r="174" spans="1:4" x14ac:dyDescent="0.2">
      <c r="A174" s="5"/>
      <c r="B174" s="6"/>
      <c r="C174" s="6" t="s">
        <v>692</v>
      </c>
      <c r="D174" s="19"/>
    </row>
    <row r="175" spans="1:4" x14ac:dyDescent="0.2">
      <c r="A175" s="5"/>
      <c r="B175" s="5"/>
      <c r="C175" s="6" t="s">
        <v>693</v>
      </c>
      <c r="D175" s="19"/>
    </row>
    <row r="176" spans="1:4" x14ac:dyDescent="0.2">
      <c r="A176" s="5"/>
      <c r="B176" s="5"/>
      <c r="C176" s="6" t="s">
        <v>727</v>
      </c>
      <c r="D176" s="19"/>
    </row>
    <row r="177" spans="1:4" x14ac:dyDescent="0.2">
      <c r="A177" s="5"/>
      <c r="B177" s="6" t="s">
        <v>694</v>
      </c>
      <c r="C177" s="6" t="s">
        <v>695</v>
      </c>
      <c r="D177" s="19"/>
    </row>
    <row r="178" spans="1:4" x14ac:dyDescent="0.2">
      <c r="A178" s="6"/>
      <c r="B178" s="6"/>
      <c r="C178" s="6" t="s">
        <v>696</v>
      </c>
      <c r="D178" s="21"/>
    </row>
    <row r="179" spans="1:4" x14ac:dyDescent="0.2">
      <c r="A179" s="6"/>
      <c r="B179" s="6" t="s">
        <v>697</v>
      </c>
      <c r="C179" s="6" t="s">
        <v>695</v>
      </c>
      <c r="D179" s="21"/>
    </row>
    <row r="180" spans="1:4" x14ac:dyDescent="0.2">
      <c r="A180" s="6"/>
      <c r="B180" s="6"/>
      <c r="C180" s="6" t="s">
        <v>698</v>
      </c>
      <c r="D180" s="21"/>
    </row>
    <row r="181" spans="1:4" x14ac:dyDescent="0.2">
      <c r="A181" s="6"/>
      <c r="B181" s="6"/>
      <c r="C181" s="6" t="s">
        <v>699</v>
      </c>
      <c r="D181" s="21"/>
    </row>
    <row r="182" spans="1:4" x14ac:dyDescent="0.2">
      <c r="A182" s="6"/>
      <c r="B182" s="6" t="s">
        <v>532</v>
      </c>
      <c r="C182" s="6" t="s">
        <v>724</v>
      </c>
      <c r="D182" s="21"/>
    </row>
    <row r="183" spans="1:4" x14ac:dyDescent="0.2">
      <c r="A183" s="6"/>
      <c r="B183" s="6" t="s">
        <v>700</v>
      </c>
      <c r="C183" s="6" t="s">
        <v>701</v>
      </c>
      <c r="D183" s="22"/>
    </row>
    <row r="184" spans="1:4" x14ac:dyDescent="0.2">
      <c r="A184" s="6"/>
      <c r="B184" s="6"/>
      <c r="C184" s="6" t="s">
        <v>702</v>
      </c>
      <c r="D184" s="22"/>
    </row>
    <row r="185" spans="1:4" x14ac:dyDescent="0.2">
      <c r="A185" s="6"/>
      <c r="B185" s="6"/>
      <c r="C185" s="6" t="s">
        <v>703</v>
      </c>
      <c r="D185" s="22"/>
    </row>
    <row r="186" spans="1:4" x14ac:dyDescent="0.2">
      <c r="A186" s="6"/>
      <c r="B186" s="6" t="s">
        <v>723</v>
      </c>
      <c r="C186" s="6" t="s">
        <v>726</v>
      </c>
      <c r="D186" s="22"/>
    </row>
    <row r="187" spans="1:4" x14ac:dyDescent="0.2">
      <c r="A187" s="6"/>
      <c r="B187" s="6"/>
      <c r="C187" s="6" t="s">
        <v>731</v>
      </c>
      <c r="D187" s="22"/>
    </row>
    <row r="188" spans="1:4" x14ac:dyDescent="0.2">
      <c r="A188" s="6"/>
      <c r="B188" s="6" t="s">
        <v>556</v>
      </c>
      <c r="C188" s="6" t="s">
        <v>725</v>
      </c>
      <c r="D188" s="22"/>
    </row>
    <row r="189" spans="1:4" x14ac:dyDescent="0.2">
      <c r="A189" s="6"/>
      <c r="B189" s="6"/>
      <c r="C189" s="6"/>
      <c r="D189" s="21"/>
    </row>
    <row r="190" spans="1:4" x14ac:dyDescent="0.2">
      <c r="A190" s="8" t="s">
        <v>358</v>
      </c>
      <c r="B190" s="8" t="s">
        <v>704</v>
      </c>
      <c r="C190" s="8" t="s">
        <v>705</v>
      </c>
      <c r="D190" s="20">
        <v>44223</v>
      </c>
    </row>
    <row r="191" spans="1:4" x14ac:dyDescent="0.2">
      <c r="A191" s="6"/>
      <c r="B191" s="6" t="s">
        <v>706</v>
      </c>
      <c r="C191" s="6" t="s">
        <v>707</v>
      </c>
      <c r="D191" s="22"/>
    </row>
    <row r="192" spans="1:4" x14ac:dyDescent="0.2">
      <c r="A192" s="6"/>
      <c r="B192" s="6" t="s">
        <v>532</v>
      </c>
      <c r="C192" s="6" t="s">
        <v>708</v>
      </c>
      <c r="D192" s="22"/>
    </row>
    <row r="193" spans="1:4" x14ac:dyDescent="0.2">
      <c r="A193" s="6"/>
      <c r="B193" s="6" t="s">
        <v>709</v>
      </c>
      <c r="C193" s="6" t="s">
        <v>710</v>
      </c>
      <c r="D193" s="21"/>
    </row>
    <row r="194" spans="1:4" x14ac:dyDescent="0.2">
      <c r="A194" s="8"/>
      <c r="B194" s="8"/>
      <c r="C194" s="8"/>
      <c r="D194" s="23"/>
    </row>
    <row r="195" spans="1:4" x14ac:dyDescent="0.2">
      <c r="A195" s="8" t="s">
        <v>358</v>
      </c>
      <c r="B195" s="8" t="s">
        <v>711</v>
      </c>
      <c r="C195" s="8" t="s">
        <v>712</v>
      </c>
      <c r="D195" s="20">
        <v>44216</v>
      </c>
    </row>
    <row r="196" spans="1:4" x14ac:dyDescent="0.2">
      <c r="A196" s="8"/>
      <c r="B196" s="6" t="s">
        <v>532</v>
      </c>
      <c r="C196" s="6" t="s">
        <v>713</v>
      </c>
      <c r="D196" s="20"/>
    </row>
    <row r="197" spans="1:4" x14ac:dyDescent="0.2">
      <c r="A197" s="6"/>
      <c r="B197" s="6" t="s">
        <v>700</v>
      </c>
      <c r="C197" s="6" t="s">
        <v>714</v>
      </c>
      <c r="D197" s="22"/>
    </row>
    <row r="198" spans="1:4" x14ac:dyDescent="0.2">
      <c r="A198" s="6"/>
      <c r="B198" s="6"/>
      <c r="C198" s="6" t="s">
        <v>715</v>
      </c>
      <c r="D198" s="22"/>
    </row>
    <row r="199" spans="1:4" x14ac:dyDescent="0.2">
      <c r="A199" s="6"/>
      <c r="B199" s="6"/>
      <c r="C199" s="6" t="s">
        <v>716</v>
      </c>
      <c r="D199" s="21"/>
    </row>
    <row r="200" spans="1:4" x14ac:dyDescent="0.2">
      <c r="A200" s="6"/>
      <c r="B200" s="6"/>
      <c r="C200" s="6"/>
      <c r="D200" s="21"/>
    </row>
    <row r="201" spans="1:4" x14ac:dyDescent="0.2">
      <c r="A201" s="8" t="s">
        <v>358</v>
      </c>
      <c r="B201" s="8" t="s">
        <v>717</v>
      </c>
      <c r="C201" s="8" t="s">
        <v>718</v>
      </c>
      <c r="D201" s="20">
        <v>44187</v>
      </c>
    </row>
    <row r="202" spans="1:4" x14ac:dyDescent="0.2">
      <c r="A202" s="6"/>
      <c r="B202" s="6" t="s">
        <v>700</v>
      </c>
      <c r="C202" s="11" t="s">
        <v>719</v>
      </c>
      <c r="D202" s="22"/>
    </row>
    <row r="203" spans="1:4" x14ac:dyDescent="0.2">
      <c r="A203" s="6"/>
      <c r="B203" s="6"/>
      <c r="C203" s="6" t="s">
        <v>720</v>
      </c>
      <c r="D203" s="22"/>
    </row>
    <row r="204" spans="1:4" x14ac:dyDescent="0.2">
      <c r="A204" s="6"/>
      <c r="B204" s="6"/>
      <c r="C204" s="6" t="s">
        <v>721</v>
      </c>
      <c r="D204" s="21"/>
    </row>
    <row r="205" spans="1:4" x14ac:dyDescent="0.2">
      <c r="A205" s="5"/>
      <c r="B205" s="5" t="s">
        <v>532</v>
      </c>
      <c r="C205" s="6" t="s">
        <v>722</v>
      </c>
      <c r="D205" s="19"/>
    </row>
    <row r="206" spans="1:4" x14ac:dyDescent="0.2">
      <c r="A206" s="6"/>
      <c r="B206" s="6"/>
      <c r="C206" s="6"/>
      <c r="D206" s="21"/>
    </row>
    <row r="207" spans="1:4" x14ac:dyDescent="0.2">
      <c r="A207" s="8" t="s">
        <v>364</v>
      </c>
      <c r="B207" s="8" t="s">
        <v>664</v>
      </c>
      <c r="C207" s="8" t="s">
        <v>665</v>
      </c>
      <c r="D207" s="20">
        <v>44186</v>
      </c>
    </row>
    <row r="208" spans="1:4" x14ac:dyDescent="0.2">
      <c r="A208" s="5"/>
      <c r="B208" s="5"/>
      <c r="C208" s="6" t="s">
        <v>666</v>
      </c>
      <c r="D208" s="19"/>
    </row>
    <row r="209" spans="1:4" x14ac:dyDescent="0.2">
      <c r="A209" s="5"/>
      <c r="B209" s="6" t="s">
        <v>667</v>
      </c>
      <c r="C209" s="6" t="s">
        <v>668</v>
      </c>
      <c r="D209" s="19"/>
    </row>
    <row r="210" spans="1:4" x14ac:dyDescent="0.2">
      <c r="A210" s="5"/>
      <c r="B210" s="5"/>
      <c r="C210" s="6" t="s">
        <v>669</v>
      </c>
      <c r="D210" s="19"/>
    </row>
    <row r="211" spans="1:4" x14ac:dyDescent="0.2">
      <c r="A211" s="5"/>
      <c r="B211" s="6" t="s">
        <v>670</v>
      </c>
      <c r="C211" s="6" t="s">
        <v>671</v>
      </c>
      <c r="D211" s="19"/>
    </row>
    <row r="212" spans="1:4" x14ac:dyDescent="0.2">
      <c r="A212" s="5"/>
      <c r="B212" s="6" t="s">
        <v>675</v>
      </c>
      <c r="C212" s="6" t="s">
        <v>676</v>
      </c>
      <c r="D212" s="19"/>
    </row>
    <row r="213" spans="1:4" x14ac:dyDescent="0.2">
      <c r="A213" s="5"/>
      <c r="B213" s="5"/>
      <c r="C213" s="6" t="s">
        <v>677</v>
      </c>
      <c r="D213" s="19"/>
    </row>
    <row r="214" spans="1:4" x14ac:dyDescent="0.2">
      <c r="A214" s="5"/>
      <c r="B214" s="6" t="s">
        <v>672</v>
      </c>
      <c r="C214" s="6" t="s">
        <v>673</v>
      </c>
      <c r="D214" s="19"/>
    </row>
    <row r="215" spans="1:4" x14ac:dyDescent="0.2">
      <c r="A215" s="5"/>
      <c r="B215" s="5"/>
      <c r="C215" s="6" t="s">
        <v>674</v>
      </c>
      <c r="D215" s="19"/>
    </row>
    <row r="216" spans="1:4" x14ac:dyDescent="0.2">
      <c r="A216" s="5"/>
      <c r="B216" s="5"/>
      <c r="C216" s="6"/>
      <c r="D216" s="19"/>
    </row>
    <row r="217" spans="1:4" x14ac:dyDescent="0.2">
      <c r="A217" s="8" t="s">
        <v>344</v>
      </c>
      <c r="B217" s="8" t="s">
        <v>657</v>
      </c>
      <c r="C217" s="8" t="s">
        <v>658</v>
      </c>
      <c r="D217" s="23" t="s">
        <v>660</v>
      </c>
    </row>
    <row r="218" spans="1:4" x14ac:dyDescent="0.2">
      <c r="A218" s="5"/>
      <c r="B218" s="5" t="s">
        <v>655</v>
      </c>
      <c r="C218" s="5" t="s">
        <v>656</v>
      </c>
      <c r="D218" s="19"/>
    </row>
    <row r="219" spans="1:4" x14ac:dyDescent="0.2">
      <c r="A219" s="5"/>
      <c r="B219" s="5" t="s">
        <v>54</v>
      </c>
      <c r="C219" s="5" t="s">
        <v>659</v>
      </c>
      <c r="D219" s="19"/>
    </row>
    <row r="220" spans="1:4" x14ac:dyDescent="0.2">
      <c r="A220" s="5"/>
      <c r="B220" s="5"/>
      <c r="C220" s="5"/>
      <c r="D220" s="19"/>
    </row>
    <row r="221" spans="1:4" x14ac:dyDescent="0.2">
      <c r="A221" s="8" t="s">
        <v>364</v>
      </c>
      <c r="B221" s="8" t="s">
        <v>645</v>
      </c>
      <c r="C221" s="8" t="s">
        <v>646</v>
      </c>
      <c r="D221" s="20">
        <v>44175</v>
      </c>
    </row>
    <row r="222" spans="1:4" x14ac:dyDescent="0.2">
      <c r="A222" s="5"/>
      <c r="B222" s="5"/>
      <c r="C222" s="6" t="s">
        <v>648</v>
      </c>
      <c r="D222" s="19"/>
    </row>
    <row r="223" spans="1:4" x14ac:dyDescent="0.2">
      <c r="A223" s="5"/>
      <c r="B223" s="5"/>
      <c r="C223" s="6" t="s">
        <v>649</v>
      </c>
      <c r="D223" s="19"/>
    </row>
    <row r="224" spans="1:4" x14ac:dyDescent="0.2">
      <c r="A224" s="5"/>
      <c r="B224" s="5"/>
      <c r="C224" s="6" t="s">
        <v>651</v>
      </c>
      <c r="D224" s="19"/>
    </row>
    <row r="225" spans="1:4" x14ac:dyDescent="0.2">
      <c r="A225" s="5"/>
      <c r="B225" s="6" t="s">
        <v>641</v>
      </c>
      <c r="C225" s="6" t="s">
        <v>647</v>
      </c>
      <c r="D225" s="19"/>
    </row>
    <row r="226" spans="1:4" x14ac:dyDescent="0.2">
      <c r="A226" s="5"/>
      <c r="B226" s="5"/>
      <c r="C226" s="6" t="s">
        <v>650</v>
      </c>
      <c r="D226" s="19"/>
    </row>
    <row r="227" spans="1:4" x14ac:dyDescent="0.2">
      <c r="A227" s="5"/>
      <c r="B227" s="6" t="s">
        <v>652</v>
      </c>
      <c r="C227" s="6" t="s">
        <v>653</v>
      </c>
      <c r="D227" s="19"/>
    </row>
    <row r="228" spans="1:4" x14ac:dyDescent="0.2">
      <c r="A228" s="5"/>
      <c r="B228" s="5"/>
      <c r="C228" s="6" t="s">
        <v>654</v>
      </c>
      <c r="D228" s="19"/>
    </row>
    <row r="229" spans="1:4" x14ac:dyDescent="0.2">
      <c r="A229" s="8" t="s">
        <v>364</v>
      </c>
      <c r="B229" s="8" t="s">
        <v>629</v>
      </c>
      <c r="C229" s="8" t="s">
        <v>630</v>
      </c>
      <c r="D229" s="20">
        <v>44174</v>
      </c>
    </row>
    <row r="230" spans="1:4" x14ac:dyDescent="0.2">
      <c r="A230" s="5"/>
      <c r="B230" s="5"/>
      <c r="C230" s="6" t="s">
        <v>631</v>
      </c>
      <c r="D230" s="19"/>
    </row>
    <row r="231" spans="1:4" x14ac:dyDescent="0.2">
      <c r="A231" s="5"/>
      <c r="B231" s="5"/>
      <c r="C231" s="6" t="s">
        <v>632</v>
      </c>
      <c r="D231" s="19"/>
    </row>
    <row r="232" spans="1:4" x14ac:dyDescent="0.2">
      <c r="A232" s="5"/>
      <c r="B232" s="5"/>
      <c r="C232" s="6" t="s">
        <v>633</v>
      </c>
      <c r="D232" s="19"/>
    </row>
    <row r="233" spans="1:4" x14ac:dyDescent="0.2">
      <c r="A233" s="5"/>
      <c r="B233" s="6" t="s">
        <v>634</v>
      </c>
      <c r="C233" s="6" t="s">
        <v>635</v>
      </c>
      <c r="D233" s="19"/>
    </row>
    <row r="234" spans="1:4" x14ac:dyDescent="0.2">
      <c r="A234" s="5"/>
      <c r="B234" s="5"/>
      <c r="C234" s="6" t="s">
        <v>636</v>
      </c>
      <c r="D234" s="19"/>
    </row>
    <row r="235" spans="1:4" x14ac:dyDescent="0.2">
      <c r="A235" s="5"/>
      <c r="B235" s="5"/>
      <c r="C235" s="6" t="s">
        <v>637</v>
      </c>
      <c r="D235" s="19"/>
    </row>
    <row r="236" spans="1:4" x14ac:dyDescent="0.2">
      <c r="A236" s="5"/>
      <c r="B236" s="5"/>
      <c r="C236" s="6" t="s">
        <v>638</v>
      </c>
      <c r="D236" s="19"/>
    </row>
    <row r="237" spans="1:4" x14ac:dyDescent="0.2">
      <c r="A237" s="5"/>
      <c r="B237" s="5"/>
      <c r="C237" s="6"/>
      <c r="D237" s="19"/>
    </row>
    <row r="238" spans="1:4" x14ac:dyDescent="0.2">
      <c r="A238" s="8" t="s">
        <v>364</v>
      </c>
      <c r="B238" s="8" t="s">
        <v>611</v>
      </c>
      <c r="C238" s="8" t="s">
        <v>612</v>
      </c>
      <c r="D238" s="20">
        <v>44173</v>
      </c>
    </row>
    <row r="239" spans="1:4" x14ac:dyDescent="0.2">
      <c r="A239" s="5"/>
      <c r="B239" s="6" t="s">
        <v>613</v>
      </c>
      <c r="C239" s="6" t="s">
        <v>614</v>
      </c>
      <c r="D239" s="19"/>
    </row>
    <row r="240" spans="1:4" x14ac:dyDescent="0.2">
      <c r="A240" s="5"/>
      <c r="B240" s="5"/>
      <c r="C240" s="6" t="s">
        <v>615</v>
      </c>
      <c r="D240" s="19"/>
    </row>
    <row r="241" spans="1:4" x14ac:dyDescent="0.2">
      <c r="A241" s="5"/>
      <c r="B241" s="5"/>
      <c r="C241" s="6" t="s">
        <v>616</v>
      </c>
      <c r="D241" s="19"/>
    </row>
    <row r="242" spans="1:4" x14ac:dyDescent="0.2">
      <c r="A242" s="5"/>
      <c r="B242" s="5"/>
      <c r="C242" s="6" t="s">
        <v>617</v>
      </c>
      <c r="D242" s="19"/>
    </row>
    <row r="243" spans="1:4" x14ac:dyDescent="0.2">
      <c r="A243" s="5"/>
      <c r="B243" s="5"/>
      <c r="C243" s="6" t="s">
        <v>624</v>
      </c>
      <c r="D243" s="19"/>
    </row>
    <row r="244" spans="1:4" x14ac:dyDescent="0.2">
      <c r="A244" s="5"/>
      <c r="B244" s="6" t="s">
        <v>618</v>
      </c>
      <c r="C244" s="6" t="s">
        <v>619</v>
      </c>
      <c r="D244" s="19"/>
    </row>
    <row r="245" spans="1:4" x14ac:dyDescent="0.2">
      <c r="A245" s="5"/>
      <c r="B245" s="6" t="s">
        <v>560</v>
      </c>
      <c r="C245" s="6" t="s">
        <v>620</v>
      </c>
      <c r="D245" s="19"/>
    </row>
    <row r="246" spans="1:4" x14ac:dyDescent="0.2">
      <c r="A246" s="5"/>
      <c r="B246" s="5"/>
      <c r="C246" s="6" t="s">
        <v>621</v>
      </c>
      <c r="D246" s="19"/>
    </row>
    <row r="247" spans="1:4" x14ac:dyDescent="0.2">
      <c r="A247" s="5"/>
      <c r="B247" s="6" t="s">
        <v>622</v>
      </c>
      <c r="C247" s="6" t="s">
        <v>623</v>
      </c>
      <c r="D247" s="19"/>
    </row>
    <row r="248" spans="1:4" x14ac:dyDescent="0.2">
      <c r="A248" s="5"/>
      <c r="B248" s="6" t="s">
        <v>755</v>
      </c>
      <c r="C248" s="6" t="s">
        <v>625</v>
      </c>
      <c r="D248" s="19"/>
    </row>
    <row r="249" spans="1:4" x14ac:dyDescent="0.2">
      <c r="A249" s="5"/>
      <c r="B249" s="6" t="s">
        <v>626</v>
      </c>
      <c r="C249" s="6" t="s">
        <v>627</v>
      </c>
      <c r="D249" s="19"/>
    </row>
    <row r="250" spans="1:4" x14ac:dyDescent="0.2">
      <c r="A250" s="5"/>
      <c r="B250" s="6"/>
      <c r="C250" s="6"/>
      <c r="D250" s="19"/>
    </row>
    <row r="251" spans="1:4" x14ac:dyDescent="0.2">
      <c r="A251" s="8" t="s">
        <v>364</v>
      </c>
      <c r="B251" s="8" t="s">
        <v>560</v>
      </c>
      <c r="C251" s="8" t="s">
        <v>586</v>
      </c>
      <c r="D251" s="20">
        <v>44165</v>
      </c>
    </row>
    <row r="252" spans="1:4" x14ac:dyDescent="0.2">
      <c r="A252" s="5"/>
      <c r="B252" s="5"/>
      <c r="C252" s="6" t="s">
        <v>587</v>
      </c>
      <c r="D252" s="19"/>
    </row>
    <row r="253" spans="1:4" x14ac:dyDescent="0.2">
      <c r="A253" s="5"/>
      <c r="B253" s="6" t="s">
        <v>54</v>
      </c>
      <c r="C253" s="6" t="s">
        <v>588</v>
      </c>
      <c r="D253" s="19"/>
    </row>
    <row r="254" spans="1:4" x14ac:dyDescent="0.2">
      <c r="A254" s="5"/>
      <c r="B254" s="6" t="s">
        <v>281</v>
      </c>
      <c r="C254" s="6" t="s">
        <v>589</v>
      </c>
      <c r="D254" s="19"/>
    </row>
    <row r="255" spans="1:4" x14ac:dyDescent="0.2">
      <c r="A255" s="5"/>
      <c r="B255" s="5"/>
      <c r="C255" s="6" t="s">
        <v>590</v>
      </c>
      <c r="D255" s="19"/>
    </row>
    <row r="256" spans="1:4" x14ac:dyDescent="0.2">
      <c r="A256" s="5"/>
      <c r="B256" s="5"/>
      <c r="C256" s="6" t="s">
        <v>591</v>
      </c>
      <c r="D256" s="19"/>
    </row>
    <row r="257" spans="1:4" x14ac:dyDescent="0.2">
      <c r="A257" s="5"/>
      <c r="B257" s="5"/>
      <c r="C257" s="6" t="s">
        <v>592</v>
      </c>
      <c r="D257" s="19"/>
    </row>
    <row r="258" spans="1:4" x14ac:dyDescent="0.2">
      <c r="A258" s="5"/>
      <c r="B258" s="5"/>
      <c r="C258" s="6" t="s">
        <v>593</v>
      </c>
      <c r="D258" s="19"/>
    </row>
    <row r="259" spans="1:4" x14ac:dyDescent="0.2">
      <c r="A259" s="5"/>
      <c r="B259" s="5"/>
      <c r="C259" s="6" t="s">
        <v>600</v>
      </c>
      <c r="D259" s="19"/>
    </row>
    <row r="260" spans="1:4" x14ac:dyDescent="0.2">
      <c r="A260" s="5"/>
      <c r="B260" s="6" t="s">
        <v>594</v>
      </c>
      <c r="C260" s="6" t="s">
        <v>595</v>
      </c>
      <c r="D260" s="19"/>
    </row>
    <row r="261" spans="1:4" x14ac:dyDescent="0.2">
      <c r="A261" s="5"/>
      <c r="B261" s="6" t="s">
        <v>551</v>
      </c>
      <c r="C261" s="6" t="s">
        <v>596</v>
      </c>
      <c r="D261" s="19"/>
    </row>
    <row r="262" spans="1:4" x14ac:dyDescent="0.2">
      <c r="A262" s="5"/>
      <c r="B262" s="6" t="s">
        <v>406</v>
      </c>
      <c r="C262" s="6" t="s">
        <v>597</v>
      </c>
      <c r="D262" s="19"/>
    </row>
    <row r="263" spans="1:4" x14ac:dyDescent="0.2">
      <c r="A263" s="5"/>
      <c r="B263" s="6" t="s">
        <v>598</v>
      </c>
      <c r="C263" s="6" t="s">
        <v>599</v>
      </c>
      <c r="D263" s="19"/>
    </row>
    <row r="264" spans="1:4" x14ac:dyDescent="0.2">
      <c r="A264" s="5"/>
      <c r="B264" s="6"/>
      <c r="C264" s="6"/>
      <c r="D264" s="19"/>
    </row>
    <row r="265" spans="1:4" x14ac:dyDescent="0.2">
      <c r="A265" s="8" t="s">
        <v>364</v>
      </c>
      <c r="B265" s="8" t="s">
        <v>560</v>
      </c>
      <c r="C265" s="8" t="s">
        <v>561</v>
      </c>
      <c r="D265" s="20">
        <v>44154</v>
      </c>
    </row>
    <row r="266" spans="1:4" x14ac:dyDescent="0.2">
      <c r="A266" s="5"/>
      <c r="B266" s="5"/>
      <c r="C266" s="6" t="s">
        <v>562</v>
      </c>
      <c r="D266" s="19"/>
    </row>
    <row r="267" spans="1:4" x14ac:dyDescent="0.2">
      <c r="A267" s="5"/>
      <c r="B267" s="5"/>
      <c r="C267" s="6" t="s">
        <v>563</v>
      </c>
      <c r="D267" s="19"/>
    </row>
    <row r="268" spans="1:4" x14ac:dyDescent="0.2">
      <c r="A268" s="5"/>
      <c r="B268" s="6" t="s">
        <v>564</v>
      </c>
      <c r="C268" s="6" t="s">
        <v>565</v>
      </c>
      <c r="D268" s="19"/>
    </row>
    <row r="269" spans="1:4" x14ac:dyDescent="0.2">
      <c r="A269" s="5"/>
      <c r="B269" s="5"/>
      <c r="C269" s="6" t="s">
        <v>566</v>
      </c>
      <c r="D269" s="19"/>
    </row>
    <row r="270" spans="1:4" x14ac:dyDescent="0.2">
      <c r="A270" s="5"/>
      <c r="B270" s="6" t="s">
        <v>567</v>
      </c>
      <c r="C270" s="6" t="s">
        <v>568</v>
      </c>
      <c r="D270" s="19"/>
    </row>
    <row r="271" spans="1:4" x14ac:dyDescent="0.2">
      <c r="A271" s="5"/>
      <c r="B271" s="6" t="s">
        <v>569</v>
      </c>
      <c r="C271" s="6" t="s">
        <v>570</v>
      </c>
      <c r="D271" s="19"/>
    </row>
    <row r="272" spans="1:4" x14ac:dyDescent="0.2">
      <c r="A272" s="8" t="s">
        <v>358</v>
      </c>
      <c r="B272" s="8" t="s">
        <v>520</v>
      </c>
      <c r="C272" s="8" t="s">
        <v>558</v>
      </c>
      <c r="D272" s="20">
        <v>44154</v>
      </c>
    </row>
    <row r="273" spans="1:4" ht="25.5" x14ac:dyDescent="0.2">
      <c r="A273" s="5"/>
      <c r="B273" s="6" t="s">
        <v>531</v>
      </c>
      <c r="C273" s="7" t="s">
        <v>555</v>
      </c>
      <c r="D273" s="19"/>
    </row>
    <row r="274" spans="1:4" x14ac:dyDescent="0.2">
      <c r="A274" s="5"/>
      <c r="B274" s="6" t="s">
        <v>532</v>
      </c>
      <c r="C274" s="6" t="s">
        <v>559</v>
      </c>
      <c r="D274" s="19"/>
    </row>
    <row r="275" spans="1:4" x14ac:dyDescent="0.2">
      <c r="A275" s="5"/>
      <c r="B275" s="6" t="s">
        <v>556</v>
      </c>
      <c r="C275" s="6" t="s">
        <v>557</v>
      </c>
      <c r="D275" s="19"/>
    </row>
    <row r="276" spans="1:4" x14ac:dyDescent="0.2">
      <c r="A276" s="5"/>
      <c r="B276" s="5"/>
      <c r="C276" s="5"/>
      <c r="D276" s="19"/>
    </row>
    <row r="277" spans="1:4" x14ac:dyDescent="0.2">
      <c r="A277" s="8" t="s">
        <v>364</v>
      </c>
      <c r="B277" s="8" t="s">
        <v>538</v>
      </c>
      <c r="C277" s="8" t="s">
        <v>539</v>
      </c>
      <c r="D277" s="20">
        <v>44153</v>
      </c>
    </row>
    <row r="278" spans="1:4" x14ac:dyDescent="0.2">
      <c r="A278" s="5"/>
      <c r="B278" s="5"/>
      <c r="C278" s="6" t="s">
        <v>544</v>
      </c>
      <c r="D278" s="19"/>
    </row>
    <row r="279" spans="1:4" x14ac:dyDescent="0.2">
      <c r="A279" s="5"/>
      <c r="B279" s="6" t="s">
        <v>22</v>
      </c>
      <c r="C279" s="6" t="s">
        <v>540</v>
      </c>
      <c r="D279" s="19"/>
    </row>
    <row r="280" spans="1:4" x14ac:dyDescent="0.2">
      <c r="A280" s="5"/>
      <c r="B280" s="5"/>
      <c r="C280" s="6" t="s">
        <v>542</v>
      </c>
      <c r="D280" s="19"/>
    </row>
    <row r="281" spans="1:4" x14ac:dyDescent="0.2">
      <c r="A281" s="5"/>
      <c r="B281" s="5"/>
      <c r="C281" s="6" t="s">
        <v>541</v>
      </c>
      <c r="D281" s="19"/>
    </row>
    <row r="282" spans="1:4" x14ac:dyDescent="0.2">
      <c r="A282" s="5"/>
      <c r="B282" s="6" t="s">
        <v>54</v>
      </c>
      <c r="C282" s="6" t="s">
        <v>543</v>
      </c>
      <c r="D282" s="19"/>
    </row>
    <row r="283" spans="1:4" x14ac:dyDescent="0.2">
      <c r="A283" s="5"/>
      <c r="B283" s="6" t="s">
        <v>545</v>
      </c>
      <c r="C283" s="6" t="s">
        <v>546</v>
      </c>
      <c r="D283" s="19"/>
    </row>
    <row r="284" spans="1:4" x14ac:dyDescent="0.2">
      <c r="A284" s="8" t="s">
        <v>358</v>
      </c>
      <c r="B284" s="8" t="s">
        <v>520</v>
      </c>
      <c r="C284" s="8" t="s">
        <v>554</v>
      </c>
      <c r="D284" s="20">
        <v>44153</v>
      </c>
    </row>
    <row r="285" spans="1:4" x14ac:dyDescent="0.2">
      <c r="A285" s="5"/>
      <c r="B285" s="6"/>
      <c r="C285" s="7" t="s">
        <v>798</v>
      </c>
      <c r="D285" s="19"/>
    </row>
    <row r="286" spans="1:4" x14ac:dyDescent="0.2">
      <c r="A286" s="5"/>
      <c r="B286" s="6" t="s">
        <v>532</v>
      </c>
      <c r="C286" s="7" t="s">
        <v>533</v>
      </c>
      <c r="D286" s="19"/>
    </row>
    <row r="287" spans="1:4" ht="38.25" x14ac:dyDescent="0.2">
      <c r="A287" s="5"/>
      <c r="B287" s="6" t="s">
        <v>527</v>
      </c>
      <c r="C287" s="9" t="s">
        <v>530</v>
      </c>
      <c r="D287" s="19"/>
    </row>
    <row r="288" spans="1:4" ht="25.5" x14ac:dyDescent="0.2">
      <c r="A288" s="5"/>
      <c r="B288" s="6" t="s">
        <v>531</v>
      </c>
      <c r="C288" s="7" t="s">
        <v>529</v>
      </c>
      <c r="D288" s="19"/>
    </row>
    <row r="289" spans="1:4" x14ac:dyDescent="0.2">
      <c r="A289" s="5"/>
      <c r="B289" s="6" t="s">
        <v>528</v>
      </c>
      <c r="C289" s="7" t="s">
        <v>534</v>
      </c>
      <c r="D289" s="19"/>
    </row>
    <row r="290" spans="1:4" x14ac:dyDescent="0.2">
      <c r="A290" s="5"/>
      <c r="B290" s="6"/>
      <c r="C290" s="6"/>
      <c r="D290" s="19"/>
    </row>
    <row r="291" spans="1:4" x14ac:dyDescent="0.2">
      <c r="A291" s="8" t="s">
        <v>364</v>
      </c>
      <c r="B291" s="8" t="s">
        <v>266</v>
      </c>
      <c r="C291" s="8" t="s">
        <v>500</v>
      </c>
      <c r="D291" s="20">
        <v>44152</v>
      </c>
    </row>
    <row r="292" spans="1:4" x14ac:dyDescent="0.2">
      <c r="A292" s="5"/>
      <c r="B292" s="5"/>
      <c r="C292" s="6" t="s">
        <v>501</v>
      </c>
      <c r="D292" s="19"/>
    </row>
    <row r="293" spans="1:4" x14ac:dyDescent="0.2">
      <c r="A293" s="5"/>
      <c r="B293" s="5"/>
      <c r="C293" s="6" t="s">
        <v>502</v>
      </c>
      <c r="D293" s="19"/>
    </row>
    <row r="294" spans="1:4" x14ac:dyDescent="0.2">
      <c r="A294" s="5"/>
      <c r="B294" s="6" t="s">
        <v>351</v>
      </c>
      <c r="C294" s="6" t="s">
        <v>514</v>
      </c>
      <c r="D294" s="19"/>
    </row>
    <row r="295" spans="1:4" x14ac:dyDescent="0.2">
      <c r="A295" s="5"/>
      <c r="B295" s="6" t="s">
        <v>483</v>
      </c>
      <c r="C295" s="6" t="s">
        <v>503</v>
      </c>
      <c r="D295" s="19"/>
    </row>
    <row r="296" spans="1:4" x14ac:dyDescent="0.2">
      <c r="A296" s="5"/>
      <c r="B296" s="5"/>
      <c r="C296" s="6" t="s">
        <v>504</v>
      </c>
      <c r="D296" s="19"/>
    </row>
    <row r="297" spans="1:4" x14ac:dyDescent="0.2">
      <c r="A297" s="5"/>
      <c r="B297" s="6" t="s">
        <v>404</v>
      </c>
      <c r="C297" s="6" t="s">
        <v>505</v>
      </c>
      <c r="D297" s="19"/>
    </row>
    <row r="298" spans="1:4" x14ac:dyDescent="0.2">
      <c r="A298" s="5"/>
      <c r="B298" s="5"/>
      <c r="C298" s="6" t="s">
        <v>506</v>
      </c>
      <c r="D298" s="19"/>
    </row>
    <row r="299" spans="1:4" x14ac:dyDescent="0.2">
      <c r="A299" s="5"/>
      <c r="B299" s="5"/>
      <c r="C299" s="6" t="s">
        <v>507</v>
      </c>
      <c r="D299" s="19"/>
    </row>
    <row r="300" spans="1:4" x14ac:dyDescent="0.2">
      <c r="A300" s="5"/>
      <c r="B300" s="6" t="s">
        <v>508</v>
      </c>
      <c r="C300" s="6" t="s">
        <v>509</v>
      </c>
      <c r="D300" s="19"/>
    </row>
    <row r="301" spans="1:4" x14ac:dyDescent="0.2">
      <c r="A301" s="5"/>
      <c r="B301" s="6" t="s">
        <v>511</v>
      </c>
      <c r="C301" s="6" t="s">
        <v>510</v>
      </c>
      <c r="D301" s="19"/>
    </row>
    <row r="302" spans="1:4" x14ac:dyDescent="0.2">
      <c r="A302" s="8" t="s">
        <v>358</v>
      </c>
      <c r="B302" s="8" t="s">
        <v>523</v>
      </c>
      <c r="C302" s="8" t="s">
        <v>526</v>
      </c>
      <c r="D302" s="20">
        <v>44152</v>
      </c>
    </row>
    <row r="303" spans="1:4" x14ac:dyDescent="0.2">
      <c r="A303" s="5"/>
      <c r="B303" s="6" t="s">
        <v>524</v>
      </c>
      <c r="C303" s="6" t="s">
        <v>525</v>
      </c>
      <c r="D303" s="19"/>
    </row>
    <row r="304" spans="1:4" x14ac:dyDescent="0.2">
      <c r="A304" s="5"/>
      <c r="B304" s="6"/>
      <c r="C304" s="6"/>
      <c r="D304" s="19"/>
    </row>
    <row r="305" spans="1:4" x14ac:dyDescent="0.2">
      <c r="A305" s="8" t="s">
        <v>364</v>
      </c>
      <c r="B305" s="8" t="s">
        <v>461</v>
      </c>
      <c r="C305" s="8" t="s">
        <v>482</v>
      </c>
      <c r="D305" s="20">
        <v>44151</v>
      </c>
    </row>
    <row r="306" spans="1:4" x14ac:dyDescent="0.2">
      <c r="A306" s="5"/>
      <c r="B306" s="6" t="s">
        <v>483</v>
      </c>
      <c r="C306" s="6" t="s">
        <v>484</v>
      </c>
      <c r="D306" s="19"/>
    </row>
    <row r="307" spans="1:4" x14ac:dyDescent="0.2">
      <c r="A307" s="5"/>
      <c r="B307" s="5"/>
      <c r="C307" s="6" t="s">
        <v>485</v>
      </c>
      <c r="D307" s="19"/>
    </row>
    <row r="308" spans="1:4" x14ac:dyDescent="0.2">
      <c r="A308" s="5"/>
      <c r="B308" s="5"/>
      <c r="C308" s="6" t="s">
        <v>486</v>
      </c>
      <c r="D308" s="19"/>
    </row>
    <row r="309" spans="1:4" x14ac:dyDescent="0.2">
      <c r="A309" s="5"/>
      <c r="B309" s="6" t="s">
        <v>266</v>
      </c>
      <c r="C309" s="6" t="s">
        <v>494</v>
      </c>
      <c r="D309" s="19"/>
    </row>
    <row r="310" spans="1:4" x14ac:dyDescent="0.2">
      <c r="A310" s="5"/>
      <c r="B310" s="5"/>
      <c r="C310" s="6" t="s">
        <v>495</v>
      </c>
      <c r="D310" s="19"/>
    </row>
    <row r="311" spans="1:4" x14ac:dyDescent="0.2">
      <c r="A311" s="5"/>
      <c r="B311" s="6" t="s">
        <v>490</v>
      </c>
      <c r="C311" s="6" t="s">
        <v>493</v>
      </c>
      <c r="D311" s="19"/>
    </row>
    <row r="312" spans="1:4" x14ac:dyDescent="0.2">
      <c r="A312" s="5"/>
      <c r="B312" s="8" t="s">
        <v>491</v>
      </c>
      <c r="C312" s="6" t="s">
        <v>492</v>
      </c>
      <c r="D312" s="19"/>
    </row>
    <row r="313" spans="1:4" x14ac:dyDescent="0.2">
      <c r="A313" s="5"/>
      <c r="B313" s="5"/>
      <c r="C313" s="6" t="s">
        <v>487</v>
      </c>
      <c r="D313" s="19"/>
    </row>
    <row r="314" spans="1:4" x14ac:dyDescent="0.2">
      <c r="A314" s="5"/>
      <c r="B314" s="5"/>
      <c r="C314" s="6" t="s">
        <v>488</v>
      </c>
      <c r="D314" s="19"/>
    </row>
    <row r="315" spans="1:4" x14ac:dyDescent="0.2">
      <c r="A315" s="5"/>
      <c r="B315" s="5"/>
      <c r="C315" s="6" t="s">
        <v>489</v>
      </c>
      <c r="D315" s="19"/>
    </row>
    <row r="316" spans="1:4" x14ac:dyDescent="0.2">
      <c r="A316" s="8" t="s">
        <v>358</v>
      </c>
      <c r="B316" s="8" t="s">
        <v>475</v>
      </c>
      <c r="C316" s="8" t="s">
        <v>521</v>
      </c>
      <c r="D316" s="20">
        <v>44151</v>
      </c>
    </row>
    <row r="317" spans="1:4" x14ac:dyDescent="0.2">
      <c r="A317" s="5"/>
      <c r="B317" s="6"/>
      <c r="C317" s="6" t="s">
        <v>522</v>
      </c>
      <c r="D317" s="19"/>
    </row>
    <row r="318" spans="1:4" x14ac:dyDescent="0.2">
      <c r="A318" s="5"/>
      <c r="B318" s="6"/>
      <c r="C318" s="6"/>
      <c r="D318" s="19"/>
    </row>
    <row r="319" spans="1:4" x14ac:dyDescent="0.2">
      <c r="A319" s="8" t="s">
        <v>358</v>
      </c>
      <c r="B319" s="8" t="s">
        <v>475</v>
      </c>
      <c r="C319" s="8" t="s">
        <v>476</v>
      </c>
      <c r="D319" s="20">
        <v>44148</v>
      </c>
    </row>
    <row r="320" spans="1:4" x14ac:dyDescent="0.2">
      <c r="A320" s="5"/>
      <c r="B320" s="6"/>
      <c r="C320" s="6" t="s">
        <v>478</v>
      </c>
      <c r="D320" s="19"/>
    </row>
    <row r="321" spans="1:4" x14ac:dyDescent="0.2">
      <c r="A321" s="5"/>
      <c r="B321" s="6"/>
      <c r="C321" s="6" t="s">
        <v>477</v>
      </c>
      <c r="D321" s="19"/>
    </row>
    <row r="322" spans="1:4" x14ac:dyDescent="0.2">
      <c r="A322" s="5"/>
      <c r="B322" s="6"/>
      <c r="C322" s="6" t="s">
        <v>479</v>
      </c>
      <c r="D322" s="19"/>
    </row>
    <row r="323" spans="1:4" x14ac:dyDescent="0.2">
      <c r="A323" s="5"/>
      <c r="B323" s="6"/>
      <c r="C323" s="6" t="s">
        <v>480</v>
      </c>
      <c r="D323" s="19"/>
    </row>
    <row r="324" spans="1:4" x14ac:dyDescent="0.2">
      <c r="A324" s="5"/>
      <c r="B324" s="6" t="s">
        <v>473</v>
      </c>
      <c r="C324" s="6" t="s">
        <v>474</v>
      </c>
      <c r="D324" s="19"/>
    </row>
    <row r="325" spans="1:4" x14ac:dyDescent="0.2">
      <c r="A325" s="5"/>
      <c r="B325" s="5"/>
      <c r="C325" s="5"/>
      <c r="D325" s="19"/>
    </row>
    <row r="326" spans="1:4" x14ac:dyDescent="0.2">
      <c r="A326" s="8" t="s">
        <v>364</v>
      </c>
      <c r="B326" s="8" t="s">
        <v>54</v>
      </c>
      <c r="C326" s="8" t="s">
        <v>462</v>
      </c>
      <c r="D326" s="20">
        <v>44146</v>
      </c>
    </row>
    <row r="327" spans="1:4" x14ac:dyDescent="0.2">
      <c r="A327" s="5"/>
      <c r="B327" s="6" t="s">
        <v>31</v>
      </c>
      <c r="C327" s="6" t="s">
        <v>462</v>
      </c>
      <c r="D327" s="19"/>
    </row>
    <row r="328" spans="1:4" x14ac:dyDescent="0.2">
      <c r="A328" s="5"/>
      <c r="B328" s="6" t="s">
        <v>465</v>
      </c>
      <c r="C328" s="6" t="s">
        <v>463</v>
      </c>
      <c r="D328" s="19"/>
    </row>
    <row r="329" spans="1:4" x14ac:dyDescent="0.2">
      <c r="A329" s="5"/>
      <c r="B329" s="5"/>
      <c r="C329" s="6" t="s">
        <v>464</v>
      </c>
      <c r="D329" s="19"/>
    </row>
    <row r="330" spans="1:4" x14ac:dyDescent="0.2">
      <c r="A330" s="5"/>
      <c r="B330" s="6" t="s">
        <v>466</v>
      </c>
      <c r="C330" s="6" t="s">
        <v>467</v>
      </c>
      <c r="D330" s="19"/>
    </row>
    <row r="331" spans="1:4" x14ac:dyDescent="0.2">
      <c r="A331" s="5"/>
      <c r="B331" s="5"/>
      <c r="C331" s="6" t="s">
        <v>468</v>
      </c>
      <c r="D331" s="19"/>
    </row>
    <row r="332" spans="1:4" x14ac:dyDescent="0.2">
      <c r="A332" s="5"/>
      <c r="B332" s="5"/>
      <c r="C332" s="6" t="s">
        <v>469</v>
      </c>
      <c r="D332" s="19"/>
    </row>
    <row r="333" spans="1:4" x14ac:dyDescent="0.2">
      <c r="A333" s="5"/>
      <c r="B333" s="6" t="s">
        <v>266</v>
      </c>
      <c r="C333" s="6" t="s">
        <v>470</v>
      </c>
      <c r="D333" s="19"/>
    </row>
    <row r="334" spans="1:4" x14ac:dyDescent="0.2">
      <c r="A334" s="5"/>
      <c r="B334" s="6" t="s">
        <v>471</v>
      </c>
      <c r="C334" s="6" t="s">
        <v>472</v>
      </c>
      <c r="D334" s="19"/>
    </row>
    <row r="335" spans="1:4" x14ac:dyDescent="0.2">
      <c r="A335" s="8" t="s">
        <v>358</v>
      </c>
      <c r="B335" s="8" t="s">
        <v>400</v>
      </c>
      <c r="C335" s="8" t="s">
        <v>458</v>
      </c>
      <c r="D335" s="20">
        <v>44145</v>
      </c>
    </row>
    <row r="336" spans="1:4" x14ac:dyDescent="0.2">
      <c r="A336" s="5"/>
      <c r="B336" s="6"/>
      <c r="C336" s="6" t="s">
        <v>459</v>
      </c>
      <c r="D336" s="19"/>
    </row>
    <row r="337" spans="1:4" x14ac:dyDescent="0.2">
      <c r="A337" s="5"/>
      <c r="B337" s="6" t="s">
        <v>54</v>
      </c>
      <c r="C337" s="6" t="s">
        <v>460</v>
      </c>
      <c r="D337" s="19"/>
    </row>
    <row r="338" spans="1:4" x14ac:dyDescent="0.2">
      <c r="A338" s="8" t="s">
        <v>364</v>
      </c>
      <c r="B338" s="8" t="s">
        <v>443</v>
      </c>
      <c r="C338" s="8" t="s">
        <v>444</v>
      </c>
      <c r="D338" s="20">
        <v>44144</v>
      </c>
    </row>
    <row r="339" spans="1:4" x14ac:dyDescent="0.2">
      <c r="A339" s="6"/>
      <c r="B339" s="6" t="s">
        <v>445</v>
      </c>
      <c r="C339" s="6" t="s">
        <v>446</v>
      </c>
      <c r="D339" s="19"/>
    </row>
    <row r="340" spans="1:4" x14ac:dyDescent="0.2">
      <c r="A340" s="6"/>
      <c r="B340" s="5"/>
      <c r="C340" s="6" t="s">
        <v>447</v>
      </c>
      <c r="D340" s="19"/>
    </row>
    <row r="341" spans="1:4" x14ac:dyDescent="0.2">
      <c r="A341" s="6"/>
      <c r="B341" s="5"/>
      <c r="C341" s="6" t="s">
        <v>448</v>
      </c>
      <c r="D341" s="19"/>
    </row>
    <row r="342" spans="1:4" x14ac:dyDescent="0.2">
      <c r="A342" s="5"/>
      <c r="B342" s="5"/>
      <c r="C342" s="6" t="s">
        <v>449</v>
      </c>
      <c r="D342" s="19"/>
    </row>
    <row r="343" spans="1:4" x14ac:dyDescent="0.2">
      <c r="A343" s="5"/>
      <c r="B343" s="5"/>
      <c r="C343" s="6"/>
      <c r="D343" s="19"/>
    </row>
    <row r="344" spans="1:4" x14ac:dyDescent="0.2">
      <c r="A344" s="8" t="s">
        <v>358</v>
      </c>
      <c r="B344" s="8" t="s">
        <v>450</v>
      </c>
      <c r="C344" s="8" t="s">
        <v>451</v>
      </c>
      <c r="D344" s="20">
        <v>44141</v>
      </c>
    </row>
    <row r="345" spans="1:4" ht="25.5" x14ac:dyDescent="0.2">
      <c r="A345" s="5"/>
      <c r="B345" s="6" t="s">
        <v>252</v>
      </c>
      <c r="C345" s="7" t="s">
        <v>453</v>
      </c>
      <c r="D345" s="19"/>
    </row>
    <row r="346" spans="1:4" x14ac:dyDescent="0.2">
      <c r="A346" s="8" t="s">
        <v>344</v>
      </c>
      <c r="B346" s="8" t="s">
        <v>54</v>
      </c>
      <c r="C346" s="8" t="s">
        <v>428</v>
      </c>
      <c r="D346" s="20">
        <v>44140</v>
      </c>
    </row>
    <row r="347" spans="1:4" x14ac:dyDescent="0.2">
      <c r="A347" s="6"/>
      <c r="B347" s="6" t="s">
        <v>430</v>
      </c>
      <c r="C347" s="6" t="s">
        <v>431</v>
      </c>
      <c r="D347" s="19"/>
    </row>
    <row r="348" spans="1:4" ht="38.25" x14ac:dyDescent="0.2">
      <c r="A348" s="5"/>
      <c r="B348" s="6" t="s">
        <v>436</v>
      </c>
      <c r="C348" s="7" t="s">
        <v>437</v>
      </c>
      <c r="D348" s="19"/>
    </row>
    <row r="349" spans="1:4" x14ac:dyDescent="0.2">
      <c r="A349" s="6"/>
      <c r="B349" s="5"/>
      <c r="C349" s="5"/>
      <c r="D349" s="19"/>
    </row>
    <row r="350" spans="1:4" x14ac:dyDescent="0.2">
      <c r="A350" s="8" t="s">
        <v>364</v>
      </c>
      <c r="B350" s="8" t="s">
        <v>268</v>
      </c>
      <c r="C350" s="8" t="s">
        <v>423</v>
      </c>
      <c r="D350" s="20">
        <v>44139</v>
      </c>
    </row>
    <row r="351" spans="1:4" x14ac:dyDescent="0.2">
      <c r="A351" s="5"/>
      <c r="B351" s="5"/>
      <c r="C351" s="6" t="s">
        <v>424</v>
      </c>
      <c r="D351" s="19"/>
    </row>
    <row r="352" spans="1:4" x14ac:dyDescent="0.2">
      <c r="A352" s="5"/>
      <c r="B352" s="5"/>
      <c r="C352" s="6" t="s">
        <v>425</v>
      </c>
      <c r="D352" s="19"/>
    </row>
    <row r="353" spans="1:4" x14ac:dyDescent="0.2">
      <c r="A353" s="5"/>
      <c r="B353" s="5"/>
      <c r="C353" s="6" t="s">
        <v>426</v>
      </c>
      <c r="D353" s="19"/>
    </row>
    <row r="354" spans="1:4" x14ac:dyDescent="0.2">
      <c r="A354" s="6"/>
      <c r="B354" s="6" t="s">
        <v>409</v>
      </c>
      <c r="C354" s="6" t="s">
        <v>427</v>
      </c>
      <c r="D354" s="19"/>
    </row>
    <row r="355" spans="1:4" x14ac:dyDescent="0.2">
      <c r="A355" s="8" t="s">
        <v>358</v>
      </c>
      <c r="B355" s="8" t="s">
        <v>400</v>
      </c>
      <c r="C355" s="8" t="s">
        <v>419</v>
      </c>
      <c r="D355" s="20">
        <v>44139</v>
      </c>
    </row>
    <row r="356" spans="1:4" x14ac:dyDescent="0.2">
      <c r="A356" s="5"/>
      <c r="B356" s="6" t="s">
        <v>252</v>
      </c>
      <c r="C356" s="6" t="s">
        <v>452</v>
      </c>
      <c r="D356" s="19"/>
    </row>
    <row r="357" spans="1:4" x14ac:dyDescent="0.2">
      <c r="A357" s="8" t="s">
        <v>344</v>
      </c>
      <c r="B357" s="8" t="s">
        <v>349</v>
      </c>
      <c r="C357" s="8" t="s">
        <v>421</v>
      </c>
      <c r="D357" s="20">
        <v>44139</v>
      </c>
    </row>
    <row r="358" spans="1:4" x14ac:dyDescent="0.2">
      <c r="A358" s="6"/>
      <c r="B358" s="6" t="s">
        <v>31</v>
      </c>
      <c r="C358" s="6" t="s">
        <v>420</v>
      </c>
      <c r="D358" s="19"/>
    </row>
    <row r="359" spans="1:4" x14ac:dyDescent="0.2">
      <c r="A359" s="6"/>
      <c r="B359" s="6" t="s">
        <v>422</v>
      </c>
      <c r="C359" s="5" t="s">
        <v>420</v>
      </c>
      <c r="D359" s="19"/>
    </row>
    <row r="360" spans="1:4" x14ac:dyDescent="0.2">
      <c r="A360" s="6"/>
      <c r="B360" s="6"/>
      <c r="C360" s="5"/>
      <c r="D360" s="19"/>
    </row>
    <row r="361" spans="1:4" x14ac:dyDescent="0.2">
      <c r="A361" s="8" t="s">
        <v>358</v>
      </c>
      <c r="B361" s="8" t="s">
        <v>400</v>
      </c>
      <c r="C361" s="8" t="s">
        <v>418</v>
      </c>
      <c r="D361" s="20">
        <v>44138</v>
      </c>
    </row>
    <row r="362" spans="1:4" x14ac:dyDescent="0.2">
      <c r="A362" s="8" t="s">
        <v>344</v>
      </c>
      <c r="B362" s="8" t="s">
        <v>400</v>
      </c>
      <c r="C362" s="8" t="s">
        <v>401</v>
      </c>
      <c r="D362" s="20">
        <v>44138</v>
      </c>
    </row>
    <row r="363" spans="1:4" x14ac:dyDescent="0.2">
      <c r="A363" s="5"/>
      <c r="B363" s="6" t="s">
        <v>402</v>
      </c>
      <c r="C363" s="6" t="s">
        <v>403</v>
      </c>
      <c r="D363" s="19"/>
    </row>
    <row r="364" spans="1:4" x14ac:dyDescent="0.2">
      <c r="A364" s="8" t="s">
        <v>364</v>
      </c>
      <c r="B364" s="8" t="s">
        <v>404</v>
      </c>
      <c r="C364" s="8" t="s">
        <v>405</v>
      </c>
      <c r="D364" s="23"/>
    </row>
    <row r="365" spans="1:4" x14ac:dyDescent="0.2">
      <c r="A365" s="5"/>
      <c r="B365" s="6" t="s">
        <v>31</v>
      </c>
      <c r="C365" s="6" t="s">
        <v>405</v>
      </c>
      <c r="D365" s="19"/>
    </row>
    <row r="366" spans="1:4" x14ac:dyDescent="0.2">
      <c r="A366" s="5"/>
      <c r="B366" s="6" t="s">
        <v>327</v>
      </c>
      <c r="C366" s="6" t="s">
        <v>416</v>
      </c>
      <c r="D366" s="19"/>
    </row>
    <row r="367" spans="1:4" x14ac:dyDescent="0.2">
      <c r="A367" s="5"/>
      <c r="B367" s="6"/>
      <c r="C367" s="6" t="s">
        <v>417</v>
      </c>
      <c r="D367" s="19"/>
    </row>
    <row r="368" spans="1:4" x14ac:dyDescent="0.2">
      <c r="A368" s="5"/>
      <c r="B368" s="6" t="s">
        <v>389</v>
      </c>
      <c r="C368" s="6" t="s">
        <v>407</v>
      </c>
      <c r="D368" s="19"/>
    </row>
    <row r="369" spans="1:4" x14ac:dyDescent="0.2">
      <c r="A369" s="5"/>
      <c r="B369" s="6"/>
      <c r="C369" s="6" t="s">
        <v>415</v>
      </c>
      <c r="D369" s="19"/>
    </row>
    <row r="370" spans="1:4" x14ac:dyDescent="0.2">
      <c r="A370" s="5"/>
      <c r="B370" s="6" t="s">
        <v>408</v>
      </c>
      <c r="C370" s="6" t="s">
        <v>407</v>
      </c>
      <c r="D370" s="19"/>
    </row>
    <row r="371" spans="1:4" x14ac:dyDescent="0.2">
      <c r="A371" s="5"/>
      <c r="B371" s="6"/>
      <c r="C371" s="6" t="s">
        <v>415</v>
      </c>
      <c r="D371" s="19"/>
    </row>
    <row r="372" spans="1:4" x14ac:dyDescent="0.2">
      <c r="A372" s="5"/>
      <c r="B372" s="6" t="s">
        <v>409</v>
      </c>
      <c r="C372" s="6" t="s">
        <v>414</v>
      </c>
      <c r="D372" s="19"/>
    </row>
    <row r="373" spans="1:4" x14ac:dyDescent="0.2">
      <c r="A373" s="5"/>
      <c r="B373" s="6" t="s">
        <v>410</v>
      </c>
      <c r="C373" s="6" t="s">
        <v>413</v>
      </c>
      <c r="D373" s="19"/>
    </row>
    <row r="374" spans="1:4" x14ac:dyDescent="0.2">
      <c r="A374" s="5"/>
      <c r="B374" s="8" t="s">
        <v>411</v>
      </c>
      <c r="C374" s="8" t="s">
        <v>412</v>
      </c>
      <c r="D374" s="19"/>
    </row>
    <row r="375" spans="1:4" x14ac:dyDescent="0.2">
      <c r="A375" s="5"/>
      <c r="B375" s="5"/>
      <c r="C375" s="6" t="s">
        <v>409</v>
      </c>
      <c r="D375" s="19"/>
    </row>
    <row r="376" spans="1:4" x14ac:dyDescent="0.2">
      <c r="A376" s="5"/>
      <c r="B376" s="5"/>
      <c r="C376" s="6" t="s">
        <v>410</v>
      </c>
      <c r="D376" s="19"/>
    </row>
    <row r="377" spans="1:4" x14ac:dyDescent="0.2">
      <c r="A377" s="5"/>
      <c r="B377" s="5"/>
      <c r="C377" s="6"/>
      <c r="D377" s="19"/>
    </row>
    <row r="378" spans="1:4" x14ac:dyDescent="0.2">
      <c r="A378" s="8" t="s">
        <v>364</v>
      </c>
      <c r="B378" s="8" t="s">
        <v>280</v>
      </c>
      <c r="C378" s="8" t="s">
        <v>380</v>
      </c>
      <c r="D378" s="20">
        <v>44137</v>
      </c>
    </row>
    <row r="379" spans="1:4" x14ac:dyDescent="0.2">
      <c r="A379" s="5"/>
      <c r="B379" s="5"/>
      <c r="C379" s="6" t="s">
        <v>381</v>
      </c>
      <c r="D379" s="19"/>
    </row>
    <row r="380" spans="1:4" x14ac:dyDescent="0.2">
      <c r="A380" s="5"/>
      <c r="B380" s="6" t="s">
        <v>392</v>
      </c>
      <c r="C380" s="6" t="s">
        <v>393</v>
      </c>
      <c r="D380" s="19"/>
    </row>
    <row r="381" spans="1:4" x14ac:dyDescent="0.2">
      <c r="A381" s="5"/>
      <c r="B381" s="6" t="s">
        <v>327</v>
      </c>
      <c r="C381" s="6" t="s">
        <v>394</v>
      </c>
      <c r="D381" s="19"/>
    </row>
    <row r="382" spans="1:4" x14ac:dyDescent="0.2">
      <c r="A382" s="5"/>
      <c r="B382" s="6" t="s">
        <v>266</v>
      </c>
      <c r="C382" s="6" t="s">
        <v>394</v>
      </c>
      <c r="D382" s="19"/>
    </row>
    <row r="383" spans="1:4" x14ac:dyDescent="0.2">
      <c r="A383" s="5"/>
      <c r="B383" s="6" t="s">
        <v>385</v>
      </c>
      <c r="C383" s="6" t="s">
        <v>386</v>
      </c>
      <c r="D383" s="19"/>
    </row>
    <row r="384" spans="1:4" x14ac:dyDescent="0.2">
      <c r="A384" s="5"/>
      <c r="B384" s="5"/>
      <c r="C384" s="6" t="s">
        <v>387</v>
      </c>
      <c r="D384" s="19"/>
    </row>
    <row r="385" spans="1:4" x14ac:dyDescent="0.2">
      <c r="A385" s="5"/>
      <c r="B385" s="5"/>
      <c r="C385" s="6" t="s">
        <v>388</v>
      </c>
      <c r="D385" s="19"/>
    </row>
    <row r="386" spans="1:4" x14ac:dyDescent="0.2">
      <c r="A386" s="5"/>
      <c r="B386" s="5"/>
      <c r="C386" s="6" t="s">
        <v>396</v>
      </c>
      <c r="D386" s="19"/>
    </row>
    <row r="387" spans="1:4" x14ac:dyDescent="0.2">
      <c r="A387" s="5"/>
      <c r="B387" s="5"/>
      <c r="C387" s="6" t="s">
        <v>399</v>
      </c>
      <c r="D387" s="19"/>
    </row>
    <row r="388" spans="1:4" x14ac:dyDescent="0.2">
      <c r="A388" s="5"/>
      <c r="B388" s="6" t="s">
        <v>389</v>
      </c>
      <c r="C388" s="6" t="s">
        <v>390</v>
      </c>
      <c r="D388" s="19"/>
    </row>
    <row r="389" spans="1:4" x14ac:dyDescent="0.2">
      <c r="A389" s="5"/>
      <c r="B389" s="5"/>
      <c r="C389" s="6" t="s">
        <v>391</v>
      </c>
      <c r="D389" s="19"/>
    </row>
    <row r="390" spans="1:4" x14ac:dyDescent="0.2">
      <c r="A390" s="5"/>
      <c r="B390" s="6" t="s">
        <v>367</v>
      </c>
      <c r="C390" s="6" t="s">
        <v>395</v>
      </c>
      <c r="D390" s="19"/>
    </row>
    <row r="391" spans="1:4" x14ac:dyDescent="0.2">
      <c r="A391" s="5"/>
      <c r="B391" s="6" t="s">
        <v>397</v>
      </c>
      <c r="C391" s="6" t="s">
        <v>398</v>
      </c>
      <c r="D391" s="19"/>
    </row>
    <row r="392" spans="1:4" x14ac:dyDescent="0.2">
      <c r="A392" s="5" t="s">
        <v>344</v>
      </c>
      <c r="B392" s="5" t="s">
        <v>327</v>
      </c>
      <c r="C392" s="6" t="s">
        <v>346</v>
      </c>
      <c r="D392" s="24">
        <v>44133</v>
      </c>
    </row>
    <row r="393" spans="1:4" x14ac:dyDescent="0.2">
      <c r="A393" s="5"/>
      <c r="B393" s="6" t="s">
        <v>266</v>
      </c>
      <c r="C393" s="6" t="s">
        <v>345</v>
      </c>
      <c r="D393" s="19"/>
    </row>
    <row r="394" spans="1:4" x14ac:dyDescent="0.2">
      <c r="A394" s="5"/>
      <c r="B394" s="6" t="s">
        <v>31</v>
      </c>
      <c r="C394" s="7" t="s">
        <v>348</v>
      </c>
      <c r="D394" s="19"/>
    </row>
    <row r="395" spans="1:4" x14ac:dyDescent="0.2">
      <c r="A395" s="5"/>
      <c r="B395" s="6" t="s">
        <v>349</v>
      </c>
      <c r="C395" s="6" t="s">
        <v>350</v>
      </c>
      <c r="D395" s="19"/>
    </row>
    <row r="396" spans="1:4" x14ac:dyDescent="0.2">
      <c r="A396" s="6" t="s">
        <v>358</v>
      </c>
      <c r="B396" s="6" t="s">
        <v>351</v>
      </c>
      <c r="C396" s="6" t="s">
        <v>355</v>
      </c>
      <c r="D396" s="24">
        <v>44134</v>
      </c>
    </row>
    <row r="397" spans="1:4" x14ac:dyDescent="0.2">
      <c r="A397" s="5"/>
      <c r="B397" s="6" t="s">
        <v>266</v>
      </c>
      <c r="C397" s="6" t="s">
        <v>359</v>
      </c>
      <c r="D397" s="19"/>
    </row>
    <row r="398" spans="1:4" x14ac:dyDescent="0.2">
      <c r="A398" s="5"/>
      <c r="B398" s="6" t="s">
        <v>349</v>
      </c>
      <c r="C398" s="6" t="s">
        <v>360</v>
      </c>
      <c r="D398" s="19"/>
    </row>
    <row r="399" spans="1:4" x14ac:dyDescent="0.2">
      <c r="A399" s="6" t="s">
        <v>364</v>
      </c>
      <c r="B399" s="6" t="s">
        <v>365</v>
      </c>
      <c r="C399" s="6" t="s">
        <v>366</v>
      </c>
      <c r="D399" s="19"/>
    </row>
    <row r="400" spans="1:4" x14ac:dyDescent="0.2">
      <c r="A400" s="5"/>
      <c r="B400" s="6" t="s">
        <v>367</v>
      </c>
      <c r="C400" s="6" t="s">
        <v>368</v>
      </c>
      <c r="D400" s="19"/>
    </row>
    <row r="401" spans="1:4" x14ac:dyDescent="0.2">
      <c r="A401" s="5"/>
      <c r="B401" s="5"/>
      <c r="C401" s="6" t="s">
        <v>369</v>
      </c>
      <c r="D401" s="19"/>
    </row>
    <row r="402" spans="1:4" x14ac:dyDescent="0.2">
      <c r="A402" s="5"/>
      <c r="B402" s="5"/>
      <c r="C402" s="6" t="s">
        <v>373</v>
      </c>
      <c r="D402" s="19"/>
    </row>
    <row r="403" spans="1:4" x14ac:dyDescent="0.2">
      <c r="A403" s="5"/>
      <c r="B403" s="6" t="s">
        <v>362</v>
      </c>
      <c r="C403" s="6" t="s">
        <v>370</v>
      </c>
      <c r="D403" s="19"/>
    </row>
    <row r="404" spans="1:4" x14ac:dyDescent="0.2">
      <c r="A404" s="5"/>
      <c r="B404" s="5"/>
      <c r="C404" s="6" t="s">
        <v>371</v>
      </c>
      <c r="D404" s="19"/>
    </row>
    <row r="405" spans="1:4" x14ac:dyDescent="0.2">
      <c r="A405" s="5"/>
      <c r="B405" s="6" t="s">
        <v>281</v>
      </c>
      <c r="C405" s="6" t="s">
        <v>372</v>
      </c>
      <c r="D405" s="19"/>
    </row>
    <row r="406" spans="1:4" x14ac:dyDescent="0.2">
      <c r="A406" s="5"/>
      <c r="B406" s="6" t="s">
        <v>374</v>
      </c>
      <c r="C406" s="6" t="s">
        <v>375</v>
      </c>
      <c r="D406" s="19"/>
    </row>
    <row r="407" spans="1:4" x14ac:dyDescent="0.2">
      <c r="A407" s="5"/>
      <c r="B407" s="5" t="s">
        <v>361</v>
      </c>
      <c r="C407" s="6" t="s">
        <v>376</v>
      </c>
      <c r="D407" s="19"/>
    </row>
    <row r="408" spans="1:4" x14ac:dyDescent="0.2">
      <c r="A408" s="5"/>
      <c r="B408" s="5"/>
      <c r="C408" s="6" t="s">
        <v>377</v>
      </c>
      <c r="D408" s="19"/>
    </row>
    <row r="409" spans="1:4" x14ac:dyDescent="0.2">
      <c r="A409" s="6" t="s">
        <v>358</v>
      </c>
      <c r="B409" s="6" t="s">
        <v>54</v>
      </c>
      <c r="C409" s="6" t="s">
        <v>454</v>
      </c>
      <c r="D409" s="22">
        <v>44127</v>
      </c>
    </row>
    <row r="410" spans="1:4" x14ac:dyDescent="0.2">
      <c r="A410" s="5"/>
      <c r="B410" s="5"/>
      <c r="C410" s="6" t="s">
        <v>455</v>
      </c>
      <c r="D410" s="19"/>
    </row>
    <row r="411" spans="1:4" x14ac:dyDescent="0.2">
      <c r="A411" s="6" t="s">
        <v>358</v>
      </c>
      <c r="B411" s="6" t="s">
        <v>456</v>
      </c>
      <c r="C411" s="6" t="s">
        <v>457</v>
      </c>
      <c r="D411" s="22">
        <v>44111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E375"/>
  <sheetViews>
    <sheetView showGridLines="0" workbookViewId="0">
      <pane ySplit="3" topLeftCell="A4" activePane="bottomLeft" state="frozen"/>
      <selection pane="bottomLeft" activeCell="C4" sqref="C4"/>
    </sheetView>
  </sheetViews>
  <sheetFormatPr defaultRowHeight="12.75" outlineLevelRow="1" x14ac:dyDescent="0.2"/>
  <cols>
    <col min="1" max="1" width="9.140625" style="75"/>
    <col min="2" max="2" width="17.5703125" style="75" customWidth="1"/>
    <col min="3" max="4" width="13.42578125" style="75" customWidth="1"/>
    <col min="5" max="5" width="42.85546875" style="75" customWidth="1"/>
    <col min="6" max="16384" width="9.140625" style="75"/>
  </cols>
  <sheetData>
    <row r="1" spans="1:5" ht="25.5" customHeight="1" x14ac:dyDescent="0.4">
      <c r="A1" s="81" t="s">
        <v>0</v>
      </c>
      <c r="B1" s="82" t="s">
        <v>5</v>
      </c>
      <c r="C1" s="82"/>
      <c r="D1" s="82"/>
      <c r="E1" s="82"/>
    </row>
    <row r="3" spans="1:5" x14ac:dyDescent="0.2">
      <c r="B3" s="79" t="s">
        <v>1</v>
      </c>
      <c r="C3" s="78" t="s">
        <v>2</v>
      </c>
      <c r="D3" s="78" t="s">
        <v>3</v>
      </c>
      <c r="E3" s="79" t="s">
        <v>4</v>
      </c>
    </row>
    <row r="4" spans="1:5" ht="12.75" customHeight="1" x14ac:dyDescent="0.2">
      <c r="B4" s="87"/>
      <c r="C4" s="87" t="s">
        <v>95</v>
      </c>
      <c r="D4" s="87" t="s">
        <v>185</v>
      </c>
      <c r="E4" s="88"/>
    </row>
    <row r="5" spans="1:5" ht="12.75" customHeight="1" x14ac:dyDescent="0.2">
      <c r="B5" s="87"/>
      <c r="C5" s="87" t="s">
        <v>96</v>
      </c>
      <c r="D5" s="87" t="s">
        <v>185</v>
      </c>
      <c r="E5" s="88"/>
    </row>
    <row r="6" spans="1:5" ht="12.75" customHeight="1" x14ac:dyDescent="0.2">
      <c r="B6" s="87"/>
      <c r="C6" s="87" t="s">
        <v>97</v>
      </c>
      <c r="D6" s="87" t="s">
        <v>185</v>
      </c>
      <c r="E6" s="88"/>
    </row>
    <row r="7" spans="1:5" ht="12.75" customHeight="1" x14ac:dyDescent="0.2">
      <c r="B7" s="87"/>
      <c r="C7" s="87" t="s">
        <v>98</v>
      </c>
      <c r="D7" s="87" t="s">
        <v>185</v>
      </c>
      <c r="E7" s="88"/>
    </row>
    <row r="8" spans="1:5" ht="12.75" customHeight="1" x14ac:dyDescent="0.2">
      <c r="B8" s="87"/>
      <c r="C8" s="87" t="s">
        <v>99</v>
      </c>
      <c r="D8" s="87" t="s">
        <v>186</v>
      </c>
      <c r="E8" s="88"/>
    </row>
    <row r="9" spans="1:5" ht="12.75" customHeight="1" x14ac:dyDescent="0.2">
      <c r="B9" s="87"/>
      <c r="C9" s="87" t="s">
        <v>122</v>
      </c>
      <c r="D9" s="87" t="s">
        <v>94</v>
      </c>
      <c r="E9" s="88"/>
    </row>
    <row r="10" spans="1:5" ht="12.75" customHeight="1" x14ac:dyDescent="0.2">
      <c r="B10" s="87"/>
      <c r="C10" s="87" t="s">
        <v>123</v>
      </c>
      <c r="D10" s="87" t="s">
        <v>94</v>
      </c>
      <c r="E10" s="88"/>
    </row>
    <row r="11" spans="1:5" ht="12.75" customHeight="1" x14ac:dyDescent="0.2">
      <c r="B11" s="87"/>
      <c r="C11" s="87" t="s">
        <v>124</v>
      </c>
      <c r="D11" s="87" t="s">
        <v>94</v>
      </c>
      <c r="E11" s="88"/>
    </row>
    <row r="12" spans="1:5" ht="12.75" customHeight="1" x14ac:dyDescent="0.2">
      <c r="B12" s="87"/>
      <c r="C12" s="87" t="s">
        <v>125</v>
      </c>
      <c r="D12" s="87" t="s">
        <v>94</v>
      </c>
      <c r="E12" s="88"/>
    </row>
    <row r="13" spans="1:5" ht="12.75" customHeight="1" x14ac:dyDescent="0.2">
      <c r="B13" s="87"/>
      <c r="C13" s="87" t="s">
        <v>126</v>
      </c>
      <c r="D13" s="87" t="s">
        <v>94</v>
      </c>
      <c r="E13" s="88"/>
    </row>
    <row r="14" spans="1:5" ht="12.75" customHeight="1" x14ac:dyDescent="0.2">
      <c r="B14" s="87"/>
      <c r="C14" s="87" t="s">
        <v>127</v>
      </c>
      <c r="D14" s="87" t="s">
        <v>94</v>
      </c>
      <c r="E14" s="88"/>
    </row>
    <row r="15" spans="1:5" ht="12.75" customHeight="1" x14ac:dyDescent="0.2">
      <c r="B15" s="87"/>
      <c r="C15" s="87" t="s">
        <v>128</v>
      </c>
      <c r="D15" s="87" t="s">
        <v>94</v>
      </c>
      <c r="E15" s="88"/>
    </row>
    <row r="16" spans="1:5" ht="12.75" customHeight="1" x14ac:dyDescent="0.2">
      <c r="B16" s="87"/>
      <c r="C16" s="87" t="s">
        <v>129</v>
      </c>
      <c r="D16" s="87" t="s">
        <v>94</v>
      </c>
      <c r="E16" s="88"/>
    </row>
    <row r="17" spans="2:5" ht="12.75" customHeight="1" x14ac:dyDescent="0.2">
      <c r="B17" s="87"/>
      <c r="C17" s="87" t="s">
        <v>130</v>
      </c>
      <c r="D17" s="87" t="s">
        <v>94</v>
      </c>
      <c r="E17" s="88"/>
    </row>
    <row r="18" spans="2:5" ht="12.75" customHeight="1" x14ac:dyDescent="0.2">
      <c r="B18" s="87"/>
      <c r="C18" s="87" t="s">
        <v>131</v>
      </c>
      <c r="D18" s="87" t="s">
        <v>94</v>
      </c>
      <c r="E18" s="88"/>
    </row>
    <row r="19" spans="2:5" ht="12.75" customHeight="1" x14ac:dyDescent="0.2">
      <c r="B19" s="87"/>
      <c r="C19" s="87" t="s">
        <v>132</v>
      </c>
      <c r="D19" s="87" t="s">
        <v>94</v>
      </c>
      <c r="E19" s="88"/>
    </row>
    <row r="20" spans="2:5" ht="12.75" customHeight="1" x14ac:dyDescent="0.2">
      <c r="B20" s="87"/>
      <c r="C20" s="87" t="s">
        <v>133</v>
      </c>
      <c r="D20" s="87" t="s">
        <v>94</v>
      </c>
      <c r="E20" s="88"/>
    </row>
    <row r="21" spans="2:5" ht="12.75" customHeight="1" x14ac:dyDescent="0.2">
      <c r="B21" s="87"/>
      <c r="C21" s="87" t="s">
        <v>134</v>
      </c>
      <c r="D21" s="87" t="s">
        <v>94</v>
      </c>
      <c r="E21" s="88"/>
    </row>
    <row r="22" spans="2:5" ht="12.75" customHeight="1" x14ac:dyDescent="0.2">
      <c r="B22" s="87"/>
      <c r="C22" s="87" t="s">
        <v>135</v>
      </c>
      <c r="D22" s="87" t="s">
        <v>94</v>
      </c>
      <c r="E22" s="88"/>
    </row>
    <row r="23" spans="2:5" ht="12.75" customHeight="1" x14ac:dyDescent="0.2">
      <c r="B23" s="87"/>
      <c r="C23" s="87" t="s">
        <v>136</v>
      </c>
      <c r="D23" s="87" t="s">
        <v>94</v>
      </c>
      <c r="E23" s="88"/>
    </row>
    <row r="24" spans="2:5" ht="12.75" customHeight="1" x14ac:dyDescent="0.2">
      <c r="B24" s="87"/>
      <c r="C24" s="87" t="s">
        <v>137</v>
      </c>
      <c r="D24" s="87" t="s">
        <v>94</v>
      </c>
      <c r="E24" s="88"/>
    </row>
    <row r="25" spans="2:5" ht="12.75" customHeight="1" x14ac:dyDescent="0.2">
      <c r="B25" s="87"/>
      <c r="C25" s="87" t="s">
        <v>893</v>
      </c>
      <c r="D25" s="87" t="s">
        <v>185</v>
      </c>
      <c r="E25" s="88"/>
    </row>
    <row r="26" spans="2:5" ht="12.75" customHeight="1" x14ac:dyDescent="0.2">
      <c r="B26" s="87"/>
      <c r="C26" s="87" t="s">
        <v>894</v>
      </c>
      <c r="D26" s="87" t="s">
        <v>185</v>
      </c>
      <c r="E26" s="88"/>
    </row>
    <row r="27" spans="2:5" ht="12.75" customHeight="1" x14ac:dyDescent="0.2">
      <c r="B27" s="87"/>
      <c r="C27" s="87" t="s">
        <v>895</v>
      </c>
      <c r="D27" s="87" t="s">
        <v>186</v>
      </c>
      <c r="E27" s="88"/>
    </row>
    <row r="28" spans="2:5" ht="12.75" customHeight="1" x14ac:dyDescent="0.2">
      <c r="B28" s="87"/>
      <c r="C28" s="87" t="s">
        <v>896</v>
      </c>
      <c r="D28" s="87" t="s">
        <v>185</v>
      </c>
      <c r="E28" s="88"/>
    </row>
    <row r="29" spans="2:5" ht="12.75" customHeight="1" x14ac:dyDescent="0.2">
      <c r="B29" s="87"/>
      <c r="C29" s="87" t="s">
        <v>897</v>
      </c>
      <c r="D29" s="87" t="s">
        <v>185</v>
      </c>
      <c r="E29" s="88"/>
    </row>
    <row r="30" spans="2:5" ht="12.75" customHeight="1" x14ac:dyDescent="0.2">
      <c r="B30" s="87"/>
      <c r="C30" s="87" t="s">
        <v>909</v>
      </c>
      <c r="D30" s="87" t="s">
        <v>185</v>
      </c>
      <c r="E30" s="88"/>
    </row>
    <row r="31" spans="2:5" ht="12.75" customHeight="1" x14ac:dyDescent="0.2">
      <c r="B31" s="87"/>
      <c r="C31" s="87" t="s">
        <v>910</v>
      </c>
      <c r="D31" s="87" t="s">
        <v>185</v>
      </c>
      <c r="E31" s="88"/>
    </row>
    <row r="32" spans="2:5" ht="12.75" customHeight="1" x14ac:dyDescent="0.2">
      <c r="B32" s="87"/>
      <c r="C32" s="87" t="s">
        <v>911</v>
      </c>
      <c r="D32" s="87" t="s">
        <v>186</v>
      </c>
      <c r="E32" s="88"/>
    </row>
    <row r="33" spans="2:5" ht="12.75" customHeight="1" x14ac:dyDescent="0.2">
      <c r="B33" s="87"/>
      <c r="C33" s="87" t="s">
        <v>908</v>
      </c>
      <c r="D33" s="87" t="s">
        <v>185</v>
      </c>
      <c r="E33" s="88"/>
    </row>
    <row r="34" spans="2:5" ht="12.75" customHeight="1" x14ac:dyDescent="0.2">
      <c r="B34" s="87"/>
      <c r="C34" s="87" t="s">
        <v>898</v>
      </c>
      <c r="D34" s="87" t="s">
        <v>185</v>
      </c>
      <c r="E34" s="88"/>
    </row>
    <row r="35" spans="2:5" ht="12.75" customHeight="1" x14ac:dyDescent="0.2">
      <c r="B35" s="87"/>
      <c r="C35" s="87" t="s">
        <v>899</v>
      </c>
      <c r="D35" s="87" t="s">
        <v>185</v>
      </c>
      <c r="E35" s="88"/>
    </row>
    <row r="36" spans="2:5" ht="12.75" customHeight="1" x14ac:dyDescent="0.2">
      <c r="B36" s="87"/>
      <c r="C36" s="87" t="s">
        <v>900</v>
      </c>
      <c r="D36" s="87" t="s">
        <v>185</v>
      </c>
      <c r="E36" s="88"/>
    </row>
    <row r="37" spans="2:5" ht="12.75" customHeight="1" x14ac:dyDescent="0.2">
      <c r="B37" s="87"/>
      <c r="C37" s="87" t="s">
        <v>904</v>
      </c>
      <c r="D37" s="87" t="s">
        <v>185</v>
      </c>
      <c r="E37" s="88"/>
    </row>
    <row r="38" spans="2:5" ht="12.75" customHeight="1" x14ac:dyDescent="0.2">
      <c r="B38" s="87"/>
      <c r="C38" s="87" t="s">
        <v>901</v>
      </c>
      <c r="D38" s="87" t="s">
        <v>185</v>
      </c>
      <c r="E38" s="88"/>
    </row>
    <row r="39" spans="2:5" ht="12.75" customHeight="1" x14ac:dyDescent="0.2">
      <c r="B39" s="87"/>
      <c r="C39" s="87" t="s">
        <v>905</v>
      </c>
      <c r="D39" s="87" t="s">
        <v>185</v>
      </c>
      <c r="E39" s="88"/>
    </row>
    <row r="40" spans="2:5" ht="12.75" customHeight="1" x14ac:dyDescent="0.2">
      <c r="B40" s="87"/>
      <c r="C40" s="87" t="s">
        <v>902</v>
      </c>
      <c r="D40" s="87" t="s">
        <v>185</v>
      </c>
      <c r="E40" s="88"/>
    </row>
    <row r="41" spans="2:5" ht="12.75" customHeight="1" x14ac:dyDescent="0.2">
      <c r="B41" s="87"/>
      <c r="C41" s="87" t="s">
        <v>906</v>
      </c>
      <c r="D41" s="87" t="s">
        <v>185</v>
      </c>
      <c r="E41" s="88"/>
    </row>
    <row r="42" spans="2:5" ht="12.75" customHeight="1" x14ac:dyDescent="0.2">
      <c r="B42" s="87"/>
      <c r="C42" s="87" t="s">
        <v>903</v>
      </c>
      <c r="D42" s="87" t="s">
        <v>185</v>
      </c>
      <c r="E42" s="88"/>
    </row>
    <row r="43" spans="2:5" ht="12.75" customHeight="1" x14ac:dyDescent="0.2">
      <c r="B43" s="87"/>
      <c r="C43" s="87" t="s">
        <v>907</v>
      </c>
      <c r="D43" s="87" t="s">
        <v>185</v>
      </c>
      <c r="E43" s="88"/>
    </row>
    <row r="44" spans="2:5" ht="12.75" customHeight="1" x14ac:dyDescent="0.2">
      <c r="B44" s="87"/>
      <c r="C44" s="87" t="s">
        <v>912</v>
      </c>
      <c r="D44" s="87" t="s">
        <v>185</v>
      </c>
      <c r="E44" s="88"/>
    </row>
    <row r="45" spans="2:5" ht="12.75" customHeight="1" x14ac:dyDescent="0.2">
      <c r="B45" s="87"/>
      <c r="C45" s="87" t="s">
        <v>944</v>
      </c>
      <c r="D45" s="87" t="s">
        <v>185</v>
      </c>
      <c r="E45" s="88"/>
    </row>
    <row r="46" spans="2:5" ht="12.75" customHeight="1" x14ac:dyDescent="0.2">
      <c r="B46" s="87"/>
      <c r="C46" s="87" t="s">
        <v>943</v>
      </c>
      <c r="D46" s="87" t="s">
        <v>185</v>
      </c>
      <c r="E46" s="88"/>
    </row>
    <row r="47" spans="2:5" ht="12.75" customHeight="1" x14ac:dyDescent="0.2">
      <c r="B47" s="87"/>
      <c r="C47" s="87" t="s">
        <v>934</v>
      </c>
      <c r="D47" s="87" t="s">
        <v>185</v>
      </c>
      <c r="E47" s="88"/>
    </row>
    <row r="48" spans="2:5" ht="12.75" customHeight="1" x14ac:dyDescent="0.2">
      <c r="B48" s="87"/>
      <c r="C48" s="87" t="s">
        <v>933</v>
      </c>
      <c r="D48" s="87" t="s">
        <v>185</v>
      </c>
      <c r="E48" s="88"/>
    </row>
    <row r="49" spans="2:5" ht="12.75" customHeight="1" x14ac:dyDescent="0.2">
      <c r="B49" s="87"/>
      <c r="C49" s="87" t="s">
        <v>932</v>
      </c>
      <c r="D49" s="87" t="s">
        <v>185</v>
      </c>
      <c r="E49" s="88"/>
    </row>
    <row r="50" spans="2:5" ht="12.75" customHeight="1" x14ac:dyDescent="0.2">
      <c r="B50" s="87"/>
      <c r="C50" s="87" t="s">
        <v>931</v>
      </c>
      <c r="D50" s="87" t="s">
        <v>185</v>
      </c>
      <c r="E50" s="88"/>
    </row>
    <row r="51" spans="2:5" ht="12.75" customHeight="1" x14ac:dyDescent="0.2">
      <c r="B51" s="87"/>
      <c r="C51" s="87" t="s">
        <v>930</v>
      </c>
      <c r="D51" s="87" t="s">
        <v>185</v>
      </c>
      <c r="E51" s="88"/>
    </row>
    <row r="52" spans="2:5" ht="12.75" customHeight="1" x14ac:dyDescent="0.2">
      <c r="B52" s="87"/>
      <c r="C52" s="87" t="s">
        <v>929</v>
      </c>
      <c r="D52" s="87" t="s">
        <v>185</v>
      </c>
      <c r="E52" s="88"/>
    </row>
    <row r="53" spans="2:5" ht="12.75" customHeight="1" x14ac:dyDescent="0.2">
      <c r="B53" s="87"/>
      <c r="C53" s="87" t="s">
        <v>928</v>
      </c>
      <c r="D53" s="87" t="s">
        <v>185</v>
      </c>
      <c r="E53" s="88"/>
    </row>
    <row r="54" spans="2:5" ht="12.75" customHeight="1" x14ac:dyDescent="0.2">
      <c r="B54" s="87"/>
      <c r="C54" s="87" t="s">
        <v>927</v>
      </c>
      <c r="D54" s="87" t="s">
        <v>185</v>
      </c>
      <c r="E54" s="88"/>
    </row>
    <row r="55" spans="2:5" ht="12.75" customHeight="1" x14ac:dyDescent="0.2">
      <c r="B55" s="87"/>
      <c r="C55" s="87" t="s">
        <v>926</v>
      </c>
      <c r="D55" s="87" t="s">
        <v>185</v>
      </c>
      <c r="E55" s="88"/>
    </row>
    <row r="56" spans="2:5" ht="12.75" customHeight="1" x14ac:dyDescent="0.2">
      <c r="B56" s="87"/>
      <c r="C56" s="87" t="s">
        <v>925</v>
      </c>
      <c r="D56" s="87" t="s">
        <v>185</v>
      </c>
      <c r="E56" s="88"/>
    </row>
    <row r="57" spans="2:5" ht="12.75" customHeight="1" x14ac:dyDescent="0.2">
      <c r="B57" s="87"/>
      <c r="C57" s="87" t="s">
        <v>942</v>
      </c>
      <c r="D57" s="87" t="s">
        <v>185</v>
      </c>
      <c r="E57" s="88"/>
    </row>
    <row r="58" spans="2:5" ht="12.75" customHeight="1" x14ac:dyDescent="0.2">
      <c r="B58" s="87"/>
      <c r="C58" s="87" t="s">
        <v>924</v>
      </c>
      <c r="D58" s="87" t="s">
        <v>185</v>
      </c>
      <c r="E58" s="88"/>
    </row>
    <row r="59" spans="2:5" ht="12.75" customHeight="1" x14ac:dyDescent="0.2">
      <c r="B59" s="87"/>
      <c r="C59" s="87" t="s">
        <v>923</v>
      </c>
      <c r="D59" s="87" t="s">
        <v>185</v>
      </c>
      <c r="E59" s="88"/>
    </row>
    <row r="60" spans="2:5" ht="12.75" customHeight="1" x14ac:dyDescent="0.2">
      <c r="B60" s="87"/>
      <c r="C60" s="87" t="s">
        <v>922</v>
      </c>
      <c r="D60" s="87" t="s">
        <v>185</v>
      </c>
      <c r="E60" s="88"/>
    </row>
    <row r="61" spans="2:5" ht="12.75" customHeight="1" x14ac:dyDescent="0.2">
      <c r="B61" s="87"/>
      <c r="C61" s="87" t="s">
        <v>921</v>
      </c>
      <c r="D61" s="87" t="s">
        <v>185</v>
      </c>
      <c r="E61" s="88"/>
    </row>
    <row r="62" spans="2:5" ht="12.75" customHeight="1" x14ac:dyDescent="0.2">
      <c r="B62" s="87"/>
      <c r="C62" s="87" t="s">
        <v>920</v>
      </c>
      <c r="D62" s="87" t="s">
        <v>185</v>
      </c>
      <c r="E62" s="88"/>
    </row>
    <row r="63" spans="2:5" ht="12.75" customHeight="1" x14ac:dyDescent="0.2">
      <c r="B63" s="87"/>
      <c r="C63" s="87" t="s">
        <v>919</v>
      </c>
      <c r="D63" s="87" t="s">
        <v>185</v>
      </c>
      <c r="E63" s="88"/>
    </row>
    <row r="64" spans="2:5" ht="12.75" customHeight="1" x14ac:dyDescent="0.2">
      <c r="B64" s="87"/>
      <c r="C64" s="87" t="s">
        <v>918</v>
      </c>
      <c r="D64" s="87" t="s">
        <v>185</v>
      </c>
      <c r="E64" s="88"/>
    </row>
    <row r="65" spans="2:5" ht="12.75" customHeight="1" x14ac:dyDescent="0.2">
      <c r="B65" s="87"/>
      <c r="C65" s="87" t="s">
        <v>917</v>
      </c>
      <c r="D65" s="87" t="s">
        <v>185</v>
      </c>
      <c r="E65" s="88"/>
    </row>
    <row r="66" spans="2:5" ht="12.75" customHeight="1" x14ac:dyDescent="0.2">
      <c r="B66" s="87"/>
      <c r="C66" s="87" t="s">
        <v>916</v>
      </c>
      <c r="D66" s="87" t="s">
        <v>185</v>
      </c>
      <c r="E66" s="88"/>
    </row>
    <row r="67" spans="2:5" ht="12.75" customHeight="1" x14ac:dyDescent="0.2">
      <c r="B67" s="87"/>
      <c r="C67" s="87" t="s">
        <v>915</v>
      </c>
      <c r="D67" s="87" t="s">
        <v>185</v>
      </c>
      <c r="E67" s="88"/>
    </row>
    <row r="68" spans="2:5" ht="12.75" customHeight="1" x14ac:dyDescent="0.2">
      <c r="B68" s="87"/>
      <c r="C68" s="87" t="s">
        <v>941</v>
      </c>
      <c r="D68" s="87" t="s">
        <v>185</v>
      </c>
      <c r="E68" s="88"/>
    </row>
    <row r="69" spans="2:5" ht="12.75" customHeight="1" x14ac:dyDescent="0.2">
      <c r="B69" s="87"/>
      <c r="C69" s="87" t="s">
        <v>914</v>
      </c>
      <c r="D69" s="87" t="s">
        <v>185</v>
      </c>
      <c r="E69" s="88"/>
    </row>
    <row r="70" spans="2:5" ht="12.75" customHeight="1" x14ac:dyDescent="0.2">
      <c r="B70" s="87"/>
      <c r="C70" s="87" t="s">
        <v>913</v>
      </c>
      <c r="D70" s="87" t="s">
        <v>185</v>
      </c>
      <c r="E70" s="88"/>
    </row>
    <row r="71" spans="2:5" ht="12.75" customHeight="1" x14ac:dyDescent="0.2">
      <c r="B71" s="87"/>
      <c r="C71" s="87" t="s">
        <v>940</v>
      </c>
      <c r="D71" s="87" t="s">
        <v>185</v>
      </c>
      <c r="E71" s="88"/>
    </row>
    <row r="72" spans="2:5" ht="12.75" customHeight="1" x14ac:dyDescent="0.2">
      <c r="B72" s="87"/>
      <c r="C72" s="87" t="s">
        <v>939</v>
      </c>
      <c r="D72" s="87" t="s">
        <v>185</v>
      </c>
      <c r="E72" s="88"/>
    </row>
    <row r="73" spans="2:5" ht="12.75" customHeight="1" x14ac:dyDescent="0.2">
      <c r="B73" s="87"/>
      <c r="C73" s="87" t="s">
        <v>938</v>
      </c>
      <c r="D73" s="87" t="s">
        <v>185</v>
      </c>
      <c r="E73" s="88"/>
    </row>
    <row r="74" spans="2:5" ht="12.75" customHeight="1" x14ac:dyDescent="0.2">
      <c r="B74" s="87"/>
      <c r="C74" s="87" t="s">
        <v>937</v>
      </c>
      <c r="D74" s="87" t="s">
        <v>185</v>
      </c>
      <c r="E74" s="88"/>
    </row>
    <row r="75" spans="2:5" ht="12.75" customHeight="1" x14ac:dyDescent="0.2">
      <c r="B75" s="87"/>
      <c r="C75" s="87" t="s">
        <v>936</v>
      </c>
      <c r="D75" s="87" t="s">
        <v>185</v>
      </c>
      <c r="E75" s="88"/>
    </row>
    <row r="76" spans="2:5" ht="12.75" customHeight="1" x14ac:dyDescent="0.2">
      <c r="B76" s="87"/>
      <c r="C76" s="87" t="s">
        <v>935</v>
      </c>
      <c r="D76" s="87" t="s">
        <v>185</v>
      </c>
      <c r="E76" s="88"/>
    </row>
    <row r="77" spans="2:5" ht="12.75" customHeight="1" x14ac:dyDescent="0.2">
      <c r="B77" s="87"/>
      <c r="C77" s="87" t="s">
        <v>945</v>
      </c>
      <c r="D77" s="87" t="s">
        <v>185</v>
      </c>
      <c r="E77" s="88"/>
    </row>
    <row r="78" spans="2:5" ht="12.75" customHeight="1" x14ac:dyDescent="0.2">
      <c r="B78" s="87"/>
      <c r="C78" s="87" t="s">
        <v>946</v>
      </c>
      <c r="D78" s="87" t="s">
        <v>185</v>
      </c>
      <c r="E78" s="88"/>
    </row>
    <row r="79" spans="2:5" ht="12.75" customHeight="1" x14ac:dyDescent="0.2">
      <c r="B79" s="87"/>
      <c r="C79" s="87" t="s">
        <v>1047</v>
      </c>
      <c r="D79" s="87" t="s">
        <v>185</v>
      </c>
      <c r="E79" s="88" t="s">
        <v>260</v>
      </c>
    </row>
    <row r="80" spans="2:5" ht="12.75" customHeight="1" x14ac:dyDescent="0.2">
      <c r="B80" s="87"/>
      <c r="C80" s="87" t="s">
        <v>1048</v>
      </c>
      <c r="D80" s="87" t="s">
        <v>185</v>
      </c>
      <c r="E80" s="88" t="s">
        <v>260</v>
      </c>
    </row>
    <row r="81" spans="2:5" ht="12.75" customHeight="1" x14ac:dyDescent="0.2">
      <c r="B81" s="87"/>
      <c r="C81" s="87" t="s">
        <v>1624</v>
      </c>
      <c r="D81" s="87" t="s">
        <v>185</v>
      </c>
      <c r="E81" s="88" t="s">
        <v>1049</v>
      </c>
    </row>
    <row r="82" spans="2:5" ht="12.75" customHeight="1" x14ac:dyDescent="0.2">
      <c r="B82" s="87"/>
      <c r="C82" s="87" t="s">
        <v>1625</v>
      </c>
      <c r="D82" s="87" t="s">
        <v>185</v>
      </c>
      <c r="E82" s="88" t="s">
        <v>1049</v>
      </c>
    </row>
    <row r="83" spans="2:5" ht="12.75" customHeight="1" x14ac:dyDescent="0.2">
      <c r="B83" s="87"/>
      <c r="C83" s="87" t="s">
        <v>120</v>
      </c>
      <c r="D83" s="87" t="s">
        <v>186</v>
      </c>
      <c r="E83" s="88" t="s">
        <v>340</v>
      </c>
    </row>
    <row r="84" spans="2:5" ht="12.75" customHeight="1" x14ac:dyDescent="0.2">
      <c r="B84" s="87"/>
      <c r="C84" s="87" t="s">
        <v>121</v>
      </c>
      <c r="D84" s="87" t="s">
        <v>186</v>
      </c>
      <c r="E84" s="88"/>
    </row>
    <row r="85" spans="2:5" ht="12.75" customHeight="1" x14ac:dyDescent="0.2">
      <c r="B85" s="87"/>
      <c r="C85" s="87" t="s">
        <v>103</v>
      </c>
      <c r="D85" s="87" t="s">
        <v>185</v>
      </c>
      <c r="E85" s="88"/>
    </row>
    <row r="86" spans="2:5" ht="12.75" customHeight="1" x14ac:dyDescent="0.2">
      <c r="B86" s="87"/>
      <c r="C86" s="87" t="s">
        <v>111</v>
      </c>
      <c r="D86" s="87" t="s">
        <v>186</v>
      </c>
      <c r="E86" s="88"/>
    </row>
    <row r="87" spans="2:5" ht="12.75" customHeight="1" x14ac:dyDescent="0.2">
      <c r="B87" s="87"/>
      <c r="C87" s="87" t="s">
        <v>109</v>
      </c>
      <c r="D87" s="87" t="s">
        <v>94</v>
      </c>
      <c r="E87" s="88"/>
    </row>
    <row r="88" spans="2:5" ht="12.75" customHeight="1" x14ac:dyDescent="0.2">
      <c r="B88" s="87"/>
      <c r="C88" s="87" t="s">
        <v>100</v>
      </c>
      <c r="D88" s="87" t="s">
        <v>173</v>
      </c>
      <c r="E88" s="88"/>
    </row>
    <row r="89" spans="2:5" ht="12.75" customHeight="1" x14ac:dyDescent="0.2">
      <c r="B89" s="87"/>
      <c r="C89" s="87" t="s">
        <v>105</v>
      </c>
      <c r="D89" s="87" t="s">
        <v>173</v>
      </c>
      <c r="E89" s="88"/>
    </row>
    <row r="90" spans="2:5" ht="12.75" customHeight="1" x14ac:dyDescent="0.2">
      <c r="B90" s="87"/>
      <c r="C90" s="87" t="s">
        <v>107</v>
      </c>
      <c r="D90" s="87" t="s">
        <v>173</v>
      </c>
      <c r="E90" s="88"/>
    </row>
    <row r="91" spans="2:5" ht="12.75" customHeight="1" x14ac:dyDescent="0.2">
      <c r="B91" s="87"/>
      <c r="C91" s="87" t="s">
        <v>113</v>
      </c>
      <c r="D91" s="87" t="s">
        <v>173</v>
      </c>
      <c r="E91" s="88"/>
    </row>
    <row r="92" spans="2:5" ht="12.75" customHeight="1" x14ac:dyDescent="0.2">
      <c r="B92" s="87"/>
      <c r="C92" s="87" t="s">
        <v>115</v>
      </c>
      <c r="D92" s="87" t="s">
        <v>173</v>
      </c>
      <c r="E92" s="88"/>
    </row>
    <row r="93" spans="2:5" ht="12.75" customHeight="1" x14ac:dyDescent="0.2">
      <c r="B93" s="87"/>
      <c r="C93" s="87" t="s">
        <v>116</v>
      </c>
      <c r="D93" s="87" t="s">
        <v>173</v>
      </c>
      <c r="E93" s="88"/>
    </row>
    <row r="94" spans="2:5" ht="12.75" customHeight="1" x14ac:dyDescent="0.2">
      <c r="B94" s="87"/>
      <c r="C94" s="87" t="s">
        <v>118</v>
      </c>
      <c r="D94" s="87" t="s">
        <v>173</v>
      </c>
      <c r="E94" s="88"/>
    </row>
    <row r="95" spans="2:5" ht="12.75" customHeight="1" x14ac:dyDescent="0.2">
      <c r="B95" s="87"/>
      <c r="C95" s="87" t="s">
        <v>1422</v>
      </c>
      <c r="D95" s="87" t="s">
        <v>174</v>
      </c>
      <c r="E95" s="88"/>
    </row>
    <row r="96" spans="2:5" ht="12.75" customHeight="1" x14ac:dyDescent="0.2">
      <c r="B96" s="87"/>
      <c r="C96" s="87" t="s">
        <v>182</v>
      </c>
      <c r="D96" s="87" t="s">
        <v>174</v>
      </c>
      <c r="E96" s="88"/>
    </row>
    <row r="97" spans="2:5" ht="12.75" customHeight="1" x14ac:dyDescent="0.2">
      <c r="B97" s="87"/>
      <c r="C97" s="87" t="s">
        <v>181</v>
      </c>
      <c r="D97" s="87" t="s">
        <v>174</v>
      </c>
      <c r="E97" s="88"/>
    </row>
    <row r="98" spans="2:5" ht="12.75" customHeight="1" x14ac:dyDescent="0.2">
      <c r="B98" s="87"/>
      <c r="C98" s="87" t="s">
        <v>183</v>
      </c>
      <c r="D98" s="87" t="s">
        <v>174</v>
      </c>
      <c r="E98" s="88"/>
    </row>
    <row r="99" spans="2:5" ht="12.75" customHeight="1" x14ac:dyDescent="0.2">
      <c r="B99" s="87"/>
      <c r="C99" s="87" t="s">
        <v>1416</v>
      </c>
      <c r="D99" s="87" t="s">
        <v>429</v>
      </c>
      <c r="E99" s="88"/>
    </row>
    <row r="100" spans="2:5" ht="12.75" customHeight="1" x14ac:dyDescent="0.2">
      <c r="B100" s="87"/>
      <c r="C100" s="87" t="s">
        <v>1417</v>
      </c>
      <c r="D100" s="87" t="s">
        <v>429</v>
      </c>
      <c r="E100" s="88"/>
    </row>
    <row r="101" spans="2:5" ht="12.75" customHeight="1" x14ac:dyDescent="0.2">
      <c r="B101" s="87"/>
      <c r="C101" s="87" t="s">
        <v>1418</v>
      </c>
      <c r="D101" s="87" t="s">
        <v>429</v>
      </c>
      <c r="E101" s="88"/>
    </row>
    <row r="102" spans="2:5" ht="12.75" customHeight="1" x14ac:dyDescent="0.2">
      <c r="B102" s="87"/>
      <c r="C102" s="87" t="s">
        <v>1419</v>
      </c>
      <c r="D102" s="87" t="s">
        <v>429</v>
      </c>
      <c r="E102" s="88"/>
    </row>
    <row r="103" spans="2:5" ht="12.75" customHeight="1" x14ac:dyDescent="0.2">
      <c r="B103" s="87"/>
      <c r="C103" s="87" t="s">
        <v>1420</v>
      </c>
      <c r="D103" s="87" t="s">
        <v>429</v>
      </c>
      <c r="E103" s="88"/>
    </row>
    <row r="104" spans="2:5" ht="12.75" customHeight="1" x14ac:dyDescent="0.2">
      <c r="B104" s="87"/>
      <c r="C104" s="87" t="s">
        <v>1421</v>
      </c>
      <c r="D104" s="87" t="s">
        <v>429</v>
      </c>
      <c r="E104" s="88"/>
    </row>
    <row r="105" spans="2:5" ht="12.75" customHeight="1" collapsed="1" x14ac:dyDescent="0.2">
      <c r="B105" s="89" t="s">
        <v>175</v>
      </c>
      <c r="C105" s="87" t="s">
        <v>122</v>
      </c>
      <c r="D105" s="87" t="s">
        <v>94</v>
      </c>
      <c r="E105" s="88"/>
    </row>
    <row r="106" spans="2:5" ht="12.75" hidden="1" customHeight="1" outlineLevel="1" x14ac:dyDescent="0.2">
      <c r="B106" s="90" t="s">
        <v>175</v>
      </c>
      <c r="C106" s="87" t="s">
        <v>123</v>
      </c>
      <c r="D106" s="91"/>
      <c r="E106" s="88"/>
    </row>
    <row r="107" spans="2:5" ht="12.75" hidden="1" customHeight="1" outlineLevel="1" x14ac:dyDescent="0.2">
      <c r="B107" s="90" t="s">
        <v>175</v>
      </c>
      <c r="C107" s="87" t="s">
        <v>124</v>
      </c>
      <c r="D107" s="91"/>
      <c r="E107" s="88"/>
    </row>
    <row r="108" spans="2:5" ht="12.75" hidden="1" customHeight="1" outlineLevel="1" x14ac:dyDescent="0.2">
      <c r="B108" s="90" t="s">
        <v>175</v>
      </c>
      <c r="C108" s="87" t="s">
        <v>125</v>
      </c>
      <c r="D108" s="91"/>
      <c r="E108" s="88"/>
    </row>
    <row r="109" spans="2:5" ht="12.75" hidden="1" customHeight="1" outlineLevel="1" x14ac:dyDescent="0.2">
      <c r="B109" s="90" t="s">
        <v>175</v>
      </c>
      <c r="C109" s="87" t="s">
        <v>126</v>
      </c>
      <c r="D109" s="91"/>
      <c r="E109" s="88"/>
    </row>
    <row r="110" spans="2:5" ht="12.75" hidden="1" customHeight="1" outlineLevel="1" x14ac:dyDescent="0.2">
      <c r="B110" s="90" t="s">
        <v>175</v>
      </c>
      <c r="C110" s="87" t="s">
        <v>127</v>
      </c>
      <c r="D110" s="91"/>
      <c r="E110" s="88"/>
    </row>
    <row r="111" spans="2:5" ht="12.75" hidden="1" customHeight="1" outlineLevel="1" x14ac:dyDescent="0.2">
      <c r="B111" s="90" t="s">
        <v>175</v>
      </c>
      <c r="C111" s="87" t="s">
        <v>128</v>
      </c>
      <c r="D111" s="91"/>
      <c r="E111" s="88"/>
    </row>
    <row r="112" spans="2:5" ht="12.75" hidden="1" customHeight="1" outlineLevel="1" x14ac:dyDescent="0.2">
      <c r="B112" s="90" t="s">
        <v>175</v>
      </c>
      <c r="C112" s="87" t="s">
        <v>129</v>
      </c>
      <c r="D112" s="91"/>
      <c r="E112" s="88"/>
    </row>
    <row r="113" spans="2:5" ht="12.75" hidden="1" customHeight="1" outlineLevel="1" x14ac:dyDescent="0.2">
      <c r="B113" s="90" t="s">
        <v>175</v>
      </c>
      <c r="C113" s="87" t="s">
        <v>130</v>
      </c>
      <c r="D113" s="91"/>
      <c r="E113" s="88"/>
    </row>
    <row r="114" spans="2:5" ht="12.75" hidden="1" customHeight="1" outlineLevel="1" x14ac:dyDescent="0.2">
      <c r="B114" s="90" t="s">
        <v>175</v>
      </c>
      <c r="C114" s="87" t="s">
        <v>131</v>
      </c>
      <c r="D114" s="91"/>
      <c r="E114" s="88"/>
    </row>
    <row r="115" spans="2:5" ht="12.75" hidden="1" customHeight="1" outlineLevel="1" x14ac:dyDescent="0.2">
      <c r="B115" s="90" t="s">
        <v>175</v>
      </c>
      <c r="C115" s="87" t="s">
        <v>132</v>
      </c>
      <c r="D115" s="91"/>
      <c r="E115" s="88"/>
    </row>
    <row r="116" spans="2:5" ht="12.75" hidden="1" customHeight="1" outlineLevel="1" x14ac:dyDescent="0.2">
      <c r="B116" s="90" t="s">
        <v>175</v>
      </c>
      <c r="C116" s="87" t="s">
        <v>133</v>
      </c>
      <c r="D116" s="91"/>
      <c r="E116" s="88"/>
    </row>
    <row r="117" spans="2:5" ht="12.75" hidden="1" customHeight="1" outlineLevel="1" x14ac:dyDescent="0.2">
      <c r="B117" s="90" t="s">
        <v>175</v>
      </c>
      <c r="C117" s="87" t="s">
        <v>134</v>
      </c>
      <c r="D117" s="91"/>
      <c r="E117" s="88"/>
    </row>
    <row r="118" spans="2:5" ht="12.75" hidden="1" customHeight="1" outlineLevel="1" x14ac:dyDescent="0.2">
      <c r="B118" s="90" t="s">
        <v>175</v>
      </c>
      <c r="C118" s="87" t="s">
        <v>135</v>
      </c>
      <c r="D118" s="91"/>
      <c r="E118" s="88"/>
    </row>
    <row r="119" spans="2:5" ht="12.75" hidden="1" customHeight="1" outlineLevel="1" x14ac:dyDescent="0.2">
      <c r="B119" s="90" t="s">
        <v>175</v>
      </c>
      <c r="C119" s="87" t="s">
        <v>136</v>
      </c>
      <c r="D119" s="91"/>
      <c r="E119" s="88"/>
    </row>
    <row r="120" spans="2:5" ht="12.75" hidden="1" customHeight="1" outlineLevel="1" x14ac:dyDescent="0.2">
      <c r="B120" s="90" t="s">
        <v>175</v>
      </c>
      <c r="C120" s="87" t="s">
        <v>137</v>
      </c>
      <c r="D120" s="91"/>
      <c r="E120" s="88"/>
    </row>
    <row r="121" spans="2:5" ht="12.75" customHeight="1" collapsed="1" x14ac:dyDescent="0.2">
      <c r="B121" s="89" t="s">
        <v>244</v>
      </c>
      <c r="C121" s="87" t="s">
        <v>128</v>
      </c>
      <c r="D121" s="87" t="s">
        <v>94</v>
      </c>
      <c r="E121" s="88"/>
    </row>
    <row r="122" spans="2:5" ht="12.75" hidden="1" customHeight="1" outlineLevel="1" x14ac:dyDescent="0.2">
      <c r="B122" s="90" t="s">
        <v>244</v>
      </c>
      <c r="C122" s="87" t="s">
        <v>129</v>
      </c>
      <c r="D122" s="91"/>
      <c r="E122" s="88"/>
    </row>
    <row r="123" spans="2:5" ht="12.75" hidden="1" customHeight="1" outlineLevel="1" x14ac:dyDescent="0.2">
      <c r="B123" s="90" t="s">
        <v>244</v>
      </c>
      <c r="C123" s="87" t="s">
        <v>130</v>
      </c>
      <c r="D123" s="91"/>
      <c r="E123" s="88"/>
    </row>
    <row r="124" spans="2:5" ht="12.75" hidden="1" customHeight="1" outlineLevel="1" x14ac:dyDescent="0.2">
      <c r="B124" s="90" t="s">
        <v>244</v>
      </c>
      <c r="C124" s="87" t="s">
        <v>131</v>
      </c>
      <c r="D124" s="91"/>
      <c r="E124" s="88"/>
    </row>
    <row r="125" spans="2:5" ht="12.75" hidden="1" customHeight="1" outlineLevel="1" x14ac:dyDescent="0.2">
      <c r="B125" s="90" t="s">
        <v>244</v>
      </c>
      <c r="C125" s="87" t="s">
        <v>132</v>
      </c>
      <c r="D125" s="91"/>
      <c r="E125" s="88"/>
    </row>
    <row r="126" spans="2:5" ht="12.75" hidden="1" customHeight="1" outlineLevel="1" x14ac:dyDescent="0.2">
      <c r="B126" s="90" t="s">
        <v>244</v>
      </c>
      <c r="C126" s="87" t="s">
        <v>133</v>
      </c>
      <c r="D126" s="91"/>
      <c r="E126" s="88"/>
    </row>
    <row r="127" spans="2:5" ht="12.75" hidden="1" customHeight="1" outlineLevel="1" x14ac:dyDescent="0.2">
      <c r="B127" s="90" t="s">
        <v>244</v>
      </c>
      <c r="C127" s="87" t="s">
        <v>134</v>
      </c>
      <c r="D127" s="91"/>
      <c r="E127" s="88"/>
    </row>
    <row r="128" spans="2:5" ht="12.75" hidden="1" customHeight="1" outlineLevel="1" x14ac:dyDescent="0.2">
      <c r="B128" s="90" t="s">
        <v>244</v>
      </c>
      <c r="C128" s="87" t="s">
        <v>135</v>
      </c>
      <c r="D128" s="91"/>
      <c r="E128" s="88"/>
    </row>
    <row r="129" spans="2:5" ht="12.75" hidden="1" customHeight="1" outlineLevel="1" x14ac:dyDescent="0.2">
      <c r="B129" s="90" t="s">
        <v>244</v>
      </c>
      <c r="C129" s="87" t="s">
        <v>136</v>
      </c>
      <c r="D129" s="91"/>
      <c r="E129" s="88"/>
    </row>
    <row r="130" spans="2:5" ht="12.75" hidden="1" customHeight="1" outlineLevel="1" x14ac:dyDescent="0.2">
      <c r="B130" s="90" t="s">
        <v>244</v>
      </c>
      <c r="C130" s="87" t="s">
        <v>137</v>
      </c>
      <c r="D130" s="91"/>
      <c r="E130" s="88"/>
    </row>
    <row r="131" spans="2:5" ht="12.75" customHeight="1" collapsed="1" x14ac:dyDescent="0.2">
      <c r="B131" s="89" t="s">
        <v>639</v>
      </c>
      <c r="C131" s="87" t="s">
        <v>130</v>
      </c>
      <c r="D131" s="87" t="s">
        <v>94</v>
      </c>
      <c r="E131" s="88"/>
    </row>
    <row r="132" spans="2:5" ht="12.75" hidden="1" customHeight="1" outlineLevel="1" x14ac:dyDescent="0.2">
      <c r="B132" s="90" t="s">
        <v>639</v>
      </c>
      <c r="C132" s="87" t="s">
        <v>131</v>
      </c>
      <c r="D132" s="91"/>
      <c r="E132" s="88"/>
    </row>
    <row r="133" spans="2:5" ht="12.75" hidden="1" customHeight="1" outlineLevel="1" x14ac:dyDescent="0.2">
      <c r="B133" s="90" t="s">
        <v>639</v>
      </c>
      <c r="C133" s="87" t="s">
        <v>132</v>
      </c>
      <c r="D133" s="91"/>
      <c r="E133" s="88"/>
    </row>
    <row r="134" spans="2:5" ht="12.75" hidden="1" customHeight="1" outlineLevel="1" x14ac:dyDescent="0.2">
      <c r="B134" s="90" t="s">
        <v>639</v>
      </c>
      <c r="C134" s="87" t="s">
        <v>133</v>
      </c>
      <c r="D134" s="91"/>
      <c r="E134" s="88"/>
    </row>
    <row r="135" spans="2:5" ht="12.75" hidden="1" customHeight="1" outlineLevel="1" x14ac:dyDescent="0.2">
      <c r="B135" s="90" t="s">
        <v>639</v>
      </c>
      <c r="C135" s="87" t="s">
        <v>134</v>
      </c>
      <c r="D135" s="91"/>
      <c r="E135" s="88"/>
    </row>
    <row r="136" spans="2:5" ht="12.75" hidden="1" customHeight="1" outlineLevel="1" x14ac:dyDescent="0.2">
      <c r="B136" s="90" t="s">
        <v>639</v>
      </c>
      <c r="C136" s="87" t="s">
        <v>135</v>
      </c>
      <c r="D136" s="91"/>
      <c r="E136" s="88"/>
    </row>
    <row r="137" spans="2:5" ht="12.75" hidden="1" customHeight="1" outlineLevel="1" x14ac:dyDescent="0.2">
      <c r="B137" s="90" t="s">
        <v>639</v>
      </c>
      <c r="C137" s="87" t="s">
        <v>136</v>
      </c>
      <c r="D137" s="91"/>
      <c r="E137" s="88"/>
    </row>
    <row r="138" spans="2:5" ht="12.75" hidden="1" customHeight="1" outlineLevel="1" x14ac:dyDescent="0.2">
      <c r="B138" s="90" t="s">
        <v>639</v>
      </c>
      <c r="C138" s="87" t="s">
        <v>137</v>
      </c>
      <c r="D138" s="91"/>
      <c r="E138" s="88"/>
    </row>
    <row r="139" spans="2:5" ht="12.75" customHeight="1" collapsed="1" x14ac:dyDescent="0.2">
      <c r="B139" s="89" t="s">
        <v>640</v>
      </c>
      <c r="C139" s="87" t="s">
        <v>122</v>
      </c>
      <c r="D139" s="87" t="s">
        <v>94</v>
      </c>
      <c r="E139" s="88"/>
    </row>
    <row r="140" spans="2:5" ht="12.75" hidden="1" customHeight="1" outlineLevel="1" x14ac:dyDescent="0.2">
      <c r="B140" s="90" t="s">
        <v>640</v>
      </c>
      <c r="C140" s="87" t="s">
        <v>123</v>
      </c>
      <c r="D140" s="91"/>
      <c r="E140" s="88"/>
    </row>
    <row r="141" spans="2:5" ht="12.75" hidden="1" customHeight="1" outlineLevel="1" x14ac:dyDescent="0.2">
      <c r="B141" s="90" t="s">
        <v>640</v>
      </c>
      <c r="C141" s="87" t="s">
        <v>124</v>
      </c>
      <c r="D141" s="91"/>
      <c r="E141" s="88"/>
    </row>
    <row r="142" spans="2:5" ht="12.75" hidden="1" customHeight="1" outlineLevel="1" x14ac:dyDescent="0.2">
      <c r="B142" s="90" t="s">
        <v>640</v>
      </c>
      <c r="C142" s="87" t="s">
        <v>125</v>
      </c>
      <c r="D142" s="91"/>
      <c r="E142" s="88"/>
    </row>
    <row r="143" spans="2:5" ht="12.75" hidden="1" customHeight="1" outlineLevel="1" x14ac:dyDescent="0.2">
      <c r="B143" s="90" t="s">
        <v>640</v>
      </c>
      <c r="C143" s="87" t="s">
        <v>126</v>
      </c>
      <c r="D143" s="91"/>
      <c r="E143" s="88"/>
    </row>
    <row r="144" spans="2:5" ht="12.75" hidden="1" customHeight="1" outlineLevel="1" x14ac:dyDescent="0.2">
      <c r="B144" s="90" t="s">
        <v>640</v>
      </c>
      <c r="C144" s="87" t="s">
        <v>127</v>
      </c>
      <c r="D144" s="91"/>
      <c r="E144" s="88"/>
    </row>
    <row r="145" spans="2:5" ht="12.75" hidden="1" customHeight="1" outlineLevel="1" x14ac:dyDescent="0.2">
      <c r="B145" s="90" t="s">
        <v>640</v>
      </c>
      <c r="C145" s="87" t="s">
        <v>128</v>
      </c>
      <c r="D145" s="91"/>
      <c r="E145" s="88"/>
    </row>
    <row r="146" spans="2:5" ht="12.75" hidden="1" customHeight="1" outlineLevel="1" x14ac:dyDescent="0.2">
      <c r="B146" s="90" t="s">
        <v>640</v>
      </c>
      <c r="C146" s="87" t="s">
        <v>129</v>
      </c>
      <c r="D146" s="91"/>
      <c r="E146" s="88"/>
    </row>
    <row r="147" spans="2:5" ht="12.75" customHeight="1" collapsed="1" x14ac:dyDescent="0.2">
      <c r="B147" s="89" t="s">
        <v>1522</v>
      </c>
      <c r="C147" s="87" t="s">
        <v>96</v>
      </c>
      <c r="D147" s="87" t="s">
        <v>185</v>
      </c>
      <c r="E147" s="88"/>
    </row>
    <row r="148" spans="2:5" ht="12.75" hidden="1" customHeight="1" outlineLevel="1" x14ac:dyDescent="0.2">
      <c r="B148" s="90" t="s">
        <v>1522</v>
      </c>
      <c r="C148" s="87" t="s">
        <v>97</v>
      </c>
      <c r="D148" s="91"/>
      <c r="E148" s="88"/>
    </row>
    <row r="149" spans="2:5" ht="12.75" hidden="1" customHeight="1" outlineLevel="1" x14ac:dyDescent="0.2">
      <c r="B149" s="90" t="s">
        <v>1522</v>
      </c>
      <c r="C149" s="87" t="s">
        <v>98</v>
      </c>
      <c r="D149" s="91"/>
      <c r="E149" s="88"/>
    </row>
    <row r="150" spans="2:5" ht="12.75" hidden="1" customHeight="1" outlineLevel="1" x14ac:dyDescent="0.2">
      <c r="B150" s="90" t="s">
        <v>1522</v>
      </c>
      <c r="C150" s="87" t="s">
        <v>893</v>
      </c>
      <c r="D150" s="91"/>
      <c r="E150" s="88"/>
    </row>
    <row r="151" spans="2:5" ht="12.75" hidden="1" customHeight="1" outlineLevel="1" x14ac:dyDescent="0.2">
      <c r="B151" s="90" t="s">
        <v>1522</v>
      </c>
      <c r="C151" s="87" t="s">
        <v>894</v>
      </c>
      <c r="D151" s="91"/>
      <c r="E151" s="88"/>
    </row>
    <row r="152" spans="2:5" ht="12.75" hidden="1" customHeight="1" outlineLevel="1" x14ac:dyDescent="0.2">
      <c r="B152" s="90" t="s">
        <v>1522</v>
      </c>
      <c r="C152" s="87" t="s">
        <v>896</v>
      </c>
      <c r="D152" s="91"/>
      <c r="E152" s="88"/>
    </row>
    <row r="153" spans="2:5" ht="12.75" hidden="1" customHeight="1" outlineLevel="1" x14ac:dyDescent="0.2">
      <c r="B153" s="90" t="s">
        <v>1522</v>
      </c>
      <c r="C153" s="87" t="s">
        <v>897</v>
      </c>
      <c r="D153" s="91"/>
      <c r="E153" s="88"/>
    </row>
    <row r="154" spans="2:5" ht="12.75" hidden="1" customHeight="1" outlineLevel="1" x14ac:dyDescent="0.2">
      <c r="B154" s="90" t="s">
        <v>1522</v>
      </c>
      <c r="C154" s="87" t="s">
        <v>908</v>
      </c>
      <c r="D154" s="91"/>
      <c r="E154" s="88"/>
    </row>
    <row r="155" spans="2:5" ht="12.75" hidden="1" customHeight="1" outlineLevel="1" x14ac:dyDescent="0.2">
      <c r="B155" s="90" t="s">
        <v>1522</v>
      </c>
      <c r="C155" s="87" t="s">
        <v>909</v>
      </c>
      <c r="D155" s="91"/>
      <c r="E155" s="88"/>
    </row>
    <row r="156" spans="2:5" ht="12.75" hidden="1" customHeight="1" outlineLevel="1" x14ac:dyDescent="0.2">
      <c r="B156" s="90" t="s">
        <v>1522</v>
      </c>
      <c r="C156" s="87" t="s">
        <v>910</v>
      </c>
      <c r="D156" s="91"/>
      <c r="E156" s="88"/>
    </row>
    <row r="157" spans="2:5" ht="12.75" customHeight="1" collapsed="1" x14ac:dyDescent="0.2">
      <c r="B157" s="89" t="s">
        <v>997</v>
      </c>
      <c r="C157" s="87" t="s">
        <v>898</v>
      </c>
      <c r="D157" s="87" t="s">
        <v>185</v>
      </c>
      <c r="E157" s="88"/>
    </row>
    <row r="158" spans="2:5" ht="12.75" hidden="1" customHeight="1" outlineLevel="1" x14ac:dyDescent="0.2">
      <c r="B158" s="90" t="s">
        <v>997</v>
      </c>
      <c r="C158" s="87" t="s">
        <v>899</v>
      </c>
      <c r="D158" s="91"/>
      <c r="E158" s="88"/>
    </row>
    <row r="159" spans="2:5" ht="12.75" hidden="1" customHeight="1" outlineLevel="1" x14ac:dyDescent="0.2">
      <c r="B159" s="90" t="s">
        <v>997</v>
      </c>
      <c r="C159" s="87" t="s">
        <v>900</v>
      </c>
      <c r="D159" s="91"/>
      <c r="E159" s="88"/>
    </row>
    <row r="160" spans="2:5" ht="12.75" hidden="1" customHeight="1" outlineLevel="1" x14ac:dyDescent="0.2">
      <c r="B160" s="90" t="s">
        <v>997</v>
      </c>
      <c r="C160" s="87" t="s">
        <v>904</v>
      </c>
      <c r="D160" s="91"/>
      <c r="E160" s="88"/>
    </row>
    <row r="161" spans="2:5" ht="12.75" hidden="1" customHeight="1" outlineLevel="1" x14ac:dyDescent="0.2">
      <c r="B161" s="90" t="s">
        <v>997</v>
      </c>
      <c r="C161" s="87" t="s">
        <v>901</v>
      </c>
      <c r="D161" s="91"/>
      <c r="E161" s="88"/>
    </row>
    <row r="162" spans="2:5" ht="12.75" hidden="1" customHeight="1" outlineLevel="1" x14ac:dyDescent="0.2">
      <c r="B162" s="90" t="s">
        <v>997</v>
      </c>
      <c r="C162" s="87" t="s">
        <v>905</v>
      </c>
      <c r="D162" s="91"/>
      <c r="E162" s="88"/>
    </row>
    <row r="163" spans="2:5" ht="12.75" hidden="1" customHeight="1" outlineLevel="1" x14ac:dyDescent="0.2">
      <c r="B163" s="90" t="s">
        <v>997</v>
      </c>
      <c r="C163" s="87" t="s">
        <v>902</v>
      </c>
      <c r="D163" s="91"/>
      <c r="E163" s="88"/>
    </row>
    <row r="164" spans="2:5" ht="12.75" hidden="1" customHeight="1" outlineLevel="1" x14ac:dyDescent="0.2">
      <c r="B164" s="90" t="s">
        <v>997</v>
      </c>
      <c r="C164" s="87" t="s">
        <v>906</v>
      </c>
      <c r="D164" s="91"/>
      <c r="E164" s="88"/>
    </row>
    <row r="165" spans="2:5" ht="12.75" hidden="1" customHeight="1" outlineLevel="1" x14ac:dyDescent="0.2">
      <c r="B165" s="90" t="s">
        <v>997</v>
      </c>
      <c r="C165" s="87" t="s">
        <v>903</v>
      </c>
      <c r="D165" s="91"/>
      <c r="E165" s="88"/>
    </row>
    <row r="166" spans="2:5" ht="12.75" hidden="1" customHeight="1" outlineLevel="1" x14ac:dyDescent="0.2">
      <c r="B166" s="90" t="s">
        <v>997</v>
      </c>
      <c r="C166" s="87" t="s">
        <v>907</v>
      </c>
      <c r="D166" s="91"/>
      <c r="E166" s="88"/>
    </row>
    <row r="167" spans="2:5" ht="12.75" customHeight="1" collapsed="1" x14ac:dyDescent="0.2">
      <c r="B167" s="89" t="s">
        <v>947</v>
      </c>
      <c r="C167" s="87" t="s">
        <v>95</v>
      </c>
      <c r="D167" s="87" t="s">
        <v>94</v>
      </c>
      <c r="E167" s="88"/>
    </row>
    <row r="168" spans="2:5" ht="12.75" hidden="1" customHeight="1" outlineLevel="1" x14ac:dyDescent="0.2">
      <c r="B168" s="90" t="s">
        <v>947</v>
      </c>
      <c r="C168" s="87" t="s">
        <v>893</v>
      </c>
      <c r="D168" s="91"/>
      <c r="E168" s="88"/>
    </row>
    <row r="169" spans="2:5" ht="12.75" hidden="1" customHeight="1" outlineLevel="1" x14ac:dyDescent="0.2">
      <c r="B169" s="90" t="s">
        <v>947</v>
      </c>
      <c r="C169" s="87" t="s">
        <v>894</v>
      </c>
      <c r="D169" s="91"/>
      <c r="E169" s="88"/>
    </row>
    <row r="170" spans="2:5" ht="12.75" hidden="1" customHeight="1" outlineLevel="1" x14ac:dyDescent="0.2">
      <c r="B170" s="90" t="s">
        <v>947</v>
      </c>
      <c r="C170" s="87" t="s">
        <v>895</v>
      </c>
      <c r="D170" s="91"/>
      <c r="E170" s="88"/>
    </row>
    <row r="171" spans="2:5" ht="12.75" hidden="1" customHeight="1" outlineLevel="1" x14ac:dyDescent="0.2">
      <c r="B171" s="90" t="s">
        <v>947</v>
      </c>
      <c r="C171" s="87" t="s">
        <v>896</v>
      </c>
      <c r="D171" s="91"/>
      <c r="E171" s="88"/>
    </row>
    <row r="172" spans="2:5" ht="12.75" hidden="1" customHeight="1" outlineLevel="1" x14ac:dyDescent="0.2">
      <c r="B172" s="90" t="s">
        <v>947</v>
      </c>
      <c r="C172" s="87" t="s">
        <v>897</v>
      </c>
      <c r="D172" s="91"/>
      <c r="E172" s="88"/>
    </row>
    <row r="173" spans="2:5" ht="12.75" hidden="1" customHeight="1" outlineLevel="1" x14ac:dyDescent="0.2">
      <c r="B173" s="90" t="s">
        <v>947</v>
      </c>
      <c r="C173" s="87" t="s">
        <v>898</v>
      </c>
      <c r="D173" s="91"/>
      <c r="E173" s="88"/>
    </row>
    <row r="174" spans="2:5" ht="12.75" hidden="1" customHeight="1" outlineLevel="1" x14ac:dyDescent="0.2">
      <c r="B174" s="90" t="s">
        <v>947</v>
      </c>
      <c r="C174" s="87" t="s">
        <v>899</v>
      </c>
      <c r="D174" s="91"/>
      <c r="E174" s="88"/>
    </row>
    <row r="175" spans="2:5" ht="12.75" hidden="1" customHeight="1" outlineLevel="1" x14ac:dyDescent="0.2">
      <c r="B175" s="90" t="s">
        <v>947</v>
      </c>
      <c r="C175" s="87" t="s">
        <v>900</v>
      </c>
      <c r="D175" s="91"/>
      <c r="E175" s="88"/>
    </row>
    <row r="176" spans="2:5" ht="12.75" hidden="1" customHeight="1" outlineLevel="1" x14ac:dyDescent="0.2">
      <c r="B176" s="90" t="s">
        <v>947</v>
      </c>
      <c r="C176" s="87" t="s">
        <v>904</v>
      </c>
      <c r="D176" s="91"/>
      <c r="E176" s="88"/>
    </row>
    <row r="177" spans="2:5" ht="12.75" hidden="1" customHeight="1" outlineLevel="1" x14ac:dyDescent="0.2">
      <c r="B177" s="90" t="s">
        <v>947</v>
      </c>
      <c r="C177" s="87" t="s">
        <v>901</v>
      </c>
      <c r="D177" s="91"/>
      <c r="E177" s="88"/>
    </row>
    <row r="178" spans="2:5" ht="12.75" hidden="1" customHeight="1" outlineLevel="1" x14ac:dyDescent="0.2">
      <c r="B178" s="90" t="s">
        <v>947</v>
      </c>
      <c r="C178" s="87" t="s">
        <v>905</v>
      </c>
      <c r="D178" s="91"/>
      <c r="E178" s="88"/>
    </row>
    <row r="179" spans="2:5" ht="12.75" hidden="1" customHeight="1" outlineLevel="1" x14ac:dyDescent="0.2">
      <c r="B179" s="90" t="s">
        <v>947</v>
      </c>
      <c r="C179" s="87" t="s">
        <v>902</v>
      </c>
      <c r="D179" s="91"/>
      <c r="E179" s="88"/>
    </row>
    <row r="180" spans="2:5" ht="12.75" hidden="1" customHeight="1" outlineLevel="1" x14ac:dyDescent="0.2">
      <c r="B180" s="90" t="s">
        <v>947</v>
      </c>
      <c r="C180" s="87" t="s">
        <v>906</v>
      </c>
      <c r="D180" s="91"/>
      <c r="E180" s="88"/>
    </row>
    <row r="181" spans="2:5" ht="12.75" hidden="1" customHeight="1" outlineLevel="1" x14ac:dyDescent="0.2">
      <c r="B181" s="90" t="s">
        <v>947</v>
      </c>
      <c r="C181" s="87" t="s">
        <v>903</v>
      </c>
      <c r="D181" s="91"/>
      <c r="E181" s="88"/>
    </row>
    <row r="182" spans="2:5" ht="12.75" hidden="1" customHeight="1" outlineLevel="1" x14ac:dyDescent="0.2">
      <c r="B182" s="90" t="s">
        <v>947</v>
      </c>
      <c r="C182" s="87" t="s">
        <v>907</v>
      </c>
      <c r="D182" s="91"/>
      <c r="E182" s="88"/>
    </row>
    <row r="183" spans="2:5" ht="12.75" hidden="1" customHeight="1" outlineLevel="1" x14ac:dyDescent="0.2">
      <c r="B183" s="90" t="s">
        <v>947</v>
      </c>
      <c r="C183" s="87" t="s">
        <v>911</v>
      </c>
      <c r="D183" s="91"/>
      <c r="E183" s="88"/>
    </row>
    <row r="184" spans="2:5" ht="12.75" hidden="1" customHeight="1" outlineLevel="1" x14ac:dyDescent="0.2">
      <c r="B184" s="90" t="s">
        <v>947</v>
      </c>
      <c r="C184" s="87" t="s">
        <v>908</v>
      </c>
      <c r="D184" s="91"/>
      <c r="E184" s="88"/>
    </row>
    <row r="185" spans="2:5" ht="12.75" hidden="1" customHeight="1" outlineLevel="1" x14ac:dyDescent="0.2">
      <c r="B185" s="90" t="s">
        <v>947</v>
      </c>
      <c r="C185" s="87" t="s">
        <v>909</v>
      </c>
      <c r="D185" s="91"/>
      <c r="E185" s="88"/>
    </row>
    <row r="186" spans="2:5" ht="12.75" hidden="1" customHeight="1" outlineLevel="1" x14ac:dyDescent="0.2">
      <c r="B186" s="90" t="s">
        <v>947</v>
      </c>
      <c r="C186" s="87" t="s">
        <v>910</v>
      </c>
      <c r="D186" s="91"/>
      <c r="E186" s="88"/>
    </row>
    <row r="187" spans="2:5" ht="12.75" hidden="1" customHeight="1" outlineLevel="1" x14ac:dyDescent="0.2">
      <c r="B187" s="90" t="s">
        <v>947</v>
      </c>
      <c r="C187" s="87" t="s">
        <v>96</v>
      </c>
      <c r="D187" s="91"/>
      <c r="E187" s="88"/>
    </row>
    <row r="188" spans="2:5" ht="12.75" hidden="1" customHeight="1" outlineLevel="1" x14ac:dyDescent="0.2">
      <c r="B188" s="90" t="s">
        <v>947</v>
      </c>
      <c r="C188" s="87" t="s">
        <v>99</v>
      </c>
      <c r="D188" s="91"/>
      <c r="E188" s="88"/>
    </row>
    <row r="189" spans="2:5" ht="12.75" hidden="1" customHeight="1" outlineLevel="1" x14ac:dyDescent="0.2">
      <c r="B189" s="90" t="s">
        <v>947</v>
      </c>
      <c r="C189" s="87" t="s">
        <v>944</v>
      </c>
      <c r="D189" s="91"/>
      <c r="E189" s="88"/>
    </row>
    <row r="190" spans="2:5" ht="12.75" hidden="1" customHeight="1" outlineLevel="1" x14ac:dyDescent="0.2">
      <c r="B190" s="90" t="s">
        <v>947</v>
      </c>
      <c r="C190" s="87" t="s">
        <v>943</v>
      </c>
      <c r="D190" s="91"/>
      <c r="E190" s="88"/>
    </row>
    <row r="191" spans="2:5" ht="12.75" hidden="1" customHeight="1" outlineLevel="1" x14ac:dyDescent="0.2">
      <c r="B191" s="90" t="s">
        <v>947</v>
      </c>
      <c r="C191" s="87" t="s">
        <v>934</v>
      </c>
      <c r="D191" s="91"/>
      <c r="E191" s="88"/>
    </row>
    <row r="192" spans="2:5" ht="12.75" hidden="1" customHeight="1" outlineLevel="1" x14ac:dyDescent="0.2">
      <c r="B192" s="90" t="s">
        <v>947</v>
      </c>
      <c r="C192" s="87" t="s">
        <v>933</v>
      </c>
      <c r="D192" s="91"/>
      <c r="E192" s="88"/>
    </row>
    <row r="193" spans="2:5" ht="12.75" hidden="1" customHeight="1" outlineLevel="1" x14ac:dyDescent="0.2">
      <c r="B193" s="90" t="s">
        <v>947</v>
      </c>
      <c r="C193" s="87" t="s">
        <v>932</v>
      </c>
      <c r="D193" s="91"/>
      <c r="E193" s="88"/>
    </row>
    <row r="194" spans="2:5" ht="12.75" hidden="1" customHeight="1" outlineLevel="1" x14ac:dyDescent="0.2">
      <c r="B194" s="90" t="s">
        <v>947</v>
      </c>
      <c r="C194" s="87" t="s">
        <v>931</v>
      </c>
      <c r="D194" s="91"/>
      <c r="E194" s="88"/>
    </row>
    <row r="195" spans="2:5" ht="12.75" hidden="1" customHeight="1" outlineLevel="1" x14ac:dyDescent="0.2">
      <c r="B195" s="90" t="s">
        <v>947</v>
      </c>
      <c r="C195" s="87" t="s">
        <v>930</v>
      </c>
      <c r="D195" s="91"/>
      <c r="E195" s="88"/>
    </row>
    <row r="196" spans="2:5" ht="12.75" hidden="1" customHeight="1" outlineLevel="1" x14ac:dyDescent="0.2">
      <c r="B196" s="90" t="s">
        <v>947</v>
      </c>
      <c r="C196" s="87" t="s">
        <v>929</v>
      </c>
      <c r="D196" s="91"/>
      <c r="E196" s="88"/>
    </row>
    <row r="197" spans="2:5" ht="12.75" hidden="1" customHeight="1" outlineLevel="1" x14ac:dyDescent="0.2">
      <c r="B197" s="90" t="s">
        <v>947</v>
      </c>
      <c r="C197" s="87" t="s">
        <v>928</v>
      </c>
      <c r="D197" s="91"/>
      <c r="E197" s="88"/>
    </row>
    <row r="198" spans="2:5" ht="12.75" hidden="1" customHeight="1" outlineLevel="1" x14ac:dyDescent="0.2">
      <c r="B198" s="90" t="s">
        <v>947</v>
      </c>
      <c r="C198" s="87" t="s">
        <v>927</v>
      </c>
      <c r="D198" s="91"/>
      <c r="E198" s="88"/>
    </row>
    <row r="199" spans="2:5" ht="12.75" hidden="1" customHeight="1" outlineLevel="1" x14ac:dyDescent="0.2">
      <c r="B199" s="90" t="s">
        <v>947</v>
      </c>
      <c r="C199" s="87" t="s">
        <v>926</v>
      </c>
      <c r="D199" s="91"/>
      <c r="E199" s="88"/>
    </row>
    <row r="200" spans="2:5" ht="12.75" hidden="1" customHeight="1" outlineLevel="1" x14ac:dyDescent="0.2">
      <c r="B200" s="90" t="s">
        <v>947</v>
      </c>
      <c r="C200" s="87" t="s">
        <v>925</v>
      </c>
      <c r="D200" s="91"/>
      <c r="E200" s="88"/>
    </row>
    <row r="201" spans="2:5" ht="12.75" hidden="1" customHeight="1" outlineLevel="1" x14ac:dyDescent="0.2">
      <c r="B201" s="90" t="s">
        <v>947</v>
      </c>
      <c r="C201" s="87" t="s">
        <v>942</v>
      </c>
      <c r="D201" s="91"/>
      <c r="E201" s="88"/>
    </row>
    <row r="202" spans="2:5" ht="12.75" hidden="1" customHeight="1" outlineLevel="1" x14ac:dyDescent="0.2">
      <c r="B202" s="90" t="s">
        <v>947</v>
      </c>
      <c r="C202" s="87" t="s">
        <v>924</v>
      </c>
      <c r="D202" s="91"/>
      <c r="E202" s="88"/>
    </row>
    <row r="203" spans="2:5" ht="12.75" hidden="1" customHeight="1" outlineLevel="1" x14ac:dyDescent="0.2">
      <c r="B203" s="90" t="s">
        <v>947</v>
      </c>
      <c r="C203" s="87" t="s">
        <v>923</v>
      </c>
      <c r="D203" s="91"/>
      <c r="E203" s="88"/>
    </row>
    <row r="204" spans="2:5" ht="12.75" hidden="1" customHeight="1" outlineLevel="1" x14ac:dyDescent="0.2">
      <c r="B204" s="90" t="s">
        <v>947</v>
      </c>
      <c r="C204" s="87" t="s">
        <v>922</v>
      </c>
      <c r="D204" s="91"/>
      <c r="E204" s="88"/>
    </row>
    <row r="205" spans="2:5" ht="12.75" hidden="1" customHeight="1" outlineLevel="1" x14ac:dyDescent="0.2">
      <c r="B205" s="90" t="s">
        <v>947</v>
      </c>
      <c r="C205" s="87" t="s">
        <v>921</v>
      </c>
      <c r="D205" s="91"/>
      <c r="E205" s="88"/>
    </row>
    <row r="206" spans="2:5" ht="12.75" hidden="1" customHeight="1" outlineLevel="1" x14ac:dyDescent="0.2">
      <c r="B206" s="90" t="s">
        <v>947</v>
      </c>
      <c r="C206" s="87" t="s">
        <v>920</v>
      </c>
      <c r="D206" s="91"/>
      <c r="E206" s="88"/>
    </row>
    <row r="207" spans="2:5" ht="12.75" hidden="1" customHeight="1" outlineLevel="1" x14ac:dyDescent="0.2">
      <c r="B207" s="90" t="s">
        <v>947</v>
      </c>
      <c r="C207" s="87" t="s">
        <v>919</v>
      </c>
      <c r="D207" s="91"/>
      <c r="E207" s="88"/>
    </row>
    <row r="208" spans="2:5" ht="12.75" hidden="1" customHeight="1" outlineLevel="1" x14ac:dyDescent="0.2">
      <c r="B208" s="90" t="s">
        <v>947</v>
      </c>
      <c r="C208" s="87" t="s">
        <v>918</v>
      </c>
      <c r="D208" s="91"/>
      <c r="E208" s="88"/>
    </row>
    <row r="209" spans="2:5" ht="12.75" hidden="1" customHeight="1" outlineLevel="1" x14ac:dyDescent="0.2">
      <c r="B209" s="90" t="s">
        <v>947</v>
      </c>
      <c r="C209" s="87" t="s">
        <v>917</v>
      </c>
      <c r="D209" s="91"/>
      <c r="E209" s="88"/>
    </row>
    <row r="210" spans="2:5" ht="12.75" hidden="1" customHeight="1" outlineLevel="1" x14ac:dyDescent="0.2">
      <c r="B210" s="90" t="s">
        <v>947</v>
      </c>
      <c r="C210" s="87" t="s">
        <v>916</v>
      </c>
      <c r="D210" s="91"/>
      <c r="E210" s="88"/>
    </row>
    <row r="211" spans="2:5" ht="12.75" hidden="1" customHeight="1" outlineLevel="1" x14ac:dyDescent="0.2">
      <c r="B211" s="90" t="s">
        <v>947</v>
      </c>
      <c r="C211" s="87" t="s">
        <v>915</v>
      </c>
      <c r="D211" s="91"/>
      <c r="E211" s="88"/>
    </row>
    <row r="212" spans="2:5" ht="12.75" hidden="1" customHeight="1" outlineLevel="1" x14ac:dyDescent="0.2">
      <c r="B212" s="90" t="s">
        <v>947</v>
      </c>
      <c r="C212" s="87" t="s">
        <v>941</v>
      </c>
      <c r="D212" s="91"/>
      <c r="E212" s="88"/>
    </row>
    <row r="213" spans="2:5" ht="12.75" hidden="1" customHeight="1" outlineLevel="1" x14ac:dyDescent="0.2">
      <c r="B213" s="90" t="s">
        <v>947</v>
      </c>
      <c r="C213" s="87" t="s">
        <v>914</v>
      </c>
      <c r="D213" s="91"/>
      <c r="E213" s="88"/>
    </row>
    <row r="214" spans="2:5" ht="12.75" hidden="1" customHeight="1" outlineLevel="1" x14ac:dyDescent="0.2">
      <c r="B214" s="90" t="s">
        <v>947</v>
      </c>
      <c r="C214" s="87" t="s">
        <v>913</v>
      </c>
      <c r="D214" s="91"/>
      <c r="E214" s="88"/>
    </row>
    <row r="215" spans="2:5" ht="12.75" hidden="1" customHeight="1" outlineLevel="1" x14ac:dyDescent="0.2">
      <c r="B215" s="90" t="s">
        <v>947</v>
      </c>
      <c r="C215" s="87" t="s">
        <v>940</v>
      </c>
      <c r="D215" s="91"/>
      <c r="E215" s="88"/>
    </row>
    <row r="216" spans="2:5" ht="12.75" hidden="1" customHeight="1" outlineLevel="1" x14ac:dyDescent="0.2">
      <c r="B216" s="90" t="s">
        <v>947</v>
      </c>
      <c r="C216" s="87" t="s">
        <v>939</v>
      </c>
      <c r="D216" s="91"/>
      <c r="E216" s="88"/>
    </row>
    <row r="217" spans="2:5" ht="12.75" hidden="1" customHeight="1" outlineLevel="1" x14ac:dyDescent="0.2">
      <c r="B217" s="90" t="s">
        <v>947</v>
      </c>
      <c r="C217" s="87" t="s">
        <v>938</v>
      </c>
      <c r="D217" s="91"/>
      <c r="E217" s="88"/>
    </row>
    <row r="218" spans="2:5" ht="12.75" hidden="1" customHeight="1" outlineLevel="1" x14ac:dyDescent="0.2">
      <c r="B218" s="90" t="s">
        <v>947</v>
      </c>
      <c r="C218" s="87" t="s">
        <v>937</v>
      </c>
      <c r="D218" s="91"/>
      <c r="E218" s="88"/>
    </row>
    <row r="219" spans="2:5" ht="12.75" hidden="1" customHeight="1" outlineLevel="1" x14ac:dyDescent="0.2">
      <c r="B219" s="90" t="s">
        <v>947</v>
      </c>
      <c r="C219" s="87" t="s">
        <v>936</v>
      </c>
      <c r="D219" s="91"/>
      <c r="E219" s="88"/>
    </row>
    <row r="220" spans="2:5" ht="12.75" hidden="1" customHeight="1" outlineLevel="1" x14ac:dyDescent="0.2">
      <c r="B220" s="90" t="s">
        <v>947</v>
      </c>
      <c r="C220" s="87" t="s">
        <v>935</v>
      </c>
      <c r="D220" s="91"/>
      <c r="E220" s="88"/>
    </row>
    <row r="221" spans="2:5" ht="12.75" hidden="1" customHeight="1" outlineLevel="1" x14ac:dyDescent="0.2">
      <c r="B221" s="90" t="s">
        <v>947</v>
      </c>
      <c r="C221" s="87" t="s">
        <v>945</v>
      </c>
      <c r="D221" s="91"/>
      <c r="E221" s="88"/>
    </row>
    <row r="222" spans="2:5" ht="12.75" hidden="1" customHeight="1" outlineLevel="1" x14ac:dyDescent="0.2">
      <c r="B222" s="90" t="s">
        <v>947</v>
      </c>
      <c r="C222" s="87" t="s">
        <v>946</v>
      </c>
      <c r="D222" s="91"/>
      <c r="E222" s="88"/>
    </row>
    <row r="223" spans="2:5" ht="12.75" hidden="1" customHeight="1" outlineLevel="1" x14ac:dyDescent="0.2">
      <c r="B223" s="90" t="s">
        <v>947</v>
      </c>
      <c r="C223" s="87" t="s">
        <v>912</v>
      </c>
      <c r="D223" s="91"/>
      <c r="E223" s="88"/>
    </row>
    <row r="224" spans="2:5" ht="12.75" hidden="1" customHeight="1" outlineLevel="1" x14ac:dyDescent="0.2">
      <c r="B224" s="90" t="s">
        <v>947</v>
      </c>
      <c r="C224" s="87" t="s">
        <v>98</v>
      </c>
      <c r="D224" s="91"/>
      <c r="E224" s="88"/>
    </row>
    <row r="225" spans="2:5" ht="12.75" hidden="1" customHeight="1" outlineLevel="1" x14ac:dyDescent="0.2">
      <c r="B225" s="90" t="s">
        <v>947</v>
      </c>
      <c r="C225" s="87" t="s">
        <v>97</v>
      </c>
      <c r="D225" s="91"/>
      <c r="E225" s="88"/>
    </row>
    <row r="226" spans="2:5" ht="12.75" hidden="1" customHeight="1" outlineLevel="1" x14ac:dyDescent="0.2">
      <c r="B226" s="90" t="s">
        <v>947</v>
      </c>
      <c r="C226" s="87" t="s">
        <v>121</v>
      </c>
      <c r="D226" s="91"/>
      <c r="E226" s="88"/>
    </row>
    <row r="227" spans="2:5" ht="12.75" hidden="1" customHeight="1" outlineLevel="1" x14ac:dyDescent="0.2">
      <c r="B227" s="90" t="s">
        <v>947</v>
      </c>
      <c r="C227" s="87" t="s">
        <v>103</v>
      </c>
      <c r="D227" s="91"/>
      <c r="E227" s="88"/>
    </row>
    <row r="228" spans="2:5" ht="12.75" hidden="1" customHeight="1" outlineLevel="1" x14ac:dyDescent="0.2">
      <c r="B228" s="90" t="s">
        <v>947</v>
      </c>
      <c r="C228" s="87" t="s">
        <v>111</v>
      </c>
      <c r="D228" s="91"/>
      <c r="E228" s="88"/>
    </row>
    <row r="229" spans="2:5" ht="12.75" hidden="1" customHeight="1" outlineLevel="1" x14ac:dyDescent="0.2">
      <c r="B229" s="90" t="s">
        <v>947</v>
      </c>
      <c r="C229" s="87" t="s">
        <v>109</v>
      </c>
      <c r="D229" s="91"/>
      <c r="E229" s="88"/>
    </row>
    <row r="230" spans="2:5" ht="12.75" customHeight="1" collapsed="1" x14ac:dyDescent="0.2">
      <c r="B230" s="89" t="s">
        <v>990</v>
      </c>
      <c r="C230" s="87" t="s">
        <v>912</v>
      </c>
      <c r="D230" s="87" t="s">
        <v>185</v>
      </c>
      <c r="E230" s="88" t="s">
        <v>1452</v>
      </c>
    </row>
    <row r="231" spans="2:5" ht="12.75" hidden="1" customHeight="1" outlineLevel="1" x14ac:dyDescent="0.2">
      <c r="B231" s="90" t="s">
        <v>990</v>
      </c>
      <c r="C231" s="87" t="s">
        <v>946</v>
      </c>
      <c r="D231" s="91"/>
      <c r="E231" s="88"/>
    </row>
    <row r="232" spans="2:5" ht="12.75" hidden="1" customHeight="1" outlineLevel="1" x14ac:dyDescent="0.2">
      <c r="B232" s="90" t="s">
        <v>990</v>
      </c>
      <c r="C232" s="87" t="s">
        <v>945</v>
      </c>
      <c r="D232" s="91"/>
      <c r="E232" s="88"/>
    </row>
    <row r="233" spans="2:5" ht="12.75" hidden="1" customHeight="1" outlineLevel="1" x14ac:dyDescent="0.2">
      <c r="B233" s="90" t="s">
        <v>990</v>
      </c>
      <c r="C233" s="87" t="s">
        <v>944</v>
      </c>
      <c r="D233" s="91"/>
      <c r="E233" s="88"/>
    </row>
    <row r="234" spans="2:5" ht="12.75" hidden="1" customHeight="1" outlineLevel="1" x14ac:dyDescent="0.2">
      <c r="B234" s="90" t="s">
        <v>990</v>
      </c>
      <c r="C234" s="87" t="s">
        <v>943</v>
      </c>
      <c r="D234" s="91"/>
      <c r="E234" s="88"/>
    </row>
    <row r="235" spans="2:5" ht="12.75" hidden="1" customHeight="1" outlineLevel="1" x14ac:dyDescent="0.2">
      <c r="B235" s="90" t="s">
        <v>990</v>
      </c>
      <c r="C235" s="87" t="s">
        <v>942</v>
      </c>
      <c r="D235" s="91"/>
      <c r="E235" s="88"/>
    </row>
    <row r="236" spans="2:5" ht="12.75" hidden="1" customHeight="1" outlineLevel="1" x14ac:dyDescent="0.2">
      <c r="B236" s="90" t="s">
        <v>990</v>
      </c>
      <c r="C236" s="87" t="s">
        <v>941</v>
      </c>
      <c r="D236" s="91"/>
      <c r="E236" s="88"/>
    </row>
    <row r="237" spans="2:5" ht="12.75" hidden="1" customHeight="1" outlineLevel="1" x14ac:dyDescent="0.2">
      <c r="B237" s="90" t="s">
        <v>990</v>
      </c>
      <c r="C237" s="87" t="s">
        <v>940</v>
      </c>
      <c r="D237" s="91"/>
      <c r="E237" s="88"/>
    </row>
    <row r="238" spans="2:5" ht="12.75" hidden="1" customHeight="1" outlineLevel="1" x14ac:dyDescent="0.2">
      <c r="B238" s="90" t="s">
        <v>990</v>
      </c>
      <c r="C238" s="87" t="s">
        <v>939</v>
      </c>
      <c r="D238" s="91"/>
      <c r="E238" s="88"/>
    </row>
    <row r="239" spans="2:5" ht="12.75" hidden="1" customHeight="1" outlineLevel="1" x14ac:dyDescent="0.2">
      <c r="B239" s="90" t="s">
        <v>990</v>
      </c>
      <c r="C239" s="87" t="s">
        <v>938</v>
      </c>
      <c r="D239" s="91"/>
      <c r="E239" s="88"/>
    </row>
    <row r="240" spans="2:5" ht="12.75" hidden="1" customHeight="1" outlineLevel="1" x14ac:dyDescent="0.2">
      <c r="B240" s="90" t="s">
        <v>990</v>
      </c>
      <c r="C240" s="87" t="s">
        <v>937</v>
      </c>
      <c r="D240" s="91"/>
      <c r="E240" s="88"/>
    </row>
    <row r="241" spans="2:5" ht="12.75" hidden="1" customHeight="1" outlineLevel="1" x14ac:dyDescent="0.2">
      <c r="B241" s="90" t="s">
        <v>990</v>
      </c>
      <c r="C241" s="87" t="s">
        <v>936</v>
      </c>
      <c r="D241" s="91"/>
      <c r="E241" s="88"/>
    </row>
    <row r="242" spans="2:5" ht="12.75" hidden="1" customHeight="1" outlineLevel="1" x14ac:dyDescent="0.2">
      <c r="B242" s="90" t="s">
        <v>990</v>
      </c>
      <c r="C242" s="87" t="s">
        <v>935</v>
      </c>
      <c r="D242" s="91"/>
      <c r="E242" s="88"/>
    </row>
    <row r="243" spans="2:5" ht="12.75" hidden="1" customHeight="1" outlineLevel="1" x14ac:dyDescent="0.2">
      <c r="B243" s="90" t="s">
        <v>990</v>
      </c>
      <c r="C243" s="87" t="s">
        <v>934</v>
      </c>
      <c r="D243" s="91"/>
      <c r="E243" s="88"/>
    </row>
    <row r="244" spans="2:5" ht="12.75" hidden="1" customHeight="1" outlineLevel="1" x14ac:dyDescent="0.2">
      <c r="B244" s="90" t="s">
        <v>990</v>
      </c>
      <c r="C244" s="87" t="s">
        <v>933</v>
      </c>
      <c r="D244" s="91"/>
      <c r="E244" s="88"/>
    </row>
    <row r="245" spans="2:5" ht="12.75" hidden="1" customHeight="1" outlineLevel="1" x14ac:dyDescent="0.2">
      <c r="B245" s="90" t="s">
        <v>990</v>
      </c>
      <c r="C245" s="87" t="s">
        <v>932</v>
      </c>
      <c r="D245" s="91"/>
      <c r="E245" s="88"/>
    </row>
    <row r="246" spans="2:5" ht="12.75" hidden="1" customHeight="1" outlineLevel="1" x14ac:dyDescent="0.2">
      <c r="B246" s="90" t="s">
        <v>990</v>
      </c>
      <c r="C246" s="87" t="s">
        <v>931</v>
      </c>
      <c r="D246" s="91"/>
      <c r="E246" s="88"/>
    </row>
    <row r="247" spans="2:5" ht="12.75" hidden="1" customHeight="1" outlineLevel="1" x14ac:dyDescent="0.2">
      <c r="B247" s="90" t="s">
        <v>990</v>
      </c>
      <c r="C247" s="87" t="s">
        <v>930</v>
      </c>
      <c r="D247" s="91"/>
      <c r="E247" s="88"/>
    </row>
    <row r="248" spans="2:5" ht="12.75" hidden="1" customHeight="1" outlineLevel="1" x14ac:dyDescent="0.2">
      <c r="B248" s="90" t="s">
        <v>990</v>
      </c>
      <c r="C248" s="87" t="s">
        <v>929</v>
      </c>
      <c r="D248" s="91"/>
      <c r="E248" s="88"/>
    </row>
    <row r="249" spans="2:5" ht="12.75" hidden="1" customHeight="1" outlineLevel="1" x14ac:dyDescent="0.2">
      <c r="B249" s="90" t="s">
        <v>990</v>
      </c>
      <c r="C249" s="87" t="s">
        <v>928</v>
      </c>
      <c r="D249" s="91"/>
      <c r="E249" s="88"/>
    </row>
    <row r="250" spans="2:5" ht="12.75" hidden="1" customHeight="1" outlineLevel="1" x14ac:dyDescent="0.2">
      <c r="B250" s="90" t="s">
        <v>990</v>
      </c>
      <c r="C250" s="87" t="s">
        <v>927</v>
      </c>
      <c r="D250" s="91"/>
      <c r="E250" s="88"/>
    </row>
    <row r="251" spans="2:5" ht="12.75" hidden="1" customHeight="1" outlineLevel="1" x14ac:dyDescent="0.2">
      <c r="B251" s="90" t="s">
        <v>990</v>
      </c>
      <c r="C251" s="87" t="s">
        <v>926</v>
      </c>
      <c r="D251" s="91"/>
      <c r="E251" s="88"/>
    </row>
    <row r="252" spans="2:5" ht="12.75" hidden="1" customHeight="1" outlineLevel="1" x14ac:dyDescent="0.2">
      <c r="B252" s="90" t="s">
        <v>990</v>
      </c>
      <c r="C252" s="87" t="s">
        <v>925</v>
      </c>
      <c r="D252" s="91"/>
      <c r="E252" s="88"/>
    </row>
    <row r="253" spans="2:5" ht="12.75" hidden="1" customHeight="1" outlineLevel="1" x14ac:dyDescent="0.2">
      <c r="B253" s="90" t="s">
        <v>990</v>
      </c>
      <c r="C253" s="87" t="s">
        <v>924</v>
      </c>
      <c r="D253" s="91"/>
      <c r="E253" s="88"/>
    </row>
    <row r="254" spans="2:5" ht="12.75" hidden="1" customHeight="1" outlineLevel="1" x14ac:dyDescent="0.2">
      <c r="B254" s="90" t="s">
        <v>990</v>
      </c>
      <c r="C254" s="87" t="s">
        <v>923</v>
      </c>
      <c r="D254" s="91"/>
      <c r="E254" s="88"/>
    </row>
    <row r="255" spans="2:5" ht="12.75" hidden="1" customHeight="1" outlineLevel="1" x14ac:dyDescent="0.2">
      <c r="B255" s="90" t="s">
        <v>990</v>
      </c>
      <c r="C255" s="87" t="s">
        <v>922</v>
      </c>
      <c r="D255" s="91"/>
      <c r="E255" s="88"/>
    </row>
    <row r="256" spans="2:5" ht="12.75" hidden="1" customHeight="1" outlineLevel="1" x14ac:dyDescent="0.2">
      <c r="B256" s="90" t="s">
        <v>990</v>
      </c>
      <c r="C256" s="87" t="s">
        <v>921</v>
      </c>
      <c r="D256" s="91"/>
      <c r="E256" s="88"/>
    </row>
    <row r="257" spans="2:5" ht="12.75" hidden="1" customHeight="1" outlineLevel="1" x14ac:dyDescent="0.2">
      <c r="B257" s="90" t="s">
        <v>990</v>
      </c>
      <c r="C257" s="87" t="s">
        <v>920</v>
      </c>
      <c r="D257" s="91"/>
      <c r="E257" s="88"/>
    </row>
    <row r="258" spans="2:5" ht="12.75" hidden="1" customHeight="1" outlineLevel="1" x14ac:dyDescent="0.2">
      <c r="B258" s="90" t="s">
        <v>990</v>
      </c>
      <c r="C258" s="87" t="s">
        <v>919</v>
      </c>
      <c r="D258" s="91"/>
      <c r="E258" s="88"/>
    </row>
    <row r="259" spans="2:5" ht="12.75" hidden="1" customHeight="1" outlineLevel="1" x14ac:dyDescent="0.2">
      <c r="B259" s="90" t="s">
        <v>990</v>
      </c>
      <c r="C259" s="87" t="s">
        <v>918</v>
      </c>
      <c r="D259" s="91"/>
      <c r="E259" s="88"/>
    </row>
    <row r="260" spans="2:5" ht="12.75" hidden="1" customHeight="1" outlineLevel="1" x14ac:dyDescent="0.2">
      <c r="B260" s="90" t="s">
        <v>990</v>
      </c>
      <c r="C260" s="87" t="s">
        <v>917</v>
      </c>
      <c r="D260" s="91"/>
      <c r="E260" s="88"/>
    </row>
    <row r="261" spans="2:5" ht="12.75" hidden="1" customHeight="1" outlineLevel="1" x14ac:dyDescent="0.2">
      <c r="B261" s="90" t="s">
        <v>990</v>
      </c>
      <c r="C261" s="87" t="s">
        <v>916</v>
      </c>
      <c r="D261" s="91"/>
      <c r="E261" s="88"/>
    </row>
    <row r="262" spans="2:5" ht="12.75" hidden="1" customHeight="1" outlineLevel="1" x14ac:dyDescent="0.2">
      <c r="B262" s="90" t="s">
        <v>990</v>
      </c>
      <c r="C262" s="87" t="s">
        <v>915</v>
      </c>
      <c r="D262" s="91"/>
      <c r="E262" s="88"/>
    </row>
    <row r="263" spans="2:5" ht="12.75" hidden="1" customHeight="1" outlineLevel="1" x14ac:dyDescent="0.2">
      <c r="B263" s="90" t="s">
        <v>990</v>
      </c>
      <c r="C263" s="87" t="s">
        <v>914</v>
      </c>
      <c r="D263" s="91"/>
      <c r="E263" s="88"/>
    </row>
    <row r="264" spans="2:5" ht="12.75" hidden="1" customHeight="1" outlineLevel="1" x14ac:dyDescent="0.2">
      <c r="B264" s="90" t="s">
        <v>990</v>
      </c>
      <c r="C264" s="87" t="s">
        <v>913</v>
      </c>
      <c r="D264" s="91"/>
      <c r="E264" s="88"/>
    </row>
    <row r="265" spans="2:5" ht="12.75" hidden="1" customHeight="1" outlineLevel="1" x14ac:dyDescent="0.2">
      <c r="B265" s="90" t="s">
        <v>990</v>
      </c>
      <c r="C265" s="87" t="s">
        <v>103</v>
      </c>
      <c r="D265" s="91"/>
      <c r="E265" s="88"/>
    </row>
    <row r="266" spans="2:5" ht="12.75" customHeight="1" collapsed="1" x14ac:dyDescent="0.2">
      <c r="B266" s="89" t="s">
        <v>993</v>
      </c>
      <c r="C266" s="87" t="s">
        <v>96</v>
      </c>
      <c r="D266" s="87" t="s">
        <v>185</v>
      </c>
      <c r="E266" s="88" t="s">
        <v>1452</v>
      </c>
    </row>
    <row r="267" spans="2:5" ht="12.75" hidden="1" customHeight="1" outlineLevel="1" x14ac:dyDescent="0.2">
      <c r="B267" s="90" t="s">
        <v>993</v>
      </c>
      <c r="C267" s="87" t="s">
        <v>97</v>
      </c>
      <c r="D267" s="91"/>
      <c r="E267" s="88"/>
    </row>
    <row r="268" spans="2:5" ht="12.75" hidden="1" customHeight="1" outlineLevel="1" x14ac:dyDescent="0.2">
      <c r="B268" s="90" t="s">
        <v>993</v>
      </c>
      <c r="C268" s="87" t="s">
        <v>98</v>
      </c>
      <c r="D268" s="91"/>
      <c r="E268" s="88"/>
    </row>
    <row r="269" spans="2:5" ht="12.75" hidden="1" customHeight="1" outlineLevel="1" x14ac:dyDescent="0.2">
      <c r="B269" s="90" t="s">
        <v>993</v>
      </c>
      <c r="C269" s="87" t="s">
        <v>893</v>
      </c>
      <c r="D269" s="91"/>
      <c r="E269" s="88"/>
    </row>
    <row r="270" spans="2:5" ht="12.75" hidden="1" customHeight="1" outlineLevel="1" x14ac:dyDescent="0.2">
      <c r="B270" s="90" t="s">
        <v>993</v>
      </c>
      <c r="C270" s="87" t="s">
        <v>894</v>
      </c>
      <c r="D270" s="91"/>
      <c r="E270" s="88"/>
    </row>
    <row r="271" spans="2:5" ht="12.75" hidden="1" customHeight="1" outlineLevel="1" x14ac:dyDescent="0.2">
      <c r="B271" s="90" t="s">
        <v>993</v>
      </c>
      <c r="C271" s="87" t="s">
        <v>896</v>
      </c>
      <c r="D271" s="91"/>
      <c r="E271" s="88"/>
    </row>
    <row r="272" spans="2:5" ht="12.75" hidden="1" customHeight="1" outlineLevel="1" x14ac:dyDescent="0.2">
      <c r="B272" s="90" t="s">
        <v>993</v>
      </c>
      <c r="C272" s="87" t="s">
        <v>897</v>
      </c>
      <c r="D272" s="91"/>
      <c r="E272" s="88"/>
    </row>
    <row r="273" spans="2:5" ht="12.75" hidden="1" customHeight="1" outlineLevel="1" x14ac:dyDescent="0.2">
      <c r="B273" s="90" t="s">
        <v>993</v>
      </c>
      <c r="C273" s="87" t="s">
        <v>908</v>
      </c>
      <c r="D273" s="91"/>
      <c r="E273" s="88"/>
    </row>
    <row r="274" spans="2:5" ht="12.75" hidden="1" customHeight="1" outlineLevel="1" x14ac:dyDescent="0.2">
      <c r="B274" s="90" t="s">
        <v>993</v>
      </c>
      <c r="C274" s="87" t="s">
        <v>909</v>
      </c>
      <c r="D274" s="91"/>
      <c r="E274" s="88"/>
    </row>
    <row r="275" spans="2:5" ht="12.75" hidden="1" customHeight="1" outlineLevel="1" x14ac:dyDescent="0.2">
      <c r="B275" s="90" t="s">
        <v>993</v>
      </c>
      <c r="C275" s="87" t="s">
        <v>910</v>
      </c>
      <c r="D275" s="91"/>
      <c r="E275" s="88"/>
    </row>
    <row r="276" spans="2:5" ht="12.75" hidden="1" customHeight="1" outlineLevel="1" x14ac:dyDescent="0.2">
      <c r="B276" s="90" t="s">
        <v>993</v>
      </c>
      <c r="C276" s="87" t="s">
        <v>898</v>
      </c>
      <c r="D276" s="91"/>
      <c r="E276" s="88"/>
    </row>
    <row r="277" spans="2:5" ht="12.75" hidden="1" customHeight="1" outlineLevel="1" x14ac:dyDescent="0.2">
      <c r="B277" s="90" t="s">
        <v>993</v>
      </c>
      <c r="C277" s="87" t="s">
        <v>899</v>
      </c>
      <c r="D277" s="91"/>
      <c r="E277" s="88"/>
    </row>
    <row r="278" spans="2:5" ht="12.75" hidden="1" customHeight="1" outlineLevel="1" x14ac:dyDescent="0.2">
      <c r="B278" s="90" t="s">
        <v>993</v>
      </c>
      <c r="C278" s="87" t="s">
        <v>900</v>
      </c>
      <c r="D278" s="91"/>
      <c r="E278" s="88"/>
    </row>
    <row r="279" spans="2:5" ht="12.75" hidden="1" customHeight="1" outlineLevel="1" x14ac:dyDescent="0.2">
      <c r="B279" s="90" t="s">
        <v>993</v>
      </c>
      <c r="C279" s="87" t="s">
        <v>904</v>
      </c>
      <c r="D279" s="91"/>
      <c r="E279" s="88"/>
    </row>
    <row r="280" spans="2:5" ht="12.75" hidden="1" customHeight="1" outlineLevel="1" x14ac:dyDescent="0.2">
      <c r="B280" s="90" t="s">
        <v>993</v>
      </c>
      <c r="C280" s="87" t="s">
        <v>901</v>
      </c>
      <c r="D280" s="91"/>
      <c r="E280" s="88"/>
    </row>
    <row r="281" spans="2:5" ht="12.75" hidden="1" customHeight="1" outlineLevel="1" x14ac:dyDescent="0.2">
      <c r="B281" s="90" t="s">
        <v>993</v>
      </c>
      <c r="C281" s="87" t="s">
        <v>905</v>
      </c>
      <c r="D281" s="91"/>
      <c r="E281" s="88"/>
    </row>
    <row r="282" spans="2:5" ht="12.75" hidden="1" customHeight="1" outlineLevel="1" x14ac:dyDescent="0.2">
      <c r="B282" s="90" t="s">
        <v>993</v>
      </c>
      <c r="C282" s="87" t="s">
        <v>902</v>
      </c>
      <c r="D282" s="91"/>
      <c r="E282" s="88"/>
    </row>
    <row r="283" spans="2:5" ht="12.75" hidden="1" customHeight="1" outlineLevel="1" x14ac:dyDescent="0.2">
      <c r="B283" s="90" t="s">
        <v>993</v>
      </c>
      <c r="C283" s="87" t="s">
        <v>906</v>
      </c>
      <c r="D283" s="91"/>
      <c r="E283" s="88"/>
    </row>
    <row r="284" spans="2:5" ht="12.75" hidden="1" customHeight="1" outlineLevel="1" x14ac:dyDescent="0.2">
      <c r="B284" s="90" t="s">
        <v>993</v>
      </c>
      <c r="C284" s="87" t="s">
        <v>903</v>
      </c>
      <c r="D284" s="91"/>
      <c r="E284" s="88"/>
    </row>
    <row r="285" spans="2:5" ht="12.75" hidden="1" customHeight="1" outlineLevel="1" x14ac:dyDescent="0.2">
      <c r="B285" s="90" t="s">
        <v>993</v>
      </c>
      <c r="C285" s="87" t="s">
        <v>907</v>
      </c>
      <c r="D285" s="91"/>
      <c r="E285" s="88"/>
    </row>
    <row r="286" spans="2:5" ht="12.75" customHeight="1" collapsed="1" x14ac:dyDescent="0.2">
      <c r="B286" s="89" t="s">
        <v>481</v>
      </c>
      <c r="C286" s="87" t="s">
        <v>100</v>
      </c>
      <c r="D286" s="87" t="s">
        <v>173</v>
      </c>
      <c r="E286" s="88"/>
    </row>
    <row r="287" spans="2:5" ht="12.75" hidden="1" customHeight="1" outlineLevel="1" x14ac:dyDescent="0.2">
      <c r="B287" s="90" t="s">
        <v>481</v>
      </c>
      <c r="C287" s="87" t="s">
        <v>105</v>
      </c>
      <c r="D287" s="91"/>
      <c r="E287" s="88"/>
    </row>
    <row r="288" spans="2:5" ht="12.75" hidden="1" customHeight="1" outlineLevel="1" x14ac:dyDescent="0.2">
      <c r="B288" s="90" t="s">
        <v>481</v>
      </c>
      <c r="C288" s="87" t="s">
        <v>107</v>
      </c>
      <c r="D288" s="91"/>
      <c r="E288" s="88"/>
    </row>
    <row r="289" spans="2:5" ht="12.75" hidden="1" customHeight="1" outlineLevel="1" x14ac:dyDescent="0.2">
      <c r="B289" s="90" t="s">
        <v>481</v>
      </c>
      <c r="C289" s="87" t="s">
        <v>113</v>
      </c>
      <c r="D289" s="91"/>
      <c r="E289" s="88"/>
    </row>
    <row r="290" spans="2:5" ht="12.75" hidden="1" customHeight="1" outlineLevel="1" x14ac:dyDescent="0.2">
      <c r="B290" s="90" t="s">
        <v>481</v>
      </c>
      <c r="C290" s="87" t="s">
        <v>115</v>
      </c>
      <c r="D290" s="91"/>
      <c r="E290" s="88"/>
    </row>
    <row r="291" spans="2:5" ht="12.75" hidden="1" customHeight="1" outlineLevel="1" x14ac:dyDescent="0.2">
      <c r="B291" s="90" t="s">
        <v>481</v>
      </c>
      <c r="C291" s="87" t="s">
        <v>116</v>
      </c>
      <c r="D291" s="91"/>
      <c r="E291" s="88"/>
    </row>
    <row r="292" spans="2:5" ht="12.75" hidden="1" customHeight="1" outlineLevel="1" x14ac:dyDescent="0.2">
      <c r="B292" s="90" t="s">
        <v>481</v>
      </c>
      <c r="C292" s="87" t="s">
        <v>118</v>
      </c>
      <c r="D292" s="91"/>
      <c r="E292" s="88"/>
    </row>
    <row r="293" spans="2:5" ht="12.75" customHeight="1" collapsed="1" x14ac:dyDescent="0.2">
      <c r="B293" s="89" t="s">
        <v>602</v>
      </c>
      <c r="C293" s="87" t="s">
        <v>95</v>
      </c>
      <c r="D293" s="87" t="s">
        <v>94</v>
      </c>
      <c r="E293" s="88"/>
    </row>
    <row r="294" spans="2:5" ht="12.75" hidden="1" customHeight="1" outlineLevel="1" x14ac:dyDescent="0.2">
      <c r="B294" s="90" t="s">
        <v>602</v>
      </c>
      <c r="C294" s="87" t="s">
        <v>96</v>
      </c>
      <c r="D294" s="91"/>
      <c r="E294" s="88"/>
    </row>
    <row r="295" spans="2:5" ht="12.75" hidden="1" customHeight="1" outlineLevel="1" x14ac:dyDescent="0.2">
      <c r="B295" s="90" t="s">
        <v>602</v>
      </c>
      <c r="C295" s="87" t="s">
        <v>911</v>
      </c>
      <c r="D295" s="91"/>
      <c r="E295" s="88"/>
    </row>
    <row r="296" spans="2:5" ht="12.75" hidden="1" customHeight="1" outlineLevel="1" x14ac:dyDescent="0.2">
      <c r="B296" s="90" t="s">
        <v>602</v>
      </c>
      <c r="C296" s="87" t="s">
        <v>908</v>
      </c>
      <c r="D296" s="91"/>
      <c r="E296" s="88"/>
    </row>
    <row r="297" spans="2:5" ht="12.75" hidden="1" customHeight="1" outlineLevel="1" x14ac:dyDescent="0.2">
      <c r="B297" s="90" t="s">
        <v>602</v>
      </c>
      <c r="C297" s="87" t="s">
        <v>909</v>
      </c>
      <c r="D297" s="91"/>
      <c r="E297" s="88"/>
    </row>
    <row r="298" spans="2:5" ht="12.75" hidden="1" customHeight="1" outlineLevel="1" x14ac:dyDescent="0.2">
      <c r="B298" s="90" t="s">
        <v>602</v>
      </c>
      <c r="C298" s="87" t="s">
        <v>910</v>
      </c>
      <c r="D298" s="91"/>
      <c r="E298" s="88"/>
    </row>
    <row r="299" spans="2:5" ht="12.75" hidden="1" customHeight="1" outlineLevel="1" x14ac:dyDescent="0.2">
      <c r="B299" s="90" t="s">
        <v>602</v>
      </c>
      <c r="C299" s="87" t="s">
        <v>893</v>
      </c>
      <c r="D299" s="91"/>
      <c r="E299" s="88"/>
    </row>
    <row r="300" spans="2:5" ht="12.75" hidden="1" customHeight="1" outlineLevel="1" x14ac:dyDescent="0.2">
      <c r="B300" s="90" t="s">
        <v>602</v>
      </c>
      <c r="C300" s="87" t="s">
        <v>894</v>
      </c>
      <c r="D300" s="91"/>
      <c r="E300" s="88"/>
    </row>
    <row r="301" spans="2:5" ht="12.75" hidden="1" customHeight="1" outlineLevel="1" x14ac:dyDescent="0.2">
      <c r="B301" s="90" t="s">
        <v>602</v>
      </c>
      <c r="C301" s="87" t="s">
        <v>895</v>
      </c>
      <c r="D301" s="91"/>
      <c r="E301" s="88"/>
    </row>
    <row r="302" spans="2:5" ht="12.75" hidden="1" customHeight="1" outlineLevel="1" x14ac:dyDescent="0.2">
      <c r="B302" s="90" t="s">
        <v>602</v>
      </c>
      <c r="C302" s="87" t="s">
        <v>896</v>
      </c>
      <c r="D302" s="91"/>
      <c r="E302" s="88"/>
    </row>
    <row r="303" spans="2:5" ht="12.75" hidden="1" customHeight="1" outlineLevel="1" x14ac:dyDescent="0.2">
      <c r="B303" s="90" t="s">
        <v>602</v>
      </c>
      <c r="C303" s="87" t="s">
        <v>897</v>
      </c>
      <c r="D303" s="91"/>
      <c r="E303" s="88"/>
    </row>
    <row r="304" spans="2:5" ht="12.75" hidden="1" customHeight="1" outlineLevel="1" x14ac:dyDescent="0.2">
      <c r="B304" s="90" t="s">
        <v>602</v>
      </c>
      <c r="C304" s="87" t="s">
        <v>99</v>
      </c>
      <c r="D304" s="91"/>
      <c r="E304" s="88"/>
    </row>
    <row r="305" spans="2:5" ht="12.75" hidden="1" customHeight="1" outlineLevel="1" x14ac:dyDescent="0.2">
      <c r="B305" s="90" t="s">
        <v>602</v>
      </c>
      <c r="C305" s="87" t="s">
        <v>898</v>
      </c>
      <c r="D305" s="91"/>
      <c r="E305" s="88"/>
    </row>
    <row r="306" spans="2:5" ht="12.75" hidden="1" customHeight="1" outlineLevel="1" x14ac:dyDescent="0.2">
      <c r="B306" s="90" t="s">
        <v>602</v>
      </c>
      <c r="C306" s="87" t="s">
        <v>899</v>
      </c>
      <c r="D306" s="91"/>
      <c r="E306" s="88"/>
    </row>
    <row r="307" spans="2:5" ht="12.75" hidden="1" customHeight="1" outlineLevel="1" x14ac:dyDescent="0.2">
      <c r="B307" s="90" t="s">
        <v>602</v>
      </c>
      <c r="C307" s="87" t="s">
        <v>900</v>
      </c>
      <c r="D307" s="91"/>
      <c r="E307" s="88"/>
    </row>
    <row r="308" spans="2:5" ht="12.75" hidden="1" customHeight="1" outlineLevel="1" x14ac:dyDescent="0.2">
      <c r="B308" s="90" t="s">
        <v>602</v>
      </c>
      <c r="C308" s="87" t="s">
        <v>904</v>
      </c>
      <c r="D308" s="91"/>
      <c r="E308" s="88"/>
    </row>
    <row r="309" spans="2:5" ht="12.75" hidden="1" customHeight="1" outlineLevel="1" x14ac:dyDescent="0.2">
      <c r="B309" s="90" t="s">
        <v>602</v>
      </c>
      <c r="C309" s="87" t="s">
        <v>901</v>
      </c>
      <c r="D309" s="91"/>
      <c r="E309" s="88"/>
    </row>
    <row r="310" spans="2:5" ht="12.75" hidden="1" customHeight="1" outlineLevel="1" x14ac:dyDescent="0.2">
      <c r="B310" s="90" t="s">
        <v>602</v>
      </c>
      <c r="C310" s="87" t="s">
        <v>905</v>
      </c>
      <c r="D310" s="91"/>
      <c r="E310" s="88"/>
    </row>
    <row r="311" spans="2:5" ht="12.75" hidden="1" customHeight="1" outlineLevel="1" x14ac:dyDescent="0.2">
      <c r="B311" s="90" t="s">
        <v>602</v>
      </c>
      <c r="C311" s="87" t="s">
        <v>902</v>
      </c>
      <c r="D311" s="91"/>
      <c r="E311" s="88"/>
    </row>
    <row r="312" spans="2:5" ht="12.75" hidden="1" customHeight="1" outlineLevel="1" x14ac:dyDescent="0.2">
      <c r="B312" s="90" t="s">
        <v>602</v>
      </c>
      <c r="C312" s="87" t="s">
        <v>906</v>
      </c>
      <c r="D312" s="91"/>
      <c r="E312" s="88"/>
    </row>
    <row r="313" spans="2:5" ht="12.75" hidden="1" customHeight="1" outlineLevel="1" x14ac:dyDescent="0.2">
      <c r="B313" s="90" t="s">
        <v>602</v>
      </c>
      <c r="C313" s="87" t="s">
        <v>903</v>
      </c>
      <c r="D313" s="91"/>
      <c r="E313" s="88"/>
    </row>
    <row r="314" spans="2:5" ht="12.75" hidden="1" customHeight="1" outlineLevel="1" x14ac:dyDescent="0.2">
      <c r="B314" s="90" t="s">
        <v>602</v>
      </c>
      <c r="C314" s="87" t="s">
        <v>907</v>
      </c>
      <c r="D314" s="91"/>
      <c r="E314" s="88"/>
    </row>
    <row r="315" spans="2:5" ht="12.75" hidden="1" customHeight="1" outlineLevel="1" x14ac:dyDescent="0.2">
      <c r="B315" s="90" t="s">
        <v>602</v>
      </c>
      <c r="C315" s="87" t="s">
        <v>944</v>
      </c>
      <c r="D315" s="91"/>
      <c r="E315" s="88"/>
    </row>
    <row r="316" spans="2:5" ht="12.75" hidden="1" customHeight="1" outlineLevel="1" x14ac:dyDescent="0.2">
      <c r="B316" s="90" t="s">
        <v>602</v>
      </c>
      <c r="C316" s="87" t="s">
        <v>943</v>
      </c>
      <c r="D316" s="91"/>
      <c r="E316" s="88"/>
    </row>
    <row r="317" spans="2:5" ht="12.75" hidden="1" customHeight="1" outlineLevel="1" x14ac:dyDescent="0.2">
      <c r="B317" s="90" t="s">
        <v>602</v>
      </c>
      <c r="C317" s="87" t="s">
        <v>934</v>
      </c>
      <c r="D317" s="91"/>
      <c r="E317" s="88"/>
    </row>
    <row r="318" spans="2:5" ht="12.75" hidden="1" customHeight="1" outlineLevel="1" x14ac:dyDescent="0.2">
      <c r="B318" s="90" t="s">
        <v>602</v>
      </c>
      <c r="C318" s="87" t="s">
        <v>933</v>
      </c>
      <c r="D318" s="91"/>
      <c r="E318" s="88"/>
    </row>
    <row r="319" spans="2:5" ht="12.75" hidden="1" customHeight="1" outlineLevel="1" x14ac:dyDescent="0.2">
      <c r="B319" s="90" t="s">
        <v>602</v>
      </c>
      <c r="C319" s="87" t="s">
        <v>932</v>
      </c>
      <c r="D319" s="91"/>
      <c r="E319" s="88"/>
    </row>
    <row r="320" spans="2:5" ht="12.75" hidden="1" customHeight="1" outlineLevel="1" x14ac:dyDescent="0.2">
      <c r="B320" s="90" t="s">
        <v>602</v>
      </c>
      <c r="C320" s="87" t="s">
        <v>931</v>
      </c>
      <c r="D320" s="91"/>
      <c r="E320" s="88"/>
    </row>
    <row r="321" spans="2:5" ht="12.75" hidden="1" customHeight="1" outlineLevel="1" x14ac:dyDescent="0.2">
      <c r="B321" s="90" t="s">
        <v>602</v>
      </c>
      <c r="C321" s="87" t="s">
        <v>930</v>
      </c>
      <c r="D321" s="91"/>
      <c r="E321" s="88"/>
    </row>
    <row r="322" spans="2:5" ht="12.75" hidden="1" customHeight="1" outlineLevel="1" x14ac:dyDescent="0.2">
      <c r="B322" s="90" t="s">
        <v>602</v>
      </c>
      <c r="C322" s="87" t="s">
        <v>929</v>
      </c>
      <c r="D322" s="91"/>
      <c r="E322" s="88"/>
    </row>
    <row r="323" spans="2:5" ht="12.75" hidden="1" customHeight="1" outlineLevel="1" x14ac:dyDescent="0.2">
      <c r="B323" s="90" t="s">
        <v>602</v>
      </c>
      <c r="C323" s="87" t="s">
        <v>928</v>
      </c>
      <c r="D323" s="91"/>
      <c r="E323" s="88"/>
    </row>
    <row r="324" spans="2:5" ht="12.75" hidden="1" customHeight="1" outlineLevel="1" x14ac:dyDescent="0.2">
      <c r="B324" s="90" t="s">
        <v>602</v>
      </c>
      <c r="C324" s="87" t="s">
        <v>927</v>
      </c>
      <c r="D324" s="91"/>
      <c r="E324" s="88"/>
    </row>
    <row r="325" spans="2:5" ht="12.75" hidden="1" customHeight="1" outlineLevel="1" x14ac:dyDescent="0.2">
      <c r="B325" s="90" t="s">
        <v>602</v>
      </c>
      <c r="C325" s="87" t="s">
        <v>926</v>
      </c>
      <c r="D325" s="91"/>
      <c r="E325" s="88"/>
    </row>
    <row r="326" spans="2:5" ht="12.75" hidden="1" customHeight="1" outlineLevel="1" x14ac:dyDescent="0.2">
      <c r="B326" s="90" t="s">
        <v>602</v>
      </c>
      <c r="C326" s="87" t="s">
        <v>925</v>
      </c>
      <c r="D326" s="91"/>
      <c r="E326" s="88"/>
    </row>
    <row r="327" spans="2:5" ht="12.75" hidden="1" customHeight="1" outlineLevel="1" x14ac:dyDescent="0.2">
      <c r="B327" s="90" t="s">
        <v>602</v>
      </c>
      <c r="C327" s="87" t="s">
        <v>942</v>
      </c>
      <c r="D327" s="91"/>
      <c r="E327" s="88"/>
    </row>
    <row r="328" spans="2:5" ht="12.75" hidden="1" customHeight="1" outlineLevel="1" x14ac:dyDescent="0.2">
      <c r="B328" s="90" t="s">
        <v>602</v>
      </c>
      <c r="C328" s="87" t="s">
        <v>924</v>
      </c>
      <c r="D328" s="91"/>
      <c r="E328" s="88"/>
    </row>
    <row r="329" spans="2:5" ht="12.75" hidden="1" customHeight="1" outlineLevel="1" x14ac:dyDescent="0.2">
      <c r="B329" s="90" t="s">
        <v>602</v>
      </c>
      <c r="C329" s="87" t="s">
        <v>923</v>
      </c>
      <c r="D329" s="91"/>
      <c r="E329" s="88"/>
    </row>
    <row r="330" spans="2:5" ht="12.75" hidden="1" customHeight="1" outlineLevel="1" x14ac:dyDescent="0.2">
      <c r="B330" s="90" t="s">
        <v>602</v>
      </c>
      <c r="C330" s="87" t="s">
        <v>922</v>
      </c>
      <c r="D330" s="91"/>
      <c r="E330" s="88"/>
    </row>
    <row r="331" spans="2:5" ht="12.75" hidden="1" customHeight="1" outlineLevel="1" x14ac:dyDescent="0.2">
      <c r="B331" s="90" t="s">
        <v>602</v>
      </c>
      <c r="C331" s="87" t="s">
        <v>921</v>
      </c>
      <c r="D331" s="91"/>
      <c r="E331" s="88"/>
    </row>
    <row r="332" spans="2:5" ht="12.75" hidden="1" customHeight="1" outlineLevel="1" x14ac:dyDescent="0.2">
      <c r="B332" s="90" t="s">
        <v>602</v>
      </c>
      <c r="C332" s="87" t="s">
        <v>920</v>
      </c>
      <c r="D332" s="91"/>
      <c r="E332" s="88"/>
    </row>
    <row r="333" spans="2:5" ht="12.75" hidden="1" customHeight="1" outlineLevel="1" x14ac:dyDescent="0.2">
      <c r="B333" s="90" t="s">
        <v>602</v>
      </c>
      <c r="C333" s="87" t="s">
        <v>919</v>
      </c>
      <c r="D333" s="91"/>
      <c r="E333" s="88"/>
    </row>
    <row r="334" spans="2:5" ht="12.75" hidden="1" customHeight="1" outlineLevel="1" x14ac:dyDescent="0.2">
      <c r="B334" s="90" t="s">
        <v>602</v>
      </c>
      <c r="C334" s="87" t="s">
        <v>918</v>
      </c>
      <c r="D334" s="91"/>
      <c r="E334" s="88"/>
    </row>
    <row r="335" spans="2:5" ht="12.75" hidden="1" customHeight="1" outlineLevel="1" x14ac:dyDescent="0.2">
      <c r="B335" s="90" t="s">
        <v>602</v>
      </c>
      <c r="C335" s="87" t="s">
        <v>917</v>
      </c>
      <c r="D335" s="91"/>
      <c r="E335" s="88"/>
    </row>
    <row r="336" spans="2:5" ht="12.75" hidden="1" customHeight="1" outlineLevel="1" x14ac:dyDescent="0.2">
      <c r="B336" s="90" t="s">
        <v>602</v>
      </c>
      <c r="C336" s="87" t="s">
        <v>916</v>
      </c>
      <c r="D336" s="91"/>
      <c r="E336" s="88"/>
    </row>
    <row r="337" spans="2:5" ht="12.75" hidden="1" customHeight="1" outlineLevel="1" x14ac:dyDescent="0.2">
      <c r="B337" s="90" t="s">
        <v>602</v>
      </c>
      <c r="C337" s="87" t="s">
        <v>915</v>
      </c>
      <c r="D337" s="91"/>
      <c r="E337" s="88"/>
    </row>
    <row r="338" spans="2:5" ht="12.75" hidden="1" customHeight="1" outlineLevel="1" x14ac:dyDescent="0.2">
      <c r="B338" s="90" t="s">
        <v>602</v>
      </c>
      <c r="C338" s="87" t="s">
        <v>941</v>
      </c>
      <c r="D338" s="91"/>
      <c r="E338" s="88"/>
    </row>
    <row r="339" spans="2:5" ht="12.75" hidden="1" customHeight="1" outlineLevel="1" x14ac:dyDescent="0.2">
      <c r="B339" s="90" t="s">
        <v>602</v>
      </c>
      <c r="C339" s="87" t="s">
        <v>914</v>
      </c>
      <c r="D339" s="91"/>
      <c r="E339" s="88"/>
    </row>
    <row r="340" spans="2:5" ht="12.75" hidden="1" customHeight="1" outlineLevel="1" x14ac:dyDescent="0.2">
      <c r="B340" s="90" t="s">
        <v>602</v>
      </c>
      <c r="C340" s="87" t="s">
        <v>913</v>
      </c>
      <c r="D340" s="91"/>
      <c r="E340" s="88"/>
    </row>
    <row r="341" spans="2:5" ht="12.75" hidden="1" customHeight="1" outlineLevel="1" x14ac:dyDescent="0.2">
      <c r="B341" s="90" t="s">
        <v>602</v>
      </c>
      <c r="C341" s="87" t="s">
        <v>940</v>
      </c>
      <c r="D341" s="91"/>
      <c r="E341" s="88"/>
    </row>
    <row r="342" spans="2:5" ht="12.75" hidden="1" customHeight="1" outlineLevel="1" x14ac:dyDescent="0.2">
      <c r="B342" s="90" t="s">
        <v>602</v>
      </c>
      <c r="C342" s="87" t="s">
        <v>939</v>
      </c>
      <c r="D342" s="91"/>
      <c r="E342" s="88"/>
    </row>
    <row r="343" spans="2:5" ht="12.75" hidden="1" customHeight="1" outlineLevel="1" x14ac:dyDescent="0.2">
      <c r="B343" s="90" t="s">
        <v>602</v>
      </c>
      <c r="C343" s="87" t="s">
        <v>938</v>
      </c>
      <c r="D343" s="91"/>
      <c r="E343" s="88"/>
    </row>
    <row r="344" spans="2:5" ht="12.75" hidden="1" customHeight="1" outlineLevel="1" x14ac:dyDescent="0.2">
      <c r="B344" s="90" t="s">
        <v>602</v>
      </c>
      <c r="C344" s="87" t="s">
        <v>937</v>
      </c>
      <c r="D344" s="91"/>
      <c r="E344" s="88"/>
    </row>
    <row r="345" spans="2:5" ht="12.75" hidden="1" customHeight="1" outlineLevel="1" x14ac:dyDescent="0.2">
      <c r="B345" s="90" t="s">
        <v>602</v>
      </c>
      <c r="C345" s="87" t="s">
        <v>936</v>
      </c>
      <c r="D345" s="91"/>
      <c r="E345" s="88"/>
    </row>
    <row r="346" spans="2:5" ht="12.75" hidden="1" customHeight="1" outlineLevel="1" x14ac:dyDescent="0.2">
      <c r="B346" s="90" t="s">
        <v>602</v>
      </c>
      <c r="C346" s="87" t="s">
        <v>935</v>
      </c>
      <c r="D346" s="91"/>
      <c r="E346" s="88"/>
    </row>
    <row r="347" spans="2:5" ht="12.75" hidden="1" customHeight="1" outlineLevel="1" x14ac:dyDescent="0.2">
      <c r="B347" s="90" t="s">
        <v>602</v>
      </c>
      <c r="C347" s="87" t="s">
        <v>945</v>
      </c>
      <c r="D347" s="91"/>
      <c r="E347" s="88"/>
    </row>
    <row r="348" spans="2:5" ht="12.75" hidden="1" customHeight="1" outlineLevel="1" x14ac:dyDescent="0.2">
      <c r="B348" s="90" t="s">
        <v>602</v>
      </c>
      <c r="C348" s="87" t="s">
        <v>946</v>
      </c>
      <c r="D348" s="91"/>
      <c r="E348" s="88"/>
    </row>
    <row r="349" spans="2:5" ht="12.75" hidden="1" customHeight="1" outlineLevel="1" x14ac:dyDescent="0.2">
      <c r="B349" s="90" t="s">
        <v>602</v>
      </c>
      <c r="C349" s="87" t="s">
        <v>912</v>
      </c>
      <c r="D349" s="91"/>
      <c r="E349" s="88"/>
    </row>
    <row r="350" spans="2:5" ht="12.75" hidden="1" customHeight="1" outlineLevel="1" x14ac:dyDescent="0.2">
      <c r="B350" s="90" t="s">
        <v>602</v>
      </c>
      <c r="C350" s="87" t="s">
        <v>97</v>
      </c>
      <c r="D350" s="91"/>
      <c r="E350" s="88"/>
    </row>
    <row r="351" spans="2:5" ht="12.75" hidden="1" customHeight="1" outlineLevel="1" x14ac:dyDescent="0.2">
      <c r="B351" s="90" t="s">
        <v>602</v>
      </c>
      <c r="C351" s="87" t="s">
        <v>98</v>
      </c>
      <c r="D351" s="91"/>
      <c r="E351" s="88"/>
    </row>
    <row r="352" spans="2:5" ht="12.75" hidden="1" customHeight="1" outlineLevel="1" x14ac:dyDescent="0.2">
      <c r="B352" s="90" t="s">
        <v>602</v>
      </c>
      <c r="C352" s="87" t="s">
        <v>122</v>
      </c>
      <c r="D352" s="91"/>
      <c r="E352" s="88"/>
    </row>
    <row r="353" spans="2:5" ht="12.75" hidden="1" customHeight="1" outlineLevel="1" x14ac:dyDescent="0.2">
      <c r="B353" s="90" t="s">
        <v>602</v>
      </c>
      <c r="C353" s="87" t="s">
        <v>123</v>
      </c>
      <c r="D353" s="91"/>
      <c r="E353" s="88"/>
    </row>
    <row r="354" spans="2:5" ht="12.75" hidden="1" customHeight="1" outlineLevel="1" x14ac:dyDescent="0.2">
      <c r="B354" s="90" t="s">
        <v>602</v>
      </c>
      <c r="C354" s="87" t="s">
        <v>124</v>
      </c>
      <c r="D354" s="91"/>
      <c r="E354" s="88"/>
    </row>
    <row r="355" spans="2:5" ht="12.75" hidden="1" customHeight="1" outlineLevel="1" x14ac:dyDescent="0.2">
      <c r="B355" s="90" t="s">
        <v>602</v>
      </c>
      <c r="C355" s="87" t="s">
        <v>125</v>
      </c>
      <c r="D355" s="91"/>
      <c r="E355" s="88"/>
    </row>
    <row r="356" spans="2:5" ht="12.75" hidden="1" customHeight="1" outlineLevel="1" x14ac:dyDescent="0.2">
      <c r="B356" s="90" t="s">
        <v>602</v>
      </c>
      <c r="C356" s="87" t="s">
        <v>126</v>
      </c>
      <c r="D356" s="91"/>
      <c r="E356" s="88"/>
    </row>
    <row r="357" spans="2:5" ht="12.75" hidden="1" customHeight="1" outlineLevel="1" x14ac:dyDescent="0.2">
      <c r="B357" s="90" t="s">
        <v>602</v>
      </c>
      <c r="C357" s="87" t="s">
        <v>127</v>
      </c>
      <c r="D357" s="91"/>
      <c r="E357" s="88"/>
    </row>
    <row r="358" spans="2:5" ht="12.75" hidden="1" customHeight="1" outlineLevel="1" x14ac:dyDescent="0.2">
      <c r="B358" s="90" t="s">
        <v>602</v>
      </c>
      <c r="C358" s="87" t="s">
        <v>128</v>
      </c>
      <c r="D358" s="91"/>
      <c r="E358" s="88"/>
    </row>
    <row r="359" spans="2:5" ht="12.75" hidden="1" customHeight="1" outlineLevel="1" x14ac:dyDescent="0.2">
      <c r="B359" s="90" t="s">
        <v>602</v>
      </c>
      <c r="C359" s="87" t="s">
        <v>129</v>
      </c>
      <c r="D359" s="91"/>
      <c r="E359" s="88"/>
    </row>
    <row r="360" spans="2:5" ht="12.75" hidden="1" customHeight="1" outlineLevel="1" x14ac:dyDescent="0.2">
      <c r="B360" s="90" t="s">
        <v>602</v>
      </c>
      <c r="C360" s="87" t="s">
        <v>130</v>
      </c>
      <c r="D360" s="91"/>
      <c r="E360" s="88"/>
    </row>
    <row r="361" spans="2:5" ht="12.75" hidden="1" customHeight="1" outlineLevel="1" x14ac:dyDescent="0.2">
      <c r="B361" s="90" t="s">
        <v>602</v>
      </c>
      <c r="C361" s="87" t="s">
        <v>131</v>
      </c>
      <c r="D361" s="91"/>
      <c r="E361" s="88"/>
    </row>
    <row r="362" spans="2:5" ht="12.75" hidden="1" customHeight="1" outlineLevel="1" x14ac:dyDescent="0.2">
      <c r="B362" s="90" t="s">
        <v>602</v>
      </c>
      <c r="C362" s="87" t="s">
        <v>132</v>
      </c>
      <c r="D362" s="91"/>
      <c r="E362" s="88"/>
    </row>
    <row r="363" spans="2:5" ht="12.75" hidden="1" customHeight="1" outlineLevel="1" x14ac:dyDescent="0.2">
      <c r="B363" s="90" t="s">
        <v>602</v>
      </c>
      <c r="C363" s="87" t="s">
        <v>133</v>
      </c>
      <c r="D363" s="91"/>
      <c r="E363" s="88"/>
    </row>
    <row r="364" spans="2:5" ht="12.75" hidden="1" customHeight="1" outlineLevel="1" x14ac:dyDescent="0.2">
      <c r="B364" s="90" t="s">
        <v>602</v>
      </c>
      <c r="C364" s="87" t="s">
        <v>134</v>
      </c>
      <c r="D364" s="91"/>
      <c r="E364" s="88"/>
    </row>
    <row r="365" spans="2:5" ht="12.75" hidden="1" customHeight="1" outlineLevel="1" x14ac:dyDescent="0.2">
      <c r="B365" s="90" t="s">
        <v>602</v>
      </c>
      <c r="C365" s="87" t="s">
        <v>135</v>
      </c>
      <c r="D365" s="91"/>
      <c r="E365" s="88"/>
    </row>
    <row r="366" spans="2:5" ht="12.75" hidden="1" customHeight="1" outlineLevel="1" x14ac:dyDescent="0.2">
      <c r="B366" s="90" t="s">
        <v>602</v>
      </c>
      <c r="C366" s="87" t="s">
        <v>136</v>
      </c>
      <c r="D366" s="91"/>
      <c r="E366" s="88"/>
    </row>
    <row r="367" spans="2:5" ht="12.75" hidden="1" customHeight="1" outlineLevel="1" x14ac:dyDescent="0.2">
      <c r="B367" s="90" t="s">
        <v>602</v>
      </c>
      <c r="C367" s="87" t="s">
        <v>137</v>
      </c>
      <c r="D367" s="91"/>
      <c r="E367" s="88"/>
    </row>
    <row r="368" spans="2:5" ht="12.75" hidden="1" customHeight="1" outlineLevel="1" x14ac:dyDescent="0.2">
      <c r="B368" s="90" t="s">
        <v>602</v>
      </c>
      <c r="C368" s="87" t="s">
        <v>121</v>
      </c>
      <c r="D368" s="91"/>
      <c r="E368" s="88"/>
    </row>
    <row r="369" spans="2:5" ht="12.75" hidden="1" customHeight="1" outlineLevel="1" x14ac:dyDescent="0.2">
      <c r="B369" s="90" t="s">
        <v>602</v>
      </c>
      <c r="C369" s="87" t="s">
        <v>103</v>
      </c>
      <c r="D369" s="91"/>
      <c r="E369" s="88"/>
    </row>
    <row r="370" spans="2:5" ht="12.75" hidden="1" customHeight="1" outlineLevel="1" x14ac:dyDescent="0.2">
      <c r="B370" s="90" t="s">
        <v>602</v>
      </c>
      <c r="C370" s="87" t="s">
        <v>111</v>
      </c>
      <c r="D370" s="91"/>
      <c r="E370" s="88"/>
    </row>
    <row r="371" spans="2:5" ht="12.75" hidden="1" customHeight="1" outlineLevel="1" x14ac:dyDescent="0.2">
      <c r="B371" s="90" t="s">
        <v>602</v>
      </c>
      <c r="C371" s="87" t="s">
        <v>109</v>
      </c>
      <c r="D371" s="91"/>
      <c r="E371" s="88"/>
    </row>
    <row r="372" spans="2:5" ht="12.75" customHeight="1" collapsed="1" x14ac:dyDescent="0.2">
      <c r="B372" s="89" t="s">
        <v>1399</v>
      </c>
      <c r="C372" s="87" t="s">
        <v>1047</v>
      </c>
      <c r="D372" s="87" t="s">
        <v>185</v>
      </c>
      <c r="E372" s="88"/>
    </row>
    <row r="373" spans="2:5" ht="12.75" hidden="1" customHeight="1" outlineLevel="1" x14ac:dyDescent="0.2">
      <c r="B373" s="90" t="s">
        <v>1399</v>
      </c>
      <c r="C373" s="87" t="s">
        <v>1048</v>
      </c>
      <c r="D373" s="91"/>
      <c r="E373" s="88"/>
    </row>
    <row r="374" spans="2:5" ht="12.75" hidden="1" customHeight="1" outlineLevel="1" x14ac:dyDescent="0.2">
      <c r="B374" s="90" t="s">
        <v>1399</v>
      </c>
      <c r="C374" s="87" t="s">
        <v>1624</v>
      </c>
      <c r="D374" s="91"/>
      <c r="E374" s="88"/>
    </row>
    <row r="375" spans="2:5" ht="12.75" hidden="1" customHeight="1" outlineLevel="1" x14ac:dyDescent="0.2">
      <c r="B375" s="90" t="s">
        <v>1399</v>
      </c>
      <c r="C375" s="87" t="s">
        <v>1625</v>
      </c>
      <c r="D375" s="91"/>
      <c r="E375" s="88"/>
    </row>
  </sheetData>
  <autoFilter ref="C3:C4"/>
  <mergeCells count="1">
    <mergeCell ref="B1:E1"/>
  </mergeCells>
  <dataValidations count="2">
    <dataValidation type="list" allowBlank="1" showInputMessage="1" showErrorMessage="1" sqref="D4:D104">
      <formula1>"I/O,Input,Output,Analog,Power,Gnd,Utility,Voltage,Current,Unknown"</formula1>
    </dataValidation>
    <dataValidation type="list" allowBlank="1" showInputMessage="1" showErrorMessage="1" sqref="D105 D121 D131 D139 D147 D157 D167 D230 D266 D286 D293 D372">
      <formula1>"I/O,Input,Output,Analog,Power,Utility,Differential,Voltage,Current"</formula1>
    </dataValidation>
  </dataValidations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outlinePr summaryBelow="0" summaryRight="0"/>
  </sheetPr>
  <dimension ref="A1:I107"/>
  <sheetViews>
    <sheetView showGridLines="0" workbookViewId="0">
      <pane ySplit="6" topLeftCell="A7" activePane="bottomLeft" state="frozen"/>
      <selection pane="bottomLeft" activeCell="B7" sqref="B7"/>
    </sheetView>
  </sheetViews>
  <sheetFormatPr defaultRowHeight="12.75" x14ac:dyDescent="0.2"/>
  <cols>
    <col min="1" max="1" width="9.140625" style="75"/>
    <col min="2" max="4" width="13.42578125" style="75" customWidth="1"/>
    <col min="5" max="8" width="9.140625" style="75"/>
    <col min="9" max="9" width="42.85546875" style="75" customWidth="1"/>
    <col min="10" max="16384" width="9.140625" style="75"/>
  </cols>
  <sheetData>
    <row r="1" spans="1:9" ht="25.5" customHeight="1" x14ac:dyDescent="0.4">
      <c r="A1" s="81" t="s">
        <v>0</v>
      </c>
      <c r="B1" s="82" t="s">
        <v>88</v>
      </c>
      <c r="C1" s="82"/>
      <c r="D1" s="82"/>
      <c r="E1" s="82"/>
      <c r="F1" s="82"/>
      <c r="G1" s="82"/>
      <c r="H1" s="82"/>
      <c r="I1" s="82"/>
    </row>
    <row r="3" spans="1:9" x14ac:dyDescent="0.2">
      <c r="B3" s="1" t="s">
        <v>89</v>
      </c>
      <c r="C3" s="2"/>
    </row>
    <row r="5" spans="1:9" x14ac:dyDescent="0.2">
      <c r="B5" s="84" t="s">
        <v>90</v>
      </c>
      <c r="C5" s="85"/>
      <c r="D5" s="84" t="s">
        <v>91</v>
      </c>
      <c r="E5" s="86"/>
      <c r="F5" s="86"/>
      <c r="G5" s="86"/>
      <c r="H5" s="85"/>
    </row>
    <row r="6" spans="1:9" x14ac:dyDescent="0.2">
      <c r="B6" s="78" t="s">
        <v>2</v>
      </c>
      <c r="C6" s="79" t="s">
        <v>92</v>
      </c>
      <c r="D6" s="78" t="s">
        <v>3</v>
      </c>
      <c r="E6" s="78" t="s">
        <v>93</v>
      </c>
      <c r="F6" s="78" t="s">
        <v>1054</v>
      </c>
      <c r="G6" s="78" t="s">
        <v>1055</v>
      </c>
      <c r="H6" s="78" t="s">
        <v>1056</v>
      </c>
      <c r="I6" s="79" t="s">
        <v>4</v>
      </c>
    </row>
    <row r="7" spans="1:9" x14ac:dyDescent="0.2">
      <c r="B7" s="76" t="s">
        <v>944</v>
      </c>
      <c r="C7" s="88"/>
      <c r="D7" s="87" t="s">
        <v>94</v>
      </c>
      <c r="E7" s="87" t="s">
        <v>1057</v>
      </c>
      <c r="F7" s="87" t="s">
        <v>1058</v>
      </c>
      <c r="G7" s="87" t="s">
        <v>1059</v>
      </c>
      <c r="H7" s="87" t="s">
        <v>1060</v>
      </c>
      <c r="I7" s="88"/>
    </row>
    <row r="8" spans="1:9" x14ac:dyDescent="0.2">
      <c r="B8" s="76" t="s">
        <v>943</v>
      </c>
      <c r="C8" s="88"/>
      <c r="D8" s="87" t="s">
        <v>94</v>
      </c>
      <c r="E8" s="87" t="s">
        <v>1061</v>
      </c>
      <c r="F8" s="87" t="s">
        <v>1062</v>
      </c>
      <c r="G8" s="87" t="s">
        <v>1063</v>
      </c>
      <c r="H8" s="87" t="s">
        <v>1064</v>
      </c>
      <c r="I8" s="88"/>
    </row>
    <row r="9" spans="1:9" x14ac:dyDescent="0.2">
      <c r="B9" s="76" t="s">
        <v>942</v>
      </c>
      <c r="C9" s="88"/>
      <c r="D9" s="87" t="s">
        <v>94</v>
      </c>
      <c r="E9" s="87" t="s">
        <v>1065</v>
      </c>
      <c r="F9" s="87" t="s">
        <v>1066</v>
      </c>
      <c r="G9" s="87" t="s">
        <v>1067</v>
      </c>
      <c r="H9" s="87" t="s">
        <v>1068</v>
      </c>
      <c r="I9" s="88"/>
    </row>
    <row r="10" spans="1:9" x14ac:dyDescent="0.2">
      <c r="B10" s="76" t="s">
        <v>941</v>
      </c>
      <c r="C10" s="88"/>
      <c r="D10" s="87" t="s">
        <v>94</v>
      </c>
      <c r="E10" s="87" t="s">
        <v>1069</v>
      </c>
      <c r="F10" s="87" t="s">
        <v>1070</v>
      </c>
      <c r="G10" s="87" t="s">
        <v>1071</v>
      </c>
      <c r="H10" s="87" t="s">
        <v>1072</v>
      </c>
      <c r="I10" s="88"/>
    </row>
    <row r="11" spans="1:9" x14ac:dyDescent="0.2">
      <c r="B11" s="76" t="s">
        <v>940</v>
      </c>
      <c r="C11" s="88"/>
      <c r="D11" s="87" t="s">
        <v>94</v>
      </c>
      <c r="E11" s="87" t="s">
        <v>1073</v>
      </c>
      <c r="F11" s="87" t="s">
        <v>1074</v>
      </c>
      <c r="G11" s="87" t="s">
        <v>1075</v>
      </c>
      <c r="H11" s="87" t="s">
        <v>1076</v>
      </c>
      <c r="I11" s="88"/>
    </row>
    <row r="12" spans="1:9" x14ac:dyDescent="0.2">
      <c r="B12" s="76" t="s">
        <v>939</v>
      </c>
      <c r="C12" s="88"/>
      <c r="D12" s="87" t="s">
        <v>94</v>
      </c>
      <c r="E12" s="87" t="s">
        <v>1077</v>
      </c>
      <c r="F12" s="87" t="s">
        <v>1078</v>
      </c>
      <c r="G12" s="87" t="s">
        <v>1079</v>
      </c>
      <c r="H12" s="87" t="s">
        <v>1080</v>
      </c>
      <c r="I12" s="88"/>
    </row>
    <row r="13" spans="1:9" x14ac:dyDescent="0.2">
      <c r="B13" s="76" t="s">
        <v>938</v>
      </c>
      <c r="C13" s="88"/>
      <c r="D13" s="87" t="s">
        <v>94</v>
      </c>
      <c r="E13" s="87" t="s">
        <v>1081</v>
      </c>
      <c r="F13" s="87" t="s">
        <v>1082</v>
      </c>
      <c r="G13" s="87" t="s">
        <v>1083</v>
      </c>
      <c r="H13" s="87" t="s">
        <v>1084</v>
      </c>
      <c r="I13" s="88"/>
    </row>
    <row r="14" spans="1:9" x14ac:dyDescent="0.2">
      <c r="B14" s="76" t="s">
        <v>937</v>
      </c>
      <c r="C14" s="88"/>
      <c r="D14" s="87" t="s">
        <v>94</v>
      </c>
      <c r="E14" s="87" t="s">
        <v>1085</v>
      </c>
      <c r="F14" s="87" t="s">
        <v>1086</v>
      </c>
      <c r="G14" s="87" t="s">
        <v>1087</v>
      </c>
      <c r="H14" s="87" t="s">
        <v>1088</v>
      </c>
      <c r="I14" s="88"/>
    </row>
    <row r="15" spans="1:9" x14ac:dyDescent="0.2">
      <c r="B15" s="76" t="s">
        <v>936</v>
      </c>
      <c r="C15" s="88"/>
      <c r="D15" s="87" t="s">
        <v>94</v>
      </c>
      <c r="E15" s="87" t="s">
        <v>1089</v>
      </c>
      <c r="F15" s="87" t="s">
        <v>1090</v>
      </c>
      <c r="G15" s="87" t="s">
        <v>1091</v>
      </c>
      <c r="H15" s="87" t="s">
        <v>1092</v>
      </c>
      <c r="I15" s="88"/>
    </row>
    <row r="16" spans="1:9" x14ac:dyDescent="0.2">
      <c r="B16" s="76" t="s">
        <v>935</v>
      </c>
      <c r="C16" s="88"/>
      <c r="D16" s="87" t="s">
        <v>94</v>
      </c>
      <c r="E16" s="87" t="s">
        <v>1093</v>
      </c>
      <c r="F16" s="87" t="s">
        <v>1094</v>
      </c>
      <c r="G16" s="87" t="s">
        <v>1095</v>
      </c>
      <c r="H16" s="87" t="s">
        <v>1096</v>
      </c>
      <c r="I16" s="88"/>
    </row>
    <row r="17" spans="2:9" x14ac:dyDescent="0.2">
      <c r="B17" s="76" t="s">
        <v>934</v>
      </c>
      <c r="C17" s="88"/>
      <c r="D17" s="87" t="s">
        <v>94</v>
      </c>
      <c r="E17" s="87" t="s">
        <v>1097</v>
      </c>
      <c r="F17" s="87" t="s">
        <v>1098</v>
      </c>
      <c r="G17" s="87" t="s">
        <v>1099</v>
      </c>
      <c r="H17" s="87" t="s">
        <v>1100</v>
      </c>
      <c r="I17" s="88"/>
    </row>
    <row r="18" spans="2:9" x14ac:dyDescent="0.2">
      <c r="B18" s="76" t="s">
        <v>933</v>
      </c>
      <c r="C18" s="88"/>
      <c r="D18" s="87" t="s">
        <v>94</v>
      </c>
      <c r="E18" s="87" t="s">
        <v>1101</v>
      </c>
      <c r="F18" s="87" t="s">
        <v>1102</v>
      </c>
      <c r="G18" s="87" t="s">
        <v>1103</v>
      </c>
      <c r="H18" s="87" t="s">
        <v>1104</v>
      </c>
      <c r="I18" s="88"/>
    </row>
    <row r="19" spans="2:9" x14ac:dyDescent="0.2">
      <c r="B19" s="76" t="s">
        <v>932</v>
      </c>
      <c r="C19" s="88"/>
      <c r="D19" s="87" t="s">
        <v>94</v>
      </c>
      <c r="E19" s="87" t="s">
        <v>1105</v>
      </c>
      <c r="F19" s="87" t="s">
        <v>1106</v>
      </c>
      <c r="G19" s="87" t="s">
        <v>1107</v>
      </c>
      <c r="H19" s="87" t="s">
        <v>1108</v>
      </c>
      <c r="I19" s="88"/>
    </row>
    <row r="20" spans="2:9" x14ac:dyDescent="0.2">
      <c r="B20" s="76" t="s">
        <v>931</v>
      </c>
      <c r="C20" s="88"/>
      <c r="D20" s="87" t="s">
        <v>94</v>
      </c>
      <c r="E20" s="87" t="s">
        <v>1109</v>
      </c>
      <c r="F20" s="87" t="s">
        <v>1110</v>
      </c>
      <c r="G20" s="87" t="s">
        <v>1111</v>
      </c>
      <c r="H20" s="87" t="s">
        <v>1112</v>
      </c>
      <c r="I20" s="88"/>
    </row>
    <row r="21" spans="2:9" x14ac:dyDescent="0.2">
      <c r="B21" s="76" t="s">
        <v>930</v>
      </c>
      <c r="C21" s="88"/>
      <c r="D21" s="87" t="s">
        <v>94</v>
      </c>
      <c r="E21" s="87" t="s">
        <v>1113</v>
      </c>
      <c r="F21" s="87" t="s">
        <v>1114</v>
      </c>
      <c r="G21" s="87" t="s">
        <v>1115</v>
      </c>
      <c r="H21" s="87" t="s">
        <v>1116</v>
      </c>
      <c r="I21" s="88"/>
    </row>
    <row r="22" spans="2:9" x14ac:dyDescent="0.2">
      <c r="B22" s="76" t="s">
        <v>929</v>
      </c>
      <c r="C22" s="88"/>
      <c r="D22" s="87" t="s">
        <v>94</v>
      </c>
      <c r="E22" s="87" t="s">
        <v>1117</v>
      </c>
      <c r="F22" s="87" t="s">
        <v>1118</v>
      </c>
      <c r="G22" s="87" t="s">
        <v>1119</v>
      </c>
      <c r="H22" s="87" t="s">
        <v>1120</v>
      </c>
      <c r="I22" s="88"/>
    </row>
    <row r="23" spans="2:9" x14ac:dyDescent="0.2">
      <c r="B23" s="76" t="s">
        <v>928</v>
      </c>
      <c r="C23" s="88"/>
      <c r="D23" s="87" t="s">
        <v>94</v>
      </c>
      <c r="E23" s="87" t="s">
        <v>1121</v>
      </c>
      <c r="F23" s="87" t="s">
        <v>1122</v>
      </c>
      <c r="G23" s="87" t="s">
        <v>1123</v>
      </c>
      <c r="H23" s="87" t="s">
        <v>1124</v>
      </c>
      <c r="I23" s="88"/>
    </row>
    <row r="24" spans="2:9" x14ac:dyDescent="0.2">
      <c r="B24" s="76" t="s">
        <v>927</v>
      </c>
      <c r="C24" s="88"/>
      <c r="D24" s="87" t="s">
        <v>94</v>
      </c>
      <c r="E24" s="87" t="s">
        <v>1125</v>
      </c>
      <c r="F24" s="87" t="s">
        <v>1126</v>
      </c>
      <c r="G24" s="87" t="s">
        <v>1127</v>
      </c>
      <c r="H24" s="87" t="s">
        <v>1128</v>
      </c>
      <c r="I24" s="88"/>
    </row>
    <row r="25" spans="2:9" x14ac:dyDescent="0.2">
      <c r="B25" s="76" t="s">
        <v>926</v>
      </c>
      <c r="C25" s="88"/>
      <c r="D25" s="87" t="s">
        <v>94</v>
      </c>
      <c r="E25" s="87" t="s">
        <v>1129</v>
      </c>
      <c r="F25" s="87" t="s">
        <v>1130</v>
      </c>
      <c r="G25" s="87" t="s">
        <v>1131</v>
      </c>
      <c r="H25" s="87" t="s">
        <v>1132</v>
      </c>
      <c r="I25" s="88"/>
    </row>
    <row r="26" spans="2:9" x14ac:dyDescent="0.2">
      <c r="B26" s="76" t="s">
        <v>925</v>
      </c>
      <c r="C26" s="88"/>
      <c r="D26" s="87" t="s">
        <v>94</v>
      </c>
      <c r="E26" s="87" t="s">
        <v>1133</v>
      </c>
      <c r="F26" s="87" t="s">
        <v>1134</v>
      </c>
      <c r="G26" s="87" t="s">
        <v>1135</v>
      </c>
      <c r="H26" s="87" t="s">
        <v>1136</v>
      </c>
      <c r="I26" s="88"/>
    </row>
    <row r="27" spans="2:9" x14ac:dyDescent="0.2">
      <c r="B27" s="76" t="s">
        <v>924</v>
      </c>
      <c r="C27" s="88"/>
      <c r="D27" s="87" t="s">
        <v>94</v>
      </c>
      <c r="E27" s="87" t="s">
        <v>1137</v>
      </c>
      <c r="F27" s="87" t="s">
        <v>1138</v>
      </c>
      <c r="G27" s="87" t="s">
        <v>1139</v>
      </c>
      <c r="H27" s="87" t="s">
        <v>1140</v>
      </c>
      <c r="I27" s="88"/>
    </row>
    <row r="28" spans="2:9" x14ac:dyDescent="0.2">
      <c r="B28" s="76" t="s">
        <v>923</v>
      </c>
      <c r="C28" s="88"/>
      <c r="D28" s="87" t="s">
        <v>94</v>
      </c>
      <c r="E28" s="87" t="s">
        <v>1141</v>
      </c>
      <c r="F28" s="87" t="s">
        <v>1142</v>
      </c>
      <c r="G28" s="87" t="s">
        <v>1143</v>
      </c>
      <c r="H28" s="87" t="s">
        <v>1144</v>
      </c>
      <c r="I28" s="88"/>
    </row>
    <row r="29" spans="2:9" x14ac:dyDescent="0.2">
      <c r="B29" s="76" t="s">
        <v>922</v>
      </c>
      <c r="C29" s="88"/>
      <c r="D29" s="87" t="s">
        <v>94</v>
      </c>
      <c r="E29" s="87" t="s">
        <v>1145</v>
      </c>
      <c r="F29" s="87" t="s">
        <v>1146</v>
      </c>
      <c r="G29" s="87" t="s">
        <v>1147</v>
      </c>
      <c r="H29" s="87" t="s">
        <v>1148</v>
      </c>
      <c r="I29" s="88"/>
    </row>
    <row r="30" spans="2:9" x14ac:dyDescent="0.2">
      <c r="B30" s="76" t="s">
        <v>921</v>
      </c>
      <c r="C30" s="88"/>
      <c r="D30" s="87" t="s">
        <v>94</v>
      </c>
      <c r="E30" s="87" t="s">
        <v>1149</v>
      </c>
      <c r="F30" s="87" t="s">
        <v>1150</v>
      </c>
      <c r="G30" s="87" t="s">
        <v>1151</v>
      </c>
      <c r="H30" s="87" t="s">
        <v>1152</v>
      </c>
      <c r="I30" s="88"/>
    </row>
    <row r="31" spans="2:9" x14ac:dyDescent="0.2">
      <c r="B31" s="76" t="s">
        <v>920</v>
      </c>
      <c r="C31" s="88"/>
      <c r="D31" s="87" t="s">
        <v>94</v>
      </c>
      <c r="E31" s="87" t="s">
        <v>1153</v>
      </c>
      <c r="F31" s="87" t="s">
        <v>1154</v>
      </c>
      <c r="G31" s="87" t="s">
        <v>1155</v>
      </c>
      <c r="H31" s="87" t="s">
        <v>1156</v>
      </c>
      <c r="I31" s="88"/>
    </row>
    <row r="32" spans="2:9" x14ac:dyDescent="0.2">
      <c r="B32" s="76" t="s">
        <v>919</v>
      </c>
      <c r="C32" s="88"/>
      <c r="D32" s="87" t="s">
        <v>94</v>
      </c>
      <c r="E32" s="87" t="s">
        <v>1157</v>
      </c>
      <c r="F32" s="87" t="s">
        <v>1158</v>
      </c>
      <c r="G32" s="87" t="s">
        <v>1159</v>
      </c>
      <c r="H32" s="87" t="s">
        <v>1160</v>
      </c>
      <c r="I32" s="88"/>
    </row>
    <row r="33" spans="2:9" x14ac:dyDescent="0.2">
      <c r="B33" s="76" t="s">
        <v>918</v>
      </c>
      <c r="C33" s="88"/>
      <c r="D33" s="87" t="s">
        <v>94</v>
      </c>
      <c r="E33" s="87" t="s">
        <v>1161</v>
      </c>
      <c r="F33" s="87" t="s">
        <v>1162</v>
      </c>
      <c r="G33" s="87" t="s">
        <v>1163</v>
      </c>
      <c r="H33" s="87" t="s">
        <v>1164</v>
      </c>
      <c r="I33" s="88"/>
    </row>
    <row r="34" spans="2:9" x14ac:dyDescent="0.2">
      <c r="B34" s="76" t="s">
        <v>917</v>
      </c>
      <c r="C34" s="88"/>
      <c r="D34" s="87" t="s">
        <v>94</v>
      </c>
      <c r="E34" s="87" t="s">
        <v>1165</v>
      </c>
      <c r="F34" s="87" t="s">
        <v>1166</v>
      </c>
      <c r="G34" s="87" t="s">
        <v>1167</v>
      </c>
      <c r="H34" s="87" t="s">
        <v>1168</v>
      </c>
      <c r="I34" s="88"/>
    </row>
    <row r="35" spans="2:9" x14ac:dyDescent="0.2">
      <c r="B35" s="76" t="s">
        <v>916</v>
      </c>
      <c r="C35" s="88"/>
      <c r="D35" s="87" t="s">
        <v>94</v>
      </c>
      <c r="E35" s="87" t="s">
        <v>1169</v>
      </c>
      <c r="F35" s="87" t="s">
        <v>1170</v>
      </c>
      <c r="G35" s="87" t="s">
        <v>1171</v>
      </c>
      <c r="H35" s="87" t="s">
        <v>1172</v>
      </c>
      <c r="I35" s="88"/>
    </row>
    <row r="36" spans="2:9" x14ac:dyDescent="0.2">
      <c r="B36" s="76" t="s">
        <v>915</v>
      </c>
      <c r="C36" s="88"/>
      <c r="D36" s="87" t="s">
        <v>94</v>
      </c>
      <c r="E36" s="87" t="s">
        <v>1173</v>
      </c>
      <c r="F36" s="87" t="s">
        <v>1174</v>
      </c>
      <c r="G36" s="87" t="s">
        <v>1175</v>
      </c>
      <c r="H36" s="87" t="s">
        <v>1176</v>
      </c>
      <c r="I36" s="88"/>
    </row>
    <row r="37" spans="2:9" x14ac:dyDescent="0.2">
      <c r="B37" s="76" t="s">
        <v>914</v>
      </c>
      <c r="C37" s="88"/>
      <c r="D37" s="87" t="s">
        <v>94</v>
      </c>
      <c r="E37" s="87" t="s">
        <v>1177</v>
      </c>
      <c r="F37" s="87" t="s">
        <v>1178</v>
      </c>
      <c r="G37" s="87" t="s">
        <v>1179</v>
      </c>
      <c r="H37" s="87" t="s">
        <v>1180</v>
      </c>
      <c r="I37" s="88"/>
    </row>
    <row r="38" spans="2:9" x14ac:dyDescent="0.2">
      <c r="B38" s="76" t="s">
        <v>913</v>
      </c>
      <c r="C38" s="88"/>
      <c r="D38" s="87" t="s">
        <v>94</v>
      </c>
      <c r="E38" s="87" t="s">
        <v>1181</v>
      </c>
      <c r="F38" s="87" t="s">
        <v>1182</v>
      </c>
      <c r="G38" s="87" t="s">
        <v>1183</v>
      </c>
      <c r="H38" s="87" t="s">
        <v>1184</v>
      </c>
      <c r="I38" s="88"/>
    </row>
    <row r="39" spans="2:9" x14ac:dyDescent="0.2">
      <c r="B39" s="76" t="s">
        <v>912</v>
      </c>
      <c r="C39" s="88"/>
      <c r="D39" s="87" t="s">
        <v>94</v>
      </c>
      <c r="E39" s="87" t="s">
        <v>1255</v>
      </c>
      <c r="F39" s="87" t="s">
        <v>1256</v>
      </c>
      <c r="G39" s="87" t="s">
        <v>1257</v>
      </c>
      <c r="H39" s="87" t="s">
        <v>1258</v>
      </c>
      <c r="I39" s="88"/>
    </row>
    <row r="40" spans="2:9" x14ac:dyDescent="0.2">
      <c r="B40" s="76" t="s">
        <v>946</v>
      </c>
      <c r="C40" s="88"/>
      <c r="D40" s="87" t="s">
        <v>94</v>
      </c>
      <c r="E40" s="87" t="s">
        <v>1259</v>
      </c>
      <c r="F40" s="87" t="s">
        <v>1260</v>
      </c>
      <c r="G40" s="87" t="s">
        <v>1261</v>
      </c>
      <c r="H40" s="87" t="s">
        <v>1262</v>
      </c>
      <c r="I40" s="88"/>
    </row>
    <row r="41" spans="2:9" x14ac:dyDescent="0.2">
      <c r="B41" s="76" t="s">
        <v>945</v>
      </c>
      <c r="C41" s="88"/>
      <c r="D41" s="87" t="s">
        <v>94</v>
      </c>
      <c r="E41" s="87" t="s">
        <v>1271</v>
      </c>
      <c r="F41" s="87" t="s">
        <v>1272</v>
      </c>
      <c r="G41" s="87" t="s">
        <v>1273</v>
      </c>
      <c r="H41" s="87" t="s">
        <v>1274</v>
      </c>
      <c r="I41" s="88"/>
    </row>
    <row r="42" spans="2:9" x14ac:dyDescent="0.2">
      <c r="B42" s="76" t="s">
        <v>97</v>
      </c>
      <c r="C42" s="88"/>
      <c r="D42" s="87" t="s">
        <v>94</v>
      </c>
      <c r="E42" s="87" t="s">
        <v>1263</v>
      </c>
      <c r="F42" s="87" t="s">
        <v>1264</v>
      </c>
      <c r="G42" s="87" t="s">
        <v>1265</v>
      </c>
      <c r="H42" s="87" t="s">
        <v>1266</v>
      </c>
      <c r="I42" s="88"/>
    </row>
    <row r="43" spans="2:9" x14ac:dyDescent="0.2">
      <c r="B43" s="76" t="s">
        <v>98</v>
      </c>
      <c r="C43" s="88"/>
      <c r="D43" s="87" t="s">
        <v>94</v>
      </c>
      <c r="E43" s="87" t="s">
        <v>1267</v>
      </c>
      <c r="F43" s="87" t="s">
        <v>1268</v>
      </c>
      <c r="G43" s="87" t="s">
        <v>1269</v>
      </c>
      <c r="H43" s="87" t="s">
        <v>1270</v>
      </c>
      <c r="I43" s="88"/>
    </row>
    <row r="44" spans="2:9" x14ac:dyDescent="0.2">
      <c r="B44" s="76" t="s">
        <v>899</v>
      </c>
      <c r="C44" s="88"/>
      <c r="D44" s="87" t="s">
        <v>94</v>
      </c>
      <c r="E44" s="87" t="s">
        <v>1332</v>
      </c>
      <c r="F44" s="87" t="s">
        <v>1333</v>
      </c>
      <c r="G44" s="87" t="s">
        <v>1334</v>
      </c>
      <c r="H44" s="87" t="s">
        <v>288</v>
      </c>
      <c r="I44" s="88"/>
    </row>
    <row r="45" spans="2:9" x14ac:dyDescent="0.2">
      <c r="B45" s="76" t="s">
        <v>898</v>
      </c>
      <c r="C45" s="88"/>
      <c r="D45" s="87" t="s">
        <v>94</v>
      </c>
      <c r="E45" s="87" t="s">
        <v>1335</v>
      </c>
      <c r="F45" s="87" t="s">
        <v>1336</v>
      </c>
      <c r="G45" s="87" t="s">
        <v>1337</v>
      </c>
      <c r="H45" s="87" t="s">
        <v>285</v>
      </c>
      <c r="I45" s="88"/>
    </row>
    <row r="46" spans="2:9" x14ac:dyDescent="0.2">
      <c r="B46" s="76" t="s">
        <v>904</v>
      </c>
      <c r="C46" s="88"/>
      <c r="D46" s="87" t="s">
        <v>94</v>
      </c>
      <c r="E46" s="87" t="s">
        <v>1338</v>
      </c>
      <c r="F46" s="87" t="s">
        <v>1339</v>
      </c>
      <c r="G46" s="87" t="s">
        <v>1340</v>
      </c>
      <c r="H46" s="87" t="s">
        <v>1341</v>
      </c>
      <c r="I46" s="88"/>
    </row>
    <row r="47" spans="2:9" x14ac:dyDescent="0.2">
      <c r="B47" s="76" t="s">
        <v>900</v>
      </c>
      <c r="C47" s="88"/>
      <c r="D47" s="87" t="s">
        <v>94</v>
      </c>
      <c r="E47" s="87" t="s">
        <v>1342</v>
      </c>
      <c r="F47" s="87" t="s">
        <v>1343</v>
      </c>
      <c r="G47" s="87" t="s">
        <v>1344</v>
      </c>
      <c r="H47" s="87" t="s">
        <v>1345</v>
      </c>
      <c r="I47" s="88"/>
    </row>
    <row r="48" spans="2:9" x14ac:dyDescent="0.2">
      <c r="B48" s="76" t="s">
        <v>905</v>
      </c>
      <c r="C48" s="88"/>
      <c r="D48" s="87" t="s">
        <v>94</v>
      </c>
      <c r="E48" s="87" t="s">
        <v>1346</v>
      </c>
      <c r="F48" s="87" t="s">
        <v>1347</v>
      </c>
      <c r="G48" s="87" t="s">
        <v>1348</v>
      </c>
      <c r="H48" s="87" t="s">
        <v>290</v>
      </c>
      <c r="I48" s="88"/>
    </row>
    <row r="49" spans="2:9" x14ac:dyDescent="0.2">
      <c r="B49" s="76" t="s">
        <v>901</v>
      </c>
      <c r="C49" s="88"/>
      <c r="D49" s="87" t="s">
        <v>94</v>
      </c>
      <c r="E49" s="87" t="s">
        <v>1349</v>
      </c>
      <c r="F49" s="87" t="s">
        <v>1350</v>
      </c>
      <c r="G49" s="87" t="s">
        <v>1351</v>
      </c>
      <c r="H49" s="87" t="s">
        <v>1352</v>
      </c>
      <c r="I49" s="88"/>
    </row>
    <row r="50" spans="2:9" x14ac:dyDescent="0.2">
      <c r="B50" s="76" t="s">
        <v>906</v>
      </c>
      <c r="C50" s="88"/>
      <c r="D50" s="87" t="s">
        <v>94</v>
      </c>
      <c r="E50" s="87" t="s">
        <v>1353</v>
      </c>
      <c r="F50" s="87" t="s">
        <v>1354</v>
      </c>
      <c r="G50" s="87" t="s">
        <v>1355</v>
      </c>
      <c r="H50" s="87" t="s">
        <v>292</v>
      </c>
      <c r="I50" s="88"/>
    </row>
    <row r="51" spans="2:9" x14ac:dyDescent="0.2">
      <c r="B51" s="76" t="s">
        <v>902</v>
      </c>
      <c r="C51" s="88"/>
      <c r="D51" s="87" t="s">
        <v>94</v>
      </c>
      <c r="E51" s="87" t="s">
        <v>1356</v>
      </c>
      <c r="F51" s="87" t="s">
        <v>1357</v>
      </c>
      <c r="G51" s="87" t="s">
        <v>1358</v>
      </c>
      <c r="H51" s="87" t="s">
        <v>289</v>
      </c>
      <c r="I51" s="88"/>
    </row>
    <row r="52" spans="2:9" x14ac:dyDescent="0.2">
      <c r="B52" s="76" t="s">
        <v>907</v>
      </c>
      <c r="C52" s="88"/>
      <c r="D52" s="87" t="s">
        <v>94</v>
      </c>
      <c r="E52" s="87" t="s">
        <v>1359</v>
      </c>
      <c r="F52" s="87" t="s">
        <v>1360</v>
      </c>
      <c r="G52" s="87" t="s">
        <v>1361</v>
      </c>
      <c r="H52" s="87" t="s">
        <v>1362</v>
      </c>
      <c r="I52" s="88"/>
    </row>
    <row r="53" spans="2:9" x14ac:dyDescent="0.2">
      <c r="B53" s="76" t="s">
        <v>903</v>
      </c>
      <c r="C53" s="88"/>
      <c r="D53" s="87" t="s">
        <v>94</v>
      </c>
      <c r="E53" s="87" t="s">
        <v>1363</v>
      </c>
      <c r="F53" s="87" t="s">
        <v>1364</v>
      </c>
      <c r="G53" s="87" t="s">
        <v>1365</v>
      </c>
      <c r="H53" s="87" t="s">
        <v>1366</v>
      </c>
      <c r="I53" s="88"/>
    </row>
    <row r="54" spans="2:9" x14ac:dyDescent="0.2">
      <c r="B54" s="76" t="s">
        <v>137</v>
      </c>
      <c r="C54" s="88"/>
      <c r="D54" s="87" t="s">
        <v>94</v>
      </c>
      <c r="E54" s="87" t="s">
        <v>1185</v>
      </c>
      <c r="F54" s="87" t="s">
        <v>1186</v>
      </c>
      <c r="G54" s="87" t="s">
        <v>1187</v>
      </c>
      <c r="H54" s="87" t="s">
        <v>1188</v>
      </c>
      <c r="I54" s="88"/>
    </row>
    <row r="55" spans="2:9" x14ac:dyDescent="0.2">
      <c r="B55" s="76" t="s">
        <v>136</v>
      </c>
      <c r="C55" s="88"/>
      <c r="D55" s="87" t="s">
        <v>94</v>
      </c>
      <c r="E55" s="87" t="s">
        <v>1189</v>
      </c>
      <c r="F55" s="87" t="s">
        <v>1190</v>
      </c>
      <c r="G55" s="87" t="s">
        <v>1191</v>
      </c>
      <c r="H55" s="87" t="s">
        <v>1192</v>
      </c>
      <c r="I55" s="88"/>
    </row>
    <row r="56" spans="2:9" x14ac:dyDescent="0.2">
      <c r="B56" s="76" t="s">
        <v>135</v>
      </c>
      <c r="C56" s="88"/>
      <c r="D56" s="87" t="s">
        <v>94</v>
      </c>
      <c r="E56" s="87" t="s">
        <v>1193</v>
      </c>
      <c r="F56" s="87" t="s">
        <v>1194</v>
      </c>
      <c r="G56" s="87" t="s">
        <v>1195</v>
      </c>
      <c r="H56" s="87" t="s">
        <v>1196</v>
      </c>
      <c r="I56" s="88"/>
    </row>
    <row r="57" spans="2:9" x14ac:dyDescent="0.2">
      <c r="B57" s="76" t="s">
        <v>134</v>
      </c>
      <c r="C57" s="88"/>
      <c r="D57" s="87" t="s">
        <v>94</v>
      </c>
      <c r="E57" s="87" t="s">
        <v>1197</v>
      </c>
      <c r="F57" s="87" t="s">
        <v>1198</v>
      </c>
      <c r="G57" s="87" t="s">
        <v>1199</v>
      </c>
      <c r="H57" s="87" t="s">
        <v>1200</v>
      </c>
      <c r="I57" s="88"/>
    </row>
    <row r="58" spans="2:9" x14ac:dyDescent="0.2">
      <c r="B58" s="76" t="s">
        <v>133</v>
      </c>
      <c r="C58" s="88"/>
      <c r="D58" s="87" t="s">
        <v>94</v>
      </c>
      <c r="E58" s="87" t="s">
        <v>1201</v>
      </c>
      <c r="F58" s="87" t="s">
        <v>1202</v>
      </c>
      <c r="G58" s="87" t="s">
        <v>1203</v>
      </c>
      <c r="H58" s="87" t="s">
        <v>1204</v>
      </c>
      <c r="I58" s="88"/>
    </row>
    <row r="59" spans="2:9" x14ac:dyDescent="0.2">
      <c r="B59" s="76" t="s">
        <v>132</v>
      </c>
      <c r="C59" s="88"/>
      <c r="D59" s="87" t="s">
        <v>94</v>
      </c>
      <c r="E59" s="87" t="s">
        <v>1205</v>
      </c>
      <c r="F59" s="87" t="s">
        <v>1206</v>
      </c>
      <c r="G59" s="87" t="s">
        <v>1207</v>
      </c>
      <c r="H59" s="87" t="s">
        <v>1208</v>
      </c>
      <c r="I59" s="88"/>
    </row>
    <row r="60" spans="2:9" x14ac:dyDescent="0.2">
      <c r="B60" s="76" t="s">
        <v>131</v>
      </c>
      <c r="C60" s="88"/>
      <c r="D60" s="87" t="s">
        <v>94</v>
      </c>
      <c r="E60" s="87" t="s">
        <v>1209</v>
      </c>
      <c r="F60" s="87" t="s">
        <v>1210</v>
      </c>
      <c r="G60" s="87" t="s">
        <v>1211</v>
      </c>
      <c r="H60" s="87" t="s">
        <v>1212</v>
      </c>
      <c r="I60" s="88"/>
    </row>
    <row r="61" spans="2:9" x14ac:dyDescent="0.2">
      <c r="B61" s="76" t="s">
        <v>130</v>
      </c>
      <c r="C61" s="88"/>
      <c r="D61" s="87" t="s">
        <v>94</v>
      </c>
      <c r="E61" s="87" t="s">
        <v>1213</v>
      </c>
      <c r="F61" s="87" t="s">
        <v>1214</v>
      </c>
      <c r="G61" s="87" t="s">
        <v>1215</v>
      </c>
      <c r="H61" s="87" t="s">
        <v>1216</v>
      </c>
      <c r="I61" s="88"/>
    </row>
    <row r="62" spans="2:9" x14ac:dyDescent="0.2">
      <c r="B62" s="76" t="s">
        <v>129</v>
      </c>
      <c r="C62" s="88"/>
      <c r="D62" s="87" t="s">
        <v>94</v>
      </c>
      <c r="E62" s="87" t="s">
        <v>1217</v>
      </c>
      <c r="F62" s="87" t="s">
        <v>1218</v>
      </c>
      <c r="G62" s="87" t="s">
        <v>1219</v>
      </c>
      <c r="H62" s="87" t="s">
        <v>1220</v>
      </c>
      <c r="I62" s="88"/>
    </row>
    <row r="63" spans="2:9" x14ac:dyDescent="0.2">
      <c r="B63" s="76" t="s">
        <v>128</v>
      </c>
      <c r="C63" s="88"/>
      <c r="D63" s="87" t="s">
        <v>94</v>
      </c>
      <c r="E63" s="87" t="s">
        <v>1221</v>
      </c>
      <c r="F63" s="87" t="s">
        <v>1222</v>
      </c>
      <c r="G63" s="87" t="s">
        <v>1223</v>
      </c>
      <c r="H63" s="87" t="s">
        <v>1224</v>
      </c>
      <c r="I63" s="88"/>
    </row>
    <row r="64" spans="2:9" x14ac:dyDescent="0.2">
      <c r="B64" s="76" t="s">
        <v>127</v>
      </c>
      <c r="C64" s="88"/>
      <c r="D64" s="87" t="s">
        <v>94</v>
      </c>
      <c r="E64" s="87" t="s">
        <v>1225</v>
      </c>
      <c r="F64" s="87" t="s">
        <v>1226</v>
      </c>
      <c r="G64" s="87" t="s">
        <v>1227</v>
      </c>
      <c r="H64" s="87" t="s">
        <v>1228</v>
      </c>
      <c r="I64" s="88"/>
    </row>
    <row r="65" spans="2:9" x14ac:dyDescent="0.2">
      <c r="B65" s="76" t="s">
        <v>126</v>
      </c>
      <c r="C65" s="88"/>
      <c r="D65" s="87" t="s">
        <v>94</v>
      </c>
      <c r="E65" s="87" t="s">
        <v>1233</v>
      </c>
      <c r="F65" s="87" t="s">
        <v>1234</v>
      </c>
      <c r="G65" s="87" t="s">
        <v>1235</v>
      </c>
      <c r="H65" s="87" t="s">
        <v>1236</v>
      </c>
      <c r="I65" s="88"/>
    </row>
    <row r="66" spans="2:9" x14ac:dyDescent="0.2">
      <c r="B66" s="76" t="s">
        <v>125</v>
      </c>
      <c r="C66" s="88"/>
      <c r="D66" s="87" t="s">
        <v>94</v>
      </c>
      <c r="E66" s="87" t="s">
        <v>1237</v>
      </c>
      <c r="F66" s="87" t="s">
        <v>1238</v>
      </c>
      <c r="G66" s="87" t="s">
        <v>1239</v>
      </c>
      <c r="H66" s="87" t="s">
        <v>1240</v>
      </c>
      <c r="I66" s="88"/>
    </row>
    <row r="67" spans="2:9" x14ac:dyDescent="0.2">
      <c r="B67" s="76" t="s">
        <v>124</v>
      </c>
      <c r="C67" s="88"/>
      <c r="D67" s="87" t="s">
        <v>94</v>
      </c>
      <c r="E67" s="87" t="s">
        <v>1241</v>
      </c>
      <c r="F67" s="87" t="s">
        <v>1242</v>
      </c>
      <c r="G67" s="87" t="s">
        <v>1243</v>
      </c>
      <c r="H67" s="87" t="s">
        <v>1244</v>
      </c>
      <c r="I67" s="88"/>
    </row>
    <row r="68" spans="2:9" x14ac:dyDescent="0.2">
      <c r="B68" s="76" t="s">
        <v>123</v>
      </c>
      <c r="C68" s="88"/>
      <c r="D68" s="87" t="s">
        <v>94</v>
      </c>
      <c r="E68" s="87" t="s">
        <v>1245</v>
      </c>
      <c r="F68" s="87" t="s">
        <v>1246</v>
      </c>
      <c r="G68" s="87" t="s">
        <v>1247</v>
      </c>
      <c r="H68" s="87" t="s">
        <v>1248</v>
      </c>
      <c r="I68" s="88"/>
    </row>
    <row r="69" spans="2:9" x14ac:dyDescent="0.2">
      <c r="B69" s="76" t="s">
        <v>122</v>
      </c>
      <c r="C69" s="88"/>
      <c r="D69" s="87" t="s">
        <v>94</v>
      </c>
      <c r="E69" s="87" t="s">
        <v>1249</v>
      </c>
      <c r="F69" s="87" t="s">
        <v>1250</v>
      </c>
      <c r="G69" s="87" t="s">
        <v>1251</v>
      </c>
      <c r="H69" s="87" t="s">
        <v>291</v>
      </c>
      <c r="I69" s="88"/>
    </row>
    <row r="70" spans="2:9" x14ac:dyDescent="0.2">
      <c r="B70" s="76" t="s">
        <v>894</v>
      </c>
      <c r="C70" s="88"/>
      <c r="D70" s="87" t="s">
        <v>94</v>
      </c>
      <c r="E70" s="87" t="s">
        <v>1275</v>
      </c>
      <c r="F70" s="87" t="s">
        <v>1276</v>
      </c>
      <c r="G70" s="87" t="s">
        <v>1277</v>
      </c>
      <c r="H70" s="87" t="s">
        <v>1278</v>
      </c>
      <c r="I70" s="88"/>
    </row>
    <row r="71" spans="2:9" x14ac:dyDescent="0.2">
      <c r="B71" s="76" t="s">
        <v>895</v>
      </c>
      <c r="C71" s="88"/>
      <c r="D71" s="87" t="s">
        <v>94</v>
      </c>
      <c r="E71" s="87" t="s">
        <v>1279</v>
      </c>
      <c r="F71" s="87" t="s">
        <v>1280</v>
      </c>
      <c r="G71" s="87" t="s">
        <v>1281</v>
      </c>
      <c r="H71" s="87" t="s">
        <v>1282</v>
      </c>
      <c r="I71" s="88"/>
    </row>
    <row r="72" spans="2:9" x14ac:dyDescent="0.2">
      <c r="B72" s="76" t="s">
        <v>893</v>
      </c>
      <c r="C72" s="88"/>
      <c r="D72" s="87" t="s">
        <v>94</v>
      </c>
      <c r="E72" s="87" t="s">
        <v>1283</v>
      </c>
      <c r="F72" s="87" t="s">
        <v>1284</v>
      </c>
      <c r="G72" s="87" t="s">
        <v>1285</v>
      </c>
      <c r="H72" s="87" t="s">
        <v>1286</v>
      </c>
      <c r="I72" s="88"/>
    </row>
    <row r="73" spans="2:9" x14ac:dyDescent="0.2">
      <c r="B73" s="76" t="s">
        <v>896</v>
      </c>
      <c r="C73" s="88"/>
      <c r="D73" s="87" t="s">
        <v>94</v>
      </c>
      <c r="E73" s="87" t="s">
        <v>1287</v>
      </c>
      <c r="F73" s="87" t="s">
        <v>1288</v>
      </c>
      <c r="G73" s="87" t="s">
        <v>1289</v>
      </c>
      <c r="H73" s="87" t="s">
        <v>1290</v>
      </c>
      <c r="I73" s="88"/>
    </row>
    <row r="74" spans="2:9" x14ac:dyDescent="0.2">
      <c r="B74" s="76" t="s">
        <v>897</v>
      </c>
      <c r="C74" s="88"/>
      <c r="D74" s="87" t="s">
        <v>94</v>
      </c>
      <c r="E74" s="87" t="s">
        <v>1291</v>
      </c>
      <c r="F74" s="87" t="s">
        <v>1292</v>
      </c>
      <c r="G74" s="87" t="s">
        <v>1293</v>
      </c>
      <c r="H74" s="87" t="s">
        <v>1294</v>
      </c>
      <c r="I74" s="88"/>
    </row>
    <row r="75" spans="2:9" x14ac:dyDescent="0.2">
      <c r="B75" s="76" t="s">
        <v>95</v>
      </c>
      <c r="C75" s="88"/>
      <c r="D75" s="87" t="s">
        <v>94</v>
      </c>
      <c r="E75" s="87" t="s">
        <v>1295</v>
      </c>
      <c r="F75" s="87" t="s">
        <v>1296</v>
      </c>
      <c r="G75" s="87" t="s">
        <v>1297</v>
      </c>
      <c r="H75" s="87" t="s">
        <v>1298</v>
      </c>
      <c r="I75" s="88"/>
    </row>
    <row r="76" spans="2:9" x14ac:dyDescent="0.2">
      <c r="B76" s="76" t="s">
        <v>910</v>
      </c>
      <c r="C76" s="88"/>
      <c r="D76" s="87" t="s">
        <v>94</v>
      </c>
      <c r="E76" s="87" t="s">
        <v>1299</v>
      </c>
      <c r="F76" s="87" t="s">
        <v>1300</v>
      </c>
      <c r="G76" s="87" t="s">
        <v>1301</v>
      </c>
      <c r="H76" s="87" t="s">
        <v>1302</v>
      </c>
      <c r="I76" s="88"/>
    </row>
    <row r="77" spans="2:9" x14ac:dyDescent="0.2">
      <c r="B77" s="76" t="s">
        <v>909</v>
      </c>
      <c r="C77" s="88"/>
      <c r="D77" s="87" t="s">
        <v>94</v>
      </c>
      <c r="E77" s="87" t="s">
        <v>1303</v>
      </c>
      <c r="F77" s="87" t="s">
        <v>1304</v>
      </c>
      <c r="G77" s="87" t="s">
        <v>1305</v>
      </c>
      <c r="H77" s="87" t="s">
        <v>1306</v>
      </c>
      <c r="I77" s="88"/>
    </row>
    <row r="78" spans="2:9" x14ac:dyDescent="0.2">
      <c r="B78" s="76" t="s">
        <v>908</v>
      </c>
      <c r="C78" s="88"/>
      <c r="D78" s="87" t="s">
        <v>94</v>
      </c>
      <c r="E78" s="87" t="s">
        <v>1229</v>
      </c>
      <c r="F78" s="87" t="s">
        <v>1230</v>
      </c>
      <c r="G78" s="87" t="s">
        <v>1231</v>
      </c>
      <c r="H78" s="87" t="s">
        <v>1232</v>
      </c>
      <c r="I78" s="88"/>
    </row>
    <row r="79" spans="2:9" x14ac:dyDescent="0.2">
      <c r="B79" s="76" t="s">
        <v>911</v>
      </c>
      <c r="C79" s="88"/>
      <c r="D79" s="87" t="s">
        <v>94</v>
      </c>
      <c r="E79" s="87" t="s">
        <v>1252</v>
      </c>
      <c r="F79" s="87" t="s">
        <v>1253</v>
      </c>
      <c r="G79" s="87" t="s">
        <v>1254</v>
      </c>
      <c r="H79" s="87" t="s">
        <v>286</v>
      </c>
      <c r="I79" s="88"/>
    </row>
    <row r="80" spans="2:9" x14ac:dyDescent="0.2">
      <c r="B80" s="76" t="s">
        <v>96</v>
      </c>
      <c r="C80" s="88"/>
      <c r="D80" s="87" t="s">
        <v>94</v>
      </c>
      <c r="E80" s="87" t="s">
        <v>1307</v>
      </c>
      <c r="F80" s="87" t="s">
        <v>1308</v>
      </c>
      <c r="G80" s="87" t="s">
        <v>1309</v>
      </c>
      <c r="H80" s="87" t="s">
        <v>1310</v>
      </c>
      <c r="I80" s="88"/>
    </row>
    <row r="81" spans="2:9" x14ac:dyDescent="0.2">
      <c r="B81" s="76" t="s">
        <v>99</v>
      </c>
      <c r="C81" s="88"/>
      <c r="D81" s="87" t="s">
        <v>94</v>
      </c>
      <c r="E81" s="87" t="s">
        <v>1311</v>
      </c>
      <c r="F81" s="87" t="s">
        <v>1312</v>
      </c>
      <c r="G81" s="87" t="s">
        <v>1313</v>
      </c>
      <c r="H81" s="87" t="s">
        <v>284</v>
      </c>
      <c r="I81" s="88"/>
    </row>
    <row r="82" spans="2:9" x14ac:dyDescent="0.2">
      <c r="B82" s="76" t="s">
        <v>120</v>
      </c>
      <c r="C82" s="88"/>
      <c r="D82" s="87" t="s">
        <v>339</v>
      </c>
      <c r="E82" s="91" t="s">
        <v>1325</v>
      </c>
      <c r="F82" s="91" t="s">
        <v>1326</v>
      </c>
      <c r="G82" s="91" t="s">
        <v>1327</v>
      </c>
      <c r="H82" s="91" t="s">
        <v>287</v>
      </c>
      <c r="I82" s="88" t="s">
        <v>340</v>
      </c>
    </row>
    <row r="83" spans="2:9" x14ac:dyDescent="0.2">
      <c r="B83" s="76" t="s">
        <v>121</v>
      </c>
      <c r="C83" s="88"/>
      <c r="D83" s="87" t="s">
        <v>94</v>
      </c>
      <c r="E83" s="87" t="s">
        <v>1314</v>
      </c>
      <c r="F83" s="87" t="s">
        <v>1315</v>
      </c>
      <c r="G83" s="87" t="s">
        <v>1316</v>
      </c>
      <c r="H83" s="87" t="s">
        <v>293</v>
      </c>
      <c r="I83" s="88"/>
    </row>
    <row r="84" spans="2:9" x14ac:dyDescent="0.2">
      <c r="B84" s="76" t="s">
        <v>103</v>
      </c>
      <c r="C84" s="88"/>
      <c r="D84" s="87" t="s">
        <v>94</v>
      </c>
      <c r="E84" s="87" t="s">
        <v>1317</v>
      </c>
      <c r="F84" s="87" t="s">
        <v>1318</v>
      </c>
      <c r="G84" s="87" t="s">
        <v>1319</v>
      </c>
      <c r="H84" s="87" t="s">
        <v>1320</v>
      </c>
      <c r="I84" s="88"/>
    </row>
    <row r="85" spans="2:9" x14ac:dyDescent="0.2">
      <c r="B85" s="76" t="s">
        <v>111</v>
      </c>
      <c r="C85" s="88"/>
      <c r="D85" s="87" t="s">
        <v>94</v>
      </c>
      <c r="E85" s="87" t="s">
        <v>1321</v>
      </c>
      <c r="F85" s="87" t="s">
        <v>1322</v>
      </c>
      <c r="G85" s="87" t="s">
        <v>1323</v>
      </c>
      <c r="H85" s="87" t="s">
        <v>1324</v>
      </c>
      <c r="I85" s="88"/>
    </row>
    <row r="86" spans="2:9" x14ac:dyDescent="0.2">
      <c r="B86" s="76" t="s">
        <v>109</v>
      </c>
      <c r="C86" s="88"/>
      <c r="D86" s="87" t="s">
        <v>94</v>
      </c>
      <c r="E86" s="87" t="s">
        <v>1328</v>
      </c>
      <c r="F86" s="87" t="s">
        <v>1329</v>
      </c>
      <c r="G86" s="87" t="s">
        <v>1330</v>
      </c>
      <c r="H86" s="87" t="s">
        <v>1331</v>
      </c>
      <c r="I86" s="88"/>
    </row>
    <row r="87" spans="2:9" x14ac:dyDescent="0.2">
      <c r="B87" s="76" t="s">
        <v>1047</v>
      </c>
      <c r="C87" s="88"/>
      <c r="D87" s="87" t="s">
        <v>94</v>
      </c>
      <c r="E87" s="87" t="s">
        <v>1393</v>
      </c>
      <c r="F87" s="87" t="s">
        <v>1394</v>
      </c>
      <c r="G87" s="87" t="s">
        <v>1394</v>
      </c>
      <c r="H87" s="87" t="s">
        <v>1394</v>
      </c>
      <c r="I87" s="88"/>
    </row>
    <row r="88" spans="2:9" x14ac:dyDescent="0.2">
      <c r="B88" s="76" t="s">
        <v>1048</v>
      </c>
      <c r="C88" s="88"/>
      <c r="D88" s="87" t="s">
        <v>94</v>
      </c>
      <c r="E88" s="87" t="s">
        <v>1395</v>
      </c>
      <c r="F88" s="87" t="s">
        <v>1394</v>
      </c>
      <c r="G88" s="87" t="s">
        <v>1394</v>
      </c>
      <c r="H88" s="87" t="s">
        <v>1394</v>
      </c>
      <c r="I88" s="88"/>
    </row>
    <row r="89" spans="2:9" x14ac:dyDescent="0.2">
      <c r="B89" s="76" t="s">
        <v>1624</v>
      </c>
      <c r="C89" s="88"/>
      <c r="D89" s="87" t="s">
        <v>94</v>
      </c>
      <c r="E89" s="87" t="s">
        <v>1396</v>
      </c>
      <c r="F89" s="87" t="s">
        <v>1394</v>
      </c>
      <c r="G89" s="87" t="s">
        <v>1394</v>
      </c>
      <c r="H89" s="87" t="s">
        <v>1394</v>
      </c>
      <c r="I89" s="88"/>
    </row>
    <row r="90" spans="2:9" x14ac:dyDescent="0.2">
      <c r="B90" s="76" t="s">
        <v>1625</v>
      </c>
      <c r="C90" s="88"/>
      <c r="D90" s="87" t="s">
        <v>94</v>
      </c>
      <c r="E90" s="87" t="s">
        <v>1397</v>
      </c>
      <c r="F90" s="87" t="s">
        <v>1394</v>
      </c>
      <c r="G90" s="87" t="s">
        <v>1394</v>
      </c>
      <c r="H90" s="87" t="s">
        <v>1394</v>
      </c>
      <c r="I90" s="88"/>
    </row>
    <row r="91" spans="2:9" x14ac:dyDescent="0.2">
      <c r="B91" s="76" t="s">
        <v>105</v>
      </c>
      <c r="C91" s="88"/>
      <c r="D91" s="87" t="s">
        <v>101</v>
      </c>
      <c r="E91" s="87" t="s">
        <v>145</v>
      </c>
      <c r="F91" s="87" t="s">
        <v>1368</v>
      </c>
      <c r="G91" s="87" t="s">
        <v>104</v>
      </c>
      <c r="H91" s="87" t="s">
        <v>117</v>
      </c>
      <c r="I91" s="88"/>
    </row>
    <row r="92" spans="2:9" x14ac:dyDescent="0.2">
      <c r="B92" s="76" t="s">
        <v>100</v>
      </c>
      <c r="C92" s="88"/>
      <c r="D92" s="87" t="s">
        <v>101</v>
      </c>
      <c r="E92" s="87" t="s">
        <v>112</v>
      </c>
      <c r="F92" s="87" t="s">
        <v>110</v>
      </c>
      <c r="G92" s="87" t="s">
        <v>102</v>
      </c>
      <c r="H92" s="87" t="s">
        <v>1369</v>
      </c>
      <c r="I92" s="88"/>
    </row>
    <row r="93" spans="2:9" x14ac:dyDescent="0.2">
      <c r="B93" s="76" t="s">
        <v>116</v>
      </c>
      <c r="C93" s="88"/>
      <c r="D93" s="87" t="s">
        <v>101</v>
      </c>
      <c r="E93" s="87" t="s">
        <v>332</v>
      </c>
      <c r="F93" s="87" t="s">
        <v>140</v>
      </c>
      <c r="G93" s="87" t="s">
        <v>141</v>
      </c>
      <c r="H93" s="87" t="s">
        <v>382</v>
      </c>
      <c r="I93" s="88"/>
    </row>
    <row r="94" spans="2:9" x14ac:dyDescent="0.2">
      <c r="B94" s="76" t="s">
        <v>118</v>
      </c>
      <c r="C94" s="88"/>
      <c r="D94" s="87" t="s">
        <v>101</v>
      </c>
      <c r="E94" s="87" t="s">
        <v>142</v>
      </c>
      <c r="F94" s="87" t="s">
        <v>1370</v>
      </c>
      <c r="G94" s="87" t="s">
        <v>106</v>
      </c>
      <c r="H94" s="87" t="s">
        <v>1371</v>
      </c>
      <c r="I94" s="88"/>
    </row>
    <row r="95" spans="2:9" x14ac:dyDescent="0.2">
      <c r="B95" s="76" t="s">
        <v>107</v>
      </c>
      <c r="C95" s="88"/>
      <c r="D95" s="87" t="s">
        <v>101</v>
      </c>
      <c r="E95" s="87" t="s">
        <v>143</v>
      </c>
      <c r="F95" s="87" t="s">
        <v>139</v>
      </c>
      <c r="G95" s="87" t="s">
        <v>108</v>
      </c>
      <c r="H95" s="87" t="s">
        <v>1372</v>
      </c>
      <c r="I95" s="88"/>
    </row>
    <row r="96" spans="2:9" x14ac:dyDescent="0.2">
      <c r="B96" s="76" t="s">
        <v>115</v>
      </c>
      <c r="C96" s="76"/>
      <c r="D96" s="76" t="s">
        <v>101</v>
      </c>
      <c r="E96" s="76" t="s">
        <v>1375</v>
      </c>
      <c r="F96" s="91"/>
      <c r="G96" s="91"/>
      <c r="H96" s="91"/>
      <c r="I96" s="76"/>
    </row>
    <row r="97" spans="2:9" x14ac:dyDescent="0.2">
      <c r="B97" s="76" t="s">
        <v>113</v>
      </c>
      <c r="C97" s="88"/>
      <c r="D97" s="87" t="s">
        <v>114</v>
      </c>
      <c r="E97" s="87" t="s">
        <v>1373</v>
      </c>
      <c r="F97" s="87" t="s">
        <v>1374</v>
      </c>
      <c r="G97" s="87" t="s">
        <v>297</v>
      </c>
      <c r="H97" s="87" t="s">
        <v>296</v>
      </c>
      <c r="I97" s="88"/>
    </row>
    <row r="98" spans="2:9" x14ac:dyDescent="0.2">
      <c r="B98" s="76" t="s">
        <v>183</v>
      </c>
      <c r="C98" s="88"/>
      <c r="D98" s="87" t="s">
        <v>101</v>
      </c>
      <c r="E98" s="87" t="s">
        <v>144</v>
      </c>
      <c r="F98" s="87" t="s">
        <v>138</v>
      </c>
      <c r="G98" s="87" t="s">
        <v>1367</v>
      </c>
      <c r="H98" s="87" t="s">
        <v>119</v>
      </c>
      <c r="I98" s="88"/>
    </row>
    <row r="99" spans="2:9" x14ac:dyDescent="0.2">
      <c r="B99" s="76" t="s">
        <v>181</v>
      </c>
      <c r="C99" s="88"/>
      <c r="D99" s="87" t="s">
        <v>1376</v>
      </c>
      <c r="E99" s="87" t="s">
        <v>1377</v>
      </c>
      <c r="F99" s="87" t="s">
        <v>1378</v>
      </c>
      <c r="G99" s="87" t="s">
        <v>1379</v>
      </c>
      <c r="H99" s="87" t="s">
        <v>1380</v>
      </c>
      <c r="I99" s="88"/>
    </row>
    <row r="100" spans="2:9" x14ac:dyDescent="0.2">
      <c r="B100" s="76" t="s">
        <v>182</v>
      </c>
      <c r="C100" s="88"/>
      <c r="D100" s="87" t="s">
        <v>1376</v>
      </c>
      <c r="E100" s="87" t="s">
        <v>1381</v>
      </c>
      <c r="F100" s="87" t="s">
        <v>1382</v>
      </c>
      <c r="G100" s="87" t="s">
        <v>1383</v>
      </c>
      <c r="H100" s="87" t="s">
        <v>1384</v>
      </c>
      <c r="I100" s="88"/>
    </row>
    <row r="101" spans="2:9" x14ac:dyDescent="0.2">
      <c r="B101" s="76" t="s">
        <v>1422</v>
      </c>
      <c r="C101" s="88"/>
      <c r="D101" s="87" t="s">
        <v>1376</v>
      </c>
      <c r="E101" s="87" t="s">
        <v>1385</v>
      </c>
      <c r="F101" s="87" t="s">
        <v>1386</v>
      </c>
      <c r="G101" s="87" t="s">
        <v>1387</v>
      </c>
      <c r="H101" s="87" t="s">
        <v>1388</v>
      </c>
      <c r="I101" s="88"/>
    </row>
    <row r="102" spans="2:9" x14ac:dyDescent="0.2">
      <c r="B102" s="76" t="s">
        <v>1416</v>
      </c>
      <c r="C102" s="88"/>
      <c r="D102" s="87" t="s">
        <v>429</v>
      </c>
      <c r="E102" s="87" t="s">
        <v>1389</v>
      </c>
      <c r="F102" s="87" t="s">
        <v>1390</v>
      </c>
      <c r="G102" s="87" t="s">
        <v>1423</v>
      </c>
      <c r="H102" s="87" t="s">
        <v>1438</v>
      </c>
      <c r="I102" s="88"/>
    </row>
    <row r="103" spans="2:9" x14ac:dyDescent="0.2">
      <c r="B103" s="76" t="s">
        <v>1417</v>
      </c>
      <c r="C103" s="88"/>
      <c r="D103" s="87" t="s">
        <v>429</v>
      </c>
      <c r="E103" s="87" t="s">
        <v>1424</v>
      </c>
      <c r="F103" s="87" t="s">
        <v>1432</v>
      </c>
      <c r="G103" s="87" t="s">
        <v>433</v>
      </c>
      <c r="H103" s="87" t="s">
        <v>1435</v>
      </c>
      <c r="I103" s="88"/>
    </row>
    <row r="104" spans="2:9" x14ac:dyDescent="0.2">
      <c r="B104" s="76" t="s">
        <v>1418</v>
      </c>
      <c r="C104" s="88"/>
      <c r="D104" s="87" t="s">
        <v>429</v>
      </c>
      <c r="E104" s="87" t="s">
        <v>1426</v>
      </c>
      <c r="F104" s="87" t="s">
        <v>1431</v>
      </c>
      <c r="G104" s="87" t="s">
        <v>1433</v>
      </c>
      <c r="H104" s="87" t="s">
        <v>1436</v>
      </c>
      <c r="I104" s="88"/>
    </row>
    <row r="105" spans="2:9" x14ac:dyDescent="0.2">
      <c r="B105" s="76" t="s">
        <v>1419</v>
      </c>
      <c r="C105" s="88"/>
      <c r="D105" s="87" t="s">
        <v>429</v>
      </c>
      <c r="E105" s="87" t="s">
        <v>1427</v>
      </c>
      <c r="F105" s="87" t="s">
        <v>1429</v>
      </c>
      <c r="G105" s="87" t="s">
        <v>1430</v>
      </c>
      <c r="H105" s="87" t="s">
        <v>1437</v>
      </c>
      <c r="I105" s="88"/>
    </row>
    <row r="106" spans="2:9" x14ac:dyDescent="0.2">
      <c r="B106" s="76" t="s">
        <v>1420</v>
      </c>
      <c r="C106" s="88"/>
      <c r="D106" s="87" t="s">
        <v>429</v>
      </c>
      <c r="E106" s="87" t="s">
        <v>1425</v>
      </c>
      <c r="F106" s="87" t="s">
        <v>1428</v>
      </c>
      <c r="G106" s="87" t="s">
        <v>1392</v>
      </c>
      <c r="H106" s="87" t="s">
        <v>434</v>
      </c>
      <c r="I106" s="88"/>
    </row>
    <row r="107" spans="2:9" x14ac:dyDescent="0.2">
      <c r="B107" s="76" t="s">
        <v>1421</v>
      </c>
      <c r="C107" s="88"/>
      <c r="D107" s="87" t="s">
        <v>429</v>
      </c>
      <c r="E107" s="87" t="s">
        <v>1391</v>
      </c>
      <c r="F107" s="87" t="s">
        <v>435</v>
      </c>
      <c r="G107" s="87" t="s">
        <v>1434</v>
      </c>
      <c r="H107" s="87" t="s">
        <v>432</v>
      </c>
      <c r="I107" s="88"/>
    </row>
  </sheetData>
  <mergeCells count="4">
    <mergeCell ref="B5:C5"/>
    <mergeCell ref="D5:H5"/>
    <mergeCell ref="B1:F1"/>
    <mergeCell ref="G1:I1"/>
  </mergeCells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E9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2.75" x14ac:dyDescent="0.2"/>
  <cols>
    <col min="1" max="1" width="9.140625" style="75"/>
    <col min="2" max="2" width="17.5703125" style="75" customWidth="1"/>
    <col min="3" max="4" width="13.42578125" style="75" customWidth="1"/>
    <col min="5" max="5" width="42.85546875" style="75" customWidth="1"/>
    <col min="6" max="16384" width="9.140625" style="75"/>
  </cols>
  <sheetData>
    <row r="1" spans="1:5" ht="25.5" customHeight="1" x14ac:dyDescent="0.4">
      <c r="A1" s="81" t="s">
        <v>61</v>
      </c>
      <c r="B1" s="82" t="s">
        <v>17</v>
      </c>
      <c r="C1" s="82"/>
      <c r="D1" s="82"/>
      <c r="E1" s="82"/>
    </row>
    <row r="3" spans="1:5" x14ac:dyDescent="0.2">
      <c r="B3" s="78" t="s">
        <v>14</v>
      </c>
      <c r="C3" s="79" t="s">
        <v>15</v>
      </c>
      <c r="D3" s="78" t="s">
        <v>16</v>
      </c>
      <c r="E3" s="79" t="s">
        <v>4</v>
      </c>
    </row>
    <row r="4" spans="1:5" ht="13.5" x14ac:dyDescent="0.25">
      <c r="B4" s="87" t="s">
        <v>6</v>
      </c>
      <c r="C4" s="87"/>
      <c r="D4" s="92">
        <v>-0.5</v>
      </c>
      <c r="E4" s="88" t="s">
        <v>84</v>
      </c>
    </row>
    <row r="5" spans="1:5" ht="13.5" x14ac:dyDescent="0.25">
      <c r="B5" s="87" t="s">
        <v>7</v>
      </c>
      <c r="C5" s="87"/>
      <c r="D5" s="92">
        <v>2.2999999999999998</v>
      </c>
      <c r="E5" s="88" t="s">
        <v>85</v>
      </c>
    </row>
    <row r="6" spans="1:5" ht="13.5" x14ac:dyDescent="0.25">
      <c r="B6" s="87" t="s">
        <v>8</v>
      </c>
      <c r="C6" s="87"/>
      <c r="D6" s="92">
        <v>5</v>
      </c>
      <c r="E6" s="88" t="s">
        <v>9</v>
      </c>
    </row>
    <row r="7" spans="1:5" ht="13.5" x14ac:dyDescent="0.25">
      <c r="B7" s="87" t="s">
        <v>10</v>
      </c>
      <c r="C7" s="87"/>
      <c r="D7" s="92">
        <v>0</v>
      </c>
      <c r="E7" s="88" t="s">
        <v>11</v>
      </c>
    </row>
    <row r="8" spans="1:5" ht="13.5" x14ac:dyDescent="0.25">
      <c r="B8" s="87" t="s">
        <v>12</v>
      </c>
      <c r="C8" s="87"/>
      <c r="D8" s="92">
        <v>1.5999999999999999E-5</v>
      </c>
      <c r="E8" s="88" t="s">
        <v>13</v>
      </c>
    </row>
    <row r="9" spans="1:5" ht="13.5" x14ac:dyDescent="0.25">
      <c r="B9" s="87" t="s">
        <v>86</v>
      </c>
      <c r="C9" s="87"/>
      <c r="D9" s="92">
        <v>6</v>
      </c>
      <c r="E9" s="88" t="s">
        <v>87</v>
      </c>
    </row>
  </sheetData>
  <mergeCells count="1">
    <mergeCell ref="B1:E1"/>
  </mergeCells>
  <phoneticPr fontId="0" type="noConversion"/>
  <dataValidations count="1">
    <dataValidation type="list" allowBlank="1" showInputMessage="1" showErrorMessage="1" sqref="C4:C9">
      <formula1>"ROYL_X4_PROD_RT"</formula1>
    </dataValidation>
  </dataValidations>
  <pageMargins left="0.75" right="0.75" top="1" bottom="1" header="0.5" footer="0.5"/>
  <pageSetup orientation="landscape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P82"/>
  <sheetViews>
    <sheetView showGridLines="0" workbookViewId="0">
      <pane xSplit="5" ySplit="4" topLeftCell="F5" activePane="bottomRight" state="frozen"/>
      <selection pane="topRight" activeCell="F1" sqref="F1"/>
      <selection pane="bottomLeft" activeCell="A5" sqref="A5"/>
      <selection pane="bottomRight"/>
    </sheetView>
  </sheetViews>
  <sheetFormatPr defaultRowHeight="12.75" outlineLevelCol="1" x14ac:dyDescent="0.2"/>
  <cols>
    <col min="1" max="1" width="9.140625" style="75"/>
    <col min="2" max="2" width="21.85546875" style="75" customWidth="1"/>
    <col min="3" max="4" width="13.42578125" style="75" customWidth="1"/>
    <col min="5" max="5" width="9.140625" style="75"/>
    <col min="6" max="6" width="13.42578125" style="75" customWidth="1" collapsed="1"/>
    <col min="7" max="8" width="13.42578125" style="75" hidden="1" customWidth="1" outlineLevel="1"/>
    <col min="9" max="9" width="13.42578125" style="75" customWidth="1" collapsed="1"/>
    <col min="10" max="11" width="13.42578125" style="75" hidden="1" customWidth="1" outlineLevel="1"/>
    <col min="12" max="12" width="13.42578125" style="75" customWidth="1" collapsed="1"/>
    <col min="13" max="14" width="13.42578125" style="75" hidden="1" customWidth="1" outlineLevel="1"/>
    <col min="15" max="15" width="13.42578125" style="75" customWidth="1" collapsed="1"/>
    <col min="16" max="17" width="13.42578125" style="75" hidden="1" customWidth="1" outlineLevel="1"/>
    <col min="18" max="18" width="13.42578125" style="75" customWidth="1" collapsed="1"/>
    <col min="19" max="20" width="13.42578125" style="75" hidden="1" customWidth="1" outlineLevel="1"/>
    <col min="21" max="21" width="13.42578125" style="75" customWidth="1"/>
    <col min="22" max="23" width="13.42578125" style="75" customWidth="1" outlineLevel="1"/>
    <col min="24" max="24" width="13.42578125" style="75" customWidth="1" collapsed="1"/>
    <col min="25" max="26" width="13.42578125" style="75" hidden="1" customWidth="1" outlineLevel="1"/>
    <col min="27" max="27" width="13.42578125" style="75" customWidth="1" collapsed="1"/>
    <col min="28" max="29" width="13.42578125" style="75" hidden="1" customWidth="1" outlineLevel="1"/>
    <col min="30" max="30" width="13.42578125" style="75" customWidth="1" collapsed="1"/>
    <col min="31" max="32" width="13.42578125" style="75" hidden="1" customWidth="1" outlineLevel="1"/>
    <col min="33" max="33" width="13.42578125" style="75" customWidth="1" collapsed="1"/>
    <col min="34" max="35" width="13.42578125" style="75" hidden="1" customWidth="1" outlineLevel="1"/>
    <col min="36" max="36" width="13.42578125" style="75" customWidth="1" collapsed="1"/>
    <col min="37" max="38" width="13.42578125" style="75" hidden="1" customWidth="1" outlineLevel="1"/>
    <col min="39" max="39" width="13.42578125" style="75" customWidth="1" collapsed="1"/>
    <col min="40" max="41" width="13.42578125" style="75" hidden="1" customWidth="1" outlineLevel="1"/>
    <col min="42" max="42" width="42.85546875" style="75" customWidth="1"/>
    <col min="43" max="16384" width="9.140625" style="75"/>
  </cols>
  <sheetData>
    <row r="1" spans="1:42" ht="25.5" customHeight="1" x14ac:dyDescent="0.4">
      <c r="A1" s="81" t="s">
        <v>0</v>
      </c>
      <c r="B1" s="82" t="s">
        <v>22</v>
      </c>
      <c r="C1" s="82"/>
      <c r="D1" s="82"/>
      <c r="E1" s="82"/>
      <c r="F1" s="82"/>
      <c r="G1" s="82"/>
    </row>
    <row r="3" spans="1:42" x14ac:dyDescent="0.2">
      <c r="D3" s="77" t="s">
        <v>24</v>
      </c>
      <c r="E3" s="77"/>
      <c r="F3" s="83" t="s">
        <v>738</v>
      </c>
      <c r="G3" s="83"/>
      <c r="H3" s="83"/>
      <c r="I3" s="83" t="s">
        <v>739</v>
      </c>
      <c r="J3" s="83"/>
      <c r="K3" s="83"/>
      <c r="L3" s="83" t="s">
        <v>243</v>
      </c>
      <c r="M3" s="83"/>
      <c r="N3" s="83"/>
      <c r="O3" s="83" t="s">
        <v>519</v>
      </c>
      <c r="P3" s="83"/>
      <c r="Q3" s="83"/>
      <c r="R3" s="83" t="s">
        <v>227</v>
      </c>
      <c r="S3" s="83"/>
      <c r="T3" s="83"/>
      <c r="U3" s="83" t="s">
        <v>226</v>
      </c>
      <c r="V3" s="83"/>
      <c r="W3" s="83"/>
      <c r="X3" s="83" t="s">
        <v>249</v>
      </c>
      <c r="Y3" s="83"/>
      <c r="Z3" s="83"/>
      <c r="AA3" s="83" t="s">
        <v>253</v>
      </c>
      <c r="AB3" s="83"/>
      <c r="AC3" s="83"/>
      <c r="AD3" s="83" t="s">
        <v>254</v>
      </c>
      <c r="AE3" s="83"/>
      <c r="AF3" s="83"/>
      <c r="AG3" s="83" t="s">
        <v>499</v>
      </c>
      <c r="AH3" s="83"/>
      <c r="AI3" s="83"/>
      <c r="AJ3" s="83" t="s">
        <v>579</v>
      </c>
      <c r="AK3" s="83"/>
      <c r="AL3" s="83"/>
      <c r="AM3" s="83" t="s">
        <v>607</v>
      </c>
      <c r="AN3" s="83"/>
      <c r="AO3" s="83"/>
    </row>
    <row r="4" spans="1:42" x14ac:dyDescent="0.2">
      <c r="B4" s="78" t="s">
        <v>14</v>
      </c>
      <c r="C4" s="79" t="s">
        <v>16</v>
      </c>
      <c r="D4" s="78" t="s">
        <v>20</v>
      </c>
      <c r="E4" s="78" t="s">
        <v>177</v>
      </c>
      <c r="F4" s="79" t="s">
        <v>178</v>
      </c>
      <c r="G4" s="79" t="s">
        <v>179</v>
      </c>
      <c r="H4" s="79" t="s">
        <v>180</v>
      </c>
      <c r="I4" s="79" t="s">
        <v>178</v>
      </c>
      <c r="J4" s="79" t="s">
        <v>179</v>
      </c>
      <c r="K4" s="79" t="s">
        <v>180</v>
      </c>
      <c r="L4" s="79" t="s">
        <v>178</v>
      </c>
      <c r="M4" s="79" t="s">
        <v>179</v>
      </c>
      <c r="N4" s="79" t="s">
        <v>180</v>
      </c>
      <c r="O4" s="79" t="s">
        <v>178</v>
      </c>
      <c r="P4" s="79" t="s">
        <v>179</v>
      </c>
      <c r="Q4" s="79" t="s">
        <v>180</v>
      </c>
      <c r="R4" s="79" t="s">
        <v>178</v>
      </c>
      <c r="S4" s="79" t="s">
        <v>179</v>
      </c>
      <c r="T4" s="79" t="s">
        <v>180</v>
      </c>
      <c r="U4" s="79" t="s">
        <v>178</v>
      </c>
      <c r="V4" s="79" t="s">
        <v>179</v>
      </c>
      <c r="W4" s="79" t="s">
        <v>180</v>
      </c>
      <c r="X4" s="79" t="s">
        <v>178</v>
      </c>
      <c r="Y4" s="79" t="s">
        <v>179</v>
      </c>
      <c r="Z4" s="79" t="s">
        <v>180</v>
      </c>
      <c r="AA4" s="79" t="s">
        <v>178</v>
      </c>
      <c r="AB4" s="79" t="s">
        <v>179</v>
      </c>
      <c r="AC4" s="79" t="s">
        <v>180</v>
      </c>
      <c r="AD4" s="79" t="s">
        <v>178</v>
      </c>
      <c r="AE4" s="79" t="s">
        <v>179</v>
      </c>
      <c r="AF4" s="79" t="s">
        <v>180</v>
      </c>
      <c r="AG4" s="79" t="s">
        <v>178</v>
      </c>
      <c r="AH4" s="79" t="s">
        <v>179</v>
      </c>
      <c r="AI4" s="79" t="s">
        <v>180</v>
      </c>
      <c r="AJ4" s="79" t="s">
        <v>178</v>
      </c>
      <c r="AK4" s="79" t="s">
        <v>179</v>
      </c>
      <c r="AL4" s="79" t="s">
        <v>180</v>
      </c>
      <c r="AM4" s="79" t="s">
        <v>178</v>
      </c>
      <c r="AN4" s="79" t="s">
        <v>179</v>
      </c>
      <c r="AO4" s="79" t="s">
        <v>180</v>
      </c>
      <c r="AP4" s="79" t="s">
        <v>4</v>
      </c>
    </row>
    <row r="5" spans="1:42" ht="13.5" customHeight="1" x14ac:dyDescent="0.25">
      <c r="B5" s="76" t="s">
        <v>181</v>
      </c>
      <c r="C5" s="93">
        <v>1</v>
      </c>
      <c r="D5" s="76" t="s">
        <v>352</v>
      </c>
      <c r="E5" s="87" t="s">
        <v>178</v>
      </c>
      <c r="F5" s="92">
        <v>1</v>
      </c>
      <c r="G5" s="92">
        <v>0.95</v>
      </c>
      <c r="H5" s="92">
        <v>1.05</v>
      </c>
      <c r="I5" s="92">
        <v>1</v>
      </c>
      <c r="J5" s="92">
        <v>0.95</v>
      </c>
      <c r="K5" s="92">
        <v>1.05</v>
      </c>
      <c r="L5" s="92">
        <v>0</v>
      </c>
      <c r="M5" s="92">
        <v>0</v>
      </c>
      <c r="N5" s="92">
        <v>0</v>
      </c>
      <c r="O5" s="92">
        <v>1</v>
      </c>
      <c r="P5" s="92">
        <v>0.95</v>
      </c>
      <c r="Q5" s="92">
        <v>1.05</v>
      </c>
      <c r="R5" s="92">
        <v>0</v>
      </c>
      <c r="S5" s="92">
        <v>0</v>
      </c>
      <c r="T5" s="92">
        <v>0</v>
      </c>
      <c r="U5" s="92">
        <v>1</v>
      </c>
      <c r="V5" s="92">
        <v>0.95</v>
      </c>
      <c r="W5" s="92">
        <v>1.05</v>
      </c>
      <c r="X5" s="92">
        <v>1</v>
      </c>
      <c r="Y5" s="92">
        <v>0.95</v>
      </c>
      <c r="Z5" s="92">
        <v>1.05</v>
      </c>
      <c r="AA5" s="92">
        <v>1</v>
      </c>
      <c r="AB5" s="92">
        <v>0.95</v>
      </c>
      <c r="AC5" s="92">
        <v>1.05</v>
      </c>
      <c r="AD5" s="92">
        <v>1</v>
      </c>
      <c r="AE5" s="92">
        <v>0.95</v>
      </c>
      <c r="AF5" s="92">
        <v>1.05</v>
      </c>
      <c r="AG5" s="92">
        <v>1</v>
      </c>
      <c r="AH5" s="92">
        <v>0.95</v>
      </c>
      <c r="AI5" s="92">
        <v>1.05</v>
      </c>
      <c r="AJ5" s="92">
        <v>1.1000000000000001</v>
      </c>
      <c r="AK5" s="92">
        <v>0.95</v>
      </c>
      <c r="AL5" s="92">
        <v>1.05</v>
      </c>
      <c r="AM5" s="92">
        <v>1</v>
      </c>
      <c r="AN5" s="92">
        <v>0.95</v>
      </c>
      <c r="AO5" s="92">
        <v>1.05</v>
      </c>
      <c r="AP5" s="88"/>
    </row>
    <row r="6" spans="1:42" ht="13.5" hidden="1" customHeight="1" x14ac:dyDescent="0.25">
      <c r="B6" s="76" t="s">
        <v>181</v>
      </c>
      <c r="C6" s="93">
        <v>0.95</v>
      </c>
      <c r="D6" s="76" t="s">
        <v>353</v>
      </c>
      <c r="E6" s="87" t="s">
        <v>179</v>
      </c>
      <c r="F6" s="92">
        <v>1</v>
      </c>
      <c r="G6" s="92">
        <v>0.95</v>
      </c>
      <c r="H6" s="92">
        <v>1.05</v>
      </c>
      <c r="I6" s="92">
        <v>1</v>
      </c>
      <c r="J6" s="92">
        <v>0.95</v>
      </c>
      <c r="K6" s="92">
        <v>1.05</v>
      </c>
      <c r="L6" s="92">
        <v>0</v>
      </c>
      <c r="M6" s="92">
        <v>0</v>
      </c>
      <c r="N6" s="92">
        <v>0</v>
      </c>
      <c r="O6" s="92">
        <v>1</v>
      </c>
      <c r="P6" s="92">
        <v>0.95</v>
      </c>
      <c r="Q6" s="92">
        <v>1.05</v>
      </c>
      <c r="R6" s="92">
        <v>0</v>
      </c>
      <c r="S6" s="92">
        <v>0</v>
      </c>
      <c r="T6" s="92">
        <v>0</v>
      </c>
      <c r="U6" s="92">
        <v>1</v>
      </c>
      <c r="V6" s="92">
        <v>0.95</v>
      </c>
      <c r="W6" s="92">
        <v>1.05</v>
      </c>
      <c r="X6" s="92">
        <v>1</v>
      </c>
      <c r="Y6" s="92">
        <v>0.95</v>
      </c>
      <c r="Z6" s="92">
        <v>1.05</v>
      </c>
      <c r="AA6" s="92">
        <v>1</v>
      </c>
      <c r="AB6" s="92">
        <v>0.95</v>
      </c>
      <c r="AC6" s="92">
        <v>1.05</v>
      </c>
      <c r="AD6" s="92">
        <v>1</v>
      </c>
      <c r="AE6" s="92">
        <v>0.95</v>
      </c>
      <c r="AF6" s="92">
        <v>1.05</v>
      </c>
      <c r="AG6" s="92">
        <v>1</v>
      </c>
      <c r="AH6" s="92">
        <v>0.95</v>
      </c>
      <c r="AI6" s="92">
        <v>1.05</v>
      </c>
      <c r="AJ6" s="92">
        <v>1.1000000000000001</v>
      </c>
      <c r="AK6" s="92">
        <v>0.95</v>
      </c>
      <c r="AL6" s="92">
        <v>1.05</v>
      </c>
      <c r="AM6" s="92">
        <v>1</v>
      </c>
      <c r="AN6" s="92">
        <v>0.95</v>
      </c>
      <c r="AO6" s="92">
        <v>1.05</v>
      </c>
      <c r="AP6" s="88"/>
    </row>
    <row r="7" spans="1:42" ht="13.5" hidden="1" customHeight="1" x14ac:dyDescent="0.25">
      <c r="B7" s="76" t="s">
        <v>181</v>
      </c>
      <c r="C7" s="93">
        <v>1.05</v>
      </c>
      <c r="D7" s="76" t="s">
        <v>354</v>
      </c>
      <c r="E7" s="87" t="s">
        <v>180</v>
      </c>
      <c r="F7" s="92">
        <v>1</v>
      </c>
      <c r="G7" s="92">
        <v>0.95</v>
      </c>
      <c r="H7" s="92">
        <v>1.05</v>
      </c>
      <c r="I7" s="92">
        <v>1</v>
      </c>
      <c r="J7" s="92">
        <v>0.95</v>
      </c>
      <c r="K7" s="92">
        <v>1.05</v>
      </c>
      <c r="L7" s="92">
        <v>0</v>
      </c>
      <c r="M7" s="92">
        <v>0</v>
      </c>
      <c r="N7" s="92">
        <v>0</v>
      </c>
      <c r="O7" s="92">
        <v>1</v>
      </c>
      <c r="P7" s="92">
        <v>0.95</v>
      </c>
      <c r="Q7" s="92">
        <v>1.05</v>
      </c>
      <c r="R7" s="92">
        <v>0</v>
      </c>
      <c r="S7" s="92">
        <v>0</v>
      </c>
      <c r="T7" s="92">
        <v>0</v>
      </c>
      <c r="U7" s="92">
        <v>1</v>
      </c>
      <c r="V7" s="92">
        <v>0.95</v>
      </c>
      <c r="W7" s="92">
        <v>1.05</v>
      </c>
      <c r="X7" s="92">
        <v>1</v>
      </c>
      <c r="Y7" s="92">
        <v>0.95</v>
      </c>
      <c r="Z7" s="92">
        <v>1.05</v>
      </c>
      <c r="AA7" s="92">
        <v>1</v>
      </c>
      <c r="AB7" s="92">
        <v>0.95</v>
      </c>
      <c r="AC7" s="92">
        <v>1.05</v>
      </c>
      <c r="AD7" s="92">
        <v>1</v>
      </c>
      <c r="AE7" s="92">
        <v>0.95</v>
      </c>
      <c r="AF7" s="92">
        <v>1.05</v>
      </c>
      <c r="AG7" s="92">
        <v>1</v>
      </c>
      <c r="AH7" s="92">
        <v>0.95</v>
      </c>
      <c r="AI7" s="92">
        <v>1.05</v>
      </c>
      <c r="AJ7" s="92">
        <v>1.1000000000000001</v>
      </c>
      <c r="AK7" s="92">
        <v>0.95</v>
      </c>
      <c r="AL7" s="92">
        <v>1.05</v>
      </c>
      <c r="AM7" s="92">
        <v>1</v>
      </c>
      <c r="AN7" s="92">
        <v>0.95</v>
      </c>
      <c r="AO7" s="92">
        <v>1.05</v>
      </c>
      <c r="AP7" s="88"/>
    </row>
    <row r="8" spans="1:42" ht="13.5" customHeight="1" x14ac:dyDescent="0.25">
      <c r="B8" s="76" t="s">
        <v>182</v>
      </c>
      <c r="C8" s="93">
        <v>1.8</v>
      </c>
      <c r="D8" s="76" t="s">
        <v>352</v>
      </c>
      <c r="E8" s="87" t="s">
        <v>178</v>
      </c>
      <c r="F8" s="92">
        <v>1.8</v>
      </c>
      <c r="G8" s="92">
        <v>1.62</v>
      </c>
      <c r="H8" s="92">
        <v>1.98</v>
      </c>
      <c r="I8" s="92">
        <v>1.8</v>
      </c>
      <c r="J8" s="92">
        <v>1.62</v>
      </c>
      <c r="K8" s="92">
        <v>1.98</v>
      </c>
      <c r="L8" s="92">
        <v>0</v>
      </c>
      <c r="M8" s="92">
        <v>0</v>
      </c>
      <c r="N8" s="92">
        <v>0</v>
      </c>
      <c r="O8" s="92">
        <v>1.8</v>
      </c>
      <c r="P8" s="92">
        <v>1.62</v>
      </c>
      <c r="Q8" s="92">
        <v>1.98</v>
      </c>
      <c r="R8" s="92">
        <v>0</v>
      </c>
      <c r="S8" s="92">
        <v>0</v>
      </c>
      <c r="T8" s="92">
        <v>0</v>
      </c>
      <c r="U8" s="92">
        <v>1.8</v>
      </c>
      <c r="V8" s="92">
        <v>1.62</v>
      </c>
      <c r="W8" s="92">
        <v>1.98</v>
      </c>
      <c r="X8" s="92">
        <v>1.8</v>
      </c>
      <c r="Y8" s="92">
        <v>1.62</v>
      </c>
      <c r="Z8" s="92">
        <v>1.98</v>
      </c>
      <c r="AA8" s="92">
        <v>1.8</v>
      </c>
      <c r="AB8" s="92">
        <v>1.62</v>
      </c>
      <c r="AC8" s="92">
        <v>1.98</v>
      </c>
      <c r="AD8" s="92">
        <v>1.8</v>
      </c>
      <c r="AE8" s="92">
        <v>1.62</v>
      </c>
      <c r="AF8" s="92">
        <v>1.98</v>
      </c>
      <c r="AG8" s="92">
        <v>1.8</v>
      </c>
      <c r="AH8" s="92">
        <v>1.62</v>
      </c>
      <c r="AI8" s="92">
        <v>1.98</v>
      </c>
      <c r="AJ8" s="92">
        <v>1.8</v>
      </c>
      <c r="AK8" s="92">
        <v>1.62</v>
      </c>
      <c r="AL8" s="92">
        <v>1.98</v>
      </c>
      <c r="AM8" s="92">
        <v>1.8</v>
      </c>
      <c r="AN8" s="92">
        <v>1.62</v>
      </c>
      <c r="AO8" s="92">
        <v>1.98</v>
      </c>
      <c r="AP8" s="88"/>
    </row>
    <row r="9" spans="1:42" ht="13.5" hidden="1" customHeight="1" x14ac:dyDescent="0.25">
      <c r="B9" s="76" t="s">
        <v>182</v>
      </c>
      <c r="C9" s="93">
        <v>1.62</v>
      </c>
      <c r="D9" s="76" t="s">
        <v>353</v>
      </c>
      <c r="E9" s="87" t="s">
        <v>179</v>
      </c>
      <c r="F9" s="92">
        <v>1.8</v>
      </c>
      <c r="G9" s="92">
        <v>1.62</v>
      </c>
      <c r="H9" s="92">
        <v>1.98</v>
      </c>
      <c r="I9" s="92">
        <v>1.8</v>
      </c>
      <c r="J9" s="92">
        <v>1.62</v>
      </c>
      <c r="K9" s="92">
        <v>1.98</v>
      </c>
      <c r="L9" s="92">
        <v>0</v>
      </c>
      <c r="M9" s="92">
        <v>0</v>
      </c>
      <c r="N9" s="92">
        <v>0</v>
      </c>
      <c r="O9" s="92">
        <v>1.8</v>
      </c>
      <c r="P9" s="92">
        <v>1.62</v>
      </c>
      <c r="Q9" s="92">
        <v>1.98</v>
      </c>
      <c r="R9" s="92">
        <v>0</v>
      </c>
      <c r="S9" s="92">
        <v>0</v>
      </c>
      <c r="T9" s="92">
        <v>0</v>
      </c>
      <c r="U9" s="92">
        <v>1.8</v>
      </c>
      <c r="V9" s="92">
        <v>1.62</v>
      </c>
      <c r="W9" s="92">
        <v>1.98</v>
      </c>
      <c r="X9" s="92">
        <v>1.8</v>
      </c>
      <c r="Y9" s="92">
        <v>1.62</v>
      </c>
      <c r="Z9" s="92">
        <v>1.98</v>
      </c>
      <c r="AA9" s="92">
        <v>1.8</v>
      </c>
      <c r="AB9" s="92">
        <v>1.62</v>
      </c>
      <c r="AC9" s="92">
        <v>1.98</v>
      </c>
      <c r="AD9" s="92">
        <v>1.8</v>
      </c>
      <c r="AE9" s="92">
        <v>1.62</v>
      </c>
      <c r="AF9" s="92">
        <v>1.98</v>
      </c>
      <c r="AG9" s="92">
        <v>1.8</v>
      </c>
      <c r="AH9" s="92">
        <v>1.62</v>
      </c>
      <c r="AI9" s="92">
        <v>1.98</v>
      </c>
      <c r="AJ9" s="92">
        <v>1.8</v>
      </c>
      <c r="AK9" s="92">
        <v>1.62</v>
      </c>
      <c r="AL9" s="92">
        <v>1.98</v>
      </c>
      <c r="AM9" s="92">
        <v>1.8</v>
      </c>
      <c r="AN9" s="92">
        <v>1.62</v>
      </c>
      <c r="AO9" s="92">
        <v>1.98</v>
      </c>
      <c r="AP9" s="88"/>
    </row>
    <row r="10" spans="1:42" ht="13.5" hidden="1" customHeight="1" x14ac:dyDescent="0.25">
      <c r="B10" s="76" t="s">
        <v>182</v>
      </c>
      <c r="C10" s="93">
        <v>1.98</v>
      </c>
      <c r="D10" s="76" t="s">
        <v>354</v>
      </c>
      <c r="E10" s="87" t="s">
        <v>180</v>
      </c>
      <c r="F10" s="92">
        <v>1.8</v>
      </c>
      <c r="G10" s="92">
        <v>1.62</v>
      </c>
      <c r="H10" s="92">
        <v>1.98</v>
      </c>
      <c r="I10" s="92">
        <v>1.8</v>
      </c>
      <c r="J10" s="92">
        <v>1.62</v>
      </c>
      <c r="K10" s="92">
        <v>1.98</v>
      </c>
      <c r="L10" s="92">
        <v>0</v>
      </c>
      <c r="M10" s="92">
        <v>0</v>
      </c>
      <c r="N10" s="92">
        <v>0</v>
      </c>
      <c r="O10" s="92">
        <v>1.8</v>
      </c>
      <c r="P10" s="92">
        <v>1.62</v>
      </c>
      <c r="Q10" s="92">
        <v>1.98</v>
      </c>
      <c r="R10" s="92">
        <v>0</v>
      </c>
      <c r="S10" s="92">
        <v>0</v>
      </c>
      <c r="T10" s="92">
        <v>0</v>
      </c>
      <c r="U10" s="92">
        <v>1.8</v>
      </c>
      <c r="V10" s="92">
        <v>1.62</v>
      </c>
      <c r="W10" s="92">
        <v>1.98</v>
      </c>
      <c r="X10" s="92">
        <v>1.8</v>
      </c>
      <c r="Y10" s="92">
        <v>1.62</v>
      </c>
      <c r="Z10" s="92">
        <v>1.98</v>
      </c>
      <c r="AA10" s="92">
        <v>1.8</v>
      </c>
      <c r="AB10" s="92">
        <v>1.62</v>
      </c>
      <c r="AC10" s="92">
        <v>1.98</v>
      </c>
      <c r="AD10" s="92">
        <v>1.8</v>
      </c>
      <c r="AE10" s="92">
        <v>1.62</v>
      </c>
      <c r="AF10" s="92">
        <v>1.98</v>
      </c>
      <c r="AG10" s="92">
        <v>1.8</v>
      </c>
      <c r="AH10" s="92">
        <v>1.62</v>
      </c>
      <c r="AI10" s="92">
        <v>1.98</v>
      </c>
      <c r="AJ10" s="92">
        <v>1.8</v>
      </c>
      <c r="AK10" s="92">
        <v>1.62</v>
      </c>
      <c r="AL10" s="92">
        <v>1.98</v>
      </c>
      <c r="AM10" s="92">
        <v>1.8</v>
      </c>
      <c r="AN10" s="92">
        <v>1.62</v>
      </c>
      <c r="AO10" s="92">
        <v>1.98</v>
      </c>
      <c r="AP10" s="88"/>
    </row>
    <row r="11" spans="1:42" ht="13.5" customHeight="1" x14ac:dyDescent="0.25">
      <c r="B11" s="76" t="s">
        <v>183</v>
      </c>
      <c r="C11" s="93">
        <v>-4</v>
      </c>
      <c r="D11" s="76" t="s">
        <v>352</v>
      </c>
      <c r="E11" s="87" t="s">
        <v>178</v>
      </c>
      <c r="F11" s="92">
        <v>-3</v>
      </c>
      <c r="G11" s="92">
        <v>-2</v>
      </c>
      <c r="H11" s="92">
        <v>-5</v>
      </c>
      <c r="I11" s="92">
        <v>-4</v>
      </c>
      <c r="J11" s="92">
        <v>-2</v>
      </c>
      <c r="K11" s="92">
        <v>-5</v>
      </c>
      <c r="L11" s="92">
        <v>0</v>
      </c>
      <c r="M11" s="92">
        <v>0</v>
      </c>
      <c r="N11" s="92">
        <v>0</v>
      </c>
      <c r="O11" s="92">
        <v>-3</v>
      </c>
      <c r="P11" s="92">
        <v>-2</v>
      </c>
      <c r="Q11" s="92">
        <v>-5</v>
      </c>
      <c r="R11" s="92">
        <v>0</v>
      </c>
      <c r="S11" s="92">
        <v>0</v>
      </c>
      <c r="T11" s="92">
        <v>0</v>
      </c>
      <c r="U11" s="92">
        <v>-4</v>
      </c>
      <c r="V11" s="92">
        <v>-2</v>
      </c>
      <c r="W11" s="92">
        <v>-5</v>
      </c>
      <c r="X11" s="92">
        <v>-3</v>
      </c>
      <c r="Y11" s="92">
        <v>-2</v>
      </c>
      <c r="Z11" s="92">
        <v>-5</v>
      </c>
      <c r="AA11" s="92">
        <v>-4</v>
      </c>
      <c r="AB11" s="92">
        <v>-2</v>
      </c>
      <c r="AC11" s="92">
        <v>-5</v>
      </c>
      <c r="AD11" s="92">
        <v>-3</v>
      </c>
      <c r="AE11" s="92">
        <v>-2</v>
      </c>
      <c r="AF11" s="92">
        <v>-5</v>
      </c>
      <c r="AG11" s="92">
        <v>-3</v>
      </c>
      <c r="AH11" s="92">
        <v>-2</v>
      </c>
      <c r="AI11" s="92">
        <v>-5</v>
      </c>
      <c r="AJ11" s="92">
        <v>-3</v>
      </c>
      <c r="AK11" s="92">
        <v>-2</v>
      </c>
      <c r="AL11" s="92">
        <v>-5</v>
      </c>
      <c r="AM11" s="92">
        <v>-3</v>
      </c>
      <c r="AN11" s="92">
        <v>-2</v>
      </c>
      <c r="AO11" s="92">
        <v>-5</v>
      </c>
      <c r="AP11" s="88" t="s">
        <v>283</v>
      </c>
    </row>
    <row r="12" spans="1:42" ht="13.5" hidden="1" customHeight="1" x14ac:dyDescent="0.25">
      <c r="B12" s="76" t="s">
        <v>183</v>
      </c>
      <c r="C12" s="93">
        <v>-2</v>
      </c>
      <c r="D12" s="76" t="s">
        <v>353</v>
      </c>
      <c r="E12" s="87" t="s">
        <v>179</v>
      </c>
      <c r="F12" s="92">
        <v>-3</v>
      </c>
      <c r="G12" s="92">
        <v>-2</v>
      </c>
      <c r="H12" s="92">
        <v>-5</v>
      </c>
      <c r="I12" s="92">
        <v>-4</v>
      </c>
      <c r="J12" s="92">
        <v>-2</v>
      </c>
      <c r="K12" s="92">
        <v>-5</v>
      </c>
      <c r="L12" s="92">
        <v>0</v>
      </c>
      <c r="M12" s="92">
        <v>0</v>
      </c>
      <c r="N12" s="92">
        <v>0</v>
      </c>
      <c r="O12" s="92">
        <v>-3</v>
      </c>
      <c r="P12" s="92">
        <v>-2</v>
      </c>
      <c r="Q12" s="92">
        <v>-5</v>
      </c>
      <c r="R12" s="92">
        <v>0</v>
      </c>
      <c r="S12" s="92">
        <v>0</v>
      </c>
      <c r="T12" s="92">
        <v>0</v>
      </c>
      <c r="U12" s="92">
        <v>-4</v>
      </c>
      <c r="V12" s="92">
        <v>-2</v>
      </c>
      <c r="W12" s="92">
        <v>-5</v>
      </c>
      <c r="X12" s="92">
        <v>-3</v>
      </c>
      <c r="Y12" s="92">
        <v>-2</v>
      </c>
      <c r="Z12" s="92">
        <v>-5</v>
      </c>
      <c r="AA12" s="92">
        <v>-4</v>
      </c>
      <c r="AB12" s="92">
        <v>-2</v>
      </c>
      <c r="AC12" s="92">
        <v>-5</v>
      </c>
      <c r="AD12" s="92">
        <v>-3</v>
      </c>
      <c r="AE12" s="92">
        <v>-2</v>
      </c>
      <c r="AF12" s="92">
        <v>-5</v>
      </c>
      <c r="AG12" s="92">
        <v>-3</v>
      </c>
      <c r="AH12" s="92">
        <v>-2</v>
      </c>
      <c r="AI12" s="92">
        <v>-5</v>
      </c>
      <c r="AJ12" s="92">
        <v>-3</v>
      </c>
      <c r="AK12" s="92">
        <v>-2</v>
      </c>
      <c r="AL12" s="92">
        <v>-5</v>
      </c>
      <c r="AM12" s="92">
        <v>-3</v>
      </c>
      <c r="AN12" s="92">
        <v>-2</v>
      </c>
      <c r="AO12" s="92">
        <v>-5</v>
      </c>
      <c r="AP12" s="88" t="s">
        <v>283</v>
      </c>
    </row>
    <row r="13" spans="1:42" ht="13.5" hidden="1" customHeight="1" x14ac:dyDescent="0.25">
      <c r="B13" s="76" t="s">
        <v>183</v>
      </c>
      <c r="C13" s="93">
        <v>-5</v>
      </c>
      <c r="D13" s="76" t="s">
        <v>354</v>
      </c>
      <c r="E13" s="87" t="s">
        <v>180</v>
      </c>
      <c r="F13" s="92">
        <v>-3</v>
      </c>
      <c r="G13" s="92">
        <v>-2</v>
      </c>
      <c r="H13" s="92">
        <v>-5</v>
      </c>
      <c r="I13" s="92">
        <v>-4</v>
      </c>
      <c r="J13" s="92">
        <v>-2</v>
      </c>
      <c r="K13" s="92">
        <v>-5</v>
      </c>
      <c r="L13" s="92">
        <v>0</v>
      </c>
      <c r="M13" s="92">
        <v>0</v>
      </c>
      <c r="N13" s="92">
        <v>0</v>
      </c>
      <c r="O13" s="92">
        <v>-3</v>
      </c>
      <c r="P13" s="92">
        <v>-2</v>
      </c>
      <c r="Q13" s="92">
        <v>-5</v>
      </c>
      <c r="R13" s="92">
        <v>0</v>
      </c>
      <c r="S13" s="92">
        <v>0</v>
      </c>
      <c r="T13" s="92">
        <v>0</v>
      </c>
      <c r="U13" s="92">
        <v>-4</v>
      </c>
      <c r="V13" s="92">
        <v>-2</v>
      </c>
      <c r="W13" s="92">
        <v>-5</v>
      </c>
      <c r="X13" s="92">
        <v>-3</v>
      </c>
      <c r="Y13" s="92">
        <v>-2</v>
      </c>
      <c r="Z13" s="92">
        <v>-5</v>
      </c>
      <c r="AA13" s="92">
        <v>-4</v>
      </c>
      <c r="AB13" s="92">
        <v>-2</v>
      </c>
      <c r="AC13" s="92">
        <v>-5</v>
      </c>
      <c r="AD13" s="92">
        <v>-3</v>
      </c>
      <c r="AE13" s="92">
        <v>-2</v>
      </c>
      <c r="AF13" s="92">
        <v>-5</v>
      </c>
      <c r="AG13" s="92">
        <v>-3</v>
      </c>
      <c r="AH13" s="92">
        <v>-2</v>
      </c>
      <c r="AI13" s="92">
        <v>-5</v>
      </c>
      <c r="AJ13" s="92">
        <v>-3</v>
      </c>
      <c r="AK13" s="92">
        <v>-2</v>
      </c>
      <c r="AL13" s="92">
        <v>-5</v>
      </c>
      <c r="AM13" s="92">
        <v>-3</v>
      </c>
      <c r="AN13" s="92">
        <v>-2</v>
      </c>
      <c r="AO13" s="92">
        <v>-5</v>
      </c>
      <c r="AP13" s="88" t="s">
        <v>283</v>
      </c>
    </row>
    <row r="14" spans="1:42" ht="13.5" customHeight="1" x14ac:dyDescent="0.25">
      <c r="B14" s="76" t="s">
        <v>195</v>
      </c>
      <c r="C14" s="93">
        <f>_vdd18io*1</f>
        <v>1.8</v>
      </c>
      <c r="D14" s="76" t="s">
        <v>352</v>
      </c>
      <c r="E14" s="87" t="s">
        <v>178</v>
      </c>
      <c r="F14" s="92">
        <f>_vdd18io*1</f>
        <v>1.8</v>
      </c>
      <c r="G14" s="92">
        <f>_vdd18io*0.65</f>
        <v>1.1700000000000002</v>
      </c>
      <c r="H14" s="92">
        <f>_vdd18io+0.3</f>
        <v>2.1</v>
      </c>
      <c r="I14" s="92">
        <f>_vdd18io*1</f>
        <v>1.8</v>
      </c>
      <c r="J14" s="92">
        <f>_vdd18io*0.65</f>
        <v>1.1700000000000002</v>
      </c>
      <c r="K14" s="92">
        <f>_vdd18io+0.3</f>
        <v>2.1</v>
      </c>
      <c r="L14" s="92">
        <f>_vdd18io*1</f>
        <v>1.8</v>
      </c>
      <c r="M14" s="92">
        <f>_vdd18io*0.65</f>
        <v>1.1700000000000002</v>
      </c>
      <c r="N14" s="92">
        <f>_vdd18io+0.3</f>
        <v>2.1</v>
      </c>
      <c r="O14" s="92">
        <f>_vdd18io*1</f>
        <v>1.8</v>
      </c>
      <c r="P14" s="92">
        <f>_vdd18io*0.65</f>
        <v>1.1700000000000002</v>
      </c>
      <c r="Q14" s="92">
        <f>_vdd18io+0.3</f>
        <v>2.1</v>
      </c>
      <c r="R14" s="92">
        <v>0</v>
      </c>
      <c r="S14" s="92">
        <v>0</v>
      </c>
      <c r="T14" s="92">
        <v>0</v>
      </c>
      <c r="U14" s="92">
        <f>_vdd18io*1</f>
        <v>1.8</v>
      </c>
      <c r="V14" s="92">
        <f>_vdd18io*0.65</f>
        <v>1.1700000000000002</v>
      </c>
      <c r="W14" s="92">
        <f>_vdd18io+0.3</f>
        <v>2.1</v>
      </c>
      <c r="X14" s="92">
        <f>_vdd18io*1</f>
        <v>1.8</v>
      </c>
      <c r="Y14" s="92">
        <f>_vdd18io*0.65</f>
        <v>1.1700000000000002</v>
      </c>
      <c r="Z14" s="92">
        <f>_vdd18io+0.3</f>
        <v>2.1</v>
      </c>
      <c r="AA14" s="92">
        <f>_vdd18io*1</f>
        <v>1.8</v>
      </c>
      <c r="AB14" s="92">
        <f>_vdd18io*0.65</f>
        <v>1.1700000000000002</v>
      </c>
      <c r="AC14" s="92">
        <f>_vdd18io+0.3</f>
        <v>2.1</v>
      </c>
      <c r="AD14" s="92">
        <f>_vdd18io*1</f>
        <v>1.8</v>
      </c>
      <c r="AE14" s="92">
        <f>_vdd18io*0.65</f>
        <v>1.1700000000000002</v>
      </c>
      <c r="AF14" s="92">
        <f>_vdd18io+0.3</f>
        <v>2.1</v>
      </c>
      <c r="AG14" s="92">
        <f>_vdd18io*1</f>
        <v>1.8</v>
      </c>
      <c r="AH14" s="92">
        <f>_vdd18io*0.65</f>
        <v>1.1700000000000002</v>
      </c>
      <c r="AI14" s="92">
        <f>_vdd18io+0.3</f>
        <v>2.1</v>
      </c>
      <c r="AJ14" s="92">
        <f>_vdd18io*1</f>
        <v>1.8</v>
      </c>
      <c r="AK14" s="92">
        <f>_vdd18io*0.65</f>
        <v>1.1700000000000002</v>
      </c>
      <c r="AL14" s="92">
        <f>_vdd18io+0.3</f>
        <v>2.1</v>
      </c>
      <c r="AM14" s="92">
        <f>_vdd18io*1</f>
        <v>1.8</v>
      </c>
      <c r="AN14" s="92">
        <f>_vdd18io*0.65</f>
        <v>1.1700000000000002</v>
      </c>
      <c r="AO14" s="92">
        <f>_vdd18io+0.3</f>
        <v>2.1</v>
      </c>
      <c r="AP14" s="88"/>
    </row>
    <row r="15" spans="1:42" ht="13.5" hidden="1" customHeight="1" x14ac:dyDescent="0.25">
      <c r="B15" s="76" t="s">
        <v>195</v>
      </c>
      <c r="C15" s="93">
        <f>_vdd18io*0.65</f>
        <v>1.1700000000000002</v>
      </c>
      <c r="D15" s="76" t="s">
        <v>353</v>
      </c>
      <c r="E15" s="87" t="s">
        <v>179</v>
      </c>
      <c r="F15" s="92">
        <f>_vdd18io*1</f>
        <v>1.8</v>
      </c>
      <c r="G15" s="92">
        <f>_vdd18io*0.65</f>
        <v>1.1700000000000002</v>
      </c>
      <c r="H15" s="92">
        <f>_vdd18io+0.3</f>
        <v>2.1</v>
      </c>
      <c r="I15" s="92">
        <f>_vdd18io*1</f>
        <v>1.8</v>
      </c>
      <c r="J15" s="92">
        <f>_vdd18io*0.65</f>
        <v>1.1700000000000002</v>
      </c>
      <c r="K15" s="92">
        <f>_vdd18io+0.3</f>
        <v>2.1</v>
      </c>
      <c r="L15" s="92">
        <f>_vdd18io*1</f>
        <v>1.8</v>
      </c>
      <c r="M15" s="92">
        <f>_vdd18io*0.65</f>
        <v>1.1700000000000002</v>
      </c>
      <c r="N15" s="92">
        <f>_vdd18io+0.3</f>
        <v>2.1</v>
      </c>
      <c r="O15" s="92">
        <f>_vdd18io*1</f>
        <v>1.8</v>
      </c>
      <c r="P15" s="92">
        <f>_vdd18io*0.65</f>
        <v>1.1700000000000002</v>
      </c>
      <c r="Q15" s="92">
        <f>_vdd18io+0.3</f>
        <v>2.1</v>
      </c>
      <c r="R15" s="92">
        <v>0</v>
      </c>
      <c r="S15" s="92">
        <v>0</v>
      </c>
      <c r="T15" s="92">
        <v>0</v>
      </c>
      <c r="U15" s="92">
        <f>_vdd18io*1</f>
        <v>1.8</v>
      </c>
      <c r="V15" s="92">
        <f>_vdd18io*0.65</f>
        <v>1.1700000000000002</v>
      </c>
      <c r="W15" s="92">
        <f>_vdd18io+0.3</f>
        <v>2.1</v>
      </c>
      <c r="X15" s="92">
        <f>_vdd18io*1</f>
        <v>1.8</v>
      </c>
      <c r="Y15" s="92">
        <f>_vdd18io*0.65</f>
        <v>1.1700000000000002</v>
      </c>
      <c r="Z15" s="92">
        <f>_vdd18io+0.3</f>
        <v>2.1</v>
      </c>
      <c r="AA15" s="92">
        <f>_vdd18io*1</f>
        <v>1.8</v>
      </c>
      <c r="AB15" s="92">
        <f>_vdd18io*0.65</f>
        <v>1.1700000000000002</v>
      </c>
      <c r="AC15" s="92">
        <f>_vdd18io+0.3</f>
        <v>2.1</v>
      </c>
      <c r="AD15" s="92">
        <f>_vdd18io*1</f>
        <v>1.8</v>
      </c>
      <c r="AE15" s="92">
        <f>_vdd18io*0.65</f>
        <v>1.1700000000000002</v>
      </c>
      <c r="AF15" s="92">
        <f>_vdd18io+0.3</f>
        <v>2.1</v>
      </c>
      <c r="AG15" s="92">
        <f>_vdd18io*1</f>
        <v>1.8</v>
      </c>
      <c r="AH15" s="92">
        <f>_vdd18io*0.65</f>
        <v>1.1700000000000002</v>
      </c>
      <c r="AI15" s="92">
        <f>_vdd18io+0.3</f>
        <v>2.1</v>
      </c>
      <c r="AJ15" s="92">
        <f>_vdd18io*1</f>
        <v>1.8</v>
      </c>
      <c r="AK15" s="92">
        <f>_vdd18io*0.65</f>
        <v>1.1700000000000002</v>
      </c>
      <c r="AL15" s="92">
        <f>_vdd18io+0.3</f>
        <v>2.1</v>
      </c>
      <c r="AM15" s="92">
        <f>_vdd18io*1</f>
        <v>1.8</v>
      </c>
      <c r="AN15" s="92">
        <f>_vdd18io*0.65</f>
        <v>1.1700000000000002</v>
      </c>
      <c r="AO15" s="92">
        <f>_vdd18io+0.3</f>
        <v>2.1</v>
      </c>
      <c r="AP15" s="88"/>
    </row>
    <row r="16" spans="1:42" ht="13.5" hidden="1" customHeight="1" x14ac:dyDescent="0.25">
      <c r="B16" s="76" t="s">
        <v>195</v>
      </c>
      <c r="C16" s="93">
        <f>_vdd18io+0.3</f>
        <v>2.1</v>
      </c>
      <c r="D16" s="76" t="s">
        <v>354</v>
      </c>
      <c r="E16" s="87" t="s">
        <v>180</v>
      </c>
      <c r="F16" s="92">
        <f>_vdd18io*1</f>
        <v>1.8</v>
      </c>
      <c r="G16" s="92">
        <f>_vdd18io*0.65</f>
        <v>1.1700000000000002</v>
      </c>
      <c r="H16" s="92">
        <f>_vdd18io+0.3</f>
        <v>2.1</v>
      </c>
      <c r="I16" s="92">
        <f>_vdd18io*1</f>
        <v>1.8</v>
      </c>
      <c r="J16" s="92">
        <f>_vdd18io*0.65</f>
        <v>1.1700000000000002</v>
      </c>
      <c r="K16" s="92">
        <f>_vdd18io+0.3</f>
        <v>2.1</v>
      </c>
      <c r="L16" s="92">
        <f>_vdd18io*1</f>
        <v>1.8</v>
      </c>
      <c r="M16" s="92">
        <f>_vdd18io*0.65</f>
        <v>1.1700000000000002</v>
      </c>
      <c r="N16" s="92">
        <f>_vdd18io+0.3</f>
        <v>2.1</v>
      </c>
      <c r="O16" s="92">
        <f>_vdd18io*1</f>
        <v>1.8</v>
      </c>
      <c r="P16" s="92">
        <f>_vdd18io*0.65</f>
        <v>1.1700000000000002</v>
      </c>
      <c r="Q16" s="92">
        <f>_vdd18io+0.3</f>
        <v>2.1</v>
      </c>
      <c r="R16" s="92">
        <v>0</v>
      </c>
      <c r="S16" s="92">
        <v>0</v>
      </c>
      <c r="T16" s="92">
        <v>0</v>
      </c>
      <c r="U16" s="92">
        <f>_vdd18io*1</f>
        <v>1.8</v>
      </c>
      <c r="V16" s="92">
        <f>_vdd18io*0.65</f>
        <v>1.1700000000000002</v>
      </c>
      <c r="W16" s="92">
        <f>_vdd18io+0.3</f>
        <v>2.1</v>
      </c>
      <c r="X16" s="92">
        <f>_vdd18io*1</f>
        <v>1.8</v>
      </c>
      <c r="Y16" s="92">
        <f>_vdd18io*0.65</f>
        <v>1.1700000000000002</v>
      </c>
      <c r="Z16" s="92">
        <f>_vdd18io+0.3</f>
        <v>2.1</v>
      </c>
      <c r="AA16" s="92">
        <f>_vdd18io*1</f>
        <v>1.8</v>
      </c>
      <c r="AB16" s="92">
        <f>_vdd18io*0.65</f>
        <v>1.1700000000000002</v>
      </c>
      <c r="AC16" s="92">
        <f>_vdd18io+0.3</f>
        <v>2.1</v>
      </c>
      <c r="AD16" s="92">
        <f>_vdd18io*1</f>
        <v>1.8</v>
      </c>
      <c r="AE16" s="92">
        <f>_vdd18io*0.65</f>
        <v>1.1700000000000002</v>
      </c>
      <c r="AF16" s="92">
        <f>_vdd18io+0.3</f>
        <v>2.1</v>
      </c>
      <c r="AG16" s="92">
        <f>_vdd18io*1</f>
        <v>1.8</v>
      </c>
      <c r="AH16" s="92">
        <f>_vdd18io*0.65</f>
        <v>1.1700000000000002</v>
      </c>
      <c r="AI16" s="92">
        <f>_vdd18io+0.3</f>
        <v>2.1</v>
      </c>
      <c r="AJ16" s="92">
        <f>_vdd18io*1</f>
        <v>1.8</v>
      </c>
      <c r="AK16" s="92">
        <f>_vdd18io*0.65</f>
        <v>1.1700000000000002</v>
      </c>
      <c r="AL16" s="92">
        <f>_vdd18io+0.3</f>
        <v>2.1</v>
      </c>
      <c r="AM16" s="92">
        <f>_vdd18io*1</f>
        <v>1.8</v>
      </c>
      <c r="AN16" s="92">
        <f>_vdd18io*0.65</f>
        <v>1.1700000000000002</v>
      </c>
      <c r="AO16" s="92">
        <f>_vdd18io+0.3</f>
        <v>2.1</v>
      </c>
      <c r="AP16" s="88"/>
    </row>
    <row r="17" spans="2:42" ht="13.5" customHeight="1" x14ac:dyDescent="0.25">
      <c r="B17" s="76" t="s">
        <v>196</v>
      </c>
      <c r="C17" s="93">
        <v>0</v>
      </c>
      <c r="D17" s="76" t="s">
        <v>352</v>
      </c>
      <c r="E17" s="87" t="s">
        <v>178</v>
      </c>
      <c r="F17" s="92">
        <f>0</f>
        <v>0</v>
      </c>
      <c r="G17" s="92">
        <v>-0.3</v>
      </c>
      <c r="H17" s="92">
        <f>_vdd18io*0.35</f>
        <v>0.63</v>
      </c>
      <c r="I17" s="92">
        <v>0</v>
      </c>
      <c r="J17" s="92">
        <v>-0.3</v>
      </c>
      <c r="K17" s="92">
        <f>_vdd18io*0.35</f>
        <v>0.63</v>
      </c>
      <c r="L17" s="92">
        <f>_vdd18io*0.25</f>
        <v>0.45</v>
      </c>
      <c r="M17" s="92">
        <v>-0.3</v>
      </c>
      <c r="N17" s="92">
        <f>_vdd18io*0.35</f>
        <v>0.63</v>
      </c>
      <c r="O17" s="92">
        <v>0</v>
      </c>
      <c r="P17" s="92">
        <v>-0.3</v>
      </c>
      <c r="Q17" s="92">
        <f>_vdd18io*0.35</f>
        <v>0.63</v>
      </c>
      <c r="R17" s="92">
        <v>0</v>
      </c>
      <c r="S17" s="92">
        <v>0</v>
      </c>
      <c r="T17" s="92">
        <v>0</v>
      </c>
      <c r="U17" s="92">
        <v>0</v>
      </c>
      <c r="V17" s="92">
        <v>-0.3</v>
      </c>
      <c r="W17" s="92">
        <f>_vdd18io*0.35</f>
        <v>0.63</v>
      </c>
      <c r="X17" s="92">
        <f>_vdd18io*0.25</f>
        <v>0.45</v>
      </c>
      <c r="Y17" s="92">
        <v>-0.3</v>
      </c>
      <c r="Z17" s="92">
        <f>_vdd18io*0.35</f>
        <v>0.63</v>
      </c>
      <c r="AA17" s="92">
        <f>_vdd18io*0.25</f>
        <v>0.45</v>
      </c>
      <c r="AB17" s="92">
        <v>-0.3</v>
      </c>
      <c r="AC17" s="92">
        <f>_vdd18io*0.35</f>
        <v>0.63</v>
      </c>
      <c r="AD17" s="92">
        <f>_vdd18io*0.25</f>
        <v>0.45</v>
      </c>
      <c r="AE17" s="92">
        <v>-0.3</v>
      </c>
      <c r="AF17" s="92">
        <f>_vdd18io*0.35</f>
        <v>0.63</v>
      </c>
      <c r="AG17" s="92">
        <v>0</v>
      </c>
      <c r="AH17" s="92">
        <v>-0.3</v>
      </c>
      <c r="AI17" s="92">
        <f>_vdd18io*0.35</f>
        <v>0.63</v>
      </c>
      <c r="AJ17" s="92">
        <v>0</v>
      </c>
      <c r="AK17" s="92">
        <v>-0.3</v>
      </c>
      <c r="AL17" s="92">
        <f>_vdd18io*0.35</f>
        <v>0.63</v>
      </c>
      <c r="AM17" s="92">
        <v>0</v>
      </c>
      <c r="AN17" s="92">
        <v>-0.3</v>
      </c>
      <c r="AO17" s="92">
        <f>_vdd18io*0.35</f>
        <v>0.63</v>
      </c>
      <c r="AP17" s="88"/>
    </row>
    <row r="18" spans="2:42" ht="13.5" hidden="1" customHeight="1" x14ac:dyDescent="0.25">
      <c r="B18" s="76" t="s">
        <v>196</v>
      </c>
      <c r="C18" s="93">
        <v>-0.3</v>
      </c>
      <c r="D18" s="76" t="s">
        <v>353</v>
      </c>
      <c r="E18" s="87" t="s">
        <v>179</v>
      </c>
      <c r="F18" s="92">
        <f>0</f>
        <v>0</v>
      </c>
      <c r="G18" s="92">
        <v>-0.3</v>
      </c>
      <c r="H18" s="92">
        <f>_vdd18io*0.35</f>
        <v>0.63</v>
      </c>
      <c r="I18" s="92">
        <v>0</v>
      </c>
      <c r="J18" s="92">
        <v>-0.3</v>
      </c>
      <c r="K18" s="92">
        <f>_vdd18io*0.35</f>
        <v>0.63</v>
      </c>
      <c r="L18" s="92">
        <f>_vdd18io*0.25</f>
        <v>0.45</v>
      </c>
      <c r="M18" s="92">
        <v>-0.3</v>
      </c>
      <c r="N18" s="92">
        <f>_vdd18io*0.35</f>
        <v>0.63</v>
      </c>
      <c r="O18" s="92">
        <v>0</v>
      </c>
      <c r="P18" s="92">
        <v>-0.3</v>
      </c>
      <c r="Q18" s="92">
        <f>_vdd18io*0.35</f>
        <v>0.63</v>
      </c>
      <c r="R18" s="92">
        <v>0</v>
      </c>
      <c r="S18" s="92">
        <v>0</v>
      </c>
      <c r="T18" s="92">
        <v>0</v>
      </c>
      <c r="U18" s="92">
        <v>0</v>
      </c>
      <c r="V18" s="92">
        <v>-0.3</v>
      </c>
      <c r="W18" s="92">
        <f>_vdd18io*0.35</f>
        <v>0.63</v>
      </c>
      <c r="X18" s="92">
        <f>_vdd18io*0.25</f>
        <v>0.45</v>
      </c>
      <c r="Y18" s="92">
        <v>-0.3</v>
      </c>
      <c r="Z18" s="92">
        <f>_vdd18io*0.35</f>
        <v>0.63</v>
      </c>
      <c r="AA18" s="92">
        <f>_vdd18io*0.25</f>
        <v>0.45</v>
      </c>
      <c r="AB18" s="92">
        <v>-0.3</v>
      </c>
      <c r="AC18" s="92">
        <f>_vdd18io*0.35</f>
        <v>0.63</v>
      </c>
      <c r="AD18" s="92">
        <f>_vdd18io*0.25</f>
        <v>0.45</v>
      </c>
      <c r="AE18" s="92">
        <v>-0.3</v>
      </c>
      <c r="AF18" s="92">
        <f>_vdd18io*0.35</f>
        <v>0.63</v>
      </c>
      <c r="AG18" s="92">
        <v>0</v>
      </c>
      <c r="AH18" s="92">
        <v>-0.3</v>
      </c>
      <c r="AI18" s="92">
        <f>_vdd18io*0.35</f>
        <v>0.63</v>
      </c>
      <c r="AJ18" s="92">
        <v>0</v>
      </c>
      <c r="AK18" s="92">
        <v>-0.3</v>
      </c>
      <c r="AL18" s="92">
        <f>_vdd18io*0.35</f>
        <v>0.63</v>
      </c>
      <c r="AM18" s="92">
        <v>0</v>
      </c>
      <c r="AN18" s="92">
        <v>-0.3</v>
      </c>
      <c r="AO18" s="92">
        <f>_vdd18io*0.35</f>
        <v>0.63</v>
      </c>
      <c r="AP18" s="88"/>
    </row>
    <row r="19" spans="2:42" ht="13.5" hidden="1" customHeight="1" x14ac:dyDescent="0.25">
      <c r="B19" s="76" t="s">
        <v>196</v>
      </c>
      <c r="C19" s="93">
        <f>_vdd18io*0.35</f>
        <v>0.63</v>
      </c>
      <c r="D19" s="76" t="s">
        <v>354</v>
      </c>
      <c r="E19" s="87" t="s">
        <v>180</v>
      </c>
      <c r="F19" s="92">
        <f>0</f>
        <v>0</v>
      </c>
      <c r="G19" s="92">
        <v>-0.3</v>
      </c>
      <c r="H19" s="92">
        <f>_vdd18io*0.35</f>
        <v>0.63</v>
      </c>
      <c r="I19" s="92">
        <v>0</v>
      </c>
      <c r="J19" s="92">
        <v>-0.3</v>
      </c>
      <c r="K19" s="92">
        <f>_vdd18io*0.35</f>
        <v>0.63</v>
      </c>
      <c r="L19" s="92">
        <f>_vdd18io*0.25</f>
        <v>0.45</v>
      </c>
      <c r="M19" s="92">
        <v>-0.3</v>
      </c>
      <c r="N19" s="92">
        <f>_vdd18io*0.35</f>
        <v>0.63</v>
      </c>
      <c r="O19" s="92">
        <v>0</v>
      </c>
      <c r="P19" s="92">
        <v>-0.3</v>
      </c>
      <c r="Q19" s="92">
        <f>_vdd18io*0.35</f>
        <v>0.63</v>
      </c>
      <c r="R19" s="92">
        <v>0</v>
      </c>
      <c r="S19" s="92">
        <v>0</v>
      </c>
      <c r="T19" s="92">
        <v>0</v>
      </c>
      <c r="U19" s="92">
        <v>0</v>
      </c>
      <c r="V19" s="92">
        <v>-0.3</v>
      </c>
      <c r="W19" s="92">
        <f>_vdd18io*0.35</f>
        <v>0.63</v>
      </c>
      <c r="X19" s="92">
        <f>_vdd18io*0.25</f>
        <v>0.45</v>
      </c>
      <c r="Y19" s="92">
        <v>-0.3</v>
      </c>
      <c r="Z19" s="92">
        <f>_vdd18io*0.35</f>
        <v>0.63</v>
      </c>
      <c r="AA19" s="92">
        <f>_vdd18io*0.25</f>
        <v>0.45</v>
      </c>
      <c r="AB19" s="92">
        <v>-0.3</v>
      </c>
      <c r="AC19" s="92">
        <f>_vdd18io*0.35</f>
        <v>0.63</v>
      </c>
      <c r="AD19" s="92">
        <f>_vdd18io*0.25</f>
        <v>0.45</v>
      </c>
      <c r="AE19" s="92">
        <v>-0.3</v>
      </c>
      <c r="AF19" s="92">
        <f>_vdd18io*0.35</f>
        <v>0.63</v>
      </c>
      <c r="AG19" s="92">
        <v>0</v>
      </c>
      <c r="AH19" s="92">
        <v>-0.3</v>
      </c>
      <c r="AI19" s="92">
        <f>_vdd18io*0.35</f>
        <v>0.63</v>
      </c>
      <c r="AJ19" s="92">
        <v>0</v>
      </c>
      <c r="AK19" s="92">
        <v>-0.3</v>
      </c>
      <c r="AL19" s="92">
        <f>_vdd18io*0.35</f>
        <v>0.63</v>
      </c>
      <c r="AM19" s="92">
        <v>0</v>
      </c>
      <c r="AN19" s="92">
        <v>-0.3</v>
      </c>
      <c r="AO19" s="92">
        <f>_vdd18io*0.35</f>
        <v>0.63</v>
      </c>
      <c r="AP19" s="88"/>
    </row>
    <row r="20" spans="2:42" ht="13.5" customHeight="1" x14ac:dyDescent="0.25">
      <c r="B20" s="76" t="s">
        <v>197</v>
      </c>
      <c r="C20" s="93">
        <v>1.46</v>
      </c>
      <c r="D20" s="76" t="s">
        <v>352</v>
      </c>
      <c r="E20" s="87" t="s">
        <v>179</v>
      </c>
      <c r="F20" s="92">
        <v>1.7</v>
      </c>
      <c r="G20" s="92">
        <v>1.46</v>
      </c>
      <c r="H20" s="92">
        <v>1.88</v>
      </c>
      <c r="I20" s="92">
        <v>1.7</v>
      </c>
      <c r="J20" s="92">
        <v>1.46</v>
      </c>
      <c r="K20" s="92">
        <v>1.88</v>
      </c>
      <c r="L20" s="92">
        <v>1.7</v>
      </c>
      <c r="M20" s="92">
        <v>1.51</v>
      </c>
      <c r="N20" s="92">
        <v>1.88</v>
      </c>
      <c r="O20" s="92">
        <v>1.7</v>
      </c>
      <c r="P20" s="92">
        <v>1.46</v>
      </c>
      <c r="Q20" s="92">
        <v>1.88</v>
      </c>
      <c r="R20" s="92">
        <v>0</v>
      </c>
      <c r="S20" s="92">
        <v>0</v>
      </c>
      <c r="T20" s="92">
        <v>0</v>
      </c>
      <c r="U20" s="92">
        <v>1.7</v>
      </c>
      <c r="V20" s="92">
        <v>1.46</v>
      </c>
      <c r="W20" s="92">
        <v>1.88</v>
      </c>
      <c r="X20" s="92">
        <v>1.7</v>
      </c>
      <c r="Y20" s="92">
        <v>1.51</v>
      </c>
      <c r="Z20" s="92">
        <v>1.88</v>
      </c>
      <c r="AA20" s="92">
        <v>1.7</v>
      </c>
      <c r="AB20" s="92">
        <v>1.51</v>
      </c>
      <c r="AC20" s="92">
        <v>1.88</v>
      </c>
      <c r="AD20" s="92">
        <v>1.7</v>
      </c>
      <c r="AE20" s="92">
        <v>1.51</v>
      </c>
      <c r="AF20" s="92">
        <v>1.88</v>
      </c>
      <c r="AG20" s="92">
        <v>1.7</v>
      </c>
      <c r="AH20" s="92">
        <v>1</v>
      </c>
      <c r="AI20" s="92">
        <v>1.88</v>
      </c>
      <c r="AJ20" s="92">
        <v>1.7</v>
      </c>
      <c r="AK20" s="92">
        <v>1.1000000000000001</v>
      </c>
      <c r="AL20" s="92">
        <v>1.88</v>
      </c>
      <c r="AM20" s="92">
        <v>1.7</v>
      </c>
      <c r="AN20" s="92">
        <v>1.46</v>
      </c>
      <c r="AO20" s="92">
        <v>1.88</v>
      </c>
      <c r="AP20" s="88"/>
    </row>
    <row r="21" spans="2:42" ht="13.5" hidden="1" customHeight="1" x14ac:dyDescent="0.25">
      <c r="B21" s="76" t="s">
        <v>197</v>
      </c>
      <c r="C21" s="93">
        <v>1.46</v>
      </c>
      <c r="D21" s="76" t="s">
        <v>353</v>
      </c>
      <c r="E21" s="87" t="s">
        <v>179</v>
      </c>
      <c r="F21" s="92">
        <v>1.7</v>
      </c>
      <c r="G21" s="92">
        <v>1.46</v>
      </c>
      <c r="H21" s="92">
        <v>1.88</v>
      </c>
      <c r="I21" s="92">
        <v>1.7</v>
      </c>
      <c r="J21" s="92">
        <v>1.46</v>
      </c>
      <c r="K21" s="92">
        <v>1.88</v>
      </c>
      <c r="L21" s="92">
        <v>1.7</v>
      </c>
      <c r="M21" s="92">
        <v>1.51</v>
      </c>
      <c r="N21" s="92">
        <v>1.88</v>
      </c>
      <c r="O21" s="92">
        <v>1.7</v>
      </c>
      <c r="P21" s="92">
        <v>1.46</v>
      </c>
      <c r="Q21" s="92">
        <v>1.88</v>
      </c>
      <c r="R21" s="92">
        <v>0</v>
      </c>
      <c r="S21" s="92">
        <v>0</v>
      </c>
      <c r="T21" s="92">
        <v>0</v>
      </c>
      <c r="U21" s="92">
        <v>1.7</v>
      </c>
      <c r="V21" s="92">
        <v>1.46</v>
      </c>
      <c r="W21" s="92">
        <v>1.88</v>
      </c>
      <c r="X21" s="92">
        <v>1.7</v>
      </c>
      <c r="Y21" s="92">
        <v>1.51</v>
      </c>
      <c r="Z21" s="92">
        <v>1.88</v>
      </c>
      <c r="AA21" s="92">
        <v>1.7</v>
      </c>
      <c r="AB21" s="92">
        <v>1.51</v>
      </c>
      <c r="AC21" s="92">
        <v>1.88</v>
      </c>
      <c r="AD21" s="92">
        <v>1.7</v>
      </c>
      <c r="AE21" s="92">
        <v>1.51</v>
      </c>
      <c r="AF21" s="92">
        <v>1.88</v>
      </c>
      <c r="AG21" s="92">
        <v>1.7</v>
      </c>
      <c r="AH21" s="92">
        <v>1</v>
      </c>
      <c r="AI21" s="92">
        <v>1.88</v>
      </c>
      <c r="AJ21" s="92">
        <v>1.7</v>
      </c>
      <c r="AK21" s="92">
        <v>1.1000000000000001</v>
      </c>
      <c r="AL21" s="92">
        <v>1.88</v>
      </c>
      <c r="AM21" s="92">
        <v>1.7</v>
      </c>
      <c r="AN21" s="92">
        <v>1.46</v>
      </c>
      <c r="AO21" s="92">
        <v>1.88</v>
      </c>
      <c r="AP21" s="88"/>
    </row>
    <row r="22" spans="2:42" ht="13.5" hidden="1" customHeight="1" x14ac:dyDescent="0.25">
      <c r="B22" s="76" t="s">
        <v>197</v>
      </c>
      <c r="C22" s="93">
        <v>1.88</v>
      </c>
      <c r="D22" s="76" t="s">
        <v>354</v>
      </c>
      <c r="E22" s="87" t="s">
        <v>180</v>
      </c>
      <c r="F22" s="92">
        <v>1.7</v>
      </c>
      <c r="G22" s="92">
        <v>1.46</v>
      </c>
      <c r="H22" s="92">
        <v>1.88</v>
      </c>
      <c r="I22" s="92">
        <v>1.7</v>
      </c>
      <c r="J22" s="92">
        <v>1.46</v>
      </c>
      <c r="K22" s="92">
        <v>1.88</v>
      </c>
      <c r="L22" s="92">
        <v>1.7</v>
      </c>
      <c r="M22" s="92">
        <v>1.51</v>
      </c>
      <c r="N22" s="92">
        <v>1.88</v>
      </c>
      <c r="O22" s="92">
        <v>1.7</v>
      </c>
      <c r="P22" s="92">
        <v>1.46</v>
      </c>
      <c r="Q22" s="92">
        <v>1.88</v>
      </c>
      <c r="R22" s="92">
        <v>0</v>
      </c>
      <c r="S22" s="92">
        <v>0</v>
      </c>
      <c r="T22" s="92">
        <v>0</v>
      </c>
      <c r="U22" s="92">
        <v>1.7</v>
      </c>
      <c r="V22" s="92">
        <v>1.46</v>
      </c>
      <c r="W22" s="92">
        <v>1.88</v>
      </c>
      <c r="X22" s="92">
        <v>1.7</v>
      </c>
      <c r="Y22" s="92">
        <v>1.51</v>
      </c>
      <c r="Z22" s="92">
        <v>1.88</v>
      </c>
      <c r="AA22" s="92">
        <v>1.7</v>
      </c>
      <c r="AB22" s="92">
        <v>1.51</v>
      </c>
      <c r="AC22" s="92">
        <v>1.88</v>
      </c>
      <c r="AD22" s="92">
        <v>1.7</v>
      </c>
      <c r="AE22" s="92">
        <v>1.51</v>
      </c>
      <c r="AF22" s="92">
        <v>1.88</v>
      </c>
      <c r="AG22" s="92">
        <v>1.7</v>
      </c>
      <c r="AH22" s="92">
        <v>1</v>
      </c>
      <c r="AI22" s="92">
        <v>1.88</v>
      </c>
      <c r="AJ22" s="92">
        <v>1.7</v>
      </c>
      <c r="AK22" s="92">
        <v>1.1000000000000001</v>
      </c>
      <c r="AL22" s="92">
        <v>1.88</v>
      </c>
      <c r="AM22" s="92">
        <v>1.7</v>
      </c>
      <c r="AN22" s="92">
        <v>1.46</v>
      </c>
      <c r="AO22" s="92">
        <v>1.88</v>
      </c>
      <c r="AP22" s="88"/>
    </row>
    <row r="23" spans="2:42" ht="13.5" customHeight="1" x14ac:dyDescent="0.25">
      <c r="B23" s="76" t="s">
        <v>198</v>
      </c>
      <c r="C23" s="93">
        <f>130*mV</f>
        <v>0.13</v>
      </c>
      <c r="D23" s="76" t="s">
        <v>352</v>
      </c>
      <c r="E23" s="87" t="s">
        <v>180</v>
      </c>
      <c r="F23" s="92">
        <v>0.08</v>
      </c>
      <c r="G23" s="92">
        <v>7.0000000000000007E-2</v>
      </c>
      <c r="H23" s="92">
        <f>130*mV</f>
        <v>0.13</v>
      </c>
      <c r="I23" s="92">
        <v>0.08</v>
      </c>
      <c r="J23" s="92">
        <v>7.0000000000000007E-2</v>
      </c>
      <c r="K23" s="92">
        <f>130*mV</f>
        <v>0.13</v>
      </c>
      <c r="L23" s="92">
        <v>0.08</v>
      </c>
      <c r="M23" s="92">
        <v>7.0000000000000007E-2</v>
      </c>
      <c r="N23" s="92">
        <v>0.08</v>
      </c>
      <c r="O23" s="92">
        <v>0.08</v>
      </c>
      <c r="P23" s="92">
        <v>7.0000000000000007E-2</v>
      </c>
      <c r="Q23" s="92">
        <f>130*mV</f>
        <v>0.13</v>
      </c>
      <c r="R23" s="92">
        <v>0</v>
      </c>
      <c r="S23" s="92">
        <v>0</v>
      </c>
      <c r="T23" s="92">
        <v>0</v>
      </c>
      <c r="U23" s="92">
        <v>0.08</v>
      </c>
      <c r="V23" s="92">
        <v>7.0000000000000007E-2</v>
      </c>
      <c r="W23" s="92">
        <f>130*mV</f>
        <v>0.13</v>
      </c>
      <c r="X23" s="92">
        <v>0.08</v>
      </c>
      <c r="Y23" s="92">
        <v>7.0000000000000007E-2</v>
      </c>
      <c r="Z23" s="92">
        <v>0.08</v>
      </c>
      <c r="AA23" s="92">
        <v>0.08</v>
      </c>
      <c r="AB23" s="92">
        <v>7.0000000000000007E-2</v>
      </c>
      <c r="AC23" s="92">
        <v>0.08</v>
      </c>
      <c r="AD23" s="92">
        <v>0.08</v>
      </c>
      <c r="AE23" s="92">
        <v>7.0000000000000007E-2</v>
      </c>
      <c r="AF23" s="92">
        <v>0.08</v>
      </c>
      <c r="AG23" s="92">
        <v>0.08</v>
      </c>
      <c r="AH23" s="92">
        <v>7.0000000000000007E-2</v>
      </c>
      <c r="AI23" s="92">
        <f t="shared" ref="AI23:AI25" si="0">0.25</f>
        <v>0.25</v>
      </c>
      <c r="AJ23" s="92">
        <v>0.08</v>
      </c>
      <c r="AK23" s="92">
        <v>7.0000000000000007E-2</v>
      </c>
      <c r="AL23" s="92">
        <v>0.4</v>
      </c>
      <c r="AM23" s="92">
        <v>0.08</v>
      </c>
      <c r="AN23" s="92">
        <v>7.0000000000000007E-2</v>
      </c>
      <c r="AO23" s="92">
        <f>130*mV</f>
        <v>0.13</v>
      </c>
      <c r="AP23" s="88" t="s">
        <v>584</v>
      </c>
    </row>
    <row r="24" spans="2:42" ht="13.5" hidden="1" customHeight="1" x14ac:dyDescent="0.25">
      <c r="B24" s="76" t="s">
        <v>198</v>
      </c>
      <c r="C24" s="93">
        <v>7.0000000000000007E-2</v>
      </c>
      <c r="D24" s="76" t="s">
        <v>353</v>
      </c>
      <c r="E24" s="87" t="s">
        <v>179</v>
      </c>
      <c r="F24" s="92">
        <v>0.08</v>
      </c>
      <c r="G24" s="92">
        <v>7.0000000000000007E-2</v>
      </c>
      <c r="H24" s="92">
        <f>130*mV</f>
        <v>0.13</v>
      </c>
      <c r="I24" s="92">
        <v>0.08</v>
      </c>
      <c r="J24" s="92">
        <v>7.0000000000000007E-2</v>
      </c>
      <c r="K24" s="92">
        <f>130*mV</f>
        <v>0.13</v>
      </c>
      <c r="L24" s="92">
        <v>0.08</v>
      </c>
      <c r="M24" s="92">
        <v>7.0000000000000007E-2</v>
      </c>
      <c r="N24" s="92">
        <v>0.08</v>
      </c>
      <c r="O24" s="92">
        <v>0.08</v>
      </c>
      <c r="P24" s="92">
        <v>7.0000000000000007E-2</v>
      </c>
      <c r="Q24" s="92">
        <f>130*mV</f>
        <v>0.13</v>
      </c>
      <c r="R24" s="92">
        <v>0</v>
      </c>
      <c r="S24" s="92">
        <v>0</v>
      </c>
      <c r="T24" s="92">
        <v>0</v>
      </c>
      <c r="U24" s="92">
        <v>0.08</v>
      </c>
      <c r="V24" s="92">
        <v>7.0000000000000007E-2</v>
      </c>
      <c r="W24" s="92">
        <f>130*mV</f>
        <v>0.13</v>
      </c>
      <c r="X24" s="92">
        <v>0.08</v>
      </c>
      <c r="Y24" s="92">
        <v>7.0000000000000007E-2</v>
      </c>
      <c r="Z24" s="92">
        <v>0.08</v>
      </c>
      <c r="AA24" s="92">
        <v>0.08</v>
      </c>
      <c r="AB24" s="92">
        <v>7.0000000000000007E-2</v>
      </c>
      <c r="AC24" s="92">
        <v>0.08</v>
      </c>
      <c r="AD24" s="92">
        <v>0.08</v>
      </c>
      <c r="AE24" s="92">
        <v>7.0000000000000007E-2</v>
      </c>
      <c r="AF24" s="92">
        <v>0.08</v>
      </c>
      <c r="AG24" s="92">
        <v>0.08</v>
      </c>
      <c r="AH24" s="92">
        <v>7.0000000000000007E-2</v>
      </c>
      <c r="AI24" s="92">
        <f t="shared" si="0"/>
        <v>0.25</v>
      </c>
      <c r="AJ24" s="92">
        <v>0.08</v>
      </c>
      <c r="AK24" s="92">
        <v>7.0000000000000007E-2</v>
      </c>
      <c r="AL24" s="92">
        <v>0.4</v>
      </c>
      <c r="AM24" s="92">
        <v>0.08</v>
      </c>
      <c r="AN24" s="92">
        <v>7.0000000000000007E-2</v>
      </c>
      <c r="AO24" s="92">
        <f>130*mV</f>
        <v>0.13</v>
      </c>
      <c r="AP24" s="88" t="s">
        <v>338</v>
      </c>
    </row>
    <row r="25" spans="2:42" ht="13.5" hidden="1" customHeight="1" x14ac:dyDescent="0.25">
      <c r="B25" s="76" t="s">
        <v>198</v>
      </c>
      <c r="C25" s="93">
        <f>130*mV</f>
        <v>0.13</v>
      </c>
      <c r="D25" s="76" t="s">
        <v>354</v>
      </c>
      <c r="E25" s="87" t="s">
        <v>180</v>
      </c>
      <c r="F25" s="92">
        <v>0.08</v>
      </c>
      <c r="G25" s="92">
        <v>7.0000000000000007E-2</v>
      </c>
      <c r="H25" s="92">
        <f>130*mV</f>
        <v>0.13</v>
      </c>
      <c r="I25" s="92">
        <v>0.08</v>
      </c>
      <c r="J25" s="92">
        <v>7.0000000000000007E-2</v>
      </c>
      <c r="K25" s="92">
        <f>130*mV</f>
        <v>0.13</v>
      </c>
      <c r="L25" s="92">
        <v>0.08</v>
      </c>
      <c r="M25" s="92">
        <v>7.0000000000000007E-2</v>
      </c>
      <c r="N25" s="92">
        <v>0.08</v>
      </c>
      <c r="O25" s="92">
        <v>0.08</v>
      </c>
      <c r="P25" s="92">
        <v>7.0000000000000007E-2</v>
      </c>
      <c r="Q25" s="92">
        <f>130*mV</f>
        <v>0.13</v>
      </c>
      <c r="R25" s="92">
        <v>0</v>
      </c>
      <c r="S25" s="92">
        <v>0</v>
      </c>
      <c r="T25" s="92">
        <v>0</v>
      </c>
      <c r="U25" s="92">
        <v>0.08</v>
      </c>
      <c r="V25" s="92">
        <v>7.0000000000000007E-2</v>
      </c>
      <c r="W25" s="92">
        <f>130*mV</f>
        <v>0.13</v>
      </c>
      <c r="X25" s="92">
        <v>0.08</v>
      </c>
      <c r="Y25" s="92">
        <v>7.0000000000000007E-2</v>
      </c>
      <c r="Z25" s="92">
        <v>0.08</v>
      </c>
      <c r="AA25" s="92">
        <v>0.08</v>
      </c>
      <c r="AB25" s="92">
        <v>7.0000000000000007E-2</v>
      </c>
      <c r="AC25" s="92">
        <v>0.08</v>
      </c>
      <c r="AD25" s="92">
        <v>0.08</v>
      </c>
      <c r="AE25" s="92">
        <v>7.0000000000000007E-2</v>
      </c>
      <c r="AF25" s="92">
        <v>0.08</v>
      </c>
      <c r="AG25" s="92">
        <v>0.08</v>
      </c>
      <c r="AH25" s="92">
        <v>7.0000000000000007E-2</v>
      </c>
      <c r="AI25" s="92">
        <f t="shared" si="0"/>
        <v>0.25</v>
      </c>
      <c r="AJ25" s="92">
        <v>0.08</v>
      </c>
      <c r="AK25" s="92">
        <v>7.0000000000000007E-2</v>
      </c>
      <c r="AL25" s="92">
        <v>0.4</v>
      </c>
      <c r="AM25" s="92">
        <v>0.08</v>
      </c>
      <c r="AN25" s="92">
        <v>7.0000000000000007E-2</v>
      </c>
      <c r="AO25" s="92">
        <f>130*mV</f>
        <v>0.13</v>
      </c>
      <c r="AP25" s="88" t="s">
        <v>338</v>
      </c>
    </row>
    <row r="26" spans="2:42" ht="13.5" customHeight="1" x14ac:dyDescent="0.25">
      <c r="B26" s="76" t="s">
        <v>199</v>
      </c>
      <c r="C26" s="93">
        <v>1.37</v>
      </c>
      <c r="D26" s="76" t="s">
        <v>352</v>
      </c>
      <c r="E26" s="87" t="s">
        <v>179</v>
      </c>
      <c r="F26" s="92">
        <v>1.64</v>
      </c>
      <c r="G26" s="92">
        <v>1.37</v>
      </c>
      <c r="H26" s="92">
        <v>1.83</v>
      </c>
      <c r="I26" s="92">
        <v>1.64</v>
      </c>
      <c r="J26" s="92">
        <v>1.37</v>
      </c>
      <c r="K26" s="92">
        <v>1.83</v>
      </c>
      <c r="L26" s="92">
        <v>1.64</v>
      </c>
      <c r="M26" s="92">
        <v>1.45</v>
      </c>
      <c r="N26" s="92">
        <v>1.83</v>
      </c>
      <c r="O26" s="92">
        <v>1.64</v>
      </c>
      <c r="P26" s="92">
        <v>1.37</v>
      </c>
      <c r="Q26" s="92">
        <v>1.83</v>
      </c>
      <c r="R26" s="92">
        <v>0</v>
      </c>
      <c r="S26" s="92">
        <v>0</v>
      </c>
      <c r="T26" s="92">
        <v>0</v>
      </c>
      <c r="U26" s="92">
        <v>1.64</v>
      </c>
      <c r="V26" s="92">
        <v>1.37</v>
      </c>
      <c r="W26" s="92">
        <v>1.83</v>
      </c>
      <c r="X26" s="92">
        <v>1.64</v>
      </c>
      <c r="Y26" s="92">
        <v>1.45</v>
      </c>
      <c r="Z26" s="92">
        <v>1.83</v>
      </c>
      <c r="AA26" s="92">
        <v>1.64</v>
      </c>
      <c r="AB26" s="92">
        <v>1.45</v>
      </c>
      <c r="AC26" s="92">
        <v>1.83</v>
      </c>
      <c r="AD26" s="92">
        <v>1.64</v>
      </c>
      <c r="AE26" s="92">
        <v>1.45</v>
      </c>
      <c r="AF26" s="92">
        <v>1.83</v>
      </c>
      <c r="AG26" s="92">
        <v>1.64</v>
      </c>
      <c r="AH26" s="92">
        <v>1.37</v>
      </c>
      <c r="AI26" s="92">
        <v>1.83</v>
      </c>
      <c r="AJ26" s="92">
        <v>1.64</v>
      </c>
      <c r="AK26" s="92">
        <v>1.37</v>
      </c>
      <c r="AL26" s="92">
        <v>1.83</v>
      </c>
      <c r="AM26" s="92">
        <v>1.64</v>
      </c>
      <c r="AN26" s="92">
        <v>1.37</v>
      </c>
      <c r="AO26" s="92">
        <v>1.83</v>
      </c>
      <c r="AP26" s="88"/>
    </row>
    <row r="27" spans="2:42" ht="13.5" hidden="1" customHeight="1" x14ac:dyDescent="0.25">
      <c r="B27" s="76" t="s">
        <v>199</v>
      </c>
      <c r="C27" s="93">
        <v>1.37</v>
      </c>
      <c r="D27" s="76" t="s">
        <v>353</v>
      </c>
      <c r="E27" s="87" t="s">
        <v>179</v>
      </c>
      <c r="F27" s="92">
        <v>1.64</v>
      </c>
      <c r="G27" s="92">
        <v>1.37</v>
      </c>
      <c r="H27" s="92">
        <v>1.83</v>
      </c>
      <c r="I27" s="92">
        <v>1.64</v>
      </c>
      <c r="J27" s="92">
        <v>1.37</v>
      </c>
      <c r="K27" s="92">
        <v>1.83</v>
      </c>
      <c r="L27" s="92">
        <v>1.64</v>
      </c>
      <c r="M27" s="92">
        <v>1.45</v>
      </c>
      <c r="N27" s="92">
        <v>1.83</v>
      </c>
      <c r="O27" s="92">
        <v>1.64</v>
      </c>
      <c r="P27" s="92">
        <v>1.37</v>
      </c>
      <c r="Q27" s="92">
        <v>1.83</v>
      </c>
      <c r="R27" s="92">
        <v>0</v>
      </c>
      <c r="S27" s="92">
        <v>0</v>
      </c>
      <c r="T27" s="92">
        <v>0</v>
      </c>
      <c r="U27" s="92">
        <v>1.64</v>
      </c>
      <c r="V27" s="92">
        <v>1.37</v>
      </c>
      <c r="W27" s="92">
        <v>1.83</v>
      </c>
      <c r="X27" s="92">
        <v>1.64</v>
      </c>
      <c r="Y27" s="92">
        <v>1.45</v>
      </c>
      <c r="Z27" s="92">
        <v>1.83</v>
      </c>
      <c r="AA27" s="92">
        <v>1.64</v>
      </c>
      <c r="AB27" s="92">
        <v>1.45</v>
      </c>
      <c r="AC27" s="92">
        <v>1.83</v>
      </c>
      <c r="AD27" s="92">
        <v>1.64</v>
      </c>
      <c r="AE27" s="92">
        <v>1.45</v>
      </c>
      <c r="AF27" s="92">
        <v>1.83</v>
      </c>
      <c r="AG27" s="92">
        <v>1.64</v>
      </c>
      <c r="AH27" s="92">
        <v>1.37</v>
      </c>
      <c r="AI27" s="92">
        <v>1.83</v>
      </c>
      <c r="AJ27" s="92">
        <v>1.64</v>
      </c>
      <c r="AK27" s="92">
        <v>1.37</v>
      </c>
      <c r="AL27" s="92">
        <v>1.83</v>
      </c>
      <c r="AM27" s="92">
        <v>1.64</v>
      </c>
      <c r="AN27" s="92">
        <v>1.37</v>
      </c>
      <c r="AO27" s="92">
        <v>1.83</v>
      </c>
      <c r="AP27" s="88"/>
    </row>
    <row r="28" spans="2:42" ht="13.5" hidden="1" customHeight="1" x14ac:dyDescent="0.25">
      <c r="B28" s="76" t="s">
        <v>199</v>
      </c>
      <c r="C28" s="93">
        <v>1.83</v>
      </c>
      <c r="D28" s="76" t="s">
        <v>354</v>
      </c>
      <c r="E28" s="87" t="s">
        <v>180</v>
      </c>
      <c r="F28" s="92">
        <v>1.64</v>
      </c>
      <c r="G28" s="92">
        <v>1.37</v>
      </c>
      <c r="H28" s="92">
        <v>1.83</v>
      </c>
      <c r="I28" s="92">
        <v>1.64</v>
      </c>
      <c r="J28" s="92">
        <v>1.37</v>
      </c>
      <c r="K28" s="92">
        <v>1.83</v>
      </c>
      <c r="L28" s="92">
        <v>1.64</v>
      </c>
      <c r="M28" s="92">
        <v>1.45</v>
      </c>
      <c r="N28" s="92">
        <v>1.83</v>
      </c>
      <c r="O28" s="92">
        <v>1.64</v>
      </c>
      <c r="P28" s="92">
        <v>1.37</v>
      </c>
      <c r="Q28" s="92">
        <v>1.83</v>
      </c>
      <c r="R28" s="92">
        <v>0</v>
      </c>
      <c r="S28" s="92">
        <v>0</v>
      </c>
      <c r="T28" s="92">
        <v>0</v>
      </c>
      <c r="U28" s="92">
        <v>1.64</v>
      </c>
      <c r="V28" s="92">
        <v>1.37</v>
      </c>
      <c r="W28" s="92">
        <v>1.83</v>
      </c>
      <c r="X28" s="92">
        <v>1.64</v>
      </c>
      <c r="Y28" s="92">
        <v>1.45</v>
      </c>
      <c r="Z28" s="92">
        <v>1.83</v>
      </c>
      <c r="AA28" s="92">
        <v>1.64</v>
      </c>
      <c r="AB28" s="92">
        <v>1.45</v>
      </c>
      <c r="AC28" s="92">
        <v>1.83</v>
      </c>
      <c r="AD28" s="92">
        <v>1.64</v>
      </c>
      <c r="AE28" s="92">
        <v>1.45</v>
      </c>
      <c r="AF28" s="92">
        <v>1.83</v>
      </c>
      <c r="AG28" s="92">
        <v>1.64</v>
      </c>
      <c r="AH28" s="92">
        <v>1.37</v>
      </c>
      <c r="AI28" s="92">
        <v>1.83</v>
      </c>
      <c r="AJ28" s="92">
        <v>1.64</v>
      </c>
      <c r="AK28" s="92">
        <v>1.37</v>
      </c>
      <c r="AL28" s="92">
        <v>1.83</v>
      </c>
      <c r="AM28" s="92">
        <v>1.64</v>
      </c>
      <c r="AN28" s="92">
        <v>1.37</v>
      </c>
      <c r="AO28" s="92">
        <v>1.83</v>
      </c>
      <c r="AP28" s="88"/>
    </row>
    <row r="29" spans="2:42" ht="13.5" customHeight="1" x14ac:dyDescent="0.25">
      <c r="B29" s="76" t="s">
        <v>200</v>
      </c>
      <c r="C29" s="93">
        <v>0.26</v>
      </c>
      <c r="D29" s="76" t="s">
        <v>352</v>
      </c>
      <c r="E29" s="87" t="s">
        <v>180</v>
      </c>
      <c r="F29" s="92">
        <v>0.15</v>
      </c>
      <c r="G29" s="92">
        <v>0.13</v>
      </c>
      <c r="H29" s="92">
        <v>0.26</v>
      </c>
      <c r="I29" s="92">
        <v>0.15</v>
      </c>
      <c r="J29" s="92">
        <v>0.13</v>
      </c>
      <c r="K29" s="92">
        <v>0.26</v>
      </c>
      <c r="L29" s="92">
        <v>0.15</v>
      </c>
      <c r="M29" s="92">
        <v>0.13</v>
      </c>
      <c r="N29" s="92">
        <v>0.15</v>
      </c>
      <c r="O29" s="92">
        <v>0.15</v>
      </c>
      <c r="P29" s="92">
        <v>0.13</v>
      </c>
      <c r="Q29" s="92">
        <v>0.26</v>
      </c>
      <c r="R29" s="92">
        <v>0</v>
      </c>
      <c r="S29" s="92">
        <v>0</v>
      </c>
      <c r="T29" s="92">
        <v>0</v>
      </c>
      <c r="U29" s="92">
        <v>0.15</v>
      </c>
      <c r="V29" s="92">
        <v>0.13</v>
      </c>
      <c r="W29" s="92">
        <v>0.26</v>
      </c>
      <c r="X29" s="92">
        <v>0.15</v>
      </c>
      <c r="Y29" s="92">
        <v>0.13</v>
      </c>
      <c r="Z29" s="92">
        <v>0.15</v>
      </c>
      <c r="AA29" s="92">
        <v>0.15</v>
      </c>
      <c r="AB29" s="92">
        <v>0.13</v>
      </c>
      <c r="AC29" s="92">
        <v>0.15</v>
      </c>
      <c r="AD29" s="92">
        <v>0.15</v>
      </c>
      <c r="AE29" s="92">
        <v>0.13</v>
      </c>
      <c r="AF29" s="92">
        <v>0.15</v>
      </c>
      <c r="AG29" s="92">
        <v>0.15</v>
      </c>
      <c r="AH29" s="92">
        <v>0.13</v>
      </c>
      <c r="AI29" s="92">
        <v>0.26</v>
      </c>
      <c r="AJ29" s="92">
        <v>0.15</v>
      </c>
      <c r="AK29" s="92">
        <v>0.13</v>
      </c>
      <c r="AL29" s="92">
        <v>0.26</v>
      </c>
      <c r="AM29" s="92">
        <v>0.15</v>
      </c>
      <c r="AN29" s="92">
        <v>0.13</v>
      </c>
      <c r="AO29" s="92">
        <v>0.26</v>
      </c>
      <c r="AP29" s="88"/>
    </row>
    <row r="30" spans="2:42" ht="13.5" hidden="1" customHeight="1" x14ac:dyDescent="0.25">
      <c r="B30" s="76" t="s">
        <v>200</v>
      </c>
      <c r="C30" s="93">
        <v>0.13</v>
      </c>
      <c r="D30" s="76" t="s">
        <v>353</v>
      </c>
      <c r="E30" s="87" t="s">
        <v>179</v>
      </c>
      <c r="F30" s="92">
        <v>0.15</v>
      </c>
      <c r="G30" s="92">
        <v>0.13</v>
      </c>
      <c r="H30" s="92">
        <v>0.26</v>
      </c>
      <c r="I30" s="92">
        <v>0.15</v>
      </c>
      <c r="J30" s="92">
        <v>0.13</v>
      </c>
      <c r="K30" s="92">
        <v>0.26</v>
      </c>
      <c r="L30" s="92">
        <v>0.15</v>
      </c>
      <c r="M30" s="92">
        <v>0.13</v>
      </c>
      <c r="N30" s="92">
        <v>0.15</v>
      </c>
      <c r="O30" s="92">
        <v>0.15</v>
      </c>
      <c r="P30" s="92">
        <v>0.13</v>
      </c>
      <c r="Q30" s="92">
        <v>0.26</v>
      </c>
      <c r="R30" s="92">
        <v>0</v>
      </c>
      <c r="S30" s="92">
        <v>0</v>
      </c>
      <c r="T30" s="92">
        <v>0</v>
      </c>
      <c r="U30" s="92">
        <v>0.15</v>
      </c>
      <c r="V30" s="92">
        <v>0.13</v>
      </c>
      <c r="W30" s="92">
        <v>0.26</v>
      </c>
      <c r="X30" s="92">
        <v>0.15</v>
      </c>
      <c r="Y30" s="92">
        <v>0.13</v>
      </c>
      <c r="Z30" s="92">
        <v>0.15</v>
      </c>
      <c r="AA30" s="92">
        <v>0.15</v>
      </c>
      <c r="AB30" s="92">
        <v>0.13</v>
      </c>
      <c r="AC30" s="92">
        <v>0.15</v>
      </c>
      <c r="AD30" s="92">
        <v>0.15</v>
      </c>
      <c r="AE30" s="92">
        <v>0.13</v>
      </c>
      <c r="AF30" s="92">
        <v>0.15</v>
      </c>
      <c r="AG30" s="92">
        <v>0.15</v>
      </c>
      <c r="AH30" s="92">
        <v>0.13</v>
      </c>
      <c r="AI30" s="92">
        <v>0.26</v>
      </c>
      <c r="AJ30" s="92">
        <v>0.15</v>
      </c>
      <c r="AK30" s="92">
        <v>0.13</v>
      </c>
      <c r="AL30" s="92">
        <v>0.26</v>
      </c>
      <c r="AM30" s="92">
        <v>0.15</v>
      </c>
      <c r="AN30" s="92">
        <v>0.13</v>
      </c>
      <c r="AO30" s="92">
        <v>0.26</v>
      </c>
      <c r="AP30" s="88"/>
    </row>
    <row r="31" spans="2:42" ht="13.5" hidden="1" customHeight="1" x14ac:dyDescent="0.25">
      <c r="B31" s="76" t="s">
        <v>200</v>
      </c>
      <c r="C31" s="93">
        <v>0.26</v>
      </c>
      <c r="D31" s="76" t="s">
        <v>354</v>
      </c>
      <c r="E31" s="87" t="s">
        <v>180</v>
      </c>
      <c r="F31" s="92">
        <v>0.15</v>
      </c>
      <c r="G31" s="92">
        <v>0.13</v>
      </c>
      <c r="H31" s="92">
        <v>0.26</v>
      </c>
      <c r="I31" s="92">
        <v>0.15</v>
      </c>
      <c r="J31" s="92">
        <v>0.13</v>
      </c>
      <c r="K31" s="92">
        <v>0.26</v>
      </c>
      <c r="L31" s="92">
        <v>0.15</v>
      </c>
      <c r="M31" s="92">
        <v>0.13</v>
      </c>
      <c r="N31" s="92">
        <v>0.15</v>
      </c>
      <c r="O31" s="92">
        <v>0.15</v>
      </c>
      <c r="P31" s="92">
        <v>0.13</v>
      </c>
      <c r="Q31" s="92">
        <v>0.26</v>
      </c>
      <c r="R31" s="92">
        <v>0</v>
      </c>
      <c r="S31" s="92">
        <v>0</v>
      </c>
      <c r="T31" s="92">
        <v>0</v>
      </c>
      <c r="U31" s="92">
        <v>0.15</v>
      </c>
      <c r="V31" s="92">
        <v>0.13</v>
      </c>
      <c r="W31" s="92">
        <v>0.26</v>
      </c>
      <c r="X31" s="92">
        <v>0.15</v>
      </c>
      <c r="Y31" s="92">
        <v>0.13</v>
      </c>
      <c r="Z31" s="92">
        <v>0.15</v>
      </c>
      <c r="AA31" s="92">
        <v>0.15</v>
      </c>
      <c r="AB31" s="92">
        <v>0.13</v>
      </c>
      <c r="AC31" s="92">
        <v>0.15</v>
      </c>
      <c r="AD31" s="92">
        <v>0.15</v>
      </c>
      <c r="AE31" s="92">
        <v>0.13</v>
      </c>
      <c r="AF31" s="92">
        <v>0.15</v>
      </c>
      <c r="AG31" s="92">
        <v>0.15</v>
      </c>
      <c r="AH31" s="92">
        <v>0.13</v>
      </c>
      <c r="AI31" s="92">
        <v>0.26</v>
      </c>
      <c r="AJ31" s="92">
        <v>0.15</v>
      </c>
      <c r="AK31" s="92">
        <v>0.13</v>
      </c>
      <c r="AL31" s="92">
        <v>0.26</v>
      </c>
      <c r="AM31" s="92">
        <v>0.15</v>
      </c>
      <c r="AN31" s="92">
        <v>0.13</v>
      </c>
      <c r="AO31" s="92">
        <v>0.26</v>
      </c>
      <c r="AP31" s="88"/>
    </row>
    <row r="32" spans="2:42" ht="13.5" customHeight="1" x14ac:dyDescent="0.25">
      <c r="B32" s="76" t="s">
        <v>201</v>
      </c>
      <c r="C32" s="93">
        <v>1.35</v>
      </c>
      <c r="D32" s="76" t="s">
        <v>352</v>
      </c>
      <c r="E32" s="87" t="s">
        <v>179</v>
      </c>
      <c r="F32" s="92">
        <v>1.63</v>
      </c>
      <c r="G32" s="92">
        <v>1.35</v>
      </c>
      <c r="H32" s="92">
        <v>1.82</v>
      </c>
      <c r="I32" s="92">
        <v>1.63</v>
      </c>
      <c r="J32" s="92">
        <v>1.35</v>
      </c>
      <c r="K32" s="92">
        <v>1.82</v>
      </c>
      <c r="L32" s="92">
        <v>1.63</v>
      </c>
      <c r="M32" s="92">
        <v>1.44</v>
      </c>
      <c r="N32" s="92">
        <v>1.82</v>
      </c>
      <c r="O32" s="92">
        <v>1.63</v>
      </c>
      <c r="P32" s="92">
        <v>1.35</v>
      </c>
      <c r="Q32" s="92">
        <v>1.82</v>
      </c>
      <c r="R32" s="92">
        <v>0</v>
      </c>
      <c r="S32" s="92">
        <v>0</v>
      </c>
      <c r="T32" s="92">
        <v>0</v>
      </c>
      <c r="U32" s="92">
        <v>1.63</v>
      </c>
      <c r="V32" s="92">
        <v>1.35</v>
      </c>
      <c r="W32" s="92">
        <v>1.82</v>
      </c>
      <c r="X32" s="92">
        <v>1.63</v>
      </c>
      <c r="Y32" s="92">
        <v>1.44</v>
      </c>
      <c r="Z32" s="92">
        <v>1.82</v>
      </c>
      <c r="AA32" s="92">
        <v>1.63</v>
      </c>
      <c r="AB32" s="92">
        <v>1.44</v>
      </c>
      <c r="AC32" s="92">
        <v>1.82</v>
      </c>
      <c r="AD32" s="92">
        <v>1.63</v>
      </c>
      <c r="AE32" s="92">
        <v>1.44</v>
      </c>
      <c r="AF32" s="92">
        <v>1.82</v>
      </c>
      <c r="AG32" s="92">
        <v>1.63</v>
      </c>
      <c r="AH32" s="92">
        <v>1.35</v>
      </c>
      <c r="AI32" s="92">
        <v>1.82</v>
      </c>
      <c r="AJ32" s="92">
        <v>1.63</v>
      </c>
      <c r="AK32" s="92">
        <v>0.9</v>
      </c>
      <c r="AL32" s="92">
        <v>1.82</v>
      </c>
      <c r="AM32" s="92">
        <v>1.63</v>
      </c>
      <c r="AN32" s="92">
        <v>1.35</v>
      </c>
      <c r="AO32" s="92">
        <v>1.82</v>
      </c>
      <c r="AP32" s="88"/>
    </row>
    <row r="33" spans="2:42" ht="13.5" hidden="1" customHeight="1" x14ac:dyDescent="0.25">
      <c r="B33" s="76" t="s">
        <v>201</v>
      </c>
      <c r="C33" s="93">
        <v>1.44</v>
      </c>
      <c r="D33" s="76" t="s">
        <v>353</v>
      </c>
      <c r="E33" s="87" t="s">
        <v>179</v>
      </c>
      <c r="F33" s="92">
        <v>1.63</v>
      </c>
      <c r="G33" s="92">
        <v>1.44</v>
      </c>
      <c r="H33" s="92">
        <v>1.82</v>
      </c>
      <c r="I33" s="92">
        <v>1.63</v>
      </c>
      <c r="J33" s="92">
        <v>1.44</v>
      </c>
      <c r="K33" s="92">
        <v>1.82</v>
      </c>
      <c r="L33" s="92">
        <v>1.63</v>
      </c>
      <c r="M33" s="92">
        <v>1.44</v>
      </c>
      <c r="N33" s="92">
        <v>1.82</v>
      </c>
      <c r="O33" s="92">
        <v>1.63</v>
      </c>
      <c r="P33" s="92">
        <v>1.44</v>
      </c>
      <c r="Q33" s="92">
        <v>1.82</v>
      </c>
      <c r="R33" s="92">
        <v>0</v>
      </c>
      <c r="S33" s="92">
        <v>0</v>
      </c>
      <c r="T33" s="92">
        <v>0</v>
      </c>
      <c r="U33" s="92">
        <v>1.63</v>
      </c>
      <c r="V33" s="92">
        <v>1.44</v>
      </c>
      <c r="W33" s="92">
        <v>1.82</v>
      </c>
      <c r="X33" s="92">
        <v>1.63</v>
      </c>
      <c r="Y33" s="92">
        <v>1.44</v>
      </c>
      <c r="Z33" s="92">
        <v>1.82</v>
      </c>
      <c r="AA33" s="92">
        <v>1.63</v>
      </c>
      <c r="AB33" s="92">
        <v>1.44</v>
      </c>
      <c r="AC33" s="92">
        <v>1.82</v>
      </c>
      <c r="AD33" s="92">
        <v>1.63</v>
      </c>
      <c r="AE33" s="92">
        <v>1.44</v>
      </c>
      <c r="AF33" s="92">
        <v>1.82</v>
      </c>
      <c r="AG33" s="92">
        <v>1.63</v>
      </c>
      <c r="AH33" s="92">
        <v>1.44</v>
      </c>
      <c r="AI33" s="92">
        <v>1.82</v>
      </c>
      <c r="AJ33" s="92">
        <v>1.63</v>
      </c>
      <c r="AK33" s="92">
        <v>0.9</v>
      </c>
      <c r="AL33" s="92">
        <v>1.82</v>
      </c>
      <c r="AM33" s="92">
        <v>1.63</v>
      </c>
      <c r="AN33" s="92">
        <v>1.35</v>
      </c>
      <c r="AO33" s="92">
        <v>1.82</v>
      </c>
      <c r="AP33" s="88"/>
    </row>
    <row r="34" spans="2:42" ht="13.5" hidden="1" customHeight="1" x14ac:dyDescent="0.25">
      <c r="B34" s="76" t="s">
        <v>201</v>
      </c>
      <c r="C34" s="93">
        <v>1.82</v>
      </c>
      <c r="D34" s="76" t="s">
        <v>354</v>
      </c>
      <c r="E34" s="87" t="s">
        <v>180</v>
      </c>
      <c r="F34" s="92">
        <v>1.63</v>
      </c>
      <c r="G34" s="92">
        <v>1.44</v>
      </c>
      <c r="H34" s="92">
        <v>1.82</v>
      </c>
      <c r="I34" s="92">
        <v>1.63</v>
      </c>
      <c r="J34" s="92">
        <v>1.44</v>
      </c>
      <c r="K34" s="92">
        <v>1.82</v>
      </c>
      <c r="L34" s="92">
        <v>1.63</v>
      </c>
      <c r="M34" s="92">
        <v>1.44</v>
      </c>
      <c r="N34" s="92">
        <v>1.82</v>
      </c>
      <c r="O34" s="92">
        <v>1.63</v>
      </c>
      <c r="P34" s="92">
        <v>1.44</v>
      </c>
      <c r="Q34" s="92">
        <v>1.82</v>
      </c>
      <c r="R34" s="92">
        <v>0</v>
      </c>
      <c r="S34" s="92">
        <v>0</v>
      </c>
      <c r="T34" s="92">
        <v>0</v>
      </c>
      <c r="U34" s="92">
        <v>1.63</v>
      </c>
      <c r="V34" s="92">
        <v>1.44</v>
      </c>
      <c r="W34" s="92">
        <v>1.82</v>
      </c>
      <c r="X34" s="92">
        <v>1.63</v>
      </c>
      <c r="Y34" s="92">
        <v>1.44</v>
      </c>
      <c r="Z34" s="92">
        <v>1.82</v>
      </c>
      <c r="AA34" s="92">
        <v>1.63</v>
      </c>
      <c r="AB34" s="92">
        <v>1.44</v>
      </c>
      <c r="AC34" s="92">
        <v>1.82</v>
      </c>
      <c r="AD34" s="92">
        <v>1.63</v>
      </c>
      <c r="AE34" s="92">
        <v>1.44</v>
      </c>
      <c r="AF34" s="92">
        <v>1.82</v>
      </c>
      <c r="AG34" s="92">
        <v>1.63</v>
      </c>
      <c r="AH34" s="92">
        <v>1.44</v>
      </c>
      <c r="AI34" s="92">
        <v>1.82</v>
      </c>
      <c r="AJ34" s="92">
        <v>1.63</v>
      </c>
      <c r="AK34" s="92">
        <v>0.9</v>
      </c>
      <c r="AL34" s="92">
        <v>1.82</v>
      </c>
      <c r="AM34" s="92">
        <v>1.63</v>
      </c>
      <c r="AN34" s="92">
        <v>1.35</v>
      </c>
      <c r="AO34" s="92">
        <v>1.82</v>
      </c>
      <c r="AP34" s="88"/>
    </row>
    <row r="35" spans="2:42" ht="13.5" customHeight="1" x14ac:dyDescent="0.25">
      <c r="B35" s="76" t="s">
        <v>202</v>
      </c>
      <c r="C35" s="93">
        <v>0.26</v>
      </c>
      <c r="D35" s="76" t="s">
        <v>352</v>
      </c>
      <c r="E35" s="87" t="s">
        <v>180</v>
      </c>
      <c r="F35" s="92">
        <v>0.15</v>
      </c>
      <c r="G35" s="92">
        <v>0.14000000000000001</v>
      </c>
      <c r="H35" s="92">
        <v>0.26</v>
      </c>
      <c r="I35" s="92">
        <v>0.15</v>
      </c>
      <c r="J35" s="92">
        <v>0.14000000000000001</v>
      </c>
      <c r="K35" s="92">
        <v>0.26</v>
      </c>
      <c r="L35" s="92">
        <v>0.15</v>
      </c>
      <c r="M35" s="92">
        <v>0.14000000000000001</v>
      </c>
      <c r="N35" s="92">
        <v>0.16</v>
      </c>
      <c r="O35" s="92">
        <v>0.15</v>
      </c>
      <c r="P35" s="92">
        <v>0.14000000000000001</v>
      </c>
      <c r="Q35" s="92">
        <v>0.26</v>
      </c>
      <c r="R35" s="92">
        <v>0</v>
      </c>
      <c r="S35" s="92">
        <v>0</v>
      </c>
      <c r="T35" s="92">
        <v>0</v>
      </c>
      <c r="U35" s="92">
        <v>0.15</v>
      </c>
      <c r="V35" s="92">
        <v>0.14000000000000001</v>
      </c>
      <c r="W35" s="92">
        <v>0.26</v>
      </c>
      <c r="X35" s="92">
        <v>0.15</v>
      </c>
      <c r="Y35" s="92">
        <v>0.14000000000000001</v>
      </c>
      <c r="Z35" s="92">
        <v>0.16</v>
      </c>
      <c r="AA35" s="92">
        <v>0.15</v>
      </c>
      <c r="AB35" s="92">
        <v>0.14000000000000001</v>
      </c>
      <c r="AC35" s="92">
        <v>0.16</v>
      </c>
      <c r="AD35" s="92">
        <v>0.15</v>
      </c>
      <c r="AE35" s="92">
        <v>0.14000000000000001</v>
      </c>
      <c r="AF35" s="92">
        <v>0.16</v>
      </c>
      <c r="AG35" s="92">
        <v>0.15</v>
      </c>
      <c r="AH35" s="92">
        <v>0.14000000000000001</v>
      </c>
      <c r="AI35" s="92">
        <f>0.35</f>
        <v>0.35</v>
      </c>
      <c r="AJ35" s="92">
        <v>0.15</v>
      </c>
      <c r="AK35" s="92">
        <v>0.14000000000000001</v>
      </c>
      <c r="AL35" s="92">
        <v>0.9</v>
      </c>
      <c r="AM35" s="92">
        <v>0.15</v>
      </c>
      <c r="AN35" s="92">
        <v>0.14000000000000001</v>
      </c>
      <c r="AO35" s="92">
        <v>0.26</v>
      </c>
      <c r="AP35" s="88" t="s">
        <v>585</v>
      </c>
    </row>
    <row r="36" spans="2:42" ht="13.5" hidden="1" customHeight="1" x14ac:dyDescent="0.25">
      <c r="B36" s="76" t="s">
        <v>202</v>
      </c>
      <c r="C36" s="93">
        <v>0.14000000000000001</v>
      </c>
      <c r="D36" s="76" t="s">
        <v>353</v>
      </c>
      <c r="E36" s="87" t="s">
        <v>179</v>
      </c>
      <c r="F36" s="92">
        <v>0.15</v>
      </c>
      <c r="G36" s="92">
        <v>0.14000000000000001</v>
      </c>
      <c r="H36" s="92">
        <v>0.16</v>
      </c>
      <c r="I36" s="92">
        <v>0.15</v>
      </c>
      <c r="J36" s="92">
        <v>0.14000000000000001</v>
      </c>
      <c r="K36" s="92">
        <v>0.16</v>
      </c>
      <c r="L36" s="92">
        <v>0.15</v>
      </c>
      <c r="M36" s="92">
        <v>0.14000000000000001</v>
      </c>
      <c r="N36" s="92">
        <v>0.16</v>
      </c>
      <c r="O36" s="92">
        <v>0.15</v>
      </c>
      <c r="P36" s="92">
        <v>0.14000000000000001</v>
      </c>
      <c r="Q36" s="92">
        <v>0.16</v>
      </c>
      <c r="R36" s="92">
        <v>0</v>
      </c>
      <c r="S36" s="92">
        <v>0</v>
      </c>
      <c r="T36" s="92">
        <v>0</v>
      </c>
      <c r="U36" s="92">
        <v>0.15</v>
      </c>
      <c r="V36" s="92">
        <v>0.14000000000000001</v>
      </c>
      <c r="W36" s="92">
        <v>0.16</v>
      </c>
      <c r="X36" s="92">
        <v>0.15</v>
      </c>
      <c r="Y36" s="92">
        <v>0.14000000000000001</v>
      </c>
      <c r="Z36" s="92">
        <v>0.16</v>
      </c>
      <c r="AA36" s="92">
        <v>0.15</v>
      </c>
      <c r="AB36" s="92">
        <v>0.14000000000000001</v>
      </c>
      <c r="AC36" s="92">
        <v>0.16</v>
      </c>
      <c r="AD36" s="92">
        <v>0.15</v>
      </c>
      <c r="AE36" s="92">
        <v>0.14000000000000001</v>
      </c>
      <c r="AF36" s="92">
        <v>0.16</v>
      </c>
      <c r="AG36" s="92">
        <v>0.15</v>
      </c>
      <c r="AH36" s="92">
        <v>0.14000000000000001</v>
      </c>
      <c r="AI36" s="92">
        <f>0.35</f>
        <v>0.35</v>
      </c>
      <c r="AJ36" s="92">
        <v>0.15</v>
      </c>
      <c r="AK36" s="92">
        <v>0.14000000000000001</v>
      </c>
      <c r="AL36" s="92">
        <v>0.9</v>
      </c>
      <c r="AM36" s="92">
        <v>0.15</v>
      </c>
      <c r="AN36" s="92">
        <v>0.14000000000000001</v>
      </c>
      <c r="AO36" s="92">
        <v>0.26</v>
      </c>
      <c r="AP36" s="88"/>
    </row>
    <row r="37" spans="2:42" ht="13.5" hidden="1" customHeight="1" x14ac:dyDescent="0.25">
      <c r="B37" s="76" t="s">
        <v>202</v>
      </c>
      <c r="C37" s="93">
        <v>0.16</v>
      </c>
      <c r="D37" s="76" t="s">
        <v>354</v>
      </c>
      <c r="E37" s="87" t="s">
        <v>180</v>
      </c>
      <c r="F37" s="92">
        <v>0.15</v>
      </c>
      <c r="G37" s="92">
        <v>0.14000000000000001</v>
      </c>
      <c r="H37" s="92">
        <v>0.16</v>
      </c>
      <c r="I37" s="92">
        <v>0.15</v>
      </c>
      <c r="J37" s="92">
        <v>0.14000000000000001</v>
      </c>
      <c r="K37" s="92">
        <v>0.16</v>
      </c>
      <c r="L37" s="92">
        <v>0.15</v>
      </c>
      <c r="M37" s="92">
        <v>0.14000000000000001</v>
      </c>
      <c r="N37" s="92">
        <v>0.16</v>
      </c>
      <c r="O37" s="92">
        <v>0.15</v>
      </c>
      <c r="P37" s="92">
        <v>0.14000000000000001</v>
      </c>
      <c r="Q37" s="92">
        <v>0.16</v>
      </c>
      <c r="R37" s="92">
        <v>0</v>
      </c>
      <c r="S37" s="92">
        <v>0</v>
      </c>
      <c r="T37" s="92">
        <v>0</v>
      </c>
      <c r="U37" s="92">
        <v>0.15</v>
      </c>
      <c r="V37" s="92">
        <v>0.14000000000000001</v>
      </c>
      <c r="W37" s="92">
        <v>0.16</v>
      </c>
      <c r="X37" s="92">
        <v>0.15</v>
      </c>
      <c r="Y37" s="92">
        <v>0.14000000000000001</v>
      </c>
      <c r="Z37" s="92">
        <v>0.16</v>
      </c>
      <c r="AA37" s="92">
        <v>0.15</v>
      </c>
      <c r="AB37" s="92">
        <v>0.14000000000000001</v>
      </c>
      <c r="AC37" s="92">
        <v>0.16</v>
      </c>
      <c r="AD37" s="92">
        <v>0.15</v>
      </c>
      <c r="AE37" s="92">
        <v>0.14000000000000001</v>
      </c>
      <c r="AF37" s="92">
        <v>0.16</v>
      </c>
      <c r="AG37" s="92">
        <v>0.15</v>
      </c>
      <c r="AH37" s="92">
        <v>0.14000000000000001</v>
      </c>
      <c r="AI37" s="92">
        <f>0.35</f>
        <v>0.35</v>
      </c>
      <c r="AJ37" s="92">
        <v>0.15</v>
      </c>
      <c r="AK37" s="92">
        <v>0.14000000000000001</v>
      </c>
      <c r="AL37" s="92">
        <v>0.9</v>
      </c>
      <c r="AM37" s="92">
        <v>0.15</v>
      </c>
      <c r="AN37" s="92">
        <v>0.14000000000000001</v>
      </c>
      <c r="AO37" s="92">
        <v>0.26</v>
      </c>
      <c r="AP37" s="88"/>
    </row>
    <row r="38" spans="2:42" ht="13.5" customHeight="1" x14ac:dyDescent="0.25">
      <c r="B38" s="76" t="s">
        <v>205</v>
      </c>
      <c r="C38" s="93">
        <v>0.7</v>
      </c>
      <c r="D38" s="76" t="s">
        <v>352</v>
      </c>
      <c r="E38" s="87" t="s">
        <v>178</v>
      </c>
      <c r="F38" s="92">
        <v>0.7</v>
      </c>
      <c r="G38" s="92">
        <v>0.6</v>
      </c>
      <c r="H38" s="92">
        <f>_vdd10+0.1</f>
        <v>1.1000000000000001</v>
      </c>
      <c r="I38" s="92">
        <v>0.7</v>
      </c>
      <c r="J38" s="92">
        <v>0.6</v>
      </c>
      <c r="K38" s="92">
        <f>_vdd10+0.1</f>
        <v>1.1000000000000001</v>
      </c>
      <c r="L38" s="92">
        <v>0.7</v>
      </c>
      <c r="M38" s="92">
        <v>0.6</v>
      </c>
      <c r="N38" s="92">
        <f>_vdd10+0.1</f>
        <v>1.1000000000000001</v>
      </c>
      <c r="O38" s="92">
        <v>0.7</v>
      </c>
      <c r="P38" s="92">
        <v>0.6</v>
      </c>
      <c r="Q38" s="92">
        <f>_vdd10+0.1</f>
        <v>1.1000000000000001</v>
      </c>
      <c r="R38" s="92">
        <v>0</v>
      </c>
      <c r="S38" s="92">
        <v>0</v>
      </c>
      <c r="T38" s="92">
        <v>0</v>
      </c>
      <c r="U38" s="92">
        <v>0.7</v>
      </c>
      <c r="V38" s="92">
        <v>0.6</v>
      </c>
      <c r="W38" s="92">
        <f>_vdd10+0.1</f>
        <v>1.1000000000000001</v>
      </c>
      <c r="X38" s="92">
        <v>0.7</v>
      </c>
      <c r="Y38" s="92">
        <v>0.6</v>
      </c>
      <c r="Z38" s="92">
        <f>_vdd10+0.1</f>
        <v>1.1000000000000001</v>
      </c>
      <c r="AA38" s="92">
        <v>0.7</v>
      </c>
      <c r="AB38" s="92">
        <v>0.6</v>
      </c>
      <c r="AC38" s="92">
        <f>_vdd10+0.1</f>
        <v>1.1000000000000001</v>
      </c>
      <c r="AD38" s="92">
        <v>0.7</v>
      </c>
      <c r="AE38" s="92">
        <v>0.6</v>
      </c>
      <c r="AF38" s="92">
        <f>_vdd10+0.1</f>
        <v>1.1000000000000001</v>
      </c>
      <c r="AG38" s="92">
        <v>0.7</v>
      </c>
      <c r="AH38" s="92">
        <v>0.6</v>
      </c>
      <c r="AI38" s="92">
        <f>_vdd10+0.1</f>
        <v>1.1000000000000001</v>
      </c>
      <c r="AJ38" s="92">
        <v>0.7</v>
      </c>
      <c r="AK38" s="92">
        <v>0.6</v>
      </c>
      <c r="AL38" s="92">
        <f>_vdd10+0.1</f>
        <v>1.1000000000000001</v>
      </c>
      <c r="AM38" s="92">
        <v>0.7</v>
      </c>
      <c r="AN38" s="92">
        <v>0.6</v>
      </c>
      <c r="AO38" s="92">
        <f>_vdd10+0.1</f>
        <v>1.1000000000000001</v>
      </c>
      <c r="AP38" s="88"/>
    </row>
    <row r="39" spans="2:42" ht="13.5" hidden="1" customHeight="1" x14ac:dyDescent="0.25">
      <c r="B39" s="76" t="s">
        <v>205</v>
      </c>
      <c r="C39" s="93">
        <v>0.6</v>
      </c>
      <c r="D39" s="76" t="s">
        <v>353</v>
      </c>
      <c r="E39" s="87" t="s">
        <v>179</v>
      </c>
      <c r="F39" s="92">
        <v>0.7</v>
      </c>
      <c r="G39" s="92">
        <v>0.6</v>
      </c>
      <c r="H39" s="92">
        <f>_vdd10+0.1</f>
        <v>1.1000000000000001</v>
      </c>
      <c r="I39" s="92">
        <v>0.7</v>
      </c>
      <c r="J39" s="92">
        <v>0.6</v>
      </c>
      <c r="K39" s="92">
        <f>_vdd10+0.1</f>
        <v>1.1000000000000001</v>
      </c>
      <c r="L39" s="92">
        <v>0.7</v>
      </c>
      <c r="M39" s="92">
        <v>0.6</v>
      </c>
      <c r="N39" s="92">
        <f>_vdd10+0.1</f>
        <v>1.1000000000000001</v>
      </c>
      <c r="O39" s="92">
        <v>0.7</v>
      </c>
      <c r="P39" s="92">
        <v>0.6</v>
      </c>
      <c r="Q39" s="92">
        <f>_vdd10+0.1</f>
        <v>1.1000000000000001</v>
      </c>
      <c r="R39" s="92">
        <v>0</v>
      </c>
      <c r="S39" s="92">
        <v>0</v>
      </c>
      <c r="T39" s="92">
        <v>0</v>
      </c>
      <c r="U39" s="92">
        <v>0.7</v>
      </c>
      <c r="V39" s="92">
        <v>0.6</v>
      </c>
      <c r="W39" s="92">
        <f>_vdd10+0.1</f>
        <v>1.1000000000000001</v>
      </c>
      <c r="X39" s="92">
        <v>0.7</v>
      </c>
      <c r="Y39" s="92">
        <v>0.6</v>
      </c>
      <c r="Z39" s="92">
        <f>_vdd10+0.1</f>
        <v>1.1000000000000001</v>
      </c>
      <c r="AA39" s="92">
        <v>0.7</v>
      </c>
      <c r="AB39" s="92">
        <v>0.6</v>
      </c>
      <c r="AC39" s="92">
        <f>_vdd10+0.1</f>
        <v>1.1000000000000001</v>
      </c>
      <c r="AD39" s="92">
        <v>0.7</v>
      </c>
      <c r="AE39" s="92">
        <v>0.6</v>
      </c>
      <c r="AF39" s="92">
        <f>_vdd10+0.1</f>
        <v>1.1000000000000001</v>
      </c>
      <c r="AG39" s="92">
        <v>0.7</v>
      </c>
      <c r="AH39" s="92">
        <v>0.6</v>
      </c>
      <c r="AI39" s="92">
        <f>_vdd10+0.1</f>
        <v>1.1000000000000001</v>
      </c>
      <c r="AJ39" s="92">
        <v>0.7</v>
      </c>
      <c r="AK39" s="92">
        <v>0.6</v>
      </c>
      <c r="AL39" s="92">
        <f>_vdd10+0.1</f>
        <v>1.1000000000000001</v>
      </c>
      <c r="AM39" s="92">
        <v>0.7</v>
      </c>
      <c r="AN39" s="92">
        <v>0.6</v>
      </c>
      <c r="AO39" s="92">
        <f>_vdd10+0.1</f>
        <v>1.1000000000000001</v>
      </c>
      <c r="AP39" s="88"/>
    </row>
    <row r="40" spans="2:42" ht="13.5" hidden="1" customHeight="1" x14ac:dyDescent="0.25">
      <c r="B40" s="76" t="s">
        <v>205</v>
      </c>
      <c r="C40" s="93">
        <f>_vdd10+0.1</f>
        <v>1.1000000000000001</v>
      </c>
      <c r="D40" s="76" t="s">
        <v>354</v>
      </c>
      <c r="E40" s="87" t="s">
        <v>180</v>
      </c>
      <c r="F40" s="92">
        <v>0.7</v>
      </c>
      <c r="G40" s="92">
        <v>0.6</v>
      </c>
      <c r="H40" s="92">
        <f>_vdd10+0.1</f>
        <v>1.1000000000000001</v>
      </c>
      <c r="I40" s="92">
        <v>0.7</v>
      </c>
      <c r="J40" s="92">
        <v>0.6</v>
      </c>
      <c r="K40" s="92">
        <f>_vdd10+0.1</f>
        <v>1.1000000000000001</v>
      </c>
      <c r="L40" s="92">
        <v>0.7</v>
      </c>
      <c r="M40" s="92">
        <v>0.6</v>
      </c>
      <c r="N40" s="92">
        <f>_vdd10+0.1</f>
        <v>1.1000000000000001</v>
      </c>
      <c r="O40" s="92">
        <v>0.7</v>
      </c>
      <c r="P40" s="92">
        <v>0.6</v>
      </c>
      <c r="Q40" s="92">
        <f>_vdd10+0.1</f>
        <v>1.1000000000000001</v>
      </c>
      <c r="R40" s="92">
        <v>0</v>
      </c>
      <c r="S40" s="92">
        <v>0</v>
      </c>
      <c r="T40" s="92">
        <v>0</v>
      </c>
      <c r="U40" s="92">
        <v>0.7</v>
      </c>
      <c r="V40" s="92">
        <v>0.6</v>
      </c>
      <c r="W40" s="92">
        <f>_vdd10+0.1</f>
        <v>1.1000000000000001</v>
      </c>
      <c r="X40" s="92">
        <v>0.7</v>
      </c>
      <c r="Y40" s="92">
        <v>0.6</v>
      </c>
      <c r="Z40" s="92">
        <f>_vdd10+0.1</f>
        <v>1.1000000000000001</v>
      </c>
      <c r="AA40" s="92">
        <v>0.7</v>
      </c>
      <c r="AB40" s="92">
        <v>0.6</v>
      </c>
      <c r="AC40" s="92">
        <f>_vdd10+0.1</f>
        <v>1.1000000000000001</v>
      </c>
      <c r="AD40" s="92">
        <v>0.7</v>
      </c>
      <c r="AE40" s="92">
        <v>0.6</v>
      </c>
      <c r="AF40" s="92">
        <f>_vdd10+0.1</f>
        <v>1.1000000000000001</v>
      </c>
      <c r="AG40" s="92">
        <v>0.7</v>
      </c>
      <c r="AH40" s="92">
        <v>0.6</v>
      </c>
      <c r="AI40" s="92">
        <f>_vdd10+0.1</f>
        <v>1.1000000000000001</v>
      </c>
      <c r="AJ40" s="92">
        <v>0.7</v>
      </c>
      <c r="AK40" s="92">
        <v>0.6</v>
      </c>
      <c r="AL40" s="92">
        <f>_vdd10+0.1</f>
        <v>1.1000000000000001</v>
      </c>
      <c r="AM40" s="92">
        <v>0.7</v>
      </c>
      <c r="AN40" s="92">
        <v>0.6</v>
      </c>
      <c r="AO40" s="92">
        <f>_vdd10+0.1</f>
        <v>1.1000000000000001</v>
      </c>
      <c r="AP40" s="88"/>
    </row>
    <row r="41" spans="2:42" ht="13.5" customHeight="1" x14ac:dyDescent="0.25">
      <c r="B41" s="76" t="s">
        <v>206</v>
      </c>
      <c r="C41" s="93">
        <v>0.05</v>
      </c>
      <c r="D41" s="76" t="s">
        <v>352</v>
      </c>
      <c r="E41" s="87" t="s">
        <v>178</v>
      </c>
      <c r="F41" s="92">
        <v>0.05</v>
      </c>
      <c r="G41" s="92">
        <v>-0.1</v>
      </c>
      <c r="H41" s="92">
        <v>0.15</v>
      </c>
      <c r="I41" s="92">
        <v>0.05</v>
      </c>
      <c r="J41" s="92">
        <v>-0.1</v>
      </c>
      <c r="K41" s="92">
        <v>0.15</v>
      </c>
      <c r="L41" s="92">
        <v>0.05</v>
      </c>
      <c r="M41" s="92">
        <v>-0.1</v>
      </c>
      <c r="N41" s="92">
        <v>0.15</v>
      </c>
      <c r="O41" s="92">
        <v>0.05</v>
      </c>
      <c r="P41" s="92">
        <v>-0.1</v>
      </c>
      <c r="Q41" s="92">
        <v>0.15</v>
      </c>
      <c r="R41" s="92">
        <v>0</v>
      </c>
      <c r="S41" s="92">
        <v>0</v>
      </c>
      <c r="T41" s="92">
        <v>0</v>
      </c>
      <c r="U41" s="92">
        <v>0.05</v>
      </c>
      <c r="V41" s="92">
        <v>-0.1</v>
      </c>
      <c r="W41" s="92">
        <v>0.15</v>
      </c>
      <c r="X41" s="92">
        <v>0.05</v>
      </c>
      <c r="Y41" s="92">
        <v>-0.1</v>
      </c>
      <c r="Z41" s="92">
        <v>0.15</v>
      </c>
      <c r="AA41" s="92">
        <v>0.05</v>
      </c>
      <c r="AB41" s="92">
        <v>-0.1</v>
      </c>
      <c r="AC41" s="92">
        <v>0.15</v>
      </c>
      <c r="AD41" s="92">
        <v>0.05</v>
      </c>
      <c r="AE41" s="92">
        <v>-0.1</v>
      </c>
      <c r="AF41" s="92">
        <v>0.15</v>
      </c>
      <c r="AG41" s="92">
        <v>0.05</v>
      </c>
      <c r="AH41" s="92">
        <v>-0.1</v>
      </c>
      <c r="AI41" s="92">
        <v>0.15</v>
      </c>
      <c r="AJ41" s="92">
        <v>0.05</v>
      </c>
      <c r="AK41" s="92">
        <v>-0.1</v>
      </c>
      <c r="AL41" s="92">
        <v>0.15</v>
      </c>
      <c r="AM41" s="92">
        <v>0.05</v>
      </c>
      <c r="AN41" s="92">
        <v>-0.1</v>
      </c>
      <c r="AO41" s="92">
        <v>0.15</v>
      </c>
      <c r="AP41" s="88"/>
    </row>
    <row r="42" spans="2:42" ht="13.5" hidden="1" customHeight="1" x14ac:dyDescent="0.25">
      <c r="B42" s="76" t="s">
        <v>206</v>
      </c>
      <c r="C42" s="93">
        <v>-0.1</v>
      </c>
      <c r="D42" s="76" t="s">
        <v>353</v>
      </c>
      <c r="E42" s="87" t="s">
        <v>179</v>
      </c>
      <c r="F42" s="92">
        <v>0.05</v>
      </c>
      <c r="G42" s="92">
        <v>-0.1</v>
      </c>
      <c r="H42" s="92">
        <v>0.15</v>
      </c>
      <c r="I42" s="92">
        <v>0.05</v>
      </c>
      <c r="J42" s="92">
        <v>-0.1</v>
      </c>
      <c r="K42" s="92">
        <v>0.15</v>
      </c>
      <c r="L42" s="92">
        <v>0.05</v>
      </c>
      <c r="M42" s="92">
        <v>-0.1</v>
      </c>
      <c r="N42" s="92">
        <v>0.15</v>
      </c>
      <c r="O42" s="92">
        <v>0.05</v>
      </c>
      <c r="P42" s="92">
        <v>-0.1</v>
      </c>
      <c r="Q42" s="92">
        <v>0.15</v>
      </c>
      <c r="R42" s="92">
        <v>0</v>
      </c>
      <c r="S42" s="92">
        <v>0</v>
      </c>
      <c r="T42" s="92">
        <v>0</v>
      </c>
      <c r="U42" s="92">
        <v>0.05</v>
      </c>
      <c r="V42" s="92">
        <v>-0.1</v>
      </c>
      <c r="W42" s="92">
        <v>0.15</v>
      </c>
      <c r="X42" s="92">
        <v>0.05</v>
      </c>
      <c r="Y42" s="92">
        <v>-0.1</v>
      </c>
      <c r="Z42" s="92">
        <v>0.15</v>
      </c>
      <c r="AA42" s="92">
        <v>0.05</v>
      </c>
      <c r="AB42" s="92">
        <v>-0.1</v>
      </c>
      <c r="AC42" s="92">
        <v>0.15</v>
      </c>
      <c r="AD42" s="92">
        <v>0.05</v>
      </c>
      <c r="AE42" s="92">
        <v>-0.1</v>
      </c>
      <c r="AF42" s="92">
        <v>0.15</v>
      </c>
      <c r="AG42" s="92">
        <v>0.05</v>
      </c>
      <c r="AH42" s="92">
        <v>-0.1</v>
      </c>
      <c r="AI42" s="92">
        <v>0.15</v>
      </c>
      <c r="AJ42" s="92">
        <v>0.05</v>
      </c>
      <c r="AK42" s="92">
        <v>-0.1</v>
      </c>
      <c r="AL42" s="92">
        <v>0.15</v>
      </c>
      <c r="AM42" s="92">
        <v>0.05</v>
      </c>
      <c r="AN42" s="92">
        <v>-0.1</v>
      </c>
      <c r="AO42" s="92">
        <v>0.15</v>
      </c>
      <c r="AP42" s="88"/>
    </row>
    <row r="43" spans="2:42" ht="13.5" hidden="1" customHeight="1" x14ac:dyDescent="0.25">
      <c r="B43" s="76" t="s">
        <v>206</v>
      </c>
      <c r="C43" s="93">
        <v>0.15</v>
      </c>
      <c r="D43" s="76" t="s">
        <v>354</v>
      </c>
      <c r="E43" s="87" t="s">
        <v>180</v>
      </c>
      <c r="F43" s="92">
        <v>0.05</v>
      </c>
      <c r="G43" s="92">
        <v>-0.1</v>
      </c>
      <c r="H43" s="92">
        <v>0.15</v>
      </c>
      <c r="I43" s="92">
        <v>0.05</v>
      </c>
      <c r="J43" s="92">
        <v>-0.1</v>
      </c>
      <c r="K43" s="92">
        <v>0.15</v>
      </c>
      <c r="L43" s="92">
        <v>0.05</v>
      </c>
      <c r="M43" s="92">
        <v>-0.1</v>
      </c>
      <c r="N43" s="92">
        <v>0.15</v>
      </c>
      <c r="O43" s="92">
        <v>0.05</v>
      </c>
      <c r="P43" s="92">
        <v>-0.1</v>
      </c>
      <c r="Q43" s="92">
        <v>0.15</v>
      </c>
      <c r="R43" s="92">
        <v>0</v>
      </c>
      <c r="S43" s="92">
        <v>0</v>
      </c>
      <c r="T43" s="92">
        <v>0</v>
      </c>
      <c r="U43" s="92">
        <v>0.05</v>
      </c>
      <c r="V43" s="92">
        <v>-0.1</v>
      </c>
      <c r="W43" s="92">
        <v>0.15</v>
      </c>
      <c r="X43" s="92">
        <v>0.05</v>
      </c>
      <c r="Y43" s="92">
        <v>-0.1</v>
      </c>
      <c r="Z43" s="92">
        <v>0.15</v>
      </c>
      <c r="AA43" s="92">
        <v>0.05</v>
      </c>
      <c r="AB43" s="92">
        <v>-0.1</v>
      </c>
      <c r="AC43" s="92">
        <v>0.15</v>
      </c>
      <c r="AD43" s="92">
        <v>0.05</v>
      </c>
      <c r="AE43" s="92">
        <v>-0.1</v>
      </c>
      <c r="AF43" s="92">
        <v>0.15</v>
      </c>
      <c r="AG43" s="92">
        <v>0.05</v>
      </c>
      <c r="AH43" s="92">
        <v>-0.1</v>
      </c>
      <c r="AI43" s="92">
        <v>0.15</v>
      </c>
      <c r="AJ43" s="92">
        <v>0.05</v>
      </c>
      <c r="AK43" s="92">
        <v>-0.1</v>
      </c>
      <c r="AL43" s="92">
        <v>0.15</v>
      </c>
      <c r="AM43" s="92">
        <v>0.05</v>
      </c>
      <c r="AN43" s="92">
        <v>-0.1</v>
      </c>
      <c r="AO43" s="92">
        <v>0.15</v>
      </c>
      <c r="AP43" s="88"/>
    </row>
    <row r="44" spans="2:42" ht="13.5" customHeight="1" x14ac:dyDescent="0.25">
      <c r="B44" s="76" t="s">
        <v>333</v>
      </c>
      <c r="C44" s="93">
        <v>0</v>
      </c>
      <c r="D44" s="76" t="s">
        <v>352</v>
      </c>
      <c r="E44" s="87" t="s">
        <v>178</v>
      </c>
      <c r="F44" s="92">
        <v>0</v>
      </c>
      <c r="G44" s="92">
        <v>0</v>
      </c>
      <c r="H44" s="92">
        <v>0</v>
      </c>
      <c r="I44" s="92">
        <v>0</v>
      </c>
      <c r="J44" s="92">
        <v>0</v>
      </c>
      <c r="K44" s="92">
        <v>0</v>
      </c>
      <c r="L44" s="92">
        <v>0</v>
      </c>
      <c r="M44" s="92">
        <v>0</v>
      </c>
      <c r="N44" s="92">
        <v>0</v>
      </c>
      <c r="O44" s="92">
        <v>0</v>
      </c>
      <c r="P44" s="92">
        <v>0</v>
      </c>
      <c r="Q44" s="92">
        <v>0</v>
      </c>
      <c r="R44" s="92">
        <f t="shared" ref="R44:R46" si="1">200*uA</f>
        <v>1.9999999999999998E-4</v>
      </c>
      <c r="S44" s="92">
        <f t="shared" ref="S44:S46" si="2">10*uA</f>
        <v>9.9999999999999991E-6</v>
      </c>
      <c r="T44" s="92">
        <f t="shared" ref="T44:T46" si="3">1000*uA</f>
        <v>1E-3</v>
      </c>
      <c r="U44" s="92">
        <v>0</v>
      </c>
      <c r="V44" s="92">
        <v>0</v>
      </c>
      <c r="W44" s="92">
        <v>0</v>
      </c>
      <c r="X44" s="92">
        <v>0</v>
      </c>
      <c r="Y44" s="92">
        <v>0</v>
      </c>
      <c r="Z44" s="92">
        <v>0</v>
      </c>
      <c r="AA44" s="92">
        <v>0</v>
      </c>
      <c r="AB44" s="92">
        <v>0</v>
      </c>
      <c r="AC44" s="92">
        <v>0</v>
      </c>
      <c r="AD44" s="92">
        <v>0</v>
      </c>
      <c r="AE44" s="92">
        <v>0</v>
      </c>
      <c r="AF44" s="92">
        <v>0</v>
      </c>
      <c r="AG44" s="92">
        <v>0</v>
      </c>
      <c r="AH44" s="92">
        <v>0</v>
      </c>
      <c r="AI44" s="92">
        <v>0</v>
      </c>
      <c r="AJ44" s="92">
        <v>0</v>
      </c>
      <c r="AK44" s="92">
        <v>0</v>
      </c>
      <c r="AL44" s="92">
        <v>0</v>
      </c>
      <c r="AM44" s="92">
        <v>0</v>
      </c>
      <c r="AN44" s="92">
        <v>0</v>
      </c>
      <c r="AO44" s="92">
        <v>0</v>
      </c>
      <c r="AP44" s="88"/>
    </row>
    <row r="45" spans="2:42" ht="13.5" hidden="1" customHeight="1" x14ac:dyDescent="0.25">
      <c r="B45" s="76" t="s">
        <v>333</v>
      </c>
      <c r="C45" s="93">
        <v>0</v>
      </c>
      <c r="D45" s="76" t="s">
        <v>353</v>
      </c>
      <c r="E45" s="87" t="s">
        <v>179</v>
      </c>
      <c r="F45" s="92">
        <v>0</v>
      </c>
      <c r="G45" s="92">
        <v>0</v>
      </c>
      <c r="H45" s="92">
        <v>0</v>
      </c>
      <c r="I45" s="92">
        <v>0</v>
      </c>
      <c r="J45" s="92">
        <v>0</v>
      </c>
      <c r="K45" s="92">
        <v>0</v>
      </c>
      <c r="L45" s="92">
        <v>0</v>
      </c>
      <c r="M45" s="92">
        <v>0</v>
      </c>
      <c r="N45" s="92">
        <v>0</v>
      </c>
      <c r="O45" s="92">
        <v>0</v>
      </c>
      <c r="P45" s="92">
        <v>0</v>
      </c>
      <c r="Q45" s="92">
        <v>0</v>
      </c>
      <c r="R45" s="92">
        <f t="shared" si="1"/>
        <v>1.9999999999999998E-4</v>
      </c>
      <c r="S45" s="92">
        <f t="shared" si="2"/>
        <v>9.9999999999999991E-6</v>
      </c>
      <c r="T45" s="92">
        <f t="shared" si="3"/>
        <v>1E-3</v>
      </c>
      <c r="U45" s="92">
        <v>0</v>
      </c>
      <c r="V45" s="92">
        <v>0</v>
      </c>
      <c r="W45" s="92">
        <v>0</v>
      </c>
      <c r="X45" s="92">
        <v>0</v>
      </c>
      <c r="Y45" s="92">
        <v>0</v>
      </c>
      <c r="Z45" s="92">
        <v>0</v>
      </c>
      <c r="AA45" s="92">
        <v>0</v>
      </c>
      <c r="AB45" s="92">
        <v>0</v>
      </c>
      <c r="AC45" s="92">
        <v>0</v>
      </c>
      <c r="AD45" s="92">
        <v>0</v>
      </c>
      <c r="AE45" s="92">
        <v>0</v>
      </c>
      <c r="AF45" s="92">
        <v>0</v>
      </c>
      <c r="AG45" s="92">
        <v>0</v>
      </c>
      <c r="AH45" s="92">
        <v>0</v>
      </c>
      <c r="AI45" s="92">
        <v>0</v>
      </c>
      <c r="AJ45" s="92">
        <v>0</v>
      </c>
      <c r="AK45" s="92">
        <v>0</v>
      </c>
      <c r="AL45" s="92">
        <v>0</v>
      </c>
      <c r="AM45" s="92">
        <v>0</v>
      </c>
      <c r="AN45" s="92">
        <v>0</v>
      </c>
      <c r="AO45" s="92">
        <v>0</v>
      </c>
      <c r="AP45" s="88"/>
    </row>
    <row r="46" spans="2:42" ht="13.5" hidden="1" customHeight="1" x14ac:dyDescent="0.25">
      <c r="B46" s="76" t="s">
        <v>333</v>
      </c>
      <c r="C46" s="93">
        <v>0</v>
      </c>
      <c r="D46" s="76" t="s">
        <v>354</v>
      </c>
      <c r="E46" s="87" t="s">
        <v>180</v>
      </c>
      <c r="F46" s="92">
        <v>0</v>
      </c>
      <c r="G46" s="92">
        <v>0</v>
      </c>
      <c r="H46" s="92">
        <v>0</v>
      </c>
      <c r="I46" s="92">
        <v>0</v>
      </c>
      <c r="J46" s="92">
        <v>0</v>
      </c>
      <c r="K46" s="92">
        <v>0</v>
      </c>
      <c r="L46" s="92">
        <v>0</v>
      </c>
      <c r="M46" s="92">
        <v>0</v>
      </c>
      <c r="N46" s="92">
        <v>0</v>
      </c>
      <c r="O46" s="92">
        <v>0</v>
      </c>
      <c r="P46" s="92">
        <v>0</v>
      </c>
      <c r="Q46" s="92">
        <v>0</v>
      </c>
      <c r="R46" s="92">
        <f t="shared" si="1"/>
        <v>1.9999999999999998E-4</v>
      </c>
      <c r="S46" s="92">
        <f t="shared" si="2"/>
        <v>9.9999999999999991E-6</v>
      </c>
      <c r="T46" s="92">
        <f t="shared" si="3"/>
        <v>1E-3</v>
      </c>
      <c r="U46" s="92">
        <v>0</v>
      </c>
      <c r="V46" s="92">
        <v>0</v>
      </c>
      <c r="W46" s="92">
        <v>0</v>
      </c>
      <c r="X46" s="92">
        <v>0</v>
      </c>
      <c r="Y46" s="92">
        <v>0</v>
      </c>
      <c r="Z46" s="92">
        <v>0</v>
      </c>
      <c r="AA46" s="92">
        <v>0</v>
      </c>
      <c r="AB46" s="92">
        <v>0</v>
      </c>
      <c r="AC46" s="92">
        <v>0</v>
      </c>
      <c r="AD46" s="92">
        <v>0</v>
      </c>
      <c r="AE46" s="92">
        <v>0</v>
      </c>
      <c r="AF46" s="92">
        <v>0</v>
      </c>
      <c r="AG46" s="92">
        <v>0</v>
      </c>
      <c r="AH46" s="92">
        <v>0</v>
      </c>
      <c r="AI46" s="92">
        <v>0</v>
      </c>
      <c r="AJ46" s="92">
        <v>0</v>
      </c>
      <c r="AK46" s="92">
        <v>0</v>
      </c>
      <c r="AL46" s="92">
        <v>0</v>
      </c>
      <c r="AM46" s="92">
        <v>0</v>
      </c>
      <c r="AN46" s="92">
        <v>0</v>
      </c>
      <c r="AO46" s="92">
        <v>0</v>
      </c>
      <c r="AP46" s="88"/>
    </row>
    <row r="47" spans="2:42" ht="13.5" customHeight="1" x14ac:dyDescent="0.25">
      <c r="B47" s="76" t="s">
        <v>334</v>
      </c>
      <c r="C47" s="93">
        <v>0</v>
      </c>
      <c r="D47" s="76" t="s">
        <v>352</v>
      </c>
      <c r="E47" s="87" t="s">
        <v>178</v>
      </c>
      <c r="F47" s="92">
        <v>0</v>
      </c>
      <c r="G47" s="92">
        <v>0</v>
      </c>
      <c r="H47" s="92">
        <v>0</v>
      </c>
      <c r="I47" s="92">
        <v>0</v>
      </c>
      <c r="J47" s="92">
        <v>0</v>
      </c>
      <c r="K47" s="92">
        <v>0</v>
      </c>
      <c r="L47" s="92">
        <v>0</v>
      </c>
      <c r="M47" s="92">
        <v>0</v>
      </c>
      <c r="N47" s="92">
        <v>0</v>
      </c>
      <c r="O47" s="92">
        <v>0</v>
      </c>
      <c r="P47" s="92">
        <v>0</v>
      </c>
      <c r="Q47" s="92">
        <v>0</v>
      </c>
      <c r="R47" s="92">
        <f t="shared" ref="R47:R49" si="4">-200*uA</f>
        <v>-1.9999999999999998E-4</v>
      </c>
      <c r="S47" s="92">
        <f t="shared" ref="S47:S49" si="5">-10*uA</f>
        <v>-9.9999999999999991E-6</v>
      </c>
      <c r="T47" s="92">
        <f t="shared" ref="T47:T49" si="6">-1000*uA</f>
        <v>-1E-3</v>
      </c>
      <c r="U47" s="92">
        <v>0</v>
      </c>
      <c r="V47" s="92">
        <v>0</v>
      </c>
      <c r="W47" s="92">
        <v>0</v>
      </c>
      <c r="X47" s="92">
        <v>0</v>
      </c>
      <c r="Y47" s="92">
        <v>0</v>
      </c>
      <c r="Z47" s="92">
        <v>0</v>
      </c>
      <c r="AA47" s="92">
        <v>0</v>
      </c>
      <c r="AB47" s="92">
        <v>0</v>
      </c>
      <c r="AC47" s="92">
        <v>0</v>
      </c>
      <c r="AD47" s="92">
        <v>0</v>
      </c>
      <c r="AE47" s="92">
        <v>0</v>
      </c>
      <c r="AF47" s="92">
        <v>0</v>
      </c>
      <c r="AG47" s="92">
        <v>0</v>
      </c>
      <c r="AH47" s="92">
        <v>0</v>
      </c>
      <c r="AI47" s="92">
        <v>0</v>
      </c>
      <c r="AJ47" s="92">
        <v>0</v>
      </c>
      <c r="AK47" s="92">
        <v>0</v>
      </c>
      <c r="AL47" s="92">
        <v>0</v>
      </c>
      <c r="AM47" s="92">
        <v>0</v>
      </c>
      <c r="AN47" s="92">
        <v>0</v>
      </c>
      <c r="AO47" s="92">
        <v>0</v>
      </c>
      <c r="AP47" s="88"/>
    </row>
    <row r="48" spans="2:42" ht="13.5" hidden="1" customHeight="1" x14ac:dyDescent="0.25">
      <c r="B48" s="76" t="s">
        <v>334</v>
      </c>
      <c r="C48" s="93">
        <v>0</v>
      </c>
      <c r="D48" s="76" t="s">
        <v>353</v>
      </c>
      <c r="E48" s="87" t="s">
        <v>179</v>
      </c>
      <c r="F48" s="92">
        <v>0</v>
      </c>
      <c r="G48" s="92">
        <v>0</v>
      </c>
      <c r="H48" s="92">
        <v>0</v>
      </c>
      <c r="I48" s="92">
        <v>0</v>
      </c>
      <c r="J48" s="92">
        <v>0</v>
      </c>
      <c r="K48" s="92">
        <v>0</v>
      </c>
      <c r="L48" s="92">
        <v>0</v>
      </c>
      <c r="M48" s="92">
        <v>0</v>
      </c>
      <c r="N48" s="92">
        <v>0</v>
      </c>
      <c r="O48" s="92">
        <v>0</v>
      </c>
      <c r="P48" s="92">
        <v>0</v>
      </c>
      <c r="Q48" s="92">
        <v>0</v>
      </c>
      <c r="R48" s="92">
        <f t="shared" si="4"/>
        <v>-1.9999999999999998E-4</v>
      </c>
      <c r="S48" s="92">
        <f t="shared" si="5"/>
        <v>-9.9999999999999991E-6</v>
      </c>
      <c r="T48" s="92">
        <f t="shared" si="6"/>
        <v>-1E-3</v>
      </c>
      <c r="U48" s="92">
        <v>0</v>
      </c>
      <c r="V48" s="92">
        <v>0</v>
      </c>
      <c r="W48" s="92">
        <v>0</v>
      </c>
      <c r="X48" s="92">
        <v>0</v>
      </c>
      <c r="Y48" s="92">
        <v>0</v>
      </c>
      <c r="Z48" s="92">
        <v>0</v>
      </c>
      <c r="AA48" s="92">
        <v>0</v>
      </c>
      <c r="AB48" s="92">
        <v>0</v>
      </c>
      <c r="AC48" s="92">
        <v>0</v>
      </c>
      <c r="AD48" s="92">
        <v>0</v>
      </c>
      <c r="AE48" s="92">
        <v>0</v>
      </c>
      <c r="AF48" s="92">
        <v>0</v>
      </c>
      <c r="AG48" s="92">
        <v>0</v>
      </c>
      <c r="AH48" s="92">
        <v>0</v>
      </c>
      <c r="AI48" s="92">
        <v>0</v>
      </c>
      <c r="AJ48" s="92">
        <v>0</v>
      </c>
      <c r="AK48" s="92">
        <v>0</v>
      </c>
      <c r="AL48" s="92">
        <v>0</v>
      </c>
      <c r="AM48" s="92">
        <v>0</v>
      </c>
      <c r="AN48" s="92">
        <v>0</v>
      </c>
      <c r="AO48" s="92">
        <v>0</v>
      </c>
      <c r="AP48" s="88"/>
    </row>
    <row r="49" spans="2:42" ht="13.5" hidden="1" customHeight="1" x14ac:dyDescent="0.25">
      <c r="B49" s="76" t="s">
        <v>334</v>
      </c>
      <c r="C49" s="93">
        <v>0</v>
      </c>
      <c r="D49" s="76" t="s">
        <v>354</v>
      </c>
      <c r="E49" s="87" t="s">
        <v>180</v>
      </c>
      <c r="F49" s="92">
        <v>0</v>
      </c>
      <c r="G49" s="92">
        <v>0</v>
      </c>
      <c r="H49" s="92">
        <v>0</v>
      </c>
      <c r="I49" s="92">
        <v>0</v>
      </c>
      <c r="J49" s="92">
        <v>0</v>
      </c>
      <c r="K49" s="92">
        <v>0</v>
      </c>
      <c r="L49" s="92">
        <v>0</v>
      </c>
      <c r="M49" s="92">
        <v>0</v>
      </c>
      <c r="N49" s="92">
        <v>0</v>
      </c>
      <c r="O49" s="92">
        <v>0</v>
      </c>
      <c r="P49" s="92">
        <v>0</v>
      </c>
      <c r="Q49" s="92">
        <v>0</v>
      </c>
      <c r="R49" s="92">
        <f t="shared" si="4"/>
        <v>-1.9999999999999998E-4</v>
      </c>
      <c r="S49" s="92">
        <f t="shared" si="5"/>
        <v>-9.9999999999999991E-6</v>
      </c>
      <c r="T49" s="92">
        <f t="shared" si="6"/>
        <v>-1E-3</v>
      </c>
      <c r="U49" s="92">
        <v>0</v>
      </c>
      <c r="V49" s="92">
        <v>0</v>
      </c>
      <c r="W49" s="92">
        <v>0</v>
      </c>
      <c r="X49" s="92">
        <v>0</v>
      </c>
      <c r="Y49" s="92">
        <v>0</v>
      </c>
      <c r="Z49" s="92">
        <v>0</v>
      </c>
      <c r="AA49" s="92">
        <v>0</v>
      </c>
      <c r="AB49" s="92">
        <v>0</v>
      </c>
      <c r="AC49" s="92">
        <v>0</v>
      </c>
      <c r="AD49" s="92">
        <v>0</v>
      </c>
      <c r="AE49" s="92">
        <v>0</v>
      </c>
      <c r="AF49" s="92">
        <v>0</v>
      </c>
      <c r="AG49" s="92">
        <v>0</v>
      </c>
      <c r="AH49" s="92">
        <v>0</v>
      </c>
      <c r="AI49" s="92">
        <v>0</v>
      </c>
      <c r="AJ49" s="92">
        <v>0</v>
      </c>
      <c r="AK49" s="92">
        <v>0</v>
      </c>
      <c r="AL49" s="92">
        <v>0</v>
      </c>
      <c r="AM49" s="92">
        <v>0</v>
      </c>
      <c r="AN49" s="92">
        <v>0</v>
      </c>
      <c r="AO49" s="92">
        <v>0</v>
      </c>
      <c r="AP49" s="88"/>
    </row>
    <row r="50" spans="2:42" ht="13.5" customHeight="1" x14ac:dyDescent="0.25">
      <c r="B50" s="76" t="s">
        <v>383</v>
      </c>
      <c r="C50" s="93">
        <v>0</v>
      </c>
      <c r="D50" s="76" t="s">
        <v>352</v>
      </c>
      <c r="E50" s="87" t="s">
        <v>178</v>
      </c>
      <c r="F50" s="92">
        <v>0</v>
      </c>
      <c r="G50" s="92">
        <v>0</v>
      </c>
      <c r="H50" s="92">
        <v>0</v>
      </c>
      <c r="I50" s="92">
        <v>0</v>
      </c>
      <c r="J50" s="92">
        <v>0</v>
      </c>
      <c r="K50" s="92">
        <v>0</v>
      </c>
      <c r="L50" s="92">
        <v>0</v>
      </c>
      <c r="M50" s="92">
        <v>0</v>
      </c>
      <c r="N50" s="92">
        <v>0</v>
      </c>
      <c r="O50" s="92">
        <v>0</v>
      </c>
      <c r="P50" s="92">
        <v>0</v>
      </c>
      <c r="Q50" s="92">
        <v>0</v>
      </c>
      <c r="R50" s="92">
        <v>0</v>
      </c>
      <c r="S50" s="92">
        <v>0</v>
      </c>
      <c r="T50" s="92">
        <v>0</v>
      </c>
      <c r="U50" s="92">
        <v>0</v>
      </c>
      <c r="V50" s="92">
        <v>0</v>
      </c>
      <c r="W50" s="92">
        <v>0</v>
      </c>
      <c r="X50" s="92">
        <v>0</v>
      </c>
      <c r="Y50" s="92">
        <v>0</v>
      </c>
      <c r="Z50" s="92">
        <v>0</v>
      </c>
      <c r="AA50" s="92">
        <v>0</v>
      </c>
      <c r="AB50" s="92">
        <v>0</v>
      </c>
      <c r="AC50" s="92">
        <v>0</v>
      </c>
      <c r="AD50" s="92">
        <v>0</v>
      </c>
      <c r="AE50" s="92">
        <v>0</v>
      </c>
      <c r="AF50" s="92">
        <v>0</v>
      </c>
      <c r="AG50" s="92">
        <v>0</v>
      </c>
      <c r="AH50" s="92">
        <v>0</v>
      </c>
      <c r="AI50" s="92">
        <v>0</v>
      </c>
      <c r="AJ50" s="92">
        <v>0</v>
      </c>
      <c r="AK50" s="92">
        <v>0</v>
      </c>
      <c r="AL50" s="92">
        <v>0</v>
      </c>
      <c r="AM50" s="92">
        <v>0</v>
      </c>
      <c r="AN50" s="92">
        <v>0</v>
      </c>
      <c r="AO50" s="92">
        <v>0</v>
      </c>
      <c r="AP50" s="88" t="s">
        <v>384</v>
      </c>
    </row>
    <row r="51" spans="2:42" ht="13.5" hidden="1" customHeight="1" x14ac:dyDescent="0.25">
      <c r="B51" s="76" t="s">
        <v>383</v>
      </c>
      <c r="C51" s="93">
        <v>0</v>
      </c>
      <c r="D51" s="76" t="s">
        <v>353</v>
      </c>
      <c r="E51" s="87" t="s">
        <v>179</v>
      </c>
      <c r="F51" s="92">
        <v>0</v>
      </c>
      <c r="G51" s="92">
        <v>0</v>
      </c>
      <c r="H51" s="92">
        <v>0</v>
      </c>
      <c r="I51" s="92">
        <v>0</v>
      </c>
      <c r="J51" s="92">
        <v>0</v>
      </c>
      <c r="K51" s="92">
        <v>0</v>
      </c>
      <c r="L51" s="92">
        <v>0</v>
      </c>
      <c r="M51" s="92">
        <v>0</v>
      </c>
      <c r="N51" s="92">
        <v>0</v>
      </c>
      <c r="O51" s="92">
        <v>0</v>
      </c>
      <c r="P51" s="92">
        <v>0</v>
      </c>
      <c r="Q51" s="92">
        <v>0</v>
      </c>
      <c r="R51" s="92">
        <v>0</v>
      </c>
      <c r="S51" s="92">
        <v>0</v>
      </c>
      <c r="T51" s="92">
        <v>0</v>
      </c>
      <c r="U51" s="92">
        <v>0</v>
      </c>
      <c r="V51" s="92">
        <v>0</v>
      </c>
      <c r="W51" s="92">
        <v>0</v>
      </c>
      <c r="X51" s="92">
        <v>0</v>
      </c>
      <c r="Y51" s="92">
        <v>0</v>
      </c>
      <c r="Z51" s="92">
        <v>0</v>
      </c>
      <c r="AA51" s="92">
        <v>0</v>
      </c>
      <c r="AB51" s="92">
        <v>0</v>
      </c>
      <c r="AC51" s="92">
        <v>0</v>
      </c>
      <c r="AD51" s="92">
        <v>0</v>
      </c>
      <c r="AE51" s="92">
        <v>0</v>
      </c>
      <c r="AF51" s="92">
        <v>0</v>
      </c>
      <c r="AG51" s="92">
        <v>0</v>
      </c>
      <c r="AH51" s="92">
        <v>0</v>
      </c>
      <c r="AI51" s="92">
        <v>0</v>
      </c>
      <c r="AJ51" s="92">
        <v>0</v>
      </c>
      <c r="AK51" s="92">
        <v>0</v>
      </c>
      <c r="AL51" s="92">
        <v>0</v>
      </c>
      <c r="AM51" s="92">
        <v>0</v>
      </c>
      <c r="AN51" s="92">
        <v>0</v>
      </c>
      <c r="AO51" s="92">
        <v>0</v>
      </c>
      <c r="AP51" s="88" t="s">
        <v>384</v>
      </c>
    </row>
    <row r="52" spans="2:42" ht="13.5" hidden="1" customHeight="1" x14ac:dyDescent="0.25">
      <c r="B52" s="76" t="s">
        <v>383</v>
      </c>
      <c r="C52" s="93">
        <v>0</v>
      </c>
      <c r="D52" s="76" t="s">
        <v>354</v>
      </c>
      <c r="E52" s="87" t="s">
        <v>180</v>
      </c>
      <c r="F52" s="92">
        <v>0</v>
      </c>
      <c r="G52" s="92">
        <v>0</v>
      </c>
      <c r="H52" s="92">
        <v>0</v>
      </c>
      <c r="I52" s="92">
        <v>0</v>
      </c>
      <c r="J52" s="92">
        <v>0</v>
      </c>
      <c r="K52" s="92">
        <v>0</v>
      </c>
      <c r="L52" s="92">
        <v>0</v>
      </c>
      <c r="M52" s="92">
        <v>0</v>
      </c>
      <c r="N52" s="92">
        <v>0</v>
      </c>
      <c r="O52" s="92">
        <v>0</v>
      </c>
      <c r="P52" s="92">
        <v>0</v>
      </c>
      <c r="Q52" s="92">
        <v>0</v>
      </c>
      <c r="R52" s="92">
        <v>0</v>
      </c>
      <c r="S52" s="92">
        <v>0</v>
      </c>
      <c r="T52" s="92">
        <v>0</v>
      </c>
      <c r="U52" s="92">
        <v>0</v>
      </c>
      <c r="V52" s="92">
        <v>0</v>
      </c>
      <c r="W52" s="92">
        <v>0</v>
      </c>
      <c r="X52" s="92">
        <v>0</v>
      </c>
      <c r="Y52" s="92">
        <v>0</v>
      </c>
      <c r="Z52" s="92">
        <v>0</v>
      </c>
      <c r="AA52" s="92">
        <v>0</v>
      </c>
      <c r="AB52" s="92">
        <v>0</v>
      </c>
      <c r="AC52" s="92">
        <v>0</v>
      </c>
      <c r="AD52" s="92">
        <v>0</v>
      </c>
      <c r="AE52" s="92">
        <v>0</v>
      </c>
      <c r="AF52" s="92">
        <v>0</v>
      </c>
      <c r="AG52" s="92">
        <v>0</v>
      </c>
      <c r="AH52" s="92">
        <v>0</v>
      </c>
      <c r="AI52" s="92">
        <v>0</v>
      </c>
      <c r="AJ52" s="92">
        <v>0</v>
      </c>
      <c r="AK52" s="92">
        <v>0</v>
      </c>
      <c r="AL52" s="92">
        <v>0</v>
      </c>
      <c r="AM52" s="92">
        <v>0</v>
      </c>
      <c r="AN52" s="92">
        <v>0</v>
      </c>
      <c r="AO52" s="92">
        <v>0</v>
      </c>
      <c r="AP52" s="88" t="s">
        <v>384</v>
      </c>
    </row>
    <row r="53" spans="2:42" ht="13.5" customHeight="1" x14ac:dyDescent="0.25">
      <c r="B53" s="76" t="s">
        <v>497</v>
      </c>
      <c r="C53" s="93">
        <v>0</v>
      </c>
      <c r="D53" s="76" t="s">
        <v>352</v>
      </c>
      <c r="E53" s="87" t="s">
        <v>178</v>
      </c>
      <c r="F53" s="92">
        <v>0</v>
      </c>
      <c r="G53" s="92">
        <v>0</v>
      </c>
      <c r="H53" s="92">
        <v>0</v>
      </c>
      <c r="I53" s="92">
        <v>0</v>
      </c>
      <c r="J53" s="92">
        <v>0</v>
      </c>
      <c r="K53" s="92">
        <v>0</v>
      </c>
      <c r="L53" s="92">
        <v>0</v>
      </c>
      <c r="M53" s="92">
        <v>0</v>
      </c>
      <c r="N53" s="92">
        <v>0</v>
      </c>
      <c r="O53" s="92">
        <v>0</v>
      </c>
      <c r="P53" s="92">
        <v>0</v>
      </c>
      <c r="Q53" s="92">
        <v>0</v>
      </c>
      <c r="R53" s="92">
        <v>0</v>
      </c>
      <c r="S53" s="92">
        <v>0</v>
      </c>
      <c r="T53" s="92">
        <v>0</v>
      </c>
      <c r="U53" s="92">
        <v>0</v>
      </c>
      <c r="V53" s="92">
        <v>0</v>
      </c>
      <c r="W53" s="92">
        <v>0</v>
      </c>
      <c r="X53" s="92">
        <v>0</v>
      </c>
      <c r="Y53" s="92">
        <v>0</v>
      </c>
      <c r="Z53" s="92">
        <v>0</v>
      </c>
      <c r="AA53" s="92">
        <v>0</v>
      </c>
      <c r="AB53" s="92">
        <v>0</v>
      </c>
      <c r="AC53" s="92">
        <v>0</v>
      </c>
      <c r="AD53" s="92">
        <v>0</v>
      </c>
      <c r="AE53" s="92">
        <v>0</v>
      </c>
      <c r="AF53" s="92">
        <v>0</v>
      </c>
      <c r="AG53" s="92">
        <f>2*mA</f>
        <v>2E-3</v>
      </c>
      <c r="AH53" s="92">
        <f t="shared" ref="AH53:AI55" si="7">4*mA</f>
        <v>4.0000000000000001E-3</v>
      </c>
      <c r="AI53" s="92">
        <f t="shared" si="7"/>
        <v>4.0000000000000001E-3</v>
      </c>
      <c r="AJ53" s="92">
        <f>1*mA</f>
        <v>1E-3</v>
      </c>
      <c r="AK53" s="92">
        <f t="shared" ref="AK53:AL55" si="8">4*mA</f>
        <v>4.0000000000000001E-3</v>
      </c>
      <c r="AL53" s="92">
        <f t="shared" si="8"/>
        <v>4.0000000000000001E-3</v>
      </c>
      <c r="AM53" s="92">
        <v>0</v>
      </c>
      <c r="AN53" s="92">
        <v>0</v>
      </c>
      <c r="AO53" s="92">
        <v>0</v>
      </c>
      <c r="AP53" s="88"/>
    </row>
    <row r="54" spans="2:42" ht="13.5" hidden="1" customHeight="1" x14ac:dyDescent="0.25">
      <c r="B54" s="76" t="s">
        <v>497</v>
      </c>
      <c r="C54" s="93">
        <v>0</v>
      </c>
      <c r="D54" s="76" t="s">
        <v>353</v>
      </c>
      <c r="E54" s="87" t="s">
        <v>178</v>
      </c>
      <c r="F54" s="92">
        <v>0</v>
      </c>
      <c r="G54" s="92">
        <v>0</v>
      </c>
      <c r="H54" s="92">
        <v>0</v>
      </c>
      <c r="I54" s="92">
        <v>0</v>
      </c>
      <c r="J54" s="92">
        <v>0</v>
      </c>
      <c r="K54" s="92">
        <v>0</v>
      </c>
      <c r="L54" s="92">
        <v>0</v>
      </c>
      <c r="M54" s="92">
        <v>0</v>
      </c>
      <c r="N54" s="92">
        <v>0</v>
      </c>
      <c r="O54" s="92">
        <v>0</v>
      </c>
      <c r="P54" s="92">
        <v>0</v>
      </c>
      <c r="Q54" s="92">
        <v>0</v>
      </c>
      <c r="R54" s="92">
        <v>0</v>
      </c>
      <c r="S54" s="92">
        <v>0</v>
      </c>
      <c r="T54" s="92">
        <v>0</v>
      </c>
      <c r="U54" s="92">
        <v>0</v>
      </c>
      <c r="V54" s="92">
        <v>0</v>
      </c>
      <c r="W54" s="92">
        <v>0</v>
      </c>
      <c r="X54" s="92">
        <v>0</v>
      </c>
      <c r="Y54" s="92">
        <v>0</v>
      </c>
      <c r="Z54" s="92">
        <v>0</v>
      </c>
      <c r="AA54" s="92">
        <v>0</v>
      </c>
      <c r="AB54" s="92">
        <v>0</v>
      </c>
      <c r="AC54" s="92">
        <v>0</v>
      </c>
      <c r="AD54" s="92">
        <v>0</v>
      </c>
      <c r="AE54" s="92">
        <v>0</v>
      </c>
      <c r="AF54" s="92">
        <v>0</v>
      </c>
      <c r="AG54" s="92">
        <f>2*mA</f>
        <v>2E-3</v>
      </c>
      <c r="AH54" s="92">
        <f t="shared" si="7"/>
        <v>4.0000000000000001E-3</v>
      </c>
      <c r="AI54" s="92">
        <f t="shared" si="7"/>
        <v>4.0000000000000001E-3</v>
      </c>
      <c r="AJ54" s="92">
        <f>1*mA</f>
        <v>1E-3</v>
      </c>
      <c r="AK54" s="92">
        <f t="shared" si="8"/>
        <v>4.0000000000000001E-3</v>
      </c>
      <c r="AL54" s="92">
        <f t="shared" si="8"/>
        <v>4.0000000000000001E-3</v>
      </c>
      <c r="AM54" s="92">
        <v>0</v>
      </c>
      <c r="AN54" s="92">
        <v>0</v>
      </c>
      <c r="AO54" s="92">
        <v>0</v>
      </c>
      <c r="AP54" s="88"/>
    </row>
    <row r="55" spans="2:42" ht="13.5" hidden="1" customHeight="1" x14ac:dyDescent="0.25">
      <c r="B55" s="76" t="s">
        <v>497</v>
      </c>
      <c r="C55" s="93">
        <v>0</v>
      </c>
      <c r="D55" s="76" t="s">
        <v>354</v>
      </c>
      <c r="E55" s="87" t="s">
        <v>178</v>
      </c>
      <c r="F55" s="92">
        <v>0</v>
      </c>
      <c r="G55" s="92">
        <v>0</v>
      </c>
      <c r="H55" s="92">
        <v>0</v>
      </c>
      <c r="I55" s="92">
        <v>0</v>
      </c>
      <c r="J55" s="92">
        <v>0</v>
      </c>
      <c r="K55" s="92">
        <v>0</v>
      </c>
      <c r="L55" s="92">
        <v>0</v>
      </c>
      <c r="M55" s="92">
        <v>0</v>
      </c>
      <c r="N55" s="92">
        <v>0</v>
      </c>
      <c r="O55" s="92">
        <v>0</v>
      </c>
      <c r="P55" s="92">
        <v>0</v>
      </c>
      <c r="Q55" s="92">
        <v>0</v>
      </c>
      <c r="R55" s="92">
        <v>0</v>
      </c>
      <c r="S55" s="92">
        <v>0</v>
      </c>
      <c r="T55" s="92">
        <v>0</v>
      </c>
      <c r="U55" s="92">
        <v>0</v>
      </c>
      <c r="V55" s="92">
        <v>0</v>
      </c>
      <c r="W55" s="92">
        <v>0</v>
      </c>
      <c r="X55" s="92">
        <v>0</v>
      </c>
      <c r="Y55" s="92">
        <v>0</v>
      </c>
      <c r="Z55" s="92">
        <v>0</v>
      </c>
      <c r="AA55" s="92">
        <v>0</v>
      </c>
      <c r="AB55" s="92">
        <v>0</v>
      </c>
      <c r="AC55" s="92">
        <v>0</v>
      </c>
      <c r="AD55" s="92">
        <v>0</v>
      </c>
      <c r="AE55" s="92">
        <v>0</v>
      </c>
      <c r="AF55" s="92">
        <v>0</v>
      </c>
      <c r="AG55" s="92">
        <f>2*mA</f>
        <v>2E-3</v>
      </c>
      <c r="AH55" s="92">
        <f t="shared" si="7"/>
        <v>4.0000000000000001E-3</v>
      </c>
      <c r="AI55" s="92">
        <f t="shared" si="7"/>
        <v>4.0000000000000001E-3</v>
      </c>
      <c r="AJ55" s="92">
        <f>1*mA</f>
        <v>1E-3</v>
      </c>
      <c r="AK55" s="92">
        <f t="shared" si="8"/>
        <v>4.0000000000000001E-3</v>
      </c>
      <c r="AL55" s="92">
        <f t="shared" si="8"/>
        <v>4.0000000000000001E-3</v>
      </c>
      <c r="AM55" s="92">
        <v>0</v>
      </c>
      <c r="AN55" s="92">
        <v>0</v>
      </c>
      <c r="AO55" s="92">
        <v>0</v>
      </c>
      <c r="AP55" s="88"/>
    </row>
    <row r="56" spans="2:42" ht="13.5" customHeight="1" x14ac:dyDescent="0.25">
      <c r="B56" s="76" t="s">
        <v>498</v>
      </c>
      <c r="C56" s="93">
        <f>0*mA</f>
        <v>0</v>
      </c>
      <c r="D56" s="76" t="s">
        <v>352</v>
      </c>
      <c r="E56" s="87" t="s">
        <v>178</v>
      </c>
      <c r="F56" s="92">
        <f>-1*mA</f>
        <v>-1E-3</v>
      </c>
      <c r="G56" s="92">
        <v>0</v>
      </c>
      <c r="H56" s="92">
        <v>0</v>
      </c>
      <c r="I56" s="92">
        <f>-1*mA</f>
        <v>-1E-3</v>
      </c>
      <c r="J56" s="92">
        <v>0</v>
      </c>
      <c r="K56" s="92">
        <v>0</v>
      </c>
      <c r="L56" s="92">
        <f t="shared" ref="L56:O58" si="9">-4*mA</f>
        <v>-4.0000000000000001E-3</v>
      </c>
      <c r="M56" s="92">
        <f t="shared" si="9"/>
        <v>-4.0000000000000001E-3</v>
      </c>
      <c r="N56" s="92">
        <f t="shared" si="9"/>
        <v>-4.0000000000000001E-3</v>
      </c>
      <c r="O56" s="92">
        <f t="shared" si="9"/>
        <v>-4.0000000000000001E-3</v>
      </c>
      <c r="P56" s="92">
        <f>-2*mA</f>
        <v>-2E-3</v>
      </c>
      <c r="Q56" s="92">
        <f>-8*mA</f>
        <v>-8.0000000000000002E-3</v>
      </c>
      <c r="R56" s="92">
        <v>0</v>
      </c>
      <c r="S56" s="92">
        <v>0</v>
      </c>
      <c r="T56" s="92">
        <v>0</v>
      </c>
      <c r="U56" s="92">
        <f t="shared" ref="U56:U58" si="10">0*mA</f>
        <v>0</v>
      </c>
      <c r="V56" s="92">
        <v>0</v>
      </c>
      <c r="W56" s="92">
        <v>0</v>
      </c>
      <c r="X56" s="92">
        <f t="shared" ref="X56:AF58" si="11">-4*mA</f>
        <v>-4.0000000000000001E-3</v>
      </c>
      <c r="Y56" s="92">
        <f t="shared" si="11"/>
        <v>-4.0000000000000001E-3</v>
      </c>
      <c r="Z56" s="92">
        <f t="shared" si="11"/>
        <v>-4.0000000000000001E-3</v>
      </c>
      <c r="AA56" s="92">
        <f t="shared" si="11"/>
        <v>-4.0000000000000001E-3</v>
      </c>
      <c r="AB56" s="92">
        <f t="shared" si="11"/>
        <v>-4.0000000000000001E-3</v>
      </c>
      <c r="AC56" s="92">
        <f t="shared" si="11"/>
        <v>-4.0000000000000001E-3</v>
      </c>
      <c r="AD56" s="92">
        <f t="shared" si="11"/>
        <v>-4.0000000000000001E-3</v>
      </c>
      <c r="AE56" s="92">
        <f t="shared" si="11"/>
        <v>-4.0000000000000001E-3</v>
      </c>
      <c r="AF56" s="92">
        <f t="shared" si="11"/>
        <v>-4.0000000000000001E-3</v>
      </c>
      <c r="AG56" s="92">
        <f>-2*mA</f>
        <v>-2E-3</v>
      </c>
      <c r="AH56" s="92">
        <f t="shared" ref="AH56:AI58" si="12">-4*mA</f>
        <v>-4.0000000000000001E-3</v>
      </c>
      <c r="AI56" s="92">
        <f t="shared" si="12"/>
        <v>-4.0000000000000001E-3</v>
      </c>
      <c r="AJ56" s="92">
        <f>-1*mA</f>
        <v>-1E-3</v>
      </c>
      <c r="AK56" s="92">
        <f t="shared" ref="AK56:AL58" si="13">-4*mA</f>
        <v>-4.0000000000000001E-3</v>
      </c>
      <c r="AL56" s="92">
        <f t="shared" si="13"/>
        <v>-4.0000000000000001E-3</v>
      </c>
      <c r="AM56" s="92">
        <v>0</v>
      </c>
      <c r="AN56" s="92">
        <v>0</v>
      </c>
      <c r="AO56" s="92">
        <v>0</v>
      </c>
      <c r="AP56" s="88"/>
    </row>
    <row r="57" spans="2:42" ht="13.5" hidden="1" customHeight="1" x14ac:dyDescent="0.25">
      <c r="B57" s="76" t="s">
        <v>498</v>
      </c>
      <c r="C57" s="93">
        <f>0*mA</f>
        <v>0</v>
      </c>
      <c r="D57" s="76" t="s">
        <v>353</v>
      </c>
      <c r="E57" s="87" t="s">
        <v>178</v>
      </c>
      <c r="F57" s="92">
        <f>-1*mA</f>
        <v>-1E-3</v>
      </c>
      <c r="G57" s="92">
        <v>0</v>
      </c>
      <c r="H57" s="92">
        <v>0</v>
      </c>
      <c r="I57" s="92">
        <f>-1*mA</f>
        <v>-1E-3</v>
      </c>
      <c r="J57" s="92">
        <v>0</v>
      </c>
      <c r="K57" s="92">
        <v>0</v>
      </c>
      <c r="L57" s="92">
        <f t="shared" si="9"/>
        <v>-4.0000000000000001E-3</v>
      </c>
      <c r="M57" s="92">
        <f t="shared" si="9"/>
        <v>-4.0000000000000001E-3</v>
      </c>
      <c r="N57" s="92">
        <f t="shared" si="9"/>
        <v>-4.0000000000000001E-3</v>
      </c>
      <c r="O57" s="92">
        <f t="shared" si="9"/>
        <v>-4.0000000000000001E-3</v>
      </c>
      <c r="P57" s="92">
        <f>-2*mA</f>
        <v>-2E-3</v>
      </c>
      <c r="Q57" s="92">
        <f>-8*mA</f>
        <v>-8.0000000000000002E-3</v>
      </c>
      <c r="R57" s="92">
        <v>0</v>
      </c>
      <c r="S57" s="92">
        <v>0</v>
      </c>
      <c r="T57" s="92">
        <v>0</v>
      </c>
      <c r="U57" s="92">
        <f t="shared" si="10"/>
        <v>0</v>
      </c>
      <c r="V57" s="92">
        <v>0</v>
      </c>
      <c r="W57" s="92">
        <v>0</v>
      </c>
      <c r="X57" s="92">
        <f t="shared" si="11"/>
        <v>-4.0000000000000001E-3</v>
      </c>
      <c r="Y57" s="92">
        <f t="shared" si="11"/>
        <v>-4.0000000000000001E-3</v>
      </c>
      <c r="Z57" s="92">
        <f t="shared" si="11"/>
        <v>-4.0000000000000001E-3</v>
      </c>
      <c r="AA57" s="92">
        <f t="shared" si="11"/>
        <v>-4.0000000000000001E-3</v>
      </c>
      <c r="AB57" s="92">
        <f t="shared" si="11"/>
        <v>-4.0000000000000001E-3</v>
      </c>
      <c r="AC57" s="92">
        <f t="shared" si="11"/>
        <v>-4.0000000000000001E-3</v>
      </c>
      <c r="AD57" s="92">
        <f t="shared" si="11"/>
        <v>-4.0000000000000001E-3</v>
      </c>
      <c r="AE57" s="92">
        <f t="shared" si="11"/>
        <v>-4.0000000000000001E-3</v>
      </c>
      <c r="AF57" s="92">
        <f t="shared" si="11"/>
        <v>-4.0000000000000001E-3</v>
      </c>
      <c r="AG57" s="92">
        <f>-2*mA</f>
        <v>-2E-3</v>
      </c>
      <c r="AH57" s="92">
        <f t="shared" si="12"/>
        <v>-4.0000000000000001E-3</v>
      </c>
      <c r="AI57" s="92">
        <f t="shared" si="12"/>
        <v>-4.0000000000000001E-3</v>
      </c>
      <c r="AJ57" s="92">
        <f>-1*mA</f>
        <v>-1E-3</v>
      </c>
      <c r="AK57" s="92">
        <f t="shared" si="13"/>
        <v>-4.0000000000000001E-3</v>
      </c>
      <c r="AL57" s="92">
        <f t="shared" si="13"/>
        <v>-4.0000000000000001E-3</v>
      </c>
      <c r="AM57" s="92">
        <v>0</v>
      </c>
      <c r="AN57" s="92">
        <v>0</v>
      </c>
      <c r="AO57" s="92">
        <v>0</v>
      </c>
      <c r="AP57" s="88"/>
    </row>
    <row r="58" spans="2:42" ht="13.5" hidden="1" customHeight="1" x14ac:dyDescent="0.25">
      <c r="B58" s="76" t="s">
        <v>498</v>
      </c>
      <c r="C58" s="93">
        <f>0*mA</f>
        <v>0</v>
      </c>
      <c r="D58" s="76" t="s">
        <v>354</v>
      </c>
      <c r="E58" s="87" t="s">
        <v>178</v>
      </c>
      <c r="F58" s="92">
        <f>-1*mA</f>
        <v>-1E-3</v>
      </c>
      <c r="G58" s="92">
        <v>0</v>
      </c>
      <c r="H58" s="92">
        <v>0</v>
      </c>
      <c r="I58" s="92">
        <f>-1*mA</f>
        <v>-1E-3</v>
      </c>
      <c r="J58" s="92">
        <v>0</v>
      </c>
      <c r="K58" s="92">
        <v>0</v>
      </c>
      <c r="L58" s="92">
        <f t="shared" si="9"/>
        <v>-4.0000000000000001E-3</v>
      </c>
      <c r="M58" s="92">
        <f t="shared" si="9"/>
        <v>-4.0000000000000001E-3</v>
      </c>
      <c r="N58" s="92">
        <f t="shared" si="9"/>
        <v>-4.0000000000000001E-3</v>
      </c>
      <c r="O58" s="92">
        <f t="shared" si="9"/>
        <v>-4.0000000000000001E-3</v>
      </c>
      <c r="P58" s="92">
        <f>-2*mA</f>
        <v>-2E-3</v>
      </c>
      <c r="Q58" s="92">
        <f>-8*mA</f>
        <v>-8.0000000000000002E-3</v>
      </c>
      <c r="R58" s="92">
        <v>0</v>
      </c>
      <c r="S58" s="92">
        <v>0</v>
      </c>
      <c r="T58" s="92">
        <v>0</v>
      </c>
      <c r="U58" s="92">
        <f t="shared" si="10"/>
        <v>0</v>
      </c>
      <c r="V58" s="92">
        <v>0</v>
      </c>
      <c r="W58" s="92">
        <v>0</v>
      </c>
      <c r="X58" s="92">
        <f t="shared" si="11"/>
        <v>-4.0000000000000001E-3</v>
      </c>
      <c r="Y58" s="92">
        <f t="shared" si="11"/>
        <v>-4.0000000000000001E-3</v>
      </c>
      <c r="Z58" s="92">
        <f t="shared" si="11"/>
        <v>-4.0000000000000001E-3</v>
      </c>
      <c r="AA58" s="92">
        <f t="shared" si="11"/>
        <v>-4.0000000000000001E-3</v>
      </c>
      <c r="AB58" s="92">
        <f t="shared" si="11"/>
        <v>-4.0000000000000001E-3</v>
      </c>
      <c r="AC58" s="92">
        <f t="shared" si="11"/>
        <v>-4.0000000000000001E-3</v>
      </c>
      <c r="AD58" s="92">
        <f t="shared" si="11"/>
        <v>-4.0000000000000001E-3</v>
      </c>
      <c r="AE58" s="92">
        <f t="shared" si="11"/>
        <v>-4.0000000000000001E-3</v>
      </c>
      <c r="AF58" s="92">
        <f t="shared" si="11"/>
        <v>-4.0000000000000001E-3</v>
      </c>
      <c r="AG58" s="92">
        <f>-2*mA</f>
        <v>-2E-3</v>
      </c>
      <c r="AH58" s="92">
        <f t="shared" si="12"/>
        <v>-4.0000000000000001E-3</v>
      </c>
      <c r="AI58" s="92">
        <f t="shared" si="12"/>
        <v>-4.0000000000000001E-3</v>
      </c>
      <c r="AJ58" s="92">
        <f>-1*mA</f>
        <v>-1E-3</v>
      </c>
      <c r="AK58" s="92">
        <f t="shared" si="13"/>
        <v>-4.0000000000000001E-3</v>
      </c>
      <c r="AL58" s="92">
        <f t="shared" si="13"/>
        <v>-4.0000000000000001E-3</v>
      </c>
      <c r="AM58" s="92">
        <v>0</v>
      </c>
      <c r="AN58" s="92">
        <v>0</v>
      </c>
      <c r="AO58" s="92">
        <v>0</v>
      </c>
      <c r="AP58" s="88"/>
    </row>
    <row r="59" spans="2:42" ht="13.5" customHeight="1" x14ac:dyDescent="0.25">
      <c r="B59" s="76" t="s">
        <v>512</v>
      </c>
      <c r="C59" s="93">
        <v>0</v>
      </c>
      <c r="D59" s="76" t="s">
        <v>352</v>
      </c>
      <c r="E59" s="87" t="s">
        <v>178</v>
      </c>
      <c r="F59" s="92">
        <v>0</v>
      </c>
      <c r="G59" s="92">
        <v>0</v>
      </c>
      <c r="H59" s="92">
        <v>0</v>
      </c>
      <c r="I59" s="92">
        <v>0</v>
      </c>
      <c r="J59" s="92">
        <v>0</v>
      </c>
      <c r="K59" s="92">
        <v>0</v>
      </c>
      <c r="L59" s="92">
        <v>0</v>
      </c>
      <c r="M59" s="92">
        <v>0</v>
      </c>
      <c r="N59" s="92">
        <v>0</v>
      </c>
      <c r="O59" s="92">
        <v>0</v>
      </c>
      <c r="P59" s="92">
        <v>0</v>
      </c>
      <c r="Q59" s="92">
        <v>0</v>
      </c>
      <c r="R59" s="92">
        <v>0</v>
      </c>
      <c r="S59" s="92">
        <v>0</v>
      </c>
      <c r="T59" s="92">
        <v>0</v>
      </c>
      <c r="U59" s="92">
        <v>0</v>
      </c>
      <c r="V59" s="92">
        <v>0</v>
      </c>
      <c r="W59" s="92">
        <v>0</v>
      </c>
      <c r="X59" s="92">
        <v>0</v>
      </c>
      <c r="Y59" s="92">
        <v>0</v>
      </c>
      <c r="Z59" s="92">
        <v>0</v>
      </c>
      <c r="AA59" s="92">
        <v>0</v>
      </c>
      <c r="AB59" s="92">
        <v>0</v>
      </c>
      <c r="AC59" s="92">
        <v>0</v>
      </c>
      <c r="AD59" s="92">
        <v>0</v>
      </c>
      <c r="AE59" s="92">
        <v>0</v>
      </c>
      <c r="AF59" s="92">
        <v>0</v>
      </c>
      <c r="AG59" s="92">
        <f t="shared" ref="AG59:AG61" si="14">2*mA</f>
        <v>2E-3</v>
      </c>
      <c r="AH59" s="92">
        <f t="shared" ref="AH59:AI61" si="15">6*mA</f>
        <v>6.0000000000000001E-3</v>
      </c>
      <c r="AI59" s="92">
        <f t="shared" si="15"/>
        <v>6.0000000000000001E-3</v>
      </c>
      <c r="AJ59" s="92">
        <f t="shared" ref="AJ59:AJ61" si="16">0*mA</f>
        <v>0</v>
      </c>
      <c r="AK59" s="92">
        <f t="shared" ref="AK59:AL61" si="17">6*mA</f>
        <v>6.0000000000000001E-3</v>
      </c>
      <c r="AL59" s="92">
        <f t="shared" si="17"/>
        <v>6.0000000000000001E-3</v>
      </c>
      <c r="AM59" s="92">
        <v>0</v>
      </c>
      <c r="AN59" s="92">
        <v>0</v>
      </c>
      <c r="AO59" s="92">
        <v>0</v>
      </c>
      <c r="AP59" s="88"/>
    </row>
    <row r="60" spans="2:42" ht="13.5" hidden="1" customHeight="1" x14ac:dyDescent="0.25">
      <c r="B60" s="76" t="s">
        <v>512</v>
      </c>
      <c r="C60" s="93">
        <v>0</v>
      </c>
      <c r="D60" s="76" t="s">
        <v>353</v>
      </c>
      <c r="E60" s="87" t="s">
        <v>179</v>
      </c>
      <c r="F60" s="92">
        <v>0</v>
      </c>
      <c r="G60" s="92">
        <v>0</v>
      </c>
      <c r="H60" s="92">
        <v>0</v>
      </c>
      <c r="I60" s="92">
        <v>0</v>
      </c>
      <c r="J60" s="92">
        <v>0</v>
      </c>
      <c r="K60" s="92">
        <v>0</v>
      </c>
      <c r="L60" s="92">
        <v>0</v>
      </c>
      <c r="M60" s="92">
        <v>0</v>
      </c>
      <c r="N60" s="92">
        <v>0</v>
      </c>
      <c r="O60" s="92">
        <v>0</v>
      </c>
      <c r="P60" s="92">
        <v>0</v>
      </c>
      <c r="Q60" s="92">
        <v>0</v>
      </c>
      <c r="R60" s="92">
        <v>0</v>
      </c>
      <c r="S60" s="92">
        <v>0</v>
      </c>
      <c r="T60" s="92">
        <v>0</v>
      </c>
      <c r="U60" s="92">
        <v>0</v>
      </c>
      <c r="V60" s="92">
        <v>0</v>
      </c>
      <c r="W60" s="92">
        <v>0</v>
      </c>
      <c r="X60" s="92">
        <v>0</v>
      </c>
      <c r="Y60" s="92">
        <v>0</v>
      </c>
      <c r="Z60" s="92">
        <v>0</v>
      </c>
      <c r="AA60" s="92">
        <v>0</v>
      </c>
      <c r="AB60" s="92">
        <v>0</v>
      </c>
      <c r="AC60" s="92">
        <v>0</v>
      </c>
      <c r="AD60" s="92">
        <v>0</v>
      </c>
      <c r="AE60" s="92">
        <v>0</v>
      </c>
      <c r="AF60" s="92">
        <v>0</v>
      </c>
      <c r="AG60" s="92">
        <f t="shared" si="14"/>
        <v>2E-3</v>
      </c>
      <c r="AH60" s="92">
        <f t="shared" si="15"/>
        <v>6.0000000000000001E-3</v>
      </c>
      <c r="AI60" s="92">
        <f t="shared" si="15"/>
        <v>6.0000000000000001E-3</v>
      </c>
      <c r="AJ60" s="92">
        <f t="shared" si="16"/>
        <v>0</v>
      </c>
      <c r="AK60" s="92">
        <f t="shared" si="17"/>
        <v>6.0000000000000001E-3</v>
      </c>
      <c r="AL60" s="92">
        <f t="shared" si="17"/>
        <v>6.0000000000000001E-3</v>
      </c>
      <c r="AM60" s="92">
        <v>0</v>
      </c>
      <c r="AN60" s="92">
        <v>0</v>
      </c>
      <c r="AO60" s="92">
        <v>0</v>
      </c>
      <c r="AP60" s="88"/>
    </row>
    <row r="61" spans="2:42" ht="13.5" hidden="1" customHeight="1" x14ac:dyDescent="0.25">
      <c r="B61" s="76" t="s">
        <v>512</v>
      </c>
      <c r="C61" s="93">
        <v>0</v>
      </c>
      <c r="D61" s="76" t="s">
        <v>354</v>
      </c>
      <c r="E61" s="87" t="s">
        <v>180</v>
      </c>
      <c r="F61" s="92">
        <v>0</v>
      </c>
      <c r="G61" s="92">
        <v>0</v>
      </c>
      <c r="H61" s="92">
        <v>0</v>
      </c>
      <c r="I61" s="92">
        <v>0</v>
      </c>
      <c r="J61" s="92">
        <v>0</v>
      </c>
      <c r="K61" s="92">
        <v>0</v>
      </c>
      <c r="L61" s="92">
        <v>0</v>
      </c>
      <c r="M61" s="92">
        <v>0</v>
      </c>
      <c r="N61" s="92">
        <v>0</v>
      </c>
      <c r="O61" s="92">
        <v>0</v>
      </c>
      <c r="P61" s="92">
        <v>0</v>
      </c>
      <c r="Q61" s="92">
        <v>0</v>
      </c>
      <c r="R61" s="92">
        <v>0</v>
      </c>
      <c r="S61" s="92">
        <v>0</v>
      </c>
      <c r="T61" s="92">
        <v>0</v>
      </c>
      <c r="U61" s="92">
        <v>0</v>
      </c>
      <c r="V61" s="92">
        <v>0</v>
      </c>
      <c r="W61" s="92">
        <v>0</v>
      </c>
      <c r="X61" s="92">
        <v>0</v>
      </c>
      <c r="Y61" s="92">
        <v>0</v>
      </c>
      <c r="Z61" s="92">
        <v>0</v>
      </c>
      <c r="AA61" s="92">
        <v>0</v>
      </c>
      <c r="AB61" s="92">
        <v>0</v>
      </c>
      <c r="AC61" s="92">
        <v>0</v>
      </c>
      <c r="AD61" s="92">
        <v>0</v>
      </c>
      <c r="AE61" s="92">
        <v>0</v>
      </c>
      <c r="AF61" s="92">
        <v>0</v>
      </c>
      <c r="AG61" s="92">
        <f t="shared" si="14"/>
        <v>2E-3</v>
      </c>
      <c r="AH61" s="92">
        <f t="shared" si="15"/>
        <v>6.0000000000000001E-3</v>
      </c>
      <c r="AI61" s="92">
        <f t="shared" si="15"/>
        <v>6.0000000000000001E-3</v>
      </c>
      <c r="AJ61" s="92">
        <f t="shared" si="16"/>
        <v>0</v>
      </c>
      <c r="AK61" s="92">
        <f t="shared" si="17"/>
        <v>6.0000000000000001E-3</v>
      </c>
      <c r="AL61" s="92">
        <f t="shared" si="17"/>
        <v>6.0000000000000001E-3</v>
      </c>
      <c r="AM61" s="92">
        <v>0</v>
      </c>
      <c r="AN61" s="92">
        <v>0</v>
      </c>
      <c r="AO61" s="92">
        <v>0</v>
      </c>
      <c r="AP61" s="88"/>
    </row>
    <row r="62" spans="2:42" ht="13.5" customHeight="1" x14ac:dyDescent="0.25">
      <c r="B62" s="76" t="s">
        <v>513</v>
      </c>
      <c r="C62" s="93">
        <f>-2*mA</f>
        <v>-2E-3</v>
      </c>
      <c r="D62" s="76" t="s">
        <v>352</v>
      </c>
      <c r="E62" s="87" t="s">
        <v>178</v>
      </c>
      <c r="F62" s="92">
        <f t="shared" ref="F62:G64" si="18">-2*mA</f>
        <v>-2E-3</v>
      </c>
      <c r="G62" s="92">
        <f t="shared" si="18"/>
        <v>-2E-3</v>
      </c>
      <c r="H62" s="92">
        <f>-8*mA</f>
        <v>-8.0000000000000002E-3</v>
      </c>
      <c r="I62" s="92">
        <f t="shared" ref="I62:J64" si="19">-2*mA</f>
        <v>-2E-3</v>
      </c>
      <c r="J62" s="92">
        <f t="shared" si="19"/>
        <v>-2E-3</v>
      </c>
      <c r="K62" s="92">
        <f>-8*mA</f>
        <v>-8.0000000000000002E-3</v>
      </c>
      <c r="L62" s="92">
        <f t="shared" ref="L62:O64" si="20">-6*mA</f>
        <v>-6.0000000000000001E-3</v>
      </c>
      <c r="M62" s="92">
        <f t="shared" si="20"/>
        <v>-6.0000000000000001E-3</v>
      </c>
      <c r="N62" s="92">
        <f t="shared" si="20"/>
        <v>-6.0000000000000001E-3</v>
      </c>
      <c r="O62" s="92">
        <f t="shared" si="20"/>
        <v>-6.0000000000000001E-3</v>
      </c>
      <c r="P62" s="92">
        <f>-4*mA</f>
        <v>-4.0000000000000001E-3</v>
      </c>
      <c r="Q62" s="92">
        <f>-8*mA</f>
        <v>-8.0000000000000002E-3</v>
      </c>
      <c r="R62" s="92">
        <v>0</v>
      </c>
      <c r="S62" s="92">
        <v>0</v>
      </c>
      <c r="T62" s="92">
        <v>0</v>
      </c>
      <c r="U62" s="92">
        <f t="shared" ref="U62:V64" si="21">-2*mA</f>
        <v>-2E-3</v>
      </c>
      <c r="V62" s="92">
        <f t="shared" si="21"/>
        <v>-2E-3</v>
      </c>
      <c r="W62" s="92">
        <f>-8*mA</f>
        <v>-8.0000000000000002E-3</v>
      </c>
      <c r="X62" s="92">
        <f t="shared" ref="X62:AD62" si="22">-6*mA</f>
        <v>-6.0000000000000001E-3</v>
      </c>
      <c r="Y62" s="92">
        <f t="shared" si="22"/>
        <v>-6.0000000000000001E-3</v>
      </c>
      <c r="Z62" s="92">
        <f t="shared" si="22"/>
        <v>-6.0000000000000001E-3</v>
      </c>
      <c r="AA62" s="92">
        <f t="shared" si="22"/>
        <v>-6.0000000000000001E-3</v>
      </c>
      <c r="AB62" s="92">
        <f t="shared" si="22"/>
        <v>-6.0000000000000001E-3</v>
      </c>
      <c r="AC62" s="92">
        <f t="shared" si="22"/>
        <v>-6.0000000000000001E-3</v>
      </c>
      <c r="AD62" s="92">
        <f t="shared" si="22"/>
        <v>-6.0000000000000001E-3</v>
      </c>
      <c r="AE62" s="92">
        <f>-4*mA</f>
        <v>-4.0000000000000001E-3</v>
      </c>
      <c r="AF62" s="92">
        <f>-8*mA</f>
        <v>-8.0000000000000002E-3</v>
      </c>
      <c r="AG62" s="92">
        <f t="shared" ref="AG62:AG64" si="23">-2*mA</f>
        <v>-2E-3</v>
      </c>
      <c r="AH62" s="92">
        <f t="shared" ref="AH62:AI64" si="24">-4*mA</f>
        <v>-4.0000000000000001E-3</v>
      </c>
      <c r="AI62" s="92">
        <f t="shared" si="24"/>
        <v>-4.0000000000000001E-3</v>
      </c>
      <c r="AJ62" s="92">
        <f t="shared" ref="AJ62:AJ64" si="25">0*mA</f>
        <v>0</v>
      </c>
      <c r="AK62" s="92">
        <f t="shared" ref="AK62:AL64" si="26">-4*mA</f>
        <v>-4.0000000000000001E-3</v>
      </c>
      <c r="AL62" s="92">
        <f t="shared" si="26"/>
        <v>-4.0000000000000001E-3</v>
      </c>
      <c r="AM62" s="92">
        <f t="shared" ref="AM62:AN64" si="27">-2*mA</f>
        <v>-2E-3</v>
      </c>
      <c r="AN62" s="92">
        <f t="shared" si="27"/>
        <v>-2E-3</v>
      </c>
      <c r="AO62" s="92">
        <f>-8*mA</f>
        <v>-8.0000000000000002E-3</v>
      </c>
      <c r="AP62" s="88"/>
    </row>
    <row r="63" spans="2:42" ht="13.5" hidden="1" customHeight="1" x14ac:dyDescent="0.25">
      <c r="B63" s="76" t="s">
        <v>513</v>
      </c>
      <c r="C63" s="93">
        <f>-2*mA</f>
        <v>-2E-3</v>
      </c>
      <c r="D63" s="76" t="s">
        <v>353</v>
      </c>
      <c r="E63" s="87" t="s">
        <v>179</v>
      </c>
      <c r="F63" s="92">
        <f t="shared" si="18"/>
        <v>-2E-3</v>
      </c>
      <c r="G63" s="92">
        <f t="shared" si="18"/>
        <v>-2E-3</v>
      </c>
      <c r="H63" s="92">
        <f>-8*mA</f>
        <v>-8.0000000000000002E-3</v>
      </c>
      <c r="I63" s="92">
        <f t="shared" si="19"/>
        <v>-2E-3</v>
      </c>
      <c r="J63" s="92">
        <f t="shared" si="19"/>
        <v>-2E-3</v>
      </c>
      <c r="K63" s="92">
        <f>-8*mA</f>
        <v>-8.0000000000000002E-3</v>
      </c>
      <c r="L63" s="92">
        <f t="shared" si="20"/>
        <v>-6.0000000000000001E-3</v>
      </c>
      <c r="M63" s="92">
        <f t="shared" si="20"/>
        <v>-6.0000000000000001E-3</v>
      </c>
      <c r="N63" s="92">
        <f t="shared" si="20"/>
        <v>-6.0000000000000001E-3</v>
      </c>
      <c r="O63" s="92">
        <f t="shared" si="20"/>
        <v>-6.0000000000000001E-3</v>
      </c>
      <c r="P63" s="92">
        <f>-4*mA</f>
        <v>-4.0000000000000001E-3</v>
      </c>
      <c r="Q63" s="92">
        <f>-8*mA</f>
        <v>-8.0000000000000002E-3</v>
      </c>
      <c r="R63" s="92">
        <v>0</v>
      </c>
      <c r="S63" s="92">
        <v>0</v>
      </c>
      <c r="T63" s="92">
        <v>0</v>
      </c>
      <c r="U63" s="92">
        <f t="shared" si="21"/>
        <v>-2E-3</v>
      </c>
      <c r="V63" s="92">
        <f t="shared" si="21"/>
        <v>-2E-3</v>
      </c>
      <c r="W63" s="92">
        <f>-8*mA</f>
        <v>-8.0000000000000002E-3</v>
      </c>
      <c r="X63" s="92">
        <f>-6*mA</f>
        <v>-6.0000000000000001E-3</v>
      </c>
      <c r="Y63" s="92">
        <f>-4*mA</f>
        <v>-4.0000000000000001E-3</v>
      </c>
      <c r="Z63" s="92">
        <f>-8*mA</f>
        <v>-8.0000000000000002E-3</v>
      </c>
      <c r="AA63" s="92">
        <f>-6*mA</f>
        <v>-6.0000000000000001E-3</v>
      </c>
      <c r="AB63" s="92">
        <f>-4*mA</f>
        <v>-4.0000000000000001E-3</v>
      </c>
      <c r="AC63" s="92">
        <f>-8*mA</f>
        <v>-8.0000000000000002E-3</v>
      </c>
      <c r="AD63" s="92">
        <f>-6*mA</f>
        <v>-6.0000000000000001E-3</v>
      </c>
      <c r="AE63" s="92">
        <f>-4*mA</f>
        <v>-4.0000000000000001E-3</v>
      </c>
      <c r="AF63" s="92">
        <f>-8*mA</f>
        <v>-8.0000000000000002E-3</v>
      </c>
      <c r="AG63" s="92">
        <f t="shared" si="23"/>
        <v>-2E-3</v>
      </c>
      <c r="AH63" s="92">
        <f t="shared" si="24"/>
        <v>-4.0000000000000001E-3</v>
      </c>
      <c r="AI63" s="92">
        <f t="shared" si="24"/>
        <v>-4.0000000000000001E-3</v>
      </c>
      <c r="AJ63" s="92">
        <f t="shared" si="25"/>
        <v>0</v>
      </c>
      <c r="AK63" s="92">
        <f t="shared" si="26"/>
        <v>-4.0000000000000001E-3</v>
      </c>
      <c r="AL63" s="92">
        <f t="shared" si="26"/>
        <v>-4.0000000000000001E-3</v>
      </c>
      <c r="AM63" s="92">
        <f t="shared" si="27"/>
        <v>-2E-3</v>
      </c>
      <c r="AN63" s="92">
        <f t="shared" si="27"/>
        <v>-2E-3</v>
      </c>
      <c r="AO63" s="92">
        <f>-8*mA</f>
        <v>-8.0000000000000002E-3</v>
      </c>
      <c r="AP63" s="88"/>
    </row>
    <row r="64" spans="2:42" ht="13.5" hidden="1" customHeight="1" x14ac:dyDescent="0.25">
      <c r="B64" s="76" t="s">
        <v>513</v>
      </c>
      <c r="C64" s="93">
        <f>-8*mA</f>
        <v>-8.0000000000000002E-3</v>
      </c>
      <c r="D64" s="76" t="s">
        <v>354</v>
      </c>
      <c r="E64" s="87" t="s">
        <v>180</v>
      </c>
      <c r="F64" s="92">
        <f t="shared" si="18"/>
        <v>-2E-3</v>
      </c>
      <c r="G64" s="92">
        <f t="shared" si="18"/>
        <v>-2E-3</v>
      </c>
      <c r="H64" s="92">
        <f>-8*mA</f>
        <v>-8.0000000000000002E-3</v>
      </c>
      <c r="I64" s="92">
        <f t="shared" si="19"/>
        <v>-2E-3</v>
      </c>
      <c r="J64" s="92">
        <f t="shared" si="19"/>
        <v>-2E-3</v>
      </c>
      <c r="K64" s="92">
        <f>-8*mA</f>
        <v>-8.0000000000000002E-3</v>
      </c>
      <c r="L64" s="92">
        <f t="shared" si="20"/>
        <v>-6.0000000000000001E-3</v>
      </c>
      <c r="M64" s="92">
        <f t="shared" si="20"/>
        <v>-6.0000000000000001E-3</v>
      </c>
      <c r="N64" s="92">
        <f t="shared" si="20"/>
        <v>-6.0000000000000001E-3</v>
      </c>
      <c r="O64" s="92">
        <f t="shared" si="20"/>
        <v>-6.0000000000000001E-3</v>
      </c>
      <c r="P64" s="92">
        <f>-4*mA</f>
        <v>-4.0000000000000001E-3</v>
      </c>
      <c r="Q64" s="92">
        <f>-8*mA</f>
        <v>-8.0000000000000002E-3</v>
      </c>
      <c r="R64" s="92">
        <v>0</v>
      </c>
      <c r="S64" s="92">
        <v>0</v>
      </c>
      <c r="T64" s="92">
        <v>0</v>
      </c>
      <c r="U64" s="92">
        <f t="shared" si="21"/>
        <v>-2E-3</v>
      </c>
      <c r="V64" s="92">
        <f t="shared" si="21"/>
        <v>-2E-3</v>
      </c>
      <c r="W64" s="92">
        <f>-8*mA</f>
        <v>-8.0000000000000002E-3</v>
      </c>
      <c r="X64" s="92">
        <f>-6*mA</f>
        <v>-6.0000000000000001E-3</v>
      </c>
      <c r="Y64" s="92">
        <f>-4*mA</f>
        <v>-4.0000000000000001E-3</v>
      </c>
      <c r="Z64" s="92">
        <f>-8*mA</f>
        <v>-8.0000000000000002E-3</v>
      </c>
      <c r="AA64" s="92">
        <f>-6*mA</f>
        <v>-6.0000000000000001E-3</v>
      </c>
      <c r="AB64" s="92">
        <f>-4*mA</f>
        <v>-4.0000000000000001E-3</v>
      </c>
      <c r="AC64" s="92">
        <f>-8*mA</f>
        <v>-8.0000000000000002E-3</v>
      </c>
      <c r="AD64" s="92">
        <f>-6*mA</f>
        <v>-6.0000000000000001E-3</v>
      </c>
      <c r="AE64" s="92">
        <f>-4*mA</f>
        <v>-4.0000000000000001E-3</v>
      </c>
      <c r="AF64" s="92">
        <f>-8*mA</f>
        <v>-8.0000000000000002E-3</v>
      </c>
      <c r="AG64" s="92">
        <f t="shared" si="23"/>
        <v>-2E-3</v>
      </c>
      <c r="AH64" s="92">
        <f t="shared" si="24"/>
        <v>-4.0000000000000001E-3</v>
      </c>
      <c r="AI64" s="92">
        <f t="shared" si="24"/>
        <v>-4.0000000000000001E-3</v>
      </c>
      <c r="AJ64" s="92">
        <f t="shared" si="25"/>
        <v>0</v>
      </c>
      <c r="AK64" s="92">
        <f t="shared" si="26"/>
        <v>-4.0000000000000001E-3</v>
      </c>
      <c r="AL64" s="92">
        <f t="shared" si="26"/>
        <v>-4.0000000000000001E-3</v>
      </c>
      <c r="AM64" s="92">
        <f t="shared" si="27"/>
        <v>-2E-3</v>
      </c>
      <c r="AN64" s="92">
        <f t="shared" si="27"/>
        <v>-2E-3</v>
      </c>
      <c r="AO64" s="92">
        <f>-8*mA</f>
        <v>-8.0000000000000002E-3</v>
      </c>
      <c r="AP64" s="88"/>
    </row>
    <row r="65" spans="2:42" ht="33.75" customHeight="1" x14ac:dyDescent="0.25">
      <c r="B65" s="76" t="s">
        <v>518</v>
      </c>
      <c r="C65" s="93">
        <v>0</v>
      </c>
      <c r="D65" s="76" t="s">
        <v>352</v>
      </c>
      <c r="E65" s="87" t="s">
        <v>178</v>
      </c>
      <c r="F65" s="92">
        <v>0</v>
      </c>
      <c r="G65" s="92">
        <v>0</v>
      </c>
      <c r="H65" s="92">
        <v>0</v>
      </c>
      <c r="I65" s="92">
        <v>0</v>
      </c>
      <c r="J65" s="92">
        <v>0</v>
      </c>
      <c r="K65" s="92">
        <v>0</v>
      </c>
      <c r="L65" s="92">
        <f t="shared" ref="L65:N67" si="28">6*mA</f>
        <v>6.0000000000000001E-3</v>
      </c>
      <c r="M65" s="92">
        <f t="shared" si="28"/>
        <v>6.0000000000000001E-3</v>
      </c>
      <c r="N65" s="92">
        <f t="shared" si="28"/>
        <v>6.0000000000000001E-3</v>
      </c>
      <c r="O65" s="92">
        <v>0</v>
      </c>
      <c r="P65" s="92">
        <v>0</v>
      </c>
      <c r="Q65" s="92">
        <v>0</v>
      </c>
      <c r="R65" s="92">
        <v>0</v>
      </c>
      <c r="S65" s="92">
        <v>0</v>
      </c>
      <c r="T65" s="92">
        <v>0</v>
      </c>
      <c r="U65" s="92">
        <v>0</v>
      </c>
      <c r="V65" s="92">
        <v>0</v>
      </c>
      <c r="W65" s="92">
        <v>0</v>
      </c>
      <c r="X65" s="92">
        <f t="shared" ref="X65:AF67" si="29">6*mA</f>
        <v>6.0000000000000001E-3</v>
      </c>
      <c r="Y65" s="92">
        <f t="shared" si="29"/>
        <v>6.0000000000000001E-3</v>
      </c>
      <c r="Z65" s="92">
        <f t="shared" si="29"/>
        <v>6.0000000000000001E-3</v>
      </c>
      <c r="AA65" s="92">
        <f t="shared" si="29"/>
        <v>6.0000000000000001E-3</v>
      </c>
      <c r="AB65" s="92">
        <f t="shared" si="29"/>
        <v>6.0000000000000001E-3</v>
      </c>
      <c r="AC65" s="92">
        <f t="shared" si="29"/>
        <v>6.0000000000000001E-3</v>
      </c>
      <c r="AD65" s="92">
        <f t="shared" si="29"/>
        <v>6.0000000000000001E-3</v>
      </c>
      <c r="AE65" s="92">
        <f t="shared" si="29"/>
        <v>6.0000000000000001E-3</v>
      </c>
      <c r="AF65" s="92">
        <f t="shared" si="29"/>
        <v>6.0000000000000001E-3</v>
      </c>
      <c r="AG65" s="92">
        <f t="shared" ref="AG65:AG67" si="30">2*mA</f>
        <v>2E-3</v>
      </c>
      <c r="AH65" s="92">
        <f t="shared" ref="AH65:AI67" si="31">6*mA</f>
        <v>6.0000000000000001E-3</v>
      </c>
      <c r="AI65" s="92">
        <f t="shared" si="31"/>
        <v>6.0000000000000001E-3</v>
      </c>
      <c r="AJ65" s="92">
        <f t="shared" ref="AJ65:AJ67" si="32">0*mA</f>
        <v>0</v>
      </c>
      <c r="AK65" s="92">
        <f t="shared" ref="AK65:AL67" si="33">6*mA</f>
        <v>6.0000000000000001E-3</v>
      </c>
      <c r="AL65" s="92">
        <f t="shared" si="33"/>
        <v>6.0000000000000001E-3</v>
      </c>
      <c r="AM65" s="92">
        <v>0</v>
      </c>
      <c r="AN65" s="92">
        <v>0</v>
      </c>
      <c r="AO65" s="92">
        <v>0</v>
      </c>
      <c r="AP65" s="88"/>
    </row>
    <row r="66" spans="2:42" ht="29.25" hidden="1" customHeight="1" x14ac:dyDescent="0.25">
      <c r="B66" s="76" t="s">
        <v>518</v>
      </c>
      <c r="C66" s="93">
        <v>0</v>
      </c>
      <c r="D66" s="76" t="s">
        <v>353</v>
      </c>
      <c r="E66" s="87" t="s">
        <v>178</v>
      </c>
      <c r="F66" s="92">
        <v>0</v>
      </c>
      <c r="G66" s="92">
        <v>0</v>
      </c>
      <c r="H66" s="92">
        <v>0</v>
      </c>
      <c r="I66" s="92">
        <v>0</v>
      </c>
      <c r="J66" s="92">
        <v>0</v>
      </c>
      <c r="K66" s="92">
        <v>0</v>
      </c>
      <c r="L66" s="92">
        <f t="shared" si="28"/>
        <v>6.0000000000000001E-3</v>
      </c>
      <c r="M66" s="92">
        <f t="shared" si="28"/>
        <v>6.0000000000000001E-3</v>
      </c>
      <c r="N66" s="92">
        <f t="shared" si="28"/>
        <v>6.0000000000000001E-3</v>
      </c>
      <c r="O66" s="92">
        <v>0</v>
      </c>
      <c r="P66" s="92">
        <v>0</v>
      </c>
      <c r="Q66" s="92">
        <v>0</v>
      </c>
      <c r="R66" s="92">
        <v>0</v>
      </c>
      <c r="S66" s="92">
        <v>0</v>
      </c>
      <c r="T66" s="92">
        <v>0</v>
      </c>
      <c r="U66" s="92">
        <v>0</v>
      </c>
      <c r="V66" s="92">
        <v>0</v>
      </c>
      <c r="W66" s="92">
        <v>0</v>
      </c>
      <c r="X66" s="92">
        <f t="shared" si="29"/>
        <v>6.0000000000000001E-3</v>
      </c>
      <c r="Y66" s="92">
        <f t="shared" si="29"/>
        <v>6.0000000000000001E-3</v>
      </c>
      <c r="Z66" s="92">
        <f t="shared" si="29"/>
        <v>6.0000000000000001E-3</v>
      </c>
      <c r="AA66" s="92">
        <f t="shared" si="29"/>
        <v>6.0000000000000001E-3</v>
      </c>
      <c r="AB66" s="92">
        <f t="shared" si="29"/>
        <v>6.0000000000000001E-3</v>
      </c>
      <c r="AC66" s="92">
        <f t="shared" si="29"/>
        <v>6.0000000000000001E-3</v>
      </c>
      <c r="AD66" s="92">
        <f t="shared" si="29"/>
        <v>6.0000000000000001E-3</v>
      </c>
      <c r="AE66" s="92">
        <f t="shared" si="29"/>
        <v>6.0000000000000001E-3</v>
      </c>
      <c r="AF66" s="92">
        <f t="shared" si="29"/>
        <v>6.0000000000000001E-3</v>
      </c>
      <c r="AG66" s="92">
        <f t="shared" si="30"/>
        <v>2E-3</v>
      </c>
      <c r="AH66" s="92">
        <f t="shared" si="31"/>
        <v>6.0000000000000001E-3</v>
      </c>
      <c r="AI66" s="92">
        <f t="shared" si="31"/>
        <v>6.0000000000000001E-3</v>
      </c>
      <c r="AJ66" s="92">
        <f t="shared" si="32"/>
        <v>0</v>
      </c>
      <c r="AK66" s="92">
        <f t="shared" si="33"/>
        <v>6.0000000000000001E-3</v>
      </c>
      <c r="AL66" s="92">
        <f t="shared" si="33"/>
        <v>6.0000000000000001E-3</v>
      </c>
      <c r="AM66" s="92">
        <v>0</v>
      </c>
      <c r="AN66" s="92">
        <v>0</v>
      </c>
      <c r="AO66" s="92">
        <v>0</v>
      </c>
      <c r="AP66" s="88"/>
    </row>
    <row r="67" spans="2:42" ht="20.25" hidden="1" customHeight="1" x14ac:dyDescent="0.25">
      <c r="B67" s="76" t="s">
        <v>518</v>
      </c>
      <c r="C67" s="93">
        <v>0</v>
      </c>
      <c r="D67" s="76" t="s">
        <v>354</v>
      </c>
      <c r="E67" s="87" t="s">
        <v>178</v>
      </c>
      <c r="F67" s="92">
        <v>0</v>
      </c>
      <c r="G67" s="92">
        <v>0</v>
      </c>
      <c r="H67" s="92">
        <v>0</v>
      </c>
      <c r="I67" s="92">
        <v>0</v>
      </c>
      <c r="J67" s="92">
        <v>0</v>
      </c>
      <c r="K67" s="92">
        <v>0</v>
      </c>
      <c r="L67" s="92">
        <f t="shared" si="28"/>
        <v>6.0000000000000001E-3</v>
      </c>
      <c r="M67" s="92">
        <f t="shared" si="28"/>
        <v>6.0000000000000001E-3</v>
      </c>
      <c r="N67" s="92">
        <f t="shared" si="28"/>
        <v>6.0000000000000001E-3</v>
      </c>
      <c r="O67" s="92">
        <v>0</v>
      </c>
      <c r="P67" s="92">
        <v>0</v>
      </c>
      <c r="Q67" s="92">
        <v>0</v>
      </c>
      <c r="R67" s="92">
        <v>0</v>
      </c>
      <c r="S67" s="92">
        <v>0</v>
      </c>
      <c r="T67" s="92">
        <v>0</v>
      </c>
      <c r="U67" s="92">
        <v>0</v>
      </c>
      <c r="V67" s="92">
        <v>0</v>
      </c>
      <c r="W67" s="92">
        <v>0</v>
      </c>
      <c r="X67" s="92">
        <f t="shared" si="29"/>
        <v>6.0000000000000001E-3</v>
      </c>
      <c r="Y67" s="92">
        <f t="shared" si="29"/>
        <v>6.0000000000000001E-3</v>
      </c>
      <c r="Z67" s="92">
        <f t="shared" si="29"/>
        <v>6.0000000000000001E-3</v>
      </c>
      <c r="AA67" s="92">
        <f t="shared" si="29"/>
        <v>6.0000000000000001E-3</v>
      </c>
      <c r="AB67" s="92">
        <f t="shared" si="29"/>
        <v>6.0000000000000001E-3</v>
      </c>
      <c r="AC67" s="92">
        <f t="shared" si="29"/>
        <v>6.0000000000000001E-3</v>
      </c>
      <c r="AD67" s="92">
        <f t="shared" si="29"/>
        <v>6.0000000000000001E-3</v>
      </c>
      <c r="AE67" s="92">
        <f t="shared" si="29"/>
        <v>6.0000000000000001E-3</v>
      </c>
      <c r="AF67" s="92">
        <f t="shared" si="29"/>
        <v>6.0000000000000001E-3</v>
      </c>
      <c r="AG67" s="92">
        <f t="shared" si="30"/>
        <v>2E-3</v>
      </c>
      <c r="AH67" s="92">
        <f t="shared" si="31"/>
        <v>6.0000000000000001E-3</v>
      </c>
      <c r="AI67" s="92">
        <f t="shared" si="31"/>
        <v>6.0000000000000001E-3</v>
      </c>
      <c r="AJ67" s="92">
        <f t="shared" si="32"/>
        <v>0</v>
      </c>
      <c r="AK67" s="92">
        <f t="shared" si="33"/>
        <v>6.0000000000000001E-3</v>
      </c>
      <c r="AL67" s="92">
        <f t="shared" si="33"/>
        <v>6.0000000000000001E-3</v>
      </c>
      <c r="AM67" s="92">
        <v>0</v>
      </c>
      <c r="AN67" s="92">
        <v>0</v>
      </c>
      <c r="AO67" s="92">
        <v>0</v>
      </c>
      <c r="AP67" s="88"/>
    </row>
    <row r="68" spans="2:42" ht="20.25" customHeight="1" x14ac:dyDescent="0.25">
      <c r="B68" s="76" t="s">
        <v>517</v>
      </c>
      <c r="C68" s="93">
        <f>-2*mA</f>
        <v>-2E-3</v>
      </c>
      <c r="D68" s="76" t="s">
        <v>352</v>
      </c>
      <c r="E68" s="87" t="s">
        <v>178</v>
      </c>
      <c r="F68" s="92">
        <f>-2*mA</f>
        <v>-2E-3</v>
      </c>
      <c r="G68" s="92">
        <f t="shared" ref="G68:H70" si="34">-6*mA</f>
        <v>-6.0000000000000001E-3</v>
      </c>
      <c r="H68" s="92">
        <f t="shared" si="34"/>
        <v>-6.0000000000000001E-3</v>
      </c>
      <c r="I68" s="92">
        <f>-2*mA</f>
        <v>-2E-3</v>
      </c>
      <c r="J68" s="92">
        <f t="shared" ref="J68:N70" si="35">-6*mA</f>
        <v>-6.0000000000000001E-3</v>
      </c>
      <c r="K68" s="92">
        <f t="shared" si="35"/>
        <v>-6.0000000000000001E-3</v>
      </c>
      <c r="L68" s="92">
        <f t="shared" si="35"/>
        <v>-6.0000000000000001E-3</v>
      </c>
      <c r="M68" s="92">
        <f t="shared" si="35"/>
        <v>-6.0000000000000001E-3</v>
      </c>
      <c r="N68" s="92">
        <f t="shared" si="35"/>
        <v>-6.0000000000000001E-3</v>
      </c>
      <c r="O68" s="92">
        <v>0</v>
      </c>
      <c r="P68" s="92">
        <v>0</v>
      </c>
      <c r="Q68" s="92">
        <v>0</v>
      </c>
      <c r="R68" s="92">
        <v>0</v>
      </c>
      <c r="S68" s="92">
        <v>0</v>
      </c>
      <c r="T68" s="92">
        <v>0</v>
      </c>
      <c r="U68" s="92">
        <f>-2*mA</f>
        <v>-2E-3</v>
      </c>
      <c r="V68" s="92">
        <f t="shared" ref="V68:AF70" si="36">-6*mA</f>
        <v>-6.0000000000000001E-3</v>
      </c>
      <c r="W68" s="92">
        <f t="shared" si="36"/>
        <v>-6.0000000000000001E-3</v>
      </c>
      <c r="X68" s="92">
        <f t="shared" si="36"/>
        <v>-6.0000000000000001E-3</v>
      </c>
      <c r="Y68" s="92">
        <f t="shared" si="36"/>
        <v>-6.0000000000000001E-3</v>
      </c>
      <c r="Z68" s="92">
        <f t="shared" si="36"/>
        <v>-6.0000000000000001E-3</v>
      </c>
      <c r="AA68" s="92">
        <f t="shared" si="36"/>
        <v>-6.0000000000000001E-3</v>
      </c>
      <c r="AB68" s="92">
        <f t="shared" si="36"/>
        <v>-6.0000000000000001E-3</v>
      </c>
      <c r="AC68" s="92">
        <f t="shared" si="36"/>
        <v>-6.0000000000000001E-3</v>
      </c>
      <c r="AD68" s="92">
        <f t="shared" si="36"/>
        <v>-6.0000000000000001E-3</v>
      </c>
      <c r="AE68" s="92">
        <f t="shared" si="36"/>
        <v>-6.0000000000000001E-3</v>
      </c>
      <c r="AF68" s="92">
        <f t="shared" si="36"/>
        <v>-6.0000000000000001E-3</v>
      </c>
      <c r="AG68" s="92">
        <f t="shared" ref="AG68:AG70" si="37">-2*mA</f>
        <v>-2E-3</v>
      </c>
      <c r="AH68" s="92">
        <f t="shared" ref="AH68:AI70" si="38">-6*mA</f>
        <v>-6.0000000000000001E-3</v>
      </c>
      <c r="AI68" s="92">
        <f t="shared" si="38"/>
        <v>-6.0000000000000001E-3</v>
      </c>
      <c r="AJ68" s="92">
        <f t="shared" ref="AJ68:AJ70" si="39">0*mA</f>
        <v>0</v>
      </c>
      <c r="AK68" s="92">
        <f t="shared" ref="AK68:AL70" si="40">-6*mA</f>
        <v>-6.0000000000000001E-3</v>
      </c>
      <c r="AL68" s="92">
        <f t="shared" si="40"/>
        <v>-6.0000000000000001E-3</v>
      </c>
      <c r="AM68" s="92">
        <f>-2*mA</f>
        <v>-2E-3</v>
      </c>
      <c r="AN68" s="92">
        <f t="shared" ref="AN68:AO70" si="41">-6*mA</f>
        <v>-6.0000000000000001E-3</v>
      </c>
      <c r="AO68" s="92">
        <f t="shared" si="41"/>
        <v>-6.0000000000000001E-3</v>
      </c>
      <c r="AP68" s="88"/>
    </row>
    <row r="69" spans="2:42" ht="10.5" hidden="1" customHeight="1" x14ac:dyDescent="0.25">
      <c r="B69" s="76" t="s">
        <v>517</v>
      </c>
      <c r="C69" s="93">
        <f>-2*mA</f>
        <v>-2E-3</v>
      </c>
      <c r="D69" s="76" t="s">
        <v>353</v>
      </c>
      <c r="E69" s="87" t="s">
        <v>178</v>
      </c>
      <c r="F69" s="92">
        <f>-2*mA</f>
        <v>-2E-3</v>
      </c>
      <c r="G69" s="92">
        <f t="shared" si="34"/>
        <v>-6.0000000000000001E-3</v>
      </c>
      <c r="H69" s="92">
        <f t="shared" si="34"/>
        <v>-6.0000000000000001E-3</v>
      </c>
      <c r="I69" s="92">
        <f>-2*mA</f>
        <v>-2E-3</v>
      </c>
      <c r="J69" s="92">
        <f t="shared" si="35"/>
        <v>-6.0000000000000001E-3</v>
      </c>
      <c r="K69" s="92">
        <f t="shared" si="35"/>
        <v>-6.0000000000000001E-3</v>
      </c>
      <c r="L69" s="92">
        <f t="shared" si="35"/>
        <v>-6.0000000000000001E-3</v>
      </c>
      <c r="M69" s="92">
        <f t="shared" si="35"/>
        <v>-6.0000000000000001E-3</v>
      </c>
      <c r="N69" s="92">
        <f t="shared" si="35"/>
        <v>-6.0000000000000001E-3</v>
      </c>
      <c r="O69" s="92">
        <v>0</v>
      </c>
      <c r="P69" s="92">
        <v>0</v>
      </c>
      <c r="Q69" s="92">
        <v>0</v>
      </c>
      <c r="R69" s="92">
        <v>0</v>
      </c>
      <c r="S69" s="92">
        <v>0</v>
      </c>
      <c r="T69" s="92">
        <v>0</v>
      </c>
      <c r="U69" s="92">
        <f>-2*mA</f>
        <v>-2E-3</v>
      </c>
      <c r="V69" s="92">
        <f t="shared" si="36"/>
        <v>-6.0000000000000001E-3</v>
      </c>
      <c r="W69" s="92">
        <f t="shared" si="36"/>
        <v>-6.0000000000000001E-3</v>
      </c>
      <c r="X69" s="92">
        <f t="shared" si="36"/>
        <v>-6.0000000000000001E-3</v>
      </c>
      <c r="Y69" s="92">
        <f t="shared" si="36"/>
        <v>-6.0000000000000001E-3</v>
      </c>
      <c r="Z69" s="92">
        <f t="shared" si="36"/>
        <v>-6.0000000000000001E-3</v>
      </c>
      <c r="AA69" s="92">
        <f t="shared" si="36"/>
        <v>-6.0000000000000001E-3</v>
      </c>
      <c r="AB69" s="92">
        <f t="shared" si="36"/>
        <v>-6.0000000000000001E-3</v>
      </c>
      <c r="AC69" s="92">
        <f t="shared" si="36"/>
        <v>-6.0000000000000001E-3</v>
      </c>
      <c r="AD69" s="92">
        <f t="shared" si="36"/>
        <v>-6.0000000000000001E-3</v>
      </c>
      <c r="AE69" s="92">
        <f t="shared" si="36"/>
        <v>-6.0000000000000001E-3</v>
      </c>
      <c r="AF69" s="92">
        <f t="shared" si="36"/>
        <v>-6.0000000000000001E-3</v>
      </c>
      <c r="AG69" s="92">
        <f t="shared" si="37"/>
        <v>-2E-3</v>
      </c>
      <c r="AH69" s="92">
        <f t="shared" si="38"/>
        <v>-6.0000000000000001E-3</v>
      </c>
      <c r="AI69" s="92">
        <f t="shared" si="38"/>
        <v>-6.0000000000000001E-3</v>
      </c>
      <c r="AJ69" s="92">
        <f t="shared" si="39"/>
        <v>0</v>
      </c>
      <c r="AK69" s="92">
        <f t="shared" si="40"/>
        <v>-6.0000000000000001E-3</v>
      </c>
      <c r="AL69" s="92">
        <f t="shared" si="40"/>
        <v>-6.0000000000000001E-3</v>
      </c>
      <c r="AM69" s="92">
        <f>-2*mA</f>
        <v>-2E-3</v>
      </c>
      <c r="AN69" s="92">
        <f t="shared" si="41"/>
        <v>-6.0000000000000001E-3</v>
      </c>
      <c r="AO69" s="92">
        <f t="shared" si="41"/>
        <v>-6.0000000000000001E-3</v>
      </c>
      <c r="AP69" s="88"/>
    </row>
    <row r="70" spans="2:42" ht="18" hidden="1" customHeight="1" x14ac:dyDescent="0.25">
      <c r="B70" s="76" t="s">
        <v>517</v>
      </c>
      <c r="C70" s="93">
        <f>-2*mA</f>
        <v>-2E-3</v>
      </c>
      <c r="D70" s="76" t="s">
        <v>354</v>
      </c>
      <c r="E70" s="87" t="s">
        <v>178</v>
      </c>
      <c r="F70" s="92">
        <f>-2*mA</f>
        <v>-2E-3</v>
      </c>
      <c r="G70" s="92">
        <f t="shared" si="34"/>
        <v>-6.0000000000000001E-3</v>
      </c>
      <c r="H70" s="92">
        <f t="shared" si="34"/>
        <v>-6.0000000000000001E-3</v>
      </c>
      <c r="I70" s="92">
        <f>-2*mA</f>
        <v>-2E-3</v>
      </c>
      <c r="J70" s="92">
        <f t="shared" si="35"/>
        <v>-6.0000000000000001E-3</v>
      </c>
      <c r="K70" s="92">
        <f t="shared" si="35"/>
        <v>-6.0000000000000001E-3</v>
      </c>
      <c r="L70" s="92">
        <f t="shared" si="35"/>
        <v>-6.0000000000000001E-3</v>
      </c>
      <c r="M70" s="92">
        <f t="shared" si="35"/>
        <v>-6.0000000000000001E-3</v>
      </c>
      <c r="N70" s="92">
        <f t="shared" si="35"/>
        <v>-6.0000000000000001E-3</v>
      </c>
      <c r="O70" s="92">
        <v>0</v>
      </c>
      <c r="P70" s="92">
        <v>0</v>
      </c>
      <c r="Q70" s="92">
        <v>0</v>
      </c>
      <c r="R70" s="92">
        <v>0</v>
      </c>
      <c r="S70" s="92">
        <v>0</v>
      </c>
      <c r="T70" s="92">
        <v>0</v>
      </c>
      <c r="U70" s="92">
        <f>-2*mA</f>
        <v>-2E-3</v>
      </c>
      <c r="V70" s="92">
        <f t="shared" si="36"/>
        <v>-6.0000000000000001E-3</v>
      </c>
      <c r="W70" s="92">
        <f t="shared" si="36"/>
        <v>-6.0000000000000001E-3</v>
      </c>
      <c r="X70" s="92">
        <f t="shared" si="36"/>
        <v>-6.0000000000000001E-3</v>
      </c>
      <c r="Y70" s="92">
        <f t="shared" si="36"/>
        <v>-6.0000000000000001E-3</v>
      </c>
      <c r="Z70" s="92">
        <f t="shared" si="36"/>
        <v>-6.0000000000000001E-3</v>
      </c>
      <c r="AA70" s="92">
        <f t="shared" si="36"/>
        <v>-6.0000000000000001E-3</v>
      </c>
      <c r="AB70" s="92">
        <f t="shared" si="36"/>
        <v>-6.0000000000000001E-3</v>
      </c>
      <c r="AC70" s="92">
        <f t="shared" si="36"/>
        <v>-6.0000000000000001E-3</v>
      </c>
      <c r="AD70" s="92">
        <f t="shared" si="36"/>
        <v>-6.0000000000000001E-3</v>
      </c>
      <c r="AE70" s="92">
        <f t="shared" si="36"/>
        <v>-6.0000000000000001E-3</v>
      </c>
      <c r="AF70" s="92">
        <f t="shared" si="36"/>
        <v>-6.0000000000000001E-3</v>
      </c>
      <c r="AG70" s="92">
        <f t="shared" si="37"/>
        <v>-2E-3</v>
      </c>
      <c r="AH70" s="92">
        <f t="shared" si="38"/>
        <v>-6.0000000000000001E-3</v>
      </c>
      <c r="AI70" s="92">
        <f t="shared" si="38"/>
        <v>-6.0000000000000001E-3</v>
      </c>
      <c r="AJ70" s="92">
        <f t="shared" si="39"/>
        <v>0</v>
      </c>
      <c r="AK70" s="92">
        <f t="shared" si="40"/>
        <v>-6.0000000000000001E-3</v>
      </c>
      <c r="AL70" s="92">
        <f t="shared" si="40"/>
        <v>-6.0000000000000001E-3</v>
      </c>
      <c r="AM70" s="92">
        <f>-2*mA</f>
        <v>-2E-3</v>
      </c>
      <c r="AN70" s="92">
        <f t="shared" si="41"/>
        <v>-6.0000000000000001E-3</v>
      </c>
      <c r="AO70" s="92">
        <f t="shared" si="41"/>
        <v>-6.0000000000000001E-3</v>
      </c>
      <c r="AP70" s="88"/>
    </row>
    <row r="71" spans="2:42" ht="13.5" customHeight="1" x14ac:dyDescent="0.25">
      <c r="B71" s="76" t="s">
        <v>581</v>
      </c>
      <c r="C71" s="93">
        <v>0</v>
      </c>
      <c r="D71" s="76" t="s">
        <v>352</v>
      </c>
      <c r="E71" s="87" t="s">
        <v>178</v>
      </c>
      <c r="F71" s="92">
        <v>0</v>
      </c>
      <c r="G71" s="92">
        <f t="shared" ref="G71:H73" si="42">4*mA</f>
        <v>4.0000000000000001E-3</v>
      </c>
      <c r="H71" s="92">
        <f t="shared" si="42"/>
        <v>4.0000000000000001E-3</v>
      </c>
      <c r="I71" s="92">
        <v>0</v>
      </c>
      <c r="J71" s="92">
        <f t="shared" ref="J71:Q73" si="43">4*mA</f>
        <v>4.0000000000000001E-3</v>
      </c>
      <c r="K71" s="92">
        <f t="shared" si="43"/>
        <v>4.0000000000000001E-3</v>
      </c>
      <c r="L71" s="92">
        <f t="shared" si="43"/>
        <v>4.0000000000000001E-3</v>
      </c>
      <c r="M71" s="92">
        <f t="shared" si="43"/>
        <v>4.0000000000000001E-3</v>
      </c>
      <c r="N71" s="92">
        <f t="shared" si="43"/>
        <v>4.0000000000000001E-3</v>
      </c>
      <c r="O71" s="92">
        <f t="shared" si="43"/>
        <v>4.0000000000000001E-3</v>
      </c>
      <c r="P71" s="92">
        <f t="shared" si="43"/>
        <v>4.0000000000000001E-3</v>
      </c>
      <c r="Q71" s="92">
        <f t="shared" si="43"/>
        <v>4.0000000000000001E-3</v>
      </c>
      <c r="R71" s="92">
        <v>0</v>
      </c>
      <c r="S71" s="92">
        <v>0</v>
      </c>
      <c r="T71" s="92">
        <v>0</v>
      </c>
      <c r="U71" s="92">
        <v>0</v>
      </c>
      <c r="V71" s="92">
        <f t="shared" ref="V71:AE73" si="44">4*mA</f>
        <v>4.0000000000000001E-3</v>
      </c>
      <c r="W71" s="92">
        <f t="shared" si="44"/>
        <v>4.0000000000000001E-3</v>
      </c>
      <c r="X71" s="92">
        <f t="shared" si="44"/>
        <v>4.0000000000000001E-3</v>
      </c>
      <c r="Y71" s="92">
        <f t="shared" si="44"/>
        <v>4.0000000000000001E-3</v>
      </c>
      <c r="Z71" s="92">
        <f t="shared" si="44"/>
        <v>4.0000000000000001E-3</v>
      </c>
      <c r="AA71" s="92">
        <f t="shared" si="44"/>
        <v>4.0000000000000001E-3</v>
      </c>
      <c r="AB71" s="92">
        <f t="shared" si="44"/>
        <v>4.0000000000000001E-3</v>
      </c>
      <c r="AC71" s="92">
        <f t="shared" si="44"/>
        <v>4.0000000000000001E-3</v>
      </c>
      <c r="AD71" s="92">
        <f t="shared" si="44"/>
        <v>4.0000000000000001E-3</v>
      </c>
      <c r="AE71" s="92">
        <f t="shared" si="44"/>
        <v>4.0000000000000001E-3</v>
      </c>
      <c r="AF71" s="92">
        <f t="shared" ref="AF71:AO73" si="45">4*mA</f>
        <v>4.0000000000000001E-3</v>
      </c>
      <c r="AG71" s="92">
        <f t="shared" si="45"/>
        <v>4.0000000000000001E-3</v>
      </c>
      <c r="AH71" s="92">
        <f t="shared" si="45"/>
        <v>4.0000000000000001E-3</v>
      </c>
      <c r="AI71" s="92">
        <f t="shared" si="45"/>
        <v>4.0000000000000001E-3</v>
      </c>
      <c r="AJ71" s="92">
        <f t="shared" si="45"/>
        <v>4.0000000000000001E-3</v>
      </c>
      <c r="AK71" s="92">
        <f t="shared" si="45"/>
        <v>4.0000000000000001E-3</v>
      </c>
      <c r="AL71" s="92">
        <f t="shared" si="45"/>
        <v>4.0000000000000001E-3</v>
      </c>
      <c r="AM71" s="92">
        <f t="shared" si="45"/>
        <v>4.0000000000000001E-3</v>
      </c>
      <c r="AN71" s="92">
        <f t="shared" si="45"/>
        <v>4.0000000000000001E-3</v>
      </c>
      <c r="AO71" s="92">
        <f t="shared" si="45"/>
        <v>4.0000000000000001E-3</v>
      </c>
      <c r="AP71" s="88"/>
    </row>
    <row r="72" spans="2:42" ht="13.5" hidden="1" customHeight="1" x14ac:dyDescent="0.25">
      <c r="B72" s="76" t="s">
        <v>581</v>
      </c>
      <c r="C72" s="93">
        <v>0</v>
      </c>
      <c r="D72" s="76" t="s">
        <v>353</v>
      </c>
      <c r="E72" s="87" t="s">
        <v>178</v>
      </c>
      <c r="F72" s="92">
        <v>0</v>
      </c>
      <c r="G72" s="92">
        <f t="shared" si="42"/>
        <v>4.0000000000000001E-3</v>
      </c>
      <c r="H72" s="92">
        <f t="shared" si="42"/>
        <v>4.0000000000000001E-3</v>
      </c>
      <c r="I72" s="92">
        <v>0</v>
      </c>
      <c r="J72" s="92">
        <f t="shared" si="43"/>
        <v>4.0000000000000001E-3</v>
      </c>
      <c r="K72" s="92">
        <f t="shared" si="43"/>
        <v>4.0000000000000001E-3</v>
      </c>
      <c r="L72" s="92">
        <f t="shared" si="43"/>
        <v>4.0000000000000001E-3</v>
      </c>
      <c r="M72" s="92">
        <f t="shared" si="43"/>
        <v>4.0000000000000001E-3</v>
      </c>
      <c r="N72" s="92">
        <f t="shared" si="43"/>
        <v>4.0000000000000001E-3</v>
      </c>
      <c r="O72" s="92">
        <f t="shared" si="43"/>
        <v>4.0000000000000001E-3</v>
      </c>
      <c r="P72" s="92">
        <f t="shared" si="43"/>
        <v>4.0000000000000001E-3</v>
      </c>
      <c r="Q72" s="92">
        <f t="shared" si="43"/>
        <v>4.0000000000000001E-3</v>
      </c>
      <c r="R72" s="92">
        <v>0</v>
      </c>
      <c r="S72" s="92">
        <v>0</v>
      </c>
      <c r="T72" s="92">
        <v>0</v>
      </c>
      <c r="U72" s="92">
        <v>0</v>
      </c>
      <c r="V72" s="92">
        <f t="shared" si="44"/>
        <v>4.0000000000000001E-3</v>
      </c>
      <c r="W72" s="92">
        <f t="shared" si="44"/>
        <v>4.0000000000000001E-3</v>
      </c>
      <c r="X72" s="92">
        <f t="shared" si="44"/>
        <v>4.0000000000000001E-3</v>
      </c>
      <c r="Y72" s="92">
        <f t="shared" si="44"/>
        <v>4.0000000000000001E-3</v>
      </c>
      <c r="Z72" s="92">
        <f t="shared" si="44"/>
        <v>4.0000000000000001E-3</v>
      </c>
      <c r="AA72" s="92">
        <f t="shared" si="44"/>
        <v>4.0000000000000001E-3</v>
      </c>
      <c r="AB72" s="92">
        <f t="shared" si="44"/>
        <v>4.0000000000000001E-3</v>
      </c>
      <c r="AC72" s="92">
        <f t="shared" si="44"/>
        <v>4.0000000000000001E-3</v>
      </c>
      <c r="AD72" s="92">
        <f t="shared" si="44"/>
        <v>4.0000000000000001E-3</v>
      </c>
      <c r="AE72" s="92">
        <f t="shared" si="44"/>
        <v>4.0000000000000001E-3</v>
      </c>
      <c r="AF72" s="92">
        <f t="shared" si="45"/>
        <v>4.0000000000000001E-3</v>
      </c>
      <c r="AG72" s="92">
        <f t="shared" si="45"/>
        <v>4.0000000000000001E-3</v>
      </c>
      <c r="AH72" s="92">
        <f t="shared" si="45"/>
        <v>4.0000000000000001E-3</v>
      </c>
      <c r="AI72" s="92">
        <f t="shared" si="45"/>
        <v>4.0000000000000001E-3</v>
      </c>
      <c r="AJ72" s="92">
        <f t="shared" si="45"/>
        <v>4.0000000000000001E-3</v>
      </c>
      <c r="AK72" s="92">
        <f t="shared" si="45"/>
        <v>4.0000000000000001E-3</v>
      </c>
      <c r="AL72" s="92">
        <f t="shared" si="45"/>
        <v>4.0000000000000001E-3</v>
      </c>
      <c r="AM72" s="92">
        <f t="shared" si="45"/>
        <v>4.0000000000000001E-3</v>
      </c>
      <c r="AN72" s="92">
        <f t="shared" si="45"/>
        <v>4.0000000000000001E-3</v>
      </c>
      <c r="AO72" s="92">
        <f t="shared" si="45"/>
        <v>4.0000000000000001E-3</v>
      </c>
      <c r="AP72" s="88"/>
    </row>
    <row r="73" spans="2:42" ht="23.25" hidden="1" customHeight="1" x14ac:dyDescent="0.25">
      <c r="B73" s="76" t="s">
        <v>581</v>
      </c>
      <c r="C73" s="93">
        <v>0</v>
      </c>
      <c r="D73" s="76" t="s">
        <v>354</v>
      </c>
      <c r="E73" s="87" t="s">
        <v>178</v>
      </c>
      <c r="F73" s="92">
        <v>0</v>
      </c>
      <c r="G73" s="92">
        <f t="shared" si="42"/>
        <v>4.0000000000000001E-3</v>
      </c>
      <c r="H73" s="92">
        <f t="shared" si="42"/>
        <v>4.0000000000000001E-3</v>
      </c>
      <c r="I73" s="92">
        <v>0</v>
      </c>
      <c r="J73" s="92">
        <f t="shared" si="43"/>
        <v>4.0000000000000001E-3</v>
      </c>
      <c r="K73" s="92">
        <f t="shared" si="43"/>
        <v>4.0000000000000001E-3</v>
      </c>
      <c r="L73" s="92">
        <f t="shared" si="43"/>
        <v>4.0000000000000001E-3</v>
      </c>
      <c r="M73" s="92">
        <f t="shared" si="43"/>
        <v>4.0000000000000001E-3</v>
      </c>
      <c r="N73" s="92">
        <f t="shared" si="43"/>
        <v>4.0000000000000001E-3</v>
      </c>
      <c r="O73" s="92">
        <f t="shared" si="43"/>
        <v>4.0000000000000001E-3</v>
      </c>
      <c r="P73" s="92">
        <f t="shared" si="43"/>
        <v>4.0000000000000001E-3</v>
      </c>
      <c r="Q73" s="92">
        <f t="shared" si="43"/>
        <v>4.0000000000000001E-3</v>
      </c>
      <c r="R73" s="92">
        <v>0</v>
      </c>
      <c r="S73" s="92">
        <v>0</v>
      </c>
      <c r="T73" s="92">
        <v>0</v>
      </c>
      <c r="U73" s="92">
        <v>0</v>
      </c>
      <c r="V73" s="92">
        <f t="shared" si="44"/>
        <v>4.0000000000000001E-3</v>
      </c>
      <c r="W73" s="92">
        <f t="shared" si="44"/>
        <v>4.0000000000000001E-3</v>
      </c>
      <c r="X73" s="92">
        <f t="shared" si="44"/>
        <v>4.0000000000000001E-3</v>
      </c>
      <c r="Y73" s="92">
        <f t="shared" si="44"/>
        <v>4.0000000000000001E-3</v>
      </c>
      <c r="Z73" s="92">
        <f t="shared" si="44"/>
        <v>4.0000000000000001E-3</v>
      </c>
      <c r="AA73" s="92">
        <f t="shared" si="44"/>
        <v>4.0000000000000001E-3</v>
      </c>
      <c r="AB73" s="92">
        <f t="shared" si="44"/>
        <v>4.0000000000000001E-3</v>
      </c>
      <c r="AC73" s="92">
        <f t="shared" si="44"/>
        <v>4.0000000000000001E-3</v>
      </c>
      <c r="AD73" s="92">
        <f t="shared" si="44"/>
        <v>4.0000000000000001E-3</v>
      </c>
      <c r="AE73" s="92">
        <f t="shared" si="44"/>
        <v>4.0000000000000001E-3</v>
      </c>
      <c r="AF73" s="92">
        <f t="shared" si="45"/>
        <v>4.0000000000000001E-3</v>
      </c>
      <c r="AG73" s="92">
        <f t="shared" si="45"/>
        <v>4.0000000000000001E-3</v>
      </c>
      <c r="AH73" s="92">
        <f t="shared" si="45"/>
        <v>4.0000000000000001E-3</v>
      </c>
      <c r="AI73" s="92">
        <f t="shared" si="45"/>
        <v>4.0000000000000001E-3</v>
      </c>
      <c r="AJ73" s="92">
        <f t="shared" si="45"/>
        <v>4.0000000000000001E-3</v>
      </c>
      <c r="AK73" s="92">
        <f t="shared" si="45"/>
        <v>4.0000000000000001E-3</v>
      </c>
      <c r="AL73" s="92">
        <f t="shared" si="45"/>
        <v>4.0000000000000001E-3</v>
      </c>
      <c r="AM73" s="92">
        <f t="shared" si="45"/>
        <v>4.0000000000000001E-3</v>
      </c>
      <c r="AN73" s="92">
        <f t="shared" si="45"/>
        <v>4.0000000000000001E-3</v>
      </c>
      <c r="AO73" s="92">
        <f t="shared" si="45"/>
        <v>4.0000000000000001E-3</v>
      </c>
      <c r="AP73" s="88"/>
    </row>
    <row r="74" spans="2:42" ht="13.5" customHeight="1" x14ac:dyDescent="0.25">
      <c r="B74" s="76" t="s">
        <v>582</v>
      </c>
      <c r="C74" s="93">
        <v>0</v>
      </c>
      <c r="D74" s="76" t="s">
        <v>352</v>
      </c>
      <c r="E74" s="87" t="s">
        <v>178</v>
      </c>
      <c r="F74" s="92">
        <f>-2*mA</f>
        <v>-2E-3</v>
      </c>
      <c r="G74" s="92">
        <f t="shared" ref="G74:H76" si="46">-4*mA</f>
        <v>-4.0000000000000001E-3</v>
      </c>
      <c r="H74" s="92">
        <f t="shared" si="46"/>
        <v>-4.0000000000000001E-3</v>
      </c>
      <c r="I74" s="92">
        <f>-2*mA</f>
        <v>-2E-3</v>
      </c>
      <c r="J74" s="92">
        <f t="shared" ref="J74:Q76" si="47">-4*mA</f>
        <v>-4.0000000000000001E-3</v>
      </c>
      <c r="K74" s="92">
        <f t="shared" si="47"/>
        <v>-4.0000000000000001E-3</v>
      </c>
      <c r="L74" s="92">
        <f t="shared" si="47"/>
        <v>-4.0000000000000001E-3</v>
      </c>
      <c r="M74" s="92">
        <f t="shared" si="47"/>
        <v>-4.0000000000000001E-3</v>
      </c>
      <c r="N74" s="92">
        <f t="shared" si="47"/>
        <v>-4.0000000000000001E-3</v>
      </c>
      <c r="O74" s="92">
        <f t="shared" si="47"/>
        <v>-4.0000000000000001E-3</v>
      </c>
      <c r="P74" s="92">
        <f t="shared" si="47"/>
        <v>-4.0000000000000001E-3</v>
      </c>
      <c r="Q74" s="92">
        <f t="shared" si="47"/>
        <v>-4.0000000000000001E-3</v>
      </c>
      <c r="R74" s="92">
        <v>0</v>
      </c>
      <c r="S74" s="92">
        <v>0</v>
      </c>
      <c r="T74" s="92">
        <v>0</v>
      </c>
      <c r="U74" s="92">
        <v>0</v>
      </c>
      <c r="V74" s="92">
        <f t="shared" ref="V74:AO74" si="48">-4*mA</f>
        <v>-4.0000000000000001E-3</v>
      </c>
      <c r="W74" s="92">
        <f t="shared" si="48"/>
        <v>-4.0000000000000001E-3</v>
      </c>
      <c r="X74" s="92">
        <f t="shared" si="48"/>
        <v>-4.0000000000000001E-3</v>
      </c>
      <c r="Y74" s="92">
        <f t="shared" si="48"/>
        <v>-4.0000000000000001E-3</v>
      </c>
      <c r="Z74" s="92">
        <f t="shared" si="48"/>
        <v>-4.0000000000000001E-3</v>
      </c>
      <c r="AA74" s="92">
        <f t="shared" si="48"/>
        <v>-4.0000000000000001E-3</v>
      </c>
      <c r="AB74" s="92">
        <f t="shared" si="48"/>
        <v>-4.0000000000000001E-3</v>
      </c>
      <c r="AC74" s="92">
        <f t="shared" si="48"/>
        <v>-4.0000000000000001E-3</v>
      </c>
      <c r="AD74" s="92">
        <f t="shared" si="48"/>
        <v>-4.0000000000000001E-3</v>
      </c>
      <c r="AE74" s="92">
        <f t="shared" si="48"/>
        <v>-4.0000000000000001E-3</v>
      </c>
      <c r="AF74" s="92">
        <f t="shared" si="48"/>
        <v>-4.0000000000000001E-3</v>
      </c>
      <c r="AG74" s="92">
        <f t="shared" si="48"/>
        <v>-4.0000000000000001E-3</v>
      </c>
      <c r="AH74" s="92">
        <f t="shared" si="48"/>
        <v>-4.0000000000000001E-3</v>
      </c>
      <c r="AI74" s="92">
        <f t="shared" si="48"/>
        <v>-4.0000000000000001E-3</v>
      </c>
      <c r="AJ74" s="92">
        <f t="shared" si="48"/>
        <v>-4.0000000000000001E-3</v>
      </c>
      <c r="AK74" s="92">
        <f t="shared" si="48"/>
        <v>-4.0000000000000001E-3</v>
      </c>
      <c r="AL74" s="92">
        <f t="shared" si="48"/>
        <v>-4.0000000000000001E-3</v>
      </c>
      <c r="AM74" s="92">
        <f t="shared" si="48"/>
        <v>-4.0000000000000001E-3</v>
      </c>
      <c r="AN74" s="92">
        <f t="shared" si="48"/>
        <v>-4.0000000000000001E-3</v>
      </c>
      <c r="AO74" s="92">
        <f t="shared" si="48"/>
        <v>-4.0000000000000001E-3</v>
      </c>
      <c r="AP74" s="88"/>
    </row>
    <row r="75" spans="2:42" ht="13.5" hidden="1" customHeight="1" x14ac:dyDescent="0.25">
      <c r="B75" s="76" t="s">
        <v>582</v>
      </c>
      <c r="C75" s="93">
        <v>0</v>
      </c>
      <c r="D75" s="76" t="s">
        <v>353</v>
      </c>
      <c r="E75" s="87" t="s">
        <v>178</v>
      </c>
      <c r="F75" s="92">
        <f>-2*mA</f>
        <v>-2E-3</v>
      </c>
      <c r="G75" s="92">
        <f t="shared" si="46"/>
        <v>-4.0000000000000001E-3</v>
      </c>
      <c r="H75" s="92">
        <f t="shared" si="46"/>
        <v>-4.0000000000000001E-3</v>
      </c>
      <c r="I75" s="92">
        <f>-2*mA</f>
        <v>-2E-3</v>
      </c>
      <c r="J75" s="92">
        <f t="shared" si="47"/>
        <v>-4.0000000000000001E-3</v>
      </c>
      <c r="K75" s="92">
        <f t="shared" si="47"/>
        <v>-4.0000000000000001E-3</v>
      </c>
      <c r="L75" s="92">
        <f t="shared" si="47"/>
        <v>-4.0000000000000001E-3</v>
      </c>
      <c r="M75" s="92">
        <f t="shared" si="47"/>
        <v>-4.0000000000000001E-3</v>
      </c>
      <c r="N75" s="92">
        <f t="shared" si="47"/>
        <v>-4.0000000000000001E-3</v>
      </c>
      <c r="O75" s="92">
        <f t="shared" si="47"/>
        <v>-4.0000000000000001E-3</v>
      </c>
      <c r="P75" s="92">
        <f t="shared" si="47"/>
        <v>-4.0000000000000001E-3</v>
      </c>
      <c r="Q75" s="92">
        <f t="shared" si="47"/>
        <v>-4.0000000000000001E-3</v>
      </c>
      <c r="R75" s="92">
        <v>0</v>
      </c>
      <c r="S75" s="92">
        <v>0</v>
      </c>
      <c r="T75" s="92">
        <v>0</v>
      </c>
      <c r="U75" s="92">
        <v>0</v>
      </c>
      <c r="V75" s="92">
        <f t="shared" ref="V75:AE76" si="49">-4*mA</f>
        <v>-4.0000000000000001E-3</v>
      </c>
      <c r="W75" s="92">
        <f t="shared" si="49"/>
        <v>-4.0000000000000001E-3</v>
      </c>
      <c r="X75" s="92">
        <f t="shared" si="49"/>
        <v>-4.0000000000000001E-3</v>
      </c>
      <c r="Y75" s="92">
        <f t="shared" si="49"/>
        <v>-4.0000000000000001E-3</v>
      </c>
      <c r="Z75" s="92">
        <f t="shared" si="49"/>
        <v>-4.0000000000000001E-3</v>
      </c>
      <c r="AA75" s="92">
        <f t="shared" si="49"/>
        <v>-4.0000000000000001E-3</v>
      </c>
      <c r="AB75" s="92">
        <f t="shared" si="49"/>
        <v>-4.0000000000000001E-3</v>
      </c>
      <c r="AC75" s="92">
        <f t="shared" si="49"/>
        <v>-4.0000000000000001E-3</v>
      </c>
      <c r="AD75" s="92">
        <f t="shared" si="49"/>
        <v>-4.0000000000000001E-3</v>
      </c>
      <c r="AE75" s="92">
        <f t="shared" si="49"/>
        <v>-4.0000000000000001E-3</v>
      </c>
      <c r="AF75" s="92">
        <f t="shared" ref="AF75:AL76" si="50">-4*mA</f>
        <v>-4.0000000000000001E-3</v>
      </c>
      <c r="AG75" s="92">
        <f t="shared" si="50"/>
        <v>-4.0000000000000001E-3</v>
      </c>
      <c r="AH75" s="92">
        <f t="shared" si="50"/>
        <v>-4.0000000000000001E-3</v>
      </c>
      <c r="AI75" s="92">
        <f t="shared" si="50"/>
        <v>-4.0000000000000001E-3</v>
      </c>
      <c r="AJ75" s="92">
        <f t="shared" si="50"/>
        <v>-4.0000000000000001E-3</v>
      </c>
      <c r="AK75" s="92">
        <f t="shared" si="50"/>
        <v>-4.0000000000000001E-3</v>
      </c>
      <c r="AL75" s="92">
        <f t="shared" si="50"/>
        <v>-4.0000000000000001E-3</v>
      </c>
      <c r="AM75" s="92" t="e">
        <v>#N/A</v>
      </c>
      <c r="AN75" s="92" t="e">
        <v>#N/A</v>
      </c>
      <c r="AO75" s="92" t="e">
        <v>#N/A</v>
      </c>
      <c r="AP75" s="88"/>
    </row>
    <row r="76" spans="2:42" ht="13.5" hidden="1" customHeight="1" x14ac:dyDescent="0.25">
      <c r="B76" s="76" t="s">
        <v>582</v>
      </c>
      <c r="C76" s="93">
        <v>0</v>
      </c>
      <c r="D76" s="76" t="s">
        <v>354</v>
      </c>
      <c r="E76" s="87" t="s">
        <v>178</v>
      </c>
      <c r="F76" s="92">
        <f>-2*mA</f>
        <v>-2E-3</v>
      </c>
      <c r="G76" s="92">
        <f t="shared" si="46"/>
        <v>-4.0000000000000001E-3</v>
      </c>
      <c r="H76" s="92">
        <f t="shared" si="46"/>
        <v>-4.0000000000000001E-3</v>
      </c>
      <c r="I76" s="92">
        <f>-2*mA</f>
        <v>-2E-3</v>
      </c>
      <c r="J76" s="92">
        <f t="shared" si="47"/>
        <v>-4.0000000000000001E-3</v>
      </c>
      <c r="K76" s="92">
        <f t="shared" si="47"/>
        <v>-4.0000000000000001E-3</v>
      </c>
      <c r="L76" s="92">
        <f t="shared" si="47"/>
        <v>-4.0000000000000001E-3</v>
      </c>
      <c r="M76" s="92">
        <f t="shared" si="47"/>
        <v>-4.0000000000000001E-3</v>
      </c>
      <c r="N76" s="92">
        <f t="shared" si="47"/>
        <v>-4.0000000000000001E-3</v>
      </c>
      <c r="O76" s="92">
        <f t="shared" si="47"/>
        <v>-4.0000000000000001E-3</v>
      </c>
      <c r="P76" s="92">
        <f t="shared" si="47"/>
        <v>-4.0000000000000001E-3</v>
      </c>
      <c r="Q76" s="92">
        <f t="shared" si="47"/>
        <v>-4.0000000000000001E-3</v>
      </c>
      <c r="R76" s="92">
        <v>0</v>
      </c>
      <c r="S76" s="92">
        <v>0</v>
      </c>
      <c r="T76" s="92">
        <v>0</v>
      </c>
      <c r="U76" s="92">
        <v>0</v>
      </c>
      <c r="V76" s="92">
        <f t="shared" si="49"/>
        <v>-4.0000000000000001E-3</v>
      </c>
      <c r="W76" s="92">
        <f t="shared" si="49"/>
        <v>-4.0000000000000001E-3</v>
      </c>
      <c r="X76" s="92">
        <f t="shared" si="49"/>
        <v>-4.0000000000000001E-3</v>
      </c>
      <c r="Y76" s="92">
        <f t="shared" si="49"/>
        <v>-4.0000000000000001E-3</v>
      </c>
      <c r="Z76" s="92">
        <f t="shared" si="49"/>
        <v>-4.0000000000000001E-3</v>
      </c>
      <c r="AA76" s="92">
        <f t="shared" si="49"/>
        <v>-4.0000000000000001E-3</v>
      </c>
      <c r="AB76" s="92">
        <f t="shared" si="49"/>
        <v>-4.0000000000000001E-3</v>
      </c>
      <c r="AC76" s="92">
        <f t="shared" si="49"/>
        <v>-4.0000000000000001E-3</v>
      </c>
      <c r="AD76" s="92">
        <f t="shared" si="49"/>
        <v>-4.0000000000000001E-3</v>
      </c>
      <c r="AE76" s="92">
        <f t="shared" si="49"/>
        <v>-4.0000000000000001E-3</v>
      </c>
      <c r="AF76" s="92">
        <f t="shared" si="50"/>
        <v>-4.0000000000000001E-3</v>
      </c>
      <c r="AG76" s="92">
        <f t="shared" si="50"/>
        <v>-4.0000000000000001E-3</v>
      </c>
      <c r="AH76" s="92">
        <f t="shared" si="50"/>
        <v>-4.0000000000000001E-3</v>
      </c>
      <c r="AI76" s="92">
        <f t="shared" si="50"/>
        <v>-4.0000000000000001E-3</v>
      </c>
      <c r="AJ76" s="92">
        <f t="shared" si="50"/>
        <v>-4.0000000000000001E-3</v>
      </c>
      <c r="AK76" s="92">
        <f t="shared" si="50"/>
        <v>-4.0000000000000001E-3</v>
      </c>
      <c r="AL76" s="92">
        <f t="shared" si="50"/>
        <v>-4.0000000000000001E-3</v>
      </c>
      <c r="AM76" s="92" t="e">
        <v>#N/A</v>
      </c>
      <c r="AN76" s="92" t="e">
        <v>#N/A</v>
      </c>
      <c r="AO76" s="92" t="e">
        <v>#N/A</v>
      </c>
      <c r="AP76" s="88"/>
    </row>
    <row r="77" spans="2:42" ht="13.5" customHeight="1" x14ac:dyDescent="0.25">
      <c r="B77" s="76" t="s">
        <v>608</v>
      </c>
      <c r="C77" s="93">
        <f>_voh_other</f>
        <v>1.35</v>
      </c>
      <c r="D77" s="76" t="s">
        <v>352</v>
      </c>
      <c r="E77" s="87" t="s">
        <v>178</v>
      </c>
      <c r="F77" s="92">
        <f t="shared" ref="F77:AL77" si="51">_voh_other</f>
        <v>1.35</v>
      </c>
      <c r="G77" s="92">
        <f t="shared" si="51"/>
        <v>1.35</v>
      </c>
      <c r="H77" s="92">
        <f t="shared" si="51"/>
        <v>1.35</v>
      </c>
      <c r="I77" s="92">
        <f t="shared" si="51"/>
        <v>1.35</v>
      </c>
      <c r="J77" s="92">
        <f t="shared" si="51"/>
        <v>1.35</v>
      </c>
      <c r="K77" s="92">
        <f t="shared" si="51"/>
        <v>1.35</v>
      </c>
      <c r="L77" s="92">
        <f t="shared" si="51"/>
        <v>1.35</v>
      </c>
      <c r="M77" s="92">
        <f t="shared" si="51"/>
        <v>1.35</v>
      </c>
      <c r="N77" s="92">
        <f t="shared" si="51"/>
        <v>1.35</v>
      </c>
      <c r="O77" s="92">
        <f t="shared" si="51"/>
        <v>1.35</v>
      </c>
      <c r="P77" s="92">
        <f t="shared" si="51"/>
        <v>1.35</v>
      </c>
      <c r="Q77" s="92">
        <f t="shared" si="51"/>
        <v>1.35</v>
      </c>
      <c r="R77" s="92">
        <f t="shared" si="51"/>
        <v>1.35</v>
      </c>
      <c r="S77" s="92">
        <f t="shared" ref="S77:T79" si="52">_voh_other</f>
        <v>1.35</v>
      </c>
      <c r="T77" s="92">
        <f t="shared" si="52"/>
        <v>1.35</v>
      </c>
      <c r="U77" s="92">
        <f t="shared" si="51"/>
        <v>1.35</v>
      </c>
      <c r="V77" s="92">
        <f t="shared" si="51"/>
        <v>1.35</v>
      </c>
      <c r="W77" s="92">
        <f t="shared" si="51"/>
        <v>1.35</v>
      </c>
      <c r="X77" s="92">
        <f t="shared" si="51"/>
        <v>1.35</v>
      </c>
      <c r="Y77" s="92">
        <f t="shared" si="51"/>
        <v>1.35</v>
      </c>
      <c r="Z77" s="92">
        <f t="shared" si="51"/>
        <v>1.35</v>
      </c>
      <c r="AA77" s="92">
        <f t="shared" si="51"/>
        <v>1.35</v>
      </c>
      <c r="AB77" s="92">
        <f t="shared" si="51"/>
        <v>1.35</v>
      </c>
      <c r="AC77" s="92">
        <f t="shared" si="51"/>
        <v>1.35</v>
      </c>
      <c r="AD77" s="92">
        <f t="shared" si="51"/>
        <v>1.35</v>
      </c>
      <c r="AE77" s="92">
        <f t="shared" si="51"/>
        <v>1.35</v>
      </c>
      <c r="AF77" s="92">
        <f t="shared" si="51"/>
        <v>1.35</v>
      </c>
      <c r="AG77" s="92">
        <f t="shared" si="51"/>
        <v>1.35</v>
      </c>
      <c r="AH77" s="92">
        <f t="shared" si="51"/>
        <v>1.35</v>
      </c>
      <c r="AI77" s="92">
        <f t="shared" si="51"/>
        <v>1.35</v>
      </c>
      <c r="AJ77" s="92">
        <f t="shared" si="51"/>
        <v>1.35</v>
      </c>
      <c r="AK77" s="92">
        <f t="shared" si="51"/>
        <v>1.35</v>
      </c>
      <c r="AL77" s="92">
        <f t="shared" si="51"/>
        <v>1.35</v>
      </c>
      <c r="AM77" s="92">
        <f>1</f>
        <v>1</v>
      </c>
      <c r="AN77" s="92">
        <v>0</v>
      </c>
      <c r="AO77" s="92">
        <v>0</v>
      </c>
      <c r="AP77" s="88"/>
    </row>
    <row r="78" spans="2:42" ht="13.5" hidden="1" customHeight="1" x14ac:dyDescent="0.25">
      <c r="B78" s="76" t="s">
        <v>608</v>
      </c>
      <c r="C78" s="93">
        <f>_voh_other</f>
        <v>1.35</v>
      </c>
      <c r="D78" s="76" t="s">
        <v>353</v>
      </c>
      <c r="E78" s="87" t="s">
        <v>178</v>
      </c>
      <c r="F78" s="92">
        <f t="shared" ref="F78:L78" si="53">_voh_other</f>
        <v>1.35</v>
      </c>
      <c r="G78" s="92">
        <f t="shared" si="53"/>
        <v>1.35</v>
      </c>
      <c r="H78" s="92">
        <f t="shared" si="53"/>
        <v>1.35</v>
      </c>
      <c r="I78" s="92">
        <f t="shared" si="53"/>
        <v>1.35</v>
      </c>
      <c r="J78" s="92">
        <f t="shared" si="53"/>
        <v>1.35</v>
      </c>
      <c r="K78" s="92">
        <f t="shared" si="53"/>
        <v>1.35</v>
      </c>
      <c r="L78" s="92">
        <f t="shared" si="53"/>
        <v>1.35</v>
      </c>
      <c r="M78" s="92" t="e">
        <v>#N/A</v>
      </c>
      <c r="N78" s="92" t="e">
        <v>#N/A</v>
      </c>
      <c r="O78" s="92">
        <f t="shared" ref="O78:AL78" si="54">_voh_other</f>
        <v>1.35</v>
      </c>
      <c r="P78" s="92">
        <f t="shared" si="54"/>
        <v>1.35</v>
      </c>
      <c r="Q78" s="92">
        <f t="shared" si="54"/>
        <v>1.35</v>
      </c>
      <c r="R78" s="92">
        <f t="shared" si="54"/>
        <v>1.35</v>
      </c>
      <c r="S78" s="92">
        <f t="shared" si="52"/>
        <v>1.35</v>
      </c>
      <c r="T78" s="92">
        <f t="shared" si="52"/>
        <v>1.35</v>
      </c>
      <c r="U78" s="92">
        <f t="shared" si="54"/>
        <v>1.35</v>
      </c>
      <c r="V78" s="92">
        <f t="shared" si="54"/>
        <v>1.35</v>
      </c>
      <c r="W78" s="92">
        <f t="shared" si="54"/>
        <v>1.35</v>
      </c>
      <c r="X78" s="92">
        <f t="shared" si="54"/>
        <v>1.35</v>
      </c>
      <c r="Y78" s="92">
        <f t="shared" si="54"/>
        <v>1.35</v>
      </c>
      <c r="Z78" s="92">
        <f t="shared" si="54"/>
        <v>1.35</v>
      </c>
      <c r="AA78" s="92">
        <f t="shared" si="54"/>
        <v>1.35</v>
      </c>
      <c r="AB78" s="92">
        <f t="shared" si="54"/>
        <v>1.35</v>
      </c>
      <c r="AC78" s="92">
        <f t="shared" si="54"/>
        <v>1.35</v>
      </c>
      <c r="AD78" s="92">
        <f t="shared" si="54"/>
        <v>1.35</v>
      </c>
      <c r="AE78" s="92">
        <f t="shared" si="54"/>
        <v>1.35</v>
      </c>
      <c r="AF78" s="92">
        <f t="shared" si="54"/>
        <v>1.35</v>
      </c>
      <c r="AG78" s="92">
        <f t="shared" si="54"/>
        <v>1.35</v>
      </c>
      <c r="AH78" s="92">
        <f t="shared" si="54"/>
        <v>1.35</v>
      </c>
      <c r="AI78" s="92">
        <f t="shared" si="54"/>
        <v>1.35</v>
      </c>
      <c r="AJ78" s="92">
        <f t="shared" si="54"/>
        <v>1.35</v>
      </c>
      <c r="AK78" s="92">
        <f t="shared" si="54"/>
        <v>1.35</v>
      </c>
      <c r="AL78" s="92">
        <f t="shared" si="54"/>
        <v>1.35</v>
      </c>
      <c r="AM78" s="92">
        <f>1</f>
        <v>1</v>
      </c>
      <c r="AN78" s="92">
        <v>0</v>
      </c>
      <c r="AO78" s="92">
        <v>0</v>
      </c>
      <c r="AP78" s="88"/>
    </row>
    <row r="79" spans="2:42" ht="13.5" hidden="1" customHeight="1" x14ac:dyDescent="0.25">
      <c r="B79" s="76" t="s">
        <v>608</v>
      </c>
      <c r="C79" s="93">
        <f>_voh_other</f>
        <v>1.35</v>
      </c>
      <c r="D79" s="76" t="s">
        <v>354</v>
      </c>
      <c r="E79" s="87" t="s">
        <v>178</v>
      </c>
      <c r="F79" s="92">
        <f>_voh_other</f>
        <v>1.35</v>
      </c>
      <c r="G79" s="92" t="e">
        <v>#N/A</v>
      </c>
      <c r="H79" s="92" t="e">
        <v>#N/A</v>
      </c>
      <c r="I79" s="92">
        <f>_voh_other</f>
        <v>1.35</v>
      </c>
      <c r="J79" s="92" t="e">
        <v>#N/A</v>
      </c>
      <c r="K79" s="92" t="e">
        <v>#N/A</v>
      </c>
      <c r="L79" s="92">
        <f>_voh_other</f>
        <v>1.35</v>
      </c>
      <c r="M79" s="92" t="e">
        <v>#N/A</v>
      </c>
      <c r="N79" s="92" t="e">
        <v>#N/A</v>
      </c>
      <c r="O79" s="92">
        <f>_voh_other</f>
        <v>1.35</v>
      </c>
      <c r="P79" s="92" t="e">
        <v>#N/A</v>
      </c>
      <c r="Q79" s="92" t="e">
        <v>#N/A</v>
      </c>
      <c r="R79" s="92">
        <f>_voh_other</f>
        <v>1.35</v>
      </c>
      <c r="S79" s="92">
        <f t="shared" si="52"/>
        <v>1.35</v>
      </c>
      <c r="T79" s="92">
        <f t="shared" si="52"/>
        <v>1.35</v>
      </c>
      <c r="U79" s="92">
        <f>_voh_other</f>
        <v>1.35</v>
      </c>
      <c r="V79" s="92" t="e">
        <v>#N/A</v>
      </c>
      <c r="W79" s="92" t="e">
        <v>#N/A</v>
      </c>
      <c r="X79" s="92">
        <f>_voh_other</f>
        <v>1.35</v>
      </c>
      <c r="Y79" s="92" t="e">
        <v>#N/A</v>
      </c>
      <c r="Z79" s="92" t="e">
        <v>#N/A</v>
      </c>
      <c r="AA79" s="92">
        <f>_voh_other</f>
        <v>1.35</v>
      </c>
      <c r="AB79" s="92" t="e">
        <v>#N/A</v>
      </c>
      <c r="AC79" s="92" t="e">
        <v>#N/A</v>
      </c>
      <c r="AD79" s="92">
        <f>_voh_other</f>
        <v>1.35</v>
      </c>
      <c r="AE79" s="92" t="e">
        <v>#N/A</v>
      </c>
      <c r="AF79" s="92" t="e">
        <v>#N/A</v>
      </c>
      <c r="AG79" s="92">
        <f>_voh_other</f>
        <v>1.35</v>
      </c>
      <c r="AH79" s="92" t="e">
        <v>#N/A</v>
      </c>
      <c r="AI79" s="92" t="e">
        <v>#N/A</v>
      </c>
      <c r="AJ79" s="92">
        <f>_voh_other</f>
        <v>1.35</v>
      </c>
      <c r="AK79" s="92">
        <f>_voh_other</f>
        <v>1.35</v>
      </c>
      <c r="AL79" s="92">
        <f>_voh_other</f>
        <v>1.35</v>
      </c>
      <c r="AM79" s="92">
        <f>1</f>
        <v>1</v>
      </c>
      <c r="AN79" s="92">
        <v>0</v>
      </c>
      <c r="AO79" s="92">
        <v>0</v>
      </c>
      <c r="AP79" s="88"/>
    </row>
    <row r="80" spans="2:42" ht="13.5" customHeight="1" x14ac:dyDescent="0.25">
      <c r="B80" s="76" t="s">
        <v>609</v>
      </c>
      <c r="C80" s="93">
        <f>_vol_other</f>
        <v>0.26</v>
      </c>
      <c r="D80" s="76" t="s">
        <v>352</v>
      </c>
      <c r="E80" s="87" t="s">
        <v>178</v>
      </c>
      <c r="F80" s="92">
        <f t="shared" ref="F80:AL80" si="55">_vol_other</f>
        <v>0.26</v>
      </c>
      <c r="G80" s="92">
        <f t="shared" si="55"/>
        <v>0.26</v>
      </c>
      <c r="H80" s="92">
        <f t="shared" si="55"/>
        <v>0.26</v>
      </c>
      <c r="I80" s="92">
        <f t="shared" si="55"/>
        <v>0.26</v>
      </c>
      <c r="J80" s="92">
        <f t="shared" si="55"/>
        <v>0.26</v>
      </c>
      <c r="K80" s="92">
        <f t="shared" si="55"/>
        <v>0.26</v>
      </c>
      <c r="L80" s="92">
        <f t="shared" si="55"/>
        <v>0.26</v>
      </c>
      <c r="M80" s="92">
        <f t="shared" si="55"/>
        <v>0.26</v>
      </c>
      <c r="N80" s="92">
        <f t="shared" si="55"/>
        <v>0.26</v>
      </c>
      <c r="O80" s="92">
        <f t="shared" si="55"/>
        <v>0.26</v>
      </c>
      <c r="P80" s="92">
        <f t="shared" si="55"/>
        <v>0.26</v>
      </c>
      <c r="Q80" s="92">
        <f t="shared" si="55"/>
        <v>0.26</v>
      </c>
      <c r="R80" s="92">
        <f t="shared" si="55"/>
        <v>0.26</v>
      </c>
      <c r="S80" s="92">
        <f t="shared" ref="S80:T82" si="56">_vol_other</f>
        <v>0.26</v>
      </c>
      <c r="T80" s="92">
        <f t="shared" si="56"/>
        <v>0.26</v>
      </c>
      <c r="U80" s="92">
        <f t="shared" si="55"/>
        <v>0.26</v>
      </c>
      <c r="V80" s="92">
        <f t="shared" si="55"/>
        <v>0.26</v>
      </c>
      <c r="W80" s="92">
        <f t="shared" si="55"/>
        <v>0.26</v>
      </c>
      <c r="X80" s="92">
        <f t="shared" si="55"/>
        <v>0.26</v>
      </c>
      <c r="Y80" s="92">
        <f t="shared" si="55"/>
        <v>0.26</v>
      </c>
      <c r="Z80" s="92">
        <f t="shared" si="55"/>
        <v>0.26</v>
      </c>
      <c r="AA80" s="92">
        <f t="shared" si="55"/>
        <v>0.26</v>
      </c>
      <c r="AB80" s="92">
        <f t="shared" si="55"/>
        <v>0.26</v>
      </c>
      <c r="AC80" s="92">
        <f t="shared" si="55"/>
        <v>0.26</v>
      </c>
      <c r="AD80" s="92">
        <f t="shared" si="55"/>
        <v>0.26</v>
      </c>
      <c r="AE80" s="92">
        <f t="shared" si="55"/>
        <v>0.26</v>
      </c>
      <c r="AF80" s="92">
        <f t="shared" si="55"/>
        <v>0.26</v>
      </c>
      <c r="AG80" s="92">
        <f t="shared" si="55"/>
        <v>0.26</v>
      </c>
      <c r="AH80" s="92">
        <f t="shared" si="55"/>
        <v>0.26</v>
      </c>
      <c r="AI80" s="92">
        <f t="shared" si="55"/>
        <v>0.26</v>
      </c>
      <c r="AJ80" s="92">
        <f t="shared" si="55"/>
        <v>0.26</v>
      </c>
      <c r="AK80" s="92">
        <f t="shared" si="55"/>
        <v>0.26</v>
      </c>
      <c r="AL80" s="92">
        <f t="shared" si="55"/>
        <v>0.26</v>
      </c>
      <c r="AM80" s="92">
        <v>0.5</v>
      </c>
      <c r="AN80" s="92">
        <v>0</v>
      </c>
      <c r="AO80" s="92">
        <v>0</v>
      </c>
      <c r="AP80" s="88"/>
    </row>
    <row r="81" spans="2:42" ht="13.5" hidden="1" customHeight="1" x14ac:dyDescent="0.25">
      <c r="B81" s="76" t="s">
        <v>609</v>
      </c>
      <c r="C81" s="93">
        <f>_vol_other</f>
        <v>0.26</v>
      </c>
      <c r="D81" s="76" t="s">
        <v>353</v>
      </c>
      <c r="E81" s="87" t="s">
        <v>178</v>
      </c>
      <c r="F81" s="92">
        <f>_vol_other</f>
        <v>0.26</v>
      </c>
      <c r="G81" s="92" t="e">
        <v>#N/A</v>
      </c>
      <c r="H81" s="92" t="e">
        <v>#N/A</v>
      </c>
      <c r="I81" s="92">
        <f>_vol_other</f>
        <v>0.26</v>
      </c>
      <c r="J81" s="92" t="e">
        <v>#N/A</v>
      </c>
      <c r="K81" s="92" t="e">
        <v>#N/A</v>
      </c>
      <c r="L81" s="92">
        <f t="shared" ref="L81:AL81" si="57">_vol_other</f>
        <v>0.26</v>
      </c>
      <c r="M81" s="92">
        <f t="shared" si="57"/>
        <v>0.26</v>
      </c>
      <c r="N81" s="92">
        <f t="shared" si="57"/>
        <v>0.26</v>
      </c>
      <c r="O81" s="92">
        <f t="shared" si="57"/>
        <v>0.26</v>
      </c>
      <c r="P81" s="92">
        <f t="shared" si="57"/>
        <v>0.26</v>
      </c>
      <c r="Q81" s="92">
        <f t="shared" si="57"/>
        <v>0.26</v>
      </c>
      <c r="R81" s="92">
        <f t="shared" si="57"/>
        <v>0.26</v>
      </c>
      <c r="S81" s="92">
        <f t="shared" si="56"/>
        <v>0.26</v>
      </c>
      <c r="T81" s="92">
        <f t="shared" si="56"/>
        <v>0.26</v>
      </c>
      <c r="U81" s="92">
        <f t="shared" si="57"/>
        <v>0.26</v>
      </c>
      <c r="V81" s="92">
        <f t="shared" si="57"/>
        <v>0.26</v>
      </c>
      <c r="W81" s="92">
        <f t="shared" si="57"/>
        <v>0.26</v>
      </c>
      <c r="X81" s="92">
        <f t="shared" si="57"/>
        <v>0.26</v>
      </c>
      <c r="Y81" s="92">
        <f t="shared" si="57"/>
        <v>0.26</v>
      </c>
      <c r="Z81" s="92">
        <f t="shared" si="57"/>
        <v>0.26</v>
      </c>
      <c r="AA81" s="92">
        <f t="shared" si="57"/>
        <v>0.26</v>
      </c>
      <c r="AB81" s="92">
        <f t="shared" si="57"/>
        <v>0.26</v>
      </c>
      <c r="AC81" s="92">
        <f t="shared" si="57"/>
        <v>0.26</v>
      </c>
      <c r="AD81" s="92">
        <f t="shared" si="57"/>
        <v>0.26</v>
      </c>
      <c r="AE81" s="92">
        <f t="shared" si="57"/>
        <v>0.26</v>
      </c>
      <c r="AF81" s="92">
        <f t="shared" si="57"/>
        <v>0.26</v>
      </c>
      <c r="AG81" s="92">
        <f t="shared" si="57"/>
        <v>0.26</v>
      </c>
      <c r="AH81" s="92">
        <f t="shared" si="57"/>
        <v>0.26</v>
      </c>
      <c r="AI81" s="92">
        <f t="shared" si="57"/>
        <v>0.26</v>
      </c>
      <c r="AJ81" s="92">
        <f t="shared" si="57"/>
        <v>0.26</v>
      </c>
      <c r="AK81" s="92">
        <f t="shared" si="57"/>
        <v>0.26</v>
      </c>
      <c r="AL81" s="92">
        <f t="shared" si="57"/>
        <v>0.26</v>
      </c>
      <c r="AM81" s="92">
        <v>0.5</v>
      </c>
      <c r="AN81" s="92">
        <v>0</v>
      </c>
      <c r="AO81" s="92">
        <v>0</v>
      </c>
      <c r="AP81" s="88"/>
    </row>
    <row r="82" spans="2:42" ht="13.5" hidden="1" customHeight="1" x14ac:dyDescent="0.25">
      <c r="B82" s="76" t="s">
        <v>609</v>
      </c>
      <c r="C82" s="93">
        <f>_vol_other</f>
        <v>0.26</v>
      </c>
      <c r="D82" s="76" t="s">
        <v>354</v>
      </c>
      <c r="E82" s="87" t="s">
        <v>178</v>
      </c>
      <c r="F82" s="92">
        <f>_vol_other</f>
        <v>0.26</v>
      </c>
      <c r="G82" s="92" t="e">
        <v>#N/A</v>
      </c>
      <c r="H82" s="92" t="e">
        <v>#N/A</v>
      </c>
      <c r="I82" s="92">
        <f>_vol_other</f>
        <v>0.26</v>
      </c>
      <c r="J82" s="92" t="e">
        <v>#N/A</v>
      </c>
      <c r="K82" s="92" t="e">
        <v>#N/A</v>
      </c>
      <c r="L82" s="92">
        <f>_vol_other</f>
        <v>0.26</v>
      </c>
      <c r="M82" s="92" t="e">
        <v>#N/A</v>
      </c>
      <c r="N82" s="92" t="e">
        <v>#N/A</v>
      </c>
      <c r="O82" s="92">
        <f>_vol_other</f>
        <v>0.26</v>
      </c>
      <c r="P82" s="92" t="e">
        <v>#N/A</v>
      </c>
      <c r="Q82" s="92" t="e">
        <v>#N/A</v>
      </c>
      <c r="R82" s="92">
        <f>_vol_other</f>
        <v>0.26</v>
      </c>
      <c r="S82" s="92">
        <f t="shared" si="56"/>
        <v>0.26</v>
      </c>
      <c r="T82" s="92">
        <f t="shared" si="56"/>
        <v>0.26</v>
      </c>
      <c r="U82" s="92">
        <f>_vol_other</f>
        <v>0.26</v>
      </c>
      <c r="V82" s="92" t="e">
        <v>#N/A</v>
      </c>
      <c r="W82" s="92" t="e">
        <v>#N/A</v>
      </c>
      <c r="X82" s="92">
        <f>_vol_other</f>
        <v>0.26</v>
      </c>
      <c r="Y82" s="92" t="e">
        <v>#N/A</v>
      </c>
      <c r="Z82" s="92" t="e">
        <v>#N/A</v>
      </c>
      <c r="AA82" s="92">
        <f>_vol_other</f>
        <v>0.26</v>
      </c>
      <c r="AB82" s="92" t="e">
        <v>#N/A</v>
      </c>
      <c r="AC82" s="92" t="e">
        <v>#N/A</v>
      </c>
      <c r="AD82" s="92">
        <f>_vol_other</f>
        <v>0.26</v>
      </c>
      <c r="AE82" s="92" t="e">
        <v>#N/A</v>
      </c>
      <c r="AF82" s="92" t="e">
        <v>#N/A</v>
      </c>
      <c r="AG82" s="92">
        <f>_vol_other</f>
        <v>0.26</v>
      </c>
      <c r="AH82" s="92" t="e">
        <v>#N/A</v>
      </c>
      <c r="AI82" s="92" t="e">
        <v>#N/A</v>
      </c>
      <c r="AJ82" s="92">
        <f>_vol_other</f>
        <v>0.26</v>
      </c>
      <c r="AK82" s="92" t="e">
        <v>#N/A</v>
      </c>
      <c r="AL82" s="92" t="e">
        <v>#N/A</v>
      </c>
      <c r="AM82" s="92">
        <v>0.5</v>
      </c>
      <c r="AN82" s="92">
        <v>0</v>
      </c>
      <c r="AO82" s="92">
        <v>0</v>
      </c>
      <c r="AP82" s="88"/>
    </row>
  </sheetData>
  <mergeCells count="15">
    <mergeCell ref="AM3:AO3"/>
    <mergeCell ref="B1:E1"/>
    <mergeCell ref="F1:G1"/>
    <mergeCell ref="U3:W3"/>
    <mergeCell ref="X3:Z3"/>
    <mergeCell ref="AA3:AC3"/>
    <mergeCell ref="AD3:AF3"/>
    <mergeCell ref="AG3:AI3"/>
    <mergeCell ref="AJ3:AL3"/>
    <mergeCell ref="D3:E3"/>
    <mergeCell ref="F3:H3"/>
    <mergeCell ref="I3:K3"/>
    <mergeCell ref="L3:N3"/>
    <mergeCell ref="O3:Q3"/>
    <mergeCell ref="R3:T3"/>
  </mergeCells>
  <dataValidations count="1">
    <dataValidation type="list" allowBlank="1" showInputMessage="1" showErrorMessage="1" sqref="E5 E8 E11 E14 E17 E20 E23 E26 E29 E32 E35 E38 E41 E44 E47 E50 E53 E56 E59 E62 E65 E68 E71 E74 E77 E80 E6:E7 E9:E10 E12:E13 E15:E16 E18:E19 E21:E22 E24:E25 E27:E28 E30:E31 E33:E34 E36:E37 E39:E40 E42:E43 E45:E46 E48:E49 E51:E52 E54:E55 E57:E58 E60:E61 E63:E64 E66:E67 E69:E70 E72:E73 E75:E76 E78:E79 E81:E82">
      <formula1>"Min,Typ,Max"</formula1>
    </dataValidation>
  </dataValidations>
  <pageMargins left="0.7" right="0.7" top="0.75" bottom="0.75" header="0.3" footer="0.3"/>
  <pageSetup orientation="landscape" horizontalDpi="200" verticalDpi="200" r:id="rId1"/>
  <headerFooter>
    <oddHeader>&amp;L&amp;LTeradyne IG-XL</oddHeader>
    <oddFooter>&amp;L&amp;LWorkbook '&amp;F', Sheet '&amp;A'&amp;R&amp;R&amp;D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outlinePr summaryBelow="0" summaryRight="0"/>
  </sheetPr>
  <dimension ref="A1:F122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2.75" x14ac:dyDescent="0.2"/>
  <cols>
    <col min="1" max="1" width="9.140625" style="75" customWidth="1"/>
    <col min="2" max="2" width="13.42578125" style="75" customWidth="1"/>
    <col min="3" max="3" width="6.28515625" style="75" customWidth="1"/>
    <col min="4" max="4" width="13.42578125" style="75" customWidth="1"/>
    <col min="5" max="5" width="17.5703125" style="75" customWidth="1"/>
    <col min="6" max="6" width="42.85546875" style="75" customWidth="1"/>
    <col min="7" max="16384" width="9.140625" style="75"/>
  </cols>
  <sheetData>
    <row r="1" spans="1:6" ht="25.5" customHeight="1" x14ac:dyDescent="0.2">
      <c r="A1" s="75" t="s">
        <v>83</v>
      </c>
      <c r="B1" s="75" t="s">
        <v>29</v>
      </c>
    </row>
    <row r="3" spans="1:6" x14ac:dyDescent="0.2">
      <c r="B3" s="75" t="s">
        <v>151</v>
      </c>
      <c r="C3" s="75" t="s">
        <v>184</v>
      </c>
      <c r="D3" s="75" t="s">
        <v>36</v>
      </c>
      <c r="E3" s="75" t="s">
        <v>16</v>
      </c>
      <c r="F3" s="75" t="s">
        <v>4</v>
      </c>
    </row>
    <row r="4" spans="1:6" ht="12.75" customHeight="1" x14ac:dyDescent="0.2">
      <c r="B4" s="76" t="s">
        <v>182</v>
      </c>
      <c r="C4" s="76"/>
      <c r="D4" s="76" t="s">
        <v>207</v>
      </c>
      <c r="E4" s="76">
        <f>_vdd18io</f>
        <v>1.8</v>
      </c>
      <c r="F4" s="76" t="s">
        <v>1445</v>
      </c>
    </row>
    <row r="5" spans="1:6" ht="12.75" customHeight="1" x14ac:dyDescent="0.2">
      <c r="B5" s="76" t="s">
        <v>182</v>
      </c>
      <c r="C5" s="76"/>
      <c r="D5" s="76" t="s">
        <v>208</v>
      </c>
      <c r="E5" s="76">
        <f>200*mA</f>
        <v>0.2</v>
      </c>
      <c r="F5" s="76" t="s">
        <v>1444</v>
      </c>
    </row>
    <row r="6" spans="1:6" ht="12.75" customHeight="1" x14ac:dyDescent="0.2">
      <c r="B6" s="76" t="s">
        <v>182</v>
      </c>
      <c r="C6" s="76"/>
      <c r="D6" s="76" t="s">
        <v>209</v>
      </c>
      <c r="E6" s="76">
        <v>5.0000000000000001E-3</v>
      </c>
      <c r="F6" s="76"/>
    </row>
    <row r="7" spans="1:6" ht="12.75" customHeight="1" x14ac:dyDescent="0.2">
      <c r="B7" s="76" t="s">
        <v>182</v>
      </c>
      <c r="C7" s="76"/>
      <c r="D7" s="76" t="s">
        <v>210</v>
      </c>
      <c r="E7" s="76">
        <v>18000</v>
      </c>
      <c r="F7" s="76" t="s">
        <v>1443</v>
      </c>
    </row>
    <row r="8" spans="1:6" ht="12.75" customHeight="1" x14ac:dyDescent="0.2">
      <c r="B8" s="76" t="s">
        <v>181</v>
      </c>
      <c r="C8" s="76"/>
      <c r="D8" s="76" t="s">
        <v>207</v>
      </c>
      <c r="E8" s="76">
        <f>_vdd10</f>
        <v>1</v>
      </c>
      <c r="F8" s="76" t="s">
        <v>1445</v>
      </c>
    </row>
    <row r="9" spans="1:6" ht="12.75" customHeight="1" x14ac:dyDescent="0.2">
      <c r="B9" s="76" t="s">
        <v>181</v>
      </c>
      <c r="C9" s="76"/>
      <c r="D9" s="76" t="s">
        <v>208</v>
      </c>
      <c r="E9" s="76">
        <f>200*mA</f>
        <v>0.2</v>
      </c>
      <c r="F9" s="76" t="s">
        <v>1444</v>
      </c>
    </row>
    <row r="10" spans="1:6" ht="12.75" customHeight="1" x14ac:dyDescent="0.2">
      <c r="B10" s="76" t="s">
        <v>181</v>
      </c>
      <c r="C10" s="76"/>
      <c r="D10" s="76" t="s">
        <v>209</v>
      </c>
      <c r="E10" s="76">
        <v>5.0000000000000001E-3</v>
      </c>
      <c r="F10" s="76"/>
    </row>
    <row r="11" spans="1:6" ht="12.75" customHeight="1" x14ac:dyDescent="0.2">
      <c r="B11" s="76" t="s">
        <v>181</v>
      </c>
      <c r="C11" s="76"/>
      <c r="D11" s="76" t="s">
        <v>210</v>
      </c>
      <c r="E11" s="76">
        <v>10000</v>
      </c>
      <c r="F11" s="76" t="s">
        <v>1443</v>
      </c>
    </row>
    <row r="12" spans="1:6" ht="12.75" customHeight="1" x14ac:dyDescent="0.2">
      <c r="B12" s="76" t="s">
        <v>183</v>
      </c>
      <c r="C12" s="76"/>
      <c r="D12" s="76" t="s">
        <v>207</v>
      </c>
      <c r="E12" s="76">
        <f>_avee</f>
        <v>-4</v>
      </c>
      <c r="F12" s="76" t="s">
        <v>1445</v>
      </c>
    </row>
    <row r="13" spans="1:6" ht="12.75" customHeight="1" x14ac:dyDescent="0.2">
      <c r="B13" s="76" t="s">
        <v>183</v>
      </c>
      <c r="C13" s="76"/>
      <c r="D13" s="76" t="s">
        <v>208</v>
      </c>
      <c r="E13" s="76">
        <f>200*mA</f>
        <v>0.2</v>
      </c>
      <c r="F13" s="76" t="s">
        <v>1444</v>
      </c>
    </row>
    <row r="14" spans="1:6" ht="12.75" customHeight="1" x14ac:dyDescent="0.2">
      <c r="B14" s="76" t="s">
        <v>183</v>
      </c>
      <c r="C14" s="76"/>
      <c r="D14" s="76" t="s">
        <v>209</v>
      </c>
      <c r="E14" s="76">
        <v>5.0000000000000001E-3</v>
      </c>
      <c r="F14" s="76"/>
    </row>
    <row r="15" spans="1:6" ht="12.75" customHeight="1" x14ac:dyDescent="0.2">
      <c r="B15" s="76" t="s">
        <v>183</v>
      </c>
      <c r="C15" s="76"/>
      <c r="D15" s="76" t="s">
        <v>210</v>
      </c>
      <c r="E15" s="76">
        <v>0</v>
      </c>
      <c r="F15" s="76" t="s">
        <v>1443</v>
      </c>
    </row>
    <row r="16" spans="1:6" ht="12.75" customHeight="1" x14ac:dyDescent="0.2">
      <c r="B16" s="76" t="s">
        <v>95</v>
      </c>
      <c r="C16" s="76"/>
      <c r="D16" s="76" t="s">
        <v>187</v>
      </c>
      <c r="E16" s="76">
        <f>_vil_input</f>
        <v>0</v>
      </c>
      <c r="F16" s="76"/>
    </row>
    <row r="17" spans="2:6" ht="12.75" customHeight="1" x14ac:dyDescent="0.2">
      <c r="B17" s="76" t="s">
        <v>95</v>
      </c>
      <c r="C17" s="76"/>
      <c r="D17" s="76" t="s">
        <v>188</v>
      </c>
      <c r="E17" s="76">
        <f>_vdd18io*0.65</f>
        <v>1.1700000000000002</v>
      </c>
      <c r="F17" s="76"/>
    </row>
    <row r="18" spans="2:6" ht="12.75" customHeight="1" x14ac:dyDescent="0.2">
      <c r="B18" s="76" t="s">
        <v>95</v>
      </c>
      <c r="C18" s="76"/>
      <c r="D18" s="76" t="s">
        <v>189</v>
      </c>
      <c r="E18" s="76">
        <f>_Vph_default</f>
        <v>5</v>
      </c>
      <c r="F18" s="76"/>
    </row>
    <row r="19" spans="2:6" ht="12.75" customHeight="1" x14ac:dyDescent="0.2">
      <c r="B19" s="76" t="s">
        <v>95</v>
      </c>
      <c r="C19" s="76"/>
      <c r="D19" s="76" t="s">
        <v>190</v>
      </c>
      <c r="E19" s="76">
        <f>1*mA</f>
        <v>1E-3</v>
      </c>
      <c r="F19" s="76"/>
    </row>
    <row r="20" spans="2:6" ht="12.75" customHeight="1" x14ac:dyDescent="0.2">
      <c r="B20" s="76" t="s">
        <v>95</v>
      </c>
      <c r="C20" s="76"/>
      <c r="D20" s="76" t="s">
        <v>191</v>
      </c>
      <c r="E20" s="76">
        <f>_Tpr_default</f>
        <v>1.5999999999999999E-5</v>
      </c>
      <c r="F20" s="76"/>
    </row>
    <row r="21" spans="2:6" ht="12.75" customHeight="1" x14ac:dyDescent="0.2">
      <c r="B21" s="76" t="s">
        <v>95</v>
      </c>
      <c r="C21" s="76"/>
      <c r="D21" s="76" t="s">
        <v>192</v>
      </c>
      <c r="E21" s="76">
        <f>_Vfph_default</f>
        <v>6</v>
      </c>
      <c r="F21" s="76"/>
    </row>
    <row r="22" spans="2:6" ht="12.75" customHeight="1" x14ac:dyDescent="0.2">
      <c r="B22" s="76" t="s">
        <v>95</v>
      </c>
      <c r="C22" s="76"/>
      <c r="D22" s="76" t="s">
        <v>193</v>
      </c>
      <c r="E22" s="76" t="s">
        <v>194</v>
      </c>
      <c r="F22" s="76"/>
    </row>
    <row r="23" spans="2:6" ht="12.75" customHeight="1" x14ac:dyDescent="0.2">
      <c r="B23" s="76" t="s">
        <v>1422</v>
      </c>
      <c r="C23" s="76"/>
      <c r="D23" s="76" t="s">
        <v>207</v>
      </c>
      <c r="E23" s="76">
        <f>_vqps</f>
        <v>0</v>
      </c>
      <c r="F23" s="76" t="s">
        <v>1445</v>
      </c>
    </row>
    <row r="24" spans="2:6" ht="12.75" customHeight="1" x14ac:dyDescent="0.2">
      <c r="B24" s="76" t="s">
        <v>1422</v>
      </c>
      <c r="C24" s="76"/>
      <c r="D24" s="76" t="s">
        <v>208</v>
      </c>
      <c r="E24" s="76">
        <f>200*mA</f>
        <v>0.2</v>
      </c>
      <c r="F24" s="76" t="s">
        <v>1444</v>
      </c>
    </row>
    <row r="25" spans="2:6" ht="12.75" customHeight="1" x14ac:dyDescent="0.2">
      <c r="B25" s="76" t="s">
        <v>1422</v>
      </c>
      <c r="C25" s="76"/>
      <c r="D25" s="76" t="s">
        <v>209</v>
      </c>
      <c r="E25" s="76">
        <v>5.0000000000000001E-3</v>
      </c>
      <c r="F25" s="76"/>
    </row>
    <row r="26" spans="2:6" ht="12.75" customHeight="1" x14ac:dyDescent="0.2">
      <c r="B26" s="76" t="s">
        <v>1422</v>
      </c>
      <c r="C26" s="76"/>
      <c r="D26" s="76" t="s">
        <v>210</v>
      </c>
      <c r="E26" s="76">
        <v>10000</v>
      </c>
      <c r="F26" s="76" t="s">
        <v>1443</v>
      </c>
    </row>
    <row r="27" spans="2:6" ht="12.75" customHeight="1" x14ac:dyDescent="0.2">
      <c r="B27" s="76" t="s">
        <v>1522</v>
      </c>
      <c r="C27" s="76"/>
      <c r="D27" s="76" t="s">
        <v>187</v>
      </c>
      <c r="E27" s="76">
        <f>_vil_input</f>
        <v>0</v>
      </c>
      <c r="F27" s="76"/>
    </row>
    <row r="28" spans="2:6" ht="12.75" customHeight="1" x14ac:dyDescent="0.2">
      <c r="B28" s="76" t="s">
        <v>1522</v>
      </c>
      <c r="C28" s="76"/>
      <c r="D28" s="76" t="s">
        <v>188</v>
      </c>
      <c r="E28" s="76">
        <f>_vih_input</f>
        <v>1.8</v>
      </c>
      <c r="F28" s="76"/>
    </row>
    <row r="29" spans="2:6" ht="12.75" customHeight="1" x14ac:dyDescent="0.2">
      <c r="B29" s="76" t="s">
        <v>1522</v>
      </c>
      <c r="C29" s="76"/>
      <c r="D29" s="76" t="s">
        <v>189</v>
      </c>
      <c r="E29" s="76">
        <f>_Vph_default</f>
        <v>5</v>
      </c>
      <c r="F29" s="76" t="s">
        <v>203</v>
      </c>
    </row>
    <row r="30" spans="2:6" ht="12.75" customHeight="1" x14ac:dyDescent="0.2">
      <c r="B30" s="76" t="s">
        <v>1522</v>
      </c>
      <c r="C30" s="76"/>
      <c r="D30" s="76" t="s">
        <v>190</v>
      </c>
      <c r="E30" s="76">
        <f>100*uA</f>
        <v>9.9999999999999991E-5</v>
      </c>
      <c r="F30" s="76" t="s">
        <v>204</v>
      </c>
    </row>
    <row r="31" spans="2:6" ht="12.75" customHeight="1" x14ac:dyDescent="0.2">
      <c r="B31" s="76" t="s">
        <v>1522</v>
      </c>
      <c r="C31" s="76"/>
      <c r="D31" s="76" t="s">
        <v>191</v>
      </c>
      <c r="E31" s="76">
        <f>_Tpr_default</f>
        <v>1.5999999999999999E-5</v>
      </c>
      <c r="F31" s="76"/>
    </row>
    <row r="32" spans="2:6" ht="12.75" customHeight="1" x14ac:dyDescent="0.2">
      <c r="B32" s="76" t="s">
        <v>1522</v>
      </c>
      <c r="C32" s="76"/>
      <c r="D32" s="76" t="s">
        <v>192</v>
      </c>
      <c r="E32" s="76">
        <f>_Vfph_default</f>
        <v>6</v>
      </c>
      <c r="F32" s="76"/>
    </row>
    <row r="33" spans="2:6" ht="12.75" customHeight="1" x14ac:dyDescent="0.2">
      <c r="B33" s="76" t="s">
        <v>1522</v>
      </c>
      <c r="C33" s="76"/>
      <c r="D33" s="76" t="s">
        <v>193</v>
      </c>
      <c r="E33" s="76" t="s">
        <v>194</v>
      </c>
      <c r="F33" s="76"/>
    </row>
    <row r="34" spans="2:6" ht="12.75" customHeight="1" x14ac:dyDescent="0.2">
      <c r="B34" s="76" t="s">
        <v>990</v>
      </c>
      <c r="C34" s="76"/>
      <c r="D34" s="76" t="s">
        <v>187</v>
      </c>
      <c r="E34" s="76">
        <f>_vil_pif</f>
        <v>0.05</v>
      </c>
      <c r="F34" s="76"/>
    </row>
    <row r="35" spans="2:6" ht="12.75" customHeight="1" x14ac:dyDescent="0.2">
      <c r="B35" s="76" t="s">
        <v>990</v>
      </c>
      <c r="C35" s="76"/>
      <c r="D35" s="76" t="s">
        <v>188</v>
      </c>
      <c r="E35" s="76">
        <f>_vih_pif</f>
        <v>0.7</v>
      </c>
      <c r="F35" s="76"/>
    </row>
    <row r="36" spans="2:6" ht="12.75" customHeight="1" x14ac:dyDescent="0.2">
      <c r="B36" s="76" t="s">
        <v>990</v>
      </c>
      <c r="C36" s="76"/>
      <c r="D36" s="76" t="s">
        <v>189</v>
      </c>
      <c r="E36" s="76">
        <f>_Vph_default</f>
        <v>5</v>
      </c>
      <c r="F36" s="76" t="s">
        <v>203</v>
      </c>
    </row>
    <row r="37" spans="2:6" ht="12.75" customHeight="1" x14ac:dyDescent="0.2">
      <c r="B37" s="76" t="s">
        <v>990</v>
      </c>
      <c r="C37" s="76"/>
      <c r="D37" s="76" t="s">
        <v>190</v>
      </c>
      <c r="E37" s="76">
        <f>1*uA</f>
        <v>9.9999999999999995E-7</v>
      </c>
      <c r="F37" s="76" t="s">
        <v>204</v>
      </c>
    </row>
    <row r="38" spans="2:6" ht="12.75" customHeight="1" x14ac:dyDescent="0.2">
      <c r="B38" s="76" t="s">
        <v>990</v>
      </c>
      <c r="C38" s="76"/>
      <c r="D38" s="76" t="s">
        <v>191</v>
      </c>
      <c r="E38" s="76">
        <f>_Tpr_default</f>
        <v>1.5999999999999999E-5</v>
      </c>
      <c r="F38" s="76"/>
    </row>
    <row r="39" spans="2:6" ht="12.75" customHeight="1" x14ac:dyDescent="0.2">
      <c r="B39" s="76" t="s">
        <v>990</v>
      </c>
      <c r="C39" s="76"/>
      <c r="D39" s="76" t="s">
        <v>192</v>
      </c>
      <c r="E39" s="76">
        <f>_Vfph_default</f>
        <v>6</v>
      </c>
      <c r="F39" s="76"/>
    </row>
    <row r="40" spans="2:6" ht="12.75" customHeight="1" x14ac:dyDescent="0.2">
      <c r="B40" s="76" t="s">
        <v>990</v>
      </c>
      <c r="C40" s="76"/>
      <c r="D40" s="76" t="s">
        <v>193</v>
      </c>
      <c r="E40" s="76" t="s">
        <v>194</v>
      </c>
      <c r="F40" s="76"/>
    </row>
    <row r="41" spans="2:6" ht="12.75" customHeight="1" x14ac:dyDescent="0.2">
      <c r="B41" s="76" t="s">
        <v>997</v>
      </c>
      <c r="C41" s="76"/>
      <c r="D41" s="76" t="s">
        <v>187</v>
      </c>
      <c r="E41" s="76">
        <f>_vil_input</f>
        <v>0</v>
      </c>
      <c r="F41" s="76"/>
    </row>
    <row r="42" spans="2:6" ht="12.75" customHeight="1" x14ac:dyDescent="0.2">
      <c r="B42" s="76" t="s">
        <v>997</v>
      </c>
      <c r="C42" s="76"/>
      <c r="D42" s="76" t="s">
        <v>188</v>
      </c>
      <c r="E42" s="76">
        <f>_vih_input</f>
        <v>1.8</v>
      </c>
      <c r="F42" s="76"/>
    </row>
    <row r="43" spans="2:6" ht="12.75" customHeight="1" x14ac:dyDescent="0.2">
      <c r="B43" s="76" t="s">
        <v>997</v>
      </c>
      <c r="C43" s="76"/>
      <c r="D43" s="76" t="s">
        <v>189</v>
      </c>
      <c r="E43" s="76">
        <f>_Vph_default</f>
        <v>5</v>
      </c>
      <c r="F43" s="76"/>
    </row>
    <row r="44" spans="2:6" ht="12.75" customHeight="1" x14ac:dyDescent="0.2">
      <c r="B44" s="76" t="s">
        <v>997</v>
      </c>
      <c r="C44" s="76"/>
      <c r="D44" s="76" t="s">
        <v>190</v>
      </c>
      <c r="E44" s="76">
        <f>_Iph_default</f>
        <v>0</v>
      </c>
      <c r="F44" s="76"/>
    </row>
    <row r="45" spans="2:6" ht="12.75" customHeight="1" x14ac:dyDescent="0.2">
      <c r="B45" s="76" t="s">
        <v>997</v>
      </c>
      <c r="C45" s="76"/>
      <c r="D45" s="76" t="s">
        <v>191</v>
      </c>
      <c r="E45" s="76">
        <f>_Tpr_default</f>
        <v>1.5999999999999999E-5</v>
      </c>
      <c r="F45" s="76"/>
    </row>
    <row r="46" spans="2:6" ht="12.75" customHeight="1" x14ac:dyDescent="0.2">
      <c r="B46" s="76" t="s">
        <v>997</v>
      </c>
      <c r="C46" s="76"/>
      <c r="D46" s="76" t="s">
        <v>192</v>
      </c>
      <c r="E46" s="76">
        <f>_Vfph_default</f>
        <v>6</v>
      </c>
      <c r="F46" s="76"/>
    </row>
    <row r="47" spans="2:6" ht="12.75" customHeight="1" x14ac:dyDescent="0.2">
      <c r="B47" s="76" t="s">
        <v>997</v>
      </c>
      <c r="C47" s="76"/>
      <c r="D47" s="76" t="s">
        <v>193</v>
      </c>
      <c r="E47" s="76" t="s">
        <v>194</v>
      </c>
      <c r="F47" s="76"/>
    </row>
    <row r="48" spans="2:6" ht="12.75" customHeight="1" x14ac:dyDescent="0.2">
      <c r="B48" s="76" t="s">
        <v>175</v>
      </c>
      <c r="C48" s="76"/>
      <c r="D48" s="76" t="s">
        <v>187</v>
      </c>
      <c r="E48" s="76">
        <f>_vil_input</f>
        <v>0</v>
      </c>
      <c r="F48" s="76"/>
    </row>
    <row r="49" spans="2:6" ht="12.75" customHeight="1" x14ac:dyDescent="0.2">
      <c r="B49" s="76" t="s">
        <v>175</v>
      </c>
      <c r="C49" s="76"/>
      <c r="D49" s="76" t="s">
        <v>188</v>
      </c>
      <c r="E49" s="76">
        <f>_vih_input</f>
        <v>1.8</v>
      </c>
      <c r="F49" s="76"/>
    </row>
    <row r="50" spans="2:6" ht="12.75" customHeight="1" x14ac:dyDescent="0.2">
      <c r="B50" s="76" t="s">
        <v>175</v>
      </c>
      <c r="C50" s="76"/>
      <c r="D50" s="76" t="s">
        <v>212</v>
      </c>
      <c r="E50" s="76">
        <f>_vol_other</f>
        <v>0.26</v>
      </c>
      <c r="F50" s="76"/>
    </row>
    <row r="51" spans="2:6" ht="12.75" customHeight="1" x14ac:dyDescent="0.2">
      <c r="B51" s="76" t="s">
        <v>175</v>
      </c>
      <c r="C51" s="76"/>
      <c r="D51" s="76" t="s">
        <v>213</v>
      </c>
      <c r="E51" s="76">
        <f>_voh_other</f>
        <v>1.35</v>
      </c>
      <c r="F51" s="76"/>
    </row>
    <row r="52" spans="2:6" ht="12.75" customHeight="1" x14ac:dyDescent="0.2">
      <c r="B52" s="76" t="s">
        <v>175</v>
      </c>
      <c r="C52" s="76"/>
      <c r="D52" s="76" t="s">
        <v>214</v>
      </c>
      <c r="E52" s="76">
        <f>_gpio_Isrc</f>
        <v>0</v>
      </c>
      <c r="F52" s="76"/>
    </row>
    <row r="53" spans="2:6" ht="12.75" customHeight="1" x14ac:dyDescent="0.2">
      <c r="B53" s="76" t="s">
        <v>175</v>
      </c>
      <c r="C53" s="76"/>
      <c r="D53" s="76" t="s">
        <v>215</v>
      </c>
      <c r="E53" s="76">
        <f>_gpio_Isink</f>
        <v>-2E-3</v>
      </c>
      <c r="F53" s="76"/>
    </row>
    <row r="54" spans="2:6" ht="12.75" customHeight="1" x14ac:dyDescent="0.2">
      <c r="B54" s="76" t="s">
        <v>175</v>
      </c>
      <c r="C54" s="76"/>
      <c r="D54" s="76" t="s">
        <v>216</v>
      </c>
      <c r="E54" s="76">
        <f>(_voh_other+_vol_other)/2</f>
        <v>0.80500000000000005</v>
      </c>
      <c r="F54" s="76"/>
    </row>
    <row r="55" spans="2:6" ht="12.75" customHeight="1" x14ac:dyDescent="0.2">
      <c r="B55" s="76" t="s">
        <v>175</v>
      </c>
      <c r="C55" s="76"/>
      <c r="D55" s="76" t="s">
        <v>217</v>
      </c>
      <c r="E55" s="76">
        <f>_Vch_default</f>
        <v>2.2999999999999998</v>
      </c>
      <c r="F55" s="76"/>
    </row>
    <row r="56" spans="2:6" ht="12.75" customHeight="1" x14ac:dyDescent="0.2">
      <c r="B56" s="76" t="s">
        <v>175</v>
      </c>
      <c r="C56" s="76"/>
      <c r="D56" s="76" t="s">
        <v>218</v>
      </c>
      <c r="E56" s="76">
        <f>_Vcl_default</f>
        <v>-0.5</v>
      </c>
      <c r="F56" s="76"/>
    </row>
    <row r="57" spans="2:6" ht="12.75" customHeight="1" x14ac:dyDescent="0.2">
      <c r="B57" s="76" t="s">
        <v>175</v>
      </c>
      <c r="C57" s="76"/>
      <c r="D57" s="76" t="s">
        <v>189</v>
      </c>
      <c r="E57" s="76">
        <f>_Vph_default</f>
        <v>5</v>
      </c>
      <c r="F57" s="76"/>
    </row>
    <row r="58" spans="2:6" ht="12.75" customHeight="1" x14ac:dyDescent="0.2">
      <c r="B58" s="76" t="s">
        <v>175</v>
      </c>
      <c r="C58" s="76"/>
      <c r="D58" s="76" t="s">
        <v>190</v>
      </c>
      <c r="E58" s="76">
        <f>6*mA</f>
        <v>6.0000000000000001E-3</v>
      </c>
      <c r="F58" s="76"/>
    </row>
    <row r="59" spans="2:6" ht="12.75" customHeight="1" x14ac:dyDescent="0.2">
      <c r="B59" s="76" t="s">
        <v>175</v>
      </c>
      <c r="C59" s="76"/>
      <c r="D59" s="76" t="s">
        <v>191</v>
      </c>
      <c r="E59" s="76">
        <f>_Tpr_default</f>
        <v>1.5999999999999999E-5</v>
      </c>
      <c r="F59" s="76"/>
    </row>
    <row r="60" spans="2:6" ht="12.75" customHeight="1" x14ac:dyDescent="0.2">
      <c r="B60" s="76" t="s">
        <v>175</v>
      </c>
      <c r="C60" s="76"/>
      <c r="D60" s="76" t="s">
        <v>192</v>
      </c>
      <c r="E60" s="76">
        <f>_Vfph_default</f>
        <v>6</v>
      </c>
      <c r="F60" s="76"/>
    </row>
    <row r="61" spans="2:6" ht="12.75" customHeight="1" x14ac:dyDescent="0.2">
      <c r="B61" s="76" t="s">
        <v>175</v>
      </c>
      <c r="C61" s="76"/>
      <c r="D61" s="76" t="s">
        <v>193</v>
      </c>
      <c r="E61" s="76" t="s">
        <v>194</v>
      </c>
      <c r="F61" s="76"/>
    </row>
    <row r="62" spans="2:6" ht="12.75" customHeight="1" x14ac:dyDescent="0.2">
      <c r="B62" s="76" t="s">
        <v>109</v>
      </c>
      <c r="C62" s="76"/>
      <c r="D62" s="76" t="s">
        <v>187</v>
      </c>
      <c r="E62" s="76">
        <v>0</v>
      </c>
      <c r="F62" s="76"/>
    </row>
    <row r="63" spans="2:6" ht="12.75" customHeight="1" x14ac:dyDescent="0.2">
      <c r="B63" s="76" t="s">
        <v>109</v>
      </c>
      <c r="C63" s="76"/>
      <c r="D63" s="76" t="s">
        <v>188</v>
      </c>
      <c r="E63" s="76">
        <v>1.8</v>
      </c>
      <c r="F63" s="76"/>
    </row>
    <row r="64" spans="2:6" ht="12.75" customHeight="1" x14ac:dyDescent="0.2">
      <c r="B64" s="76" t="s">
        <v>109</v>
      </c>
      <c r="C64" s="76"/>
      <c r="D64" s="76" t="s">
        <v>212</v>
      </c>
      <c r="E64" s="76">
        <v>0.3</v>
      </c>
      <c r="F64" s="76"/>
    </row>
    <row r="65" spans="2:6" ht="12.75" customHeight="1" x14ac:dyDescent="0.2">
      <c r="B65" s="76" t="s">
        <v>109</v>
      </c>
      <c r="C65" s="76"/>
      <c r="D65" s="76" t="s">
        <v>213</v>
      </c>
      <c r="E65" s="76">
        <v>1.5</v>
      </c>
      <c r="F65" s="76"/>
    </row>
    <row r="66" spans="2:6" ht="12.75" customHeight="1" x14ac:dyDescent="0.2">
      <c r="B66" s="76" t="s">
        <v>109</v>
      </c>
      <c r="C66" s="76"/>
      <c r="D66" s="76" t="s">
        <v>214</v>
      </c>
      <c r="E66" s="76">
        <v>0</v>
      </c>
      <c r="F66" s="76"/>
    </row>
    <row r="67" spans="2:6" ht="12.75" customHeight="1" x14ac:dyDescent="0.2">
      <c r="B67" s="76" t="s">
        <v>109</v>
      </c>
      <c r="C67" s="76"/>
      <c r="D67" s="76" t="s">
        <v>215</v>
      </c>
      <c r="E67" s="76">
        <v>0</v>
      </c>
      <c r="F67" s="76"/>
    </row>
    <row r="68" spans="2:6" ht="12.75" customHeight="1" x14ac:dyDescent="0.2">
      <c r="B68" s="76" t="s">
        <v>109</v>
      </c>
      <c r="C68" s="76"/>
      <c r="D68" s="76" t="s">
        <v>216</v>
      </c>
      <c r="E68" s="76">
        <v>0</v>
      </c>
      <c r="F68" s="76"/>
    </row>
    <row r="69" spans="2:6" ht="12.75" customHeight="1" x14ac:dyDescent="0.2">
      <c r="B69" s="76" t="s">
        <v>109</v>
      </c>
      <c r="C69" s="76"/>
      <c r="D69" s="76" t="s">
        <v>217</v>
      </c>
      <c r="E69" s="76">
        <f>_Vch_default</f>
        <v>2.2999999999999998</v>
      </c>
      <c r="F69" s="76"/>
    </row>
    <row r="70" spans="2:6" ht="12.75" customHeight="1" x14ac:dyDescent="0.2">
      <c r="B70" s="76" t="s">
        <v>109</v>
      </c>
      <c r="C70" s="76"/>
      <c r="D70" s="76" t="s">
        <v>218</v>
      </c>
      <c r="E70" s="76">
        <f>_Vcl_default</f>
        <v>-0.5</v>
      </c>
      <c r="F70" s="76"/>
    </row>
    <row r="71" spans="2:6" ht="12.75" customHeight="1" x14ac:dyDescent="0.2">
      <c r="B71" s="76" t="s">
        <v>109</v>
      </c>
      <c r="C71" s="76"/>
      <c r="D71" s="76" t="s">
        <v>189</v>
      </c>
      <c r="E71" s="76">
        <f>_Vph_default</f>
        <v>5</v>
      </c>
      <c r="F71" s="76"/>
    </row>
    <row r="72" spans="2:6" ht="12.75" customHeight="1" x14ac:dyDescent="0.2">
      <c r="B72" s="76" t="s">
        <v>109</v>
      </c>
      <c r="C72" s="76"/>
      <c r="D72" s="76" t="s">
        <v>190</v>
      </c>
      <c r="E72" s="76">
        <f>_Iph_default</f>
        <v>0</v>
      </c>
      <c r="F72" s="76"/>
    </row>
    <row r="73" spans="2:6" ht="12.75" customHeight="1" x14ac:dyDescent="0.2">
      <c r="B73" s="76" t="s">
        <v>109</v>
      </c>
      <c r="C73" s="76"/>
      <c r="D73" s="76" t="s">
        <v>191</v>
      </c>
      <c r="E73" s="76">
        <f>_Tpr_default</f>
        <v>1.5999999999999999E-5</v>
      </c>
      <c r="F73" s="76"/>
    </row>
    <row r="74" spans="2:6" ht="12.75" customHeight="1" x14ac:dyDescent="0.2">
      <c r="B74" s="76" t="s">
        <v>109</v>
      </c>
      <c r="C74" s="76"/>
      <c r="D74" s="76" t="s">
        <v>192</v>
      </c>
      <c r="E74" s="76">
        <f>_Vfph_default</f>
        <v>6</v>
      </c>
      <c r="F74" s="76"/>
    </row>
    <row r="75" spans="2:6" ht="12.75" customHeight="1" x14ac:dyDescent="0.2">
      <c r="B75" s="76" t="s">
        <v>109</v>
      </c>
      <c r="C75" s="76"/>
      <c r="D75" s="76" t="s">
        <v>193</v>
      </c>
      <c r="E75" s="76" t="s">
        <v>194</v>
      </c>
      <c r="F75" s="76"/>
    </row>
    <row r="76" spans="2:6" ht="12.75" customHeight="1" x14ac:dyDescent="0.2">
      <c r="B76" s="76" t="s">
        <v>911</v>
      </c>
      <c r="C76" s="76"/>
      <c r="D76" s="76" t="s">
        <v>212</v>
      </c>
      <c r="E76" s="76">
        <f>_vol_miso</f>
        <v>0.13</v>
      </c>
      <c r="F76" s="76" t="s">
        <v>230</v>
      </c>
    </row>
    <row r="77" spans="2:6" ht="12.75" customHeight="1" x14ac:dyDescent="0.2">
      <c r="B77" s="76" t="s">
        <v>911</v>
      </c>
      <c r="C77" s="76"/>
      <c r="D77" s="76" t="s">
        <v>213</v>
      </c>
      <c r="E77" s="76">
        <f>_voh_miso</f>
        <v>1.46</v>
      </c>
      <c r="F77" s="76"/>
    </row>
    <row r="78" spans="2:6" ht="12.75" customHeight="1" x14ac:dyDescent="0.2">
      <c r="B78" s="76" t="s">
        <v>911</v>
      </c>
      <c r="C78" s="76"/>
      <c r="D78" s="76" t="s">
        <v>214</v>
      </c>
      <c r="E78" s="76">
        <f>_miso_Isrc</f>
        <v>0</v>
      </c>
      <c r="F78" s="76" t="s">
        <v>357</v>
      </c>
    </row>
    <row r="79" spans="2:6" ht="12.75" customHeight="1" x14ac:dyDescent="0.2">
      <c r="B79" s="76" t="s">
        <v>911</v>
      </c>
      <c r="C79" s="76"/>
      <c r="D79" s="76" t="s">
        <v>215</v>
      </c>
      <c r="E79" s="76">
        <f>_miso_Isink</f>
        <v>0</v>
      </c>
      <c r="F79" s="76" t="s">
        <v>219</v>
      </c>
    </row>
    <row r="80" spans="2:6" ht="12.75" customHeight="1" x14ac:dyDescent="0.2">
      <c r="B80" s="76" t="s">
        <v>911</v>
      </c>
      <c r="C80" s="76"/>
      <c r="D80" s="76" t="s">
        <v>216</v>
      </c>
      <c r="E80" s="76">
        <f>(_voh_miso+_vol_miso)/2</f>
        <v>0.79499999999999993</v>
      </c>
      <c r="F80" s="76" t="s">
        <v>356</v>
      </c>
    </row>
    <row r="81" spans="2:6" ht="12.75" customHeight="1" x14ac:dyDescent="0.2">
      <c r="B81" s="76" t="s">
        <v>911</v>
      </c>
      <c r="C81" s="76"/>
      <c r="D81" s="76" t="s">
        <v>217</v>
      </c>
      <c r="E81" s="76">
        <f>_Vch_default</f>
        <v>2.2999999999999998</v>
      </c>
      <c r="F81" s="76"/>
    </row>
    <row r="82" spans="2:6" ht="12.75" customHeight="1" x14ac:dyDescent="0.2">
      <c r="B82" s="76" t="s">
        <v>911</v>
      </c>
      <c r="C82" s="76"/>
      <c r="D82" s="76" t="s">
        <v>218</v>
      </c>
      <c r="E82" s="76">
        <f>_Vcl_default</f>
        <v>-0.5</v>
      </c>
      <c r="F82" s="76"/>
    </row>
    <row r="83" spans="2:6" ht="12.75" customHeight="1" x14ac:dyDescent="0.2">
      <c r="B83" s="76" t="s">
        <v>911</v>
      </c>
      <c r="C83" s="76"/>
      <c r="D83" s="76" t="s">
        <v>193</v>
      </c>
      <c r="E83" s="76" t="s">
        <v>194</v>
      </c>
      <c r="F83" s="76"/>
    </row>
    <row r="84" spans="2:6" ht="12.75" customHeight="1" x14ac:dyDescent="0.2">
      <c r="B84" s="76" t="s">
        <v>895</v>
      </c>
      <c r="C84" s="76"/>
      <c r="D84" s="76" t="s">
        <v>212</v>
      </c>
      <c r="E84" s="76">
        <f>_vol_tdo</f>
        <v>0.26</v>
      </c>
      <c r="F84" s="76" t="s">
        <v>231</v>
      </c>
    </row>
    <row r="85" spans="2:6" ht="12.75" customHeight="1" x14ac:dyDescent="0.2">
      <c r="B85" s="76" t="s">
        <v>895</v>
      </c>
      <c r="C85" s="76"/>
      <c r="D85" s="76" t="s">
        <v>213</v>
      </c>
      <c r="E85" s="76">
        <f>_voh_tdo</f>
        <v>1.37</v>
      </c>
      <c r="F85" s="76"/>
    </row>
    <row r="86" spans="2:6" ht="12.75" customHeight="1" x14ac:dyDescent="0.2">
      <c r="B86" s="76" t="s">
        <v>895</v>
      </c>
      <c r="C86" s="76"/>
      <c r="D86" s="76" t="s">
        <v>214</v>
      </c>
      <c r="E86" s="76">
        <f>_tdo_Isrc</f>
        <v>0</v>
      </c>
      <c r="F86" s="76" t="s">
        <v>357</v>
      </c>
    </row>
    <row r="87" spans="2:6" ht="12.75" customHeight="1" x14ac:dyDescent="0.2">
      <c r="B87" s="76" t="s">
        <v>895</v>
      </c>
      <c r="C87" s="76"/>
      <c r="D87" s="76" t="s">
        <v>215</v>
      </c>
      <c r="E87" s="76">
        <f>_tdo_Isink</f>
        <v>0</v>
      </c>
      <c r="F87" s="76" t="s">
        <v>219</v>
      </c>
    </row>
    <row r="88" spans="2:6" ht="12.75" customHeight="1" x14ac:dyDescent="0.2">
      <c r="B88" s="76" t="s">
        <v>895</v>
      </c>
      <c r="C88" s="76"/>
      <c r="D88" s="76" t="s">
        <v>216</v>
      </c>
      <c r="E88" s="76">
        <f>(_voh_tdo+_vol_tdo)/2</f>
        <v>0.81500000000000006</v>
      </c>
      <c r="F88" s="76" t="s">
        <v>220</v>
      </c>
    </row>
    <row r="89" spans="2:6" ht="12.75" customHeight="1" x14ac:dyDescent="0.2">
      <c r="B89" s="76" t="s">
        <v>895</v>
      </c>
      <c r="C89" s="76"/>
      <c r="D89" s="76" t="s">
        <v>217</v>
      </c>
      <c r="E89" s="76">
        <f>_Vch_default</f>
        <v>2.2999999999999998</v>
      </c>
      <c r="F89" s="76"/>
    </row>
    <row r="90" spans="2:6" ht="12.75" customHeight="1" x14ac:dyDescent="0.2">
      <c r="B90" s="76" t="s">
        <v>895</v>
      </c>
      <c r="C90" s="76"/>
      <c r="D90" s="76" t="s">
        <v>218</v>
      </c>
      <c r="E90" s="76">
        <f>_Vcl_default</f>
        <v>-0.5</v>
      </c>
      <c r="F90" s="76"/>
    </row>
    <row r="91" spans="2:6" ht="12.75" customHeight="1" x14ac:dyDescent="0.2">
      <c r="B91" s="76" t="s">
        <v>895</v>
      </c>
      <c r="C91" s="76"/>
      <c r="D91" s="76" t="s">
        <v>193</v>
      </c>
      <c r="E91" s="76" t="s">
        <v>194</v>
      </c>
      <c r="F91" s="76"/>
    </row>
    <row r="92" spans="2:6" ht="12.75" customHeight="1" x14ac:dyDescent="0.2">
      <c r="B92" s="76" t="s">
        <v>99</v>
      </c>
      <c r="C92" s="76"/>
      <c r="D92" s="76" t="s">
        <v>212</v>
      </c>
      <c r="E92" s="76">
        <f>_irq_vol</f>
        <v>0.26</v>
      </c>
      <c r="F92" s="76" t="s">
        <v>232</v>
      </c>
    </row>
    <row r="93" spans="2:6" ht="12.75" customHeight="1" x14ac:dyDescent="0.2">
      <c r="B93" s="76" t="s">
        <v>99</v>
      </c>
      <c r="C93" s="76"/>
      <c r="D93" s="76" t="s">
        <v>213</v>
      </c>
      <c r="E93" s="76">
        <f>_irq_voh</f>
        <v>1.35</v>
      </c>
      <c r="F93" s="76"/>
    </row>
    <row r="94" spans="2:6" ht="12.75" customHeight="1" x14ac:dyDescent="0.2">
      <c r="B94" s="76" t="s">
        <v>99</v>
      </c>
      <c r="C94" s="76"/>
      <c r="D94" s="76" t="s">
        <v>214</v>
      </c>
      <c r="E94" s="76">
        <f>_irqout_Isrc</f>
        <v>0</v>
      </c>
      <c r="F94" s="76" t="s">
        <v>221</v>
      </c>
    </row>
    <row r="95" spans="2:6" ht="12.75" customHeight="1" x14ac:dyDescent="0.2">
      <c r="B95" s="76" t="s">
        <v>99</v>
      </c>
      <c r="C95" s="76"/>
      <c r="D95" s="76" t="s">
        <v>215</v>
      </c>
      <c r="E95" s="76">
        <f>_irqout_Isink</f>
        <v>-2E-3</v>
      </c>
      <c r="F95" s="76" t="s">
        <v>222</v>
      </c>
    </row>
    <row r="96" spans="2:6" ht="12.75" customHeight="1" x14ac:dyDescent="0.2">
      <c r="B96" s="76" t="s">
        <v>99</v>
      </c>
      <c r="C96" s="76"/>
      <c r="D96" s="76" t="s">
        <v>216</v>
      </c>
      <c r="E96" s="76">
        <f>(_voh_other+_vol_other)/2</f>
        <v>0.80500000000000005</v>
      </c>
      <c r="F96" s="76"/>
    </row>
    <row r="97" spans="2:6" ht="12.75" customHeight="1" x14ac:dyDescent="0.2">
      <c r="B97" s="76" t="s">
        <v>99</v>
      </c>
      <c r="C97" s="76"/>
      <c r="D97" s="76" t="s">
        <v>217</v>
      </c>
      <c r="E97" s="76">
        <f>_Vch_default</f>
        <v>2.2999999999999998</v>
      </c>
      <c r="F97" s="76"/>
    </row>
    <row r="98" spans="2:6" ht="12.75" customHeight="1" x14ac:dyDescent="0.2">
      <c r="B98" s="76" t="s">
        <v>99</v>
      </c>
      <c r="C98" s="76"/>
      <c r="D98" s="76" t="s">
        <v>218</v>
      </c>
      <c r="E98" s="76">
        <f>_Vcl_default</f>
        <v>-0.5</v>
      </c>
      <c r="F98" s="76"/>
    </row>
    <row r="99" spans="2:6" ht="12.75" customHeight="1" x14ac:dyDescent="0.2">
      <c r="B99" s="76" t="s">
        <v>99</v>
      </c>
      <c r="C99" s="76"/>
      <c r="D99" s="76" t="s">
        <v>193</v>
      </c>
      <c r="E99" s="76" t="s">
        <v>194</v>
      </c>
      <c r="F99" s="76"/>
    </row>
    <row r="100" spans="2:6" ht="12.75" customHeight="1" x14ac:dyDescent="0.2">
      <c r="B100" s="76" t="s">
        <v>121</v>
      </c>
      <c r="C100" s="76"/>
      <c r="D100" s="76" t="s">
        <v>212</v>
      </c>
      <c r="E100" s="76">
        <f>_vol_other</f>
        <v>0.26</v>
      </c>
      <c r="F100" s="76"/>
    </row>
    <row r="101" spans="2:6" ht="12.75" customHeight="1" x14ac:dyDescent="0.2">
      <c r="B101" s="76" t="s">
        <v>121</v>
      </c>
      <c r="C101" s="76"/>
      <c r="D101" s="76" t="s">
        <v>213</v>
      </c>
      <c r="E101" s="76">
        <f>_voh_other</f>
        <v>1.35</v>
      </c>
      <c r="F101" s="76"/>
    </row>
    <row r="102" spans="2:6" ht="12.75" customHeight="1" x14ac:dyDescent="0.2">
      <c r="B102" s="76" t="s">
        <v>121</v>
      </c>
      <c r="C102" s="76"/>
      <c r="D102" s="76" t="s">
        <v>214</v>
      </c>
      <c r="E102" s="76">
        <v>0</v>
      </c>
      <c r="F102" s="76"/>
    </row>
    <row r="103" spans="2:6" ht="12.75" customHeight="1" x14ac:dyDescent="0.2">
      <c r="B103" s="76" t="s">
        <v>121</v>
      </c>
      <c r="C103" s="76"/>
      <c r="D103" s="76" t="s">
        <v>215</v>
      </c>
      <c r="E103" s="76">
        <v>0</v>
      </c>
      <c r="F103" s="76"/>
    </row>
    <row r="104" spans="2:6" ht="12.75" customHeight="1" x14ac:dyDescent="0.2">
      <c r="B104" s="76" t="s">
        <v>121</v>
      </c>
      <c r="C104" s="76"/>
      <c r="D104" s="76" t="s">
        <v>216</v>
      </c>
      <c r="E104" s="76">
        <f>(_voh_other+_vol_other)/2</f>
        <v>0.80500000000000005</v>
      </c>
      <c r="F104" s="76"/>
    </row>
    <row r="105" spans="2:6" ht="12.75" customHeight="1" x14ac:dyDescent="0.2">
      <c r="B105" s="76" t="s">
        <v>121</v>
      </c>
      <c r="C105" s="76"/>
      <c r="D105" s="76" t="s">
        <v>217</v>
      </c>
      <c r="E105" s="76">
        <f>_Vch_default</f>
        <v>2.2999999999999998</v>
      </c>
      <c r="F105" s="76"/>
    </row>
    <row r="106" spans="2:6" ht="12.75" customHeight="1" x14ac:dyDescent="0.2">
      <c r="B106" s="76" t="s">
        <v>121</v>
      </c>
      <c r="C106" s="76"/>
      <c r="D106" s="76" t="s">
        <v>218</v>
      </c>
      <c r="E106" s="76">
        <f>_Vcl_default</f>
        <v>-0.5</v>
      </c>
      <c r="F106" s="76"/>
    </row>
    <row r="107" spans="2:6" ht="12.75" customHeight="1" x14ac:dyDescent="0.2">
      <c r="B107" s="76" t="s">
        <v>121</v>
      </c>
      <c r="C107" s="76"/>
      <c r="D107" s="76" t="s">
        <v>193</v>
      </c>
      <c r="E107" s="76" t="s">
        <v>194</v>
      </c>
      <c r="F107" s="76"/>
    </row>
    <row r="108" spans="2:6" ht="12.75" customHeight="1" x14ac:dyDescent="0.2">
      <c r="B108" s="76" t="s">
        <v>111</v>
      </c>
      <c r="C108" s="76"/>
      <c r="D108" s="76" t="s">
        <v>212</v>
      </c>
      <c r="E108" s="76">
        <f>_vol_other</f>
        <v>0.26</v>
      </c>
      <c r="F108" s="76"/>
    </row>
    <row r="109" spans="2:6" ht="12.75" customHeight="1" x14ac:dyDescent="0.2">
      <c r="B109" s="76" t="s">
        <v>111</v>
      </c>
      <c r="C109" s="76"/>
      <c r="D109" s="76" t="s">
        <v>213</v>
      </c>
      <c r="E109" s="76">
        <f>_voh_other</f>
        <v>1.35</v>
      </c>
      <c r="F109" s="76"/>
    </row>
    <row r="110" spans="2:6" ht="12.75" customHeight="1" x14ac:dyDescent="0.2">
      <c r="B110" s="76" t="s">
        <v>111</v>
      </c>
      <c r="C110" s="76"/>
      <c r="D110" s="76" t="s">
        <v>214</v>
      </c>
      <c r="E110" s="76">
        <v>0</v>
      </c>
      <c r="F110" s="76"/>
    </row>
    <row r="111" spans="2:6" ht="12.75" customHeight="1" x14ac:dyDescent="0.2">
      <c r="B111" s="76" t="s">
        <v>111</v>
      </c>
      <c r="C111" s="76"/>
      <c r="D111" s="76" t="s">
        <v>215</v>
      </c>
      <c r="E111" s="76">
        <v>0</v>
      </c>
      <c r="F111" s="76"/>
    </row>
    <row r="112" spans="2:6" ht="12.75" customHeight="1" x14ac:dyDescent="0.2">
      <c r="B112" s="76" t="s">
        <v>111</v>
      </c>
      <c r="C112" s="76"/>
      <c r="D112" s="76" t="s">
        <v>216</v>
      </c>
      <c r="E112" s="76">
        <f>(_voh_other+_vol_other)/2</f>
        <v>0.80500000000000005</v>
      </c>
      <c r="F112" s="76"/>
    </row>
    <row r="113" spans="2:6" ht="12.75" customHeight="1" x14ac:dyDescent="0.2">
      <c r="B113" s="76" t="s">
        <v>111</v>
      </c>
      <c r="C113" s="76"/>
      <c r="D113" s="76" t="s">
        <v>217</v>
      </c>
      <c r="E113" s="76">
        <f>_Vch_default</f>
        <v>2.2999999999999998</v>
      </c>
      <c r="F113" s="76"/>
    </row>
    <row r="114" spans="2:6" ht="12.75" customHeight="1" x14ac:dyDescent="0.2">
      <c r="B114" s="76" t="s">
        <v>111</v>
      </c>
      <c r="C114" s="76"/>
      <c r="D114" s="76" t="s">
        <v>218</v>
      </c>
      <c r="E114" s="76">
        <f>_Vcl_default</f>
        <v>-0.5</v>
      </c>
      <c r="F114" s="76"/>
    </row>
    <row r="115" spans="2:6" ht="12.75" customHeight="1" x14ac:dyDescent="0.2">
      <c r="B115" s="76" t="s">
        <v>111</v>
      </c>
      <c r="C115" s="76"/>
      <c r="D115" s="76" t="s">
        <v>193</v>
      </c>
      <c r="E115" s="76" t="s">
        <v>194</v>
      </c>
      <c r="F115" s="76"/>
    </row>
    <row r="116" spans="2:6" ht="12.75" customHeight="1" x14ac:dyDescent="0.2">
      <c r="B116" s="76" t="s">
        <v>1399</v>
      </c>
      <c r="C116" s="76"/>
      <c r="D116" s="76" t="s">
        <v>187</v>
      </c>
      <c r="E116" s="76">
        <v>0.4</v>
      </c>
      <c r="F116" s="76" t="s">
        <v>261</v>
      </c>
    </row>
    <row r="117" spans="2:6" ht="12.75" customHeight="1" x14ac:dyDescent="0.2">
      <c r="B117" s="76" t="s">
        <v>1399</v>
      </c>
      <c r="C117" s="76"/>
      <c r="D117" s="76" t="s">
        <v>188</v>
      </c>
      <c r="E117" s="76">
        <v>2.7</v>
      </c>
      <c r="F117" s="76" t="s">
        <v>262</v>
      </c>
    </row>
    <row r="118" spans="2:6" ht="12.75" customHeight="1" x14ac:dyDescent="0.2">
      <c r="B118" s="76" t="s">
        <v>1399</v>
      </c>
      <c r="C118" s="76"/>
      <c r="D118" s="76" t="s">
        <v>189</v>
      </c>
      <c r="E118" s="76">
        <f>_Vph_default</f>
        <v>5</v>
      </c>
      <c r="F118" s="76"/>
    </row>
    <row r="119" spans="2:6" ht="12.75" customHeight="1" x14ac:dyDescent="0.2">
      <c r="B119" s="76" t="s">
        <v>1399</v>
      </c>
      <c r="C119" s="76"/>
      <c r="D119" s="76" t="s">
        <v>190</v>
      </c>
      <c r="E119" s="76">
        <v>0</v>
      </c>
      <c r="F119" s="76"/>
    </row>
    <row r="120" spans="2:6" ht="12.75" customHeight="1" x14ac:dyDescent="0.2">
      <c r="B120" s="76" t="s">
        <v>1399</v>
      </c>
      <c r="C120" s="76"/>
      <c r="D120" s="76" t="s">
        <v>191</v>
      </c>
      <c r="E120" s="76">
        <v>1.5999999999999999E-5</v>
      </c>
      <c r="F120" s="76"/>
    </row>
    <row r="121" spans="2:6" ht="12.75" customHeight="1" x14ac:dyDescent="0.2">
      <c r="B121" s="76" t="s">
        <v>1399</v>
      </c>
      <c r="C121" s="76"/>
      <c r="D121" s="76" t="s">
        <v>192</v>
      </c>
      <c r="E121" s="76">
        <f>_Vfph_default</f>
        <v>6</v>
      </c>
      <c r="F121" s="76"/>
    </row>
    <row r="122" spans="2:6" ht="12.75" customHeight="1" x14ac:dyDescent="0.2">
      <c r="B122" s="76" t="s">
        <v>1399</v>
      </c>
      <c r="C122" s="76"/>
      <c r="D122" s="76" t="s">
        <v>193</v>
      </c>
      <c r="E122" s="76" t="s">
        <v>194</v>
      </c>
      <c r="F122" s="76"/>
    </row>
  </sheetData>
  <autoFilter ref="D3:D4"/>
  <pageMargins left="0.7" right="0.7" top="0.75" bottom="0.75" header="0.3" footer="0.3"/>
  <pageSetup orientation="landscape" horizontalDpi="200" verticalDpi="200" copies="0" r:id="rId1"/>
  <headerFooter>
    <oddHeader>&amp;L&amp;LTeradyne IG-XL</oddHeader>
    <oddFooter>&amp;L&amp;LWorkbook '&amp;F', Sheet '&amp;A'&amp;R&amp;R&amp;D &amp;T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outlinePr summaryBelow="0" summaryRight="0"/>
  </sheetPr>
  <dimension ref="A1:F136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2.75" x14ac:dyDescent="0.2"/>
  <cols>
    <col min="1" max="1" width="9.140625" style="75" customWidth="1"/>
    <col min="2" max="2" width="13.42578125" style="75" customWidth="1"/>
    <col min="3" max="3" width="6.28515625" style="75" customWidth="1"/>
    <col min="4" max="4" width="13.42578125" style="75" customWidth="1"/>
    <col min="5" max="5" width="17.5703125" style="75" customWidth="1"/>
    <col min="6" max="6" width="42.85546875" style="75" customWidth="1"/>
    <col min="7" max="16384" width="9.140625" style="75"/>
  </cols>
  <sheetData>
    <row r="1" spans="1:6" ht="25.5" customHeight="1" x14ac:dyDescent="0.2">
      <c r="A1" s="75" t="s">
        <v>83</v>
      </c>
      <c r="B1" s="75" t="s">
        <v>29</v>
      </c>
    </row>
    <row r="3" spans="1:6" x14ac:dyDescent="0.2">
      <c r="B3" s="75" t="s">
        <v>151</v>
      </c>
      <c r="C3" s="75" t="s">
        <v>184</v>
      </c>
      <c r="D3" s="75" t="s">
        <v>36</v>
      </c>
      <c r="E3" s="75" t="s">
        <v>16</v>
      </c>
      <c r="F3" s="75" t="s">
        <v>4</v>
      </c>
    </row>
    <row r="4" spans="1:6" ht="12.75" customHeight="1" x14ac:dyDescent="0.2">
      <c r="B4" s="76" t="s">
        <v>182</v>
      </c>
      <c r="C4" s="76"/>
      <c r="D4" s="76" t="s">
        <v>207</v>
      </c>
      <c r="E4" s="76">
        <f>_vdd18io</f>
        <v>1.8</v>
      </c>
      <c r="F4" s="76" t="s">
        <v>1445</v>
      </c>
    </row>
    <row r="5" spans="1:6" ht="12.75" customHeight="1" x14ac:dyDescent="0.2">
      <c r="B5" s="76" t="s">
        <v>182</v>
      </c>
      <c r="C5" s="76"/>
      <c r="D5" s="76" t="s">
        <v>208</v>
      </c>
      <c r="E5" s="76">
        <f>200*mA</f>
        <v>0.2</v>
      </c>
      <c r="F5" s="76" t="s">
        <v>1444</v>
      </c>
    </row>
    <row r="6" spans="1:6" ht="12.75" customHeight="1" x14ac:dyDescent="0.2">
      <c r="B6" s="76" t="s">
        <v>182</v>
      </c>
      <c r="C6" s="76"/>
      <c r="D6" s="76" t="s">
        <v>209</v>
      </c>
      <c r="E6" s="76">
        <v>5.0000000000000001E-3</v>
      </c>
      <c r="F6" s="76"/>
    </row>
    <row r="7" spans="1:6" ht="12.75" customHeight="1" x14ac:dyDescent="0.2">
      <c r="B7" s="76" t="s">
        <v>182</v>
      </c>
      <c r="C7" s="76"/>
      <c r="D7" s="76" t="s">
        <v>210</v>
      </c>
      <c r="E7" s="76">
        <v>18000</v>
      </c>
      <c r="F7" s="76" t="s">
        <v>1443</v>
      </c>
    </row>
    <row r="8" spans="1:6" ht="12.75" customHeight="1" x14ac:dyDescent="0.2">
      <c r="B8" s="76" t="s">
        <v>181</v>
      </c>
      <c r="C8" s="76"/>
      <c r="D8" s="76" t="s">
        <v>207</v>
      </c>
      <c r="E8" s="76">
        <f>_vdd10</f>
        <v>1</v>
      </c>
      <c r="F8" s="76" t="s">
        <v>1445</v>
      </c>
    </row>
    <row r="9" spans="1:6" ht="12.75" customHeight="1" x14ac:dyDescent="0.2">
      <c r="B9" s="76" t="s">
        <v>181</v>
      </c>
      <c r="C9" s="76"/>
      <c r="D9" s="76" t="s">
        <v>208</v>
      </c>
      <c r="E9" s="76">
        <f>200*mA</f>
        <v>0.2</v>
      </c>
      <c r="F9" s="76" t="s">
        <v>1444</v>
      </c>
    </row>
    <row r="10" spans="1:6" ht="12.75" customHeight="1" x14ac:dyDescent="0.2">
      <c r="B10" s="76" t="s">
        <v>181</v>
      </c>
      <c r="C10" s="76"/>
      <c r="D10" s="76" t="s">
        <v>209</v>
      </c>
      <c r="E10" s="76">
        <v>5.0000000000000001E-3</v>
      </c>
      <c r="F10" s="76"/>
    </row>
    <row r="11" spans="1:6" ht="12.75" customHeight="1" x14ac:dyDescent="0.2">
      <c r="B11" s="76" t="s">
        <v>181</v>
      </c>
      <c r="C11" s="76"/>
      <c r="D11" s="76" t="s">
        <v>210</v>
      </c>
      <c r="E11" s="76">
        <v>10000</v>
      </c>
      <c r="F11" s="76" t="s">
        <v>1443</v>
      </c>
    </row>
    <row r="12" spans="1:6" ht="12.75" customHeight="1" x14ac:dyDescent="0.2">
      <c r="B12" s="76" t="s">
        <v>183</v>
      </c>
      <c r="C12" s="76"/>
      <c r="D12" s="76" t="s">
        <v>207</v>
      </c>
      <c r="E12" s="76">
        <f>_avee</f>
        <v>-4</v>
      </c>
      <c r="F12" s="76" t="s">
        <v>1445</v>
      </c>
    </row>
    <row r="13" spans="1:6" ht="12.75" customHeight="1" x14ac:dyDescent="0.2">
      <c r="B13" s="76" t="s">
        <v>183</v>
      </c>
      <c r="C13" s="76"/>
      <c r="D13" s="76" t="s">
        <v>208</v>
      </c>
      <c r="E13" s="76">
        <f>200*mA</f>
        <v>0.2</v>
      </c>
      <c r="F13" s="76" t="s">
        <v>1444</v>
      </c>
    </row>
    <row r="14" spans="1:6" ht="12.75" customHeight="1" x14ac:dyDescent="0.2">
      <c r="B14" s="76" t="s">
        <v>183</v>
      </c>
      <c r="C14" s="76"/>
      <c r="D14" s="76" t="s">
        <v>209</v>
      </c>
      <c r="E14" s="76">
        <v>5.0000000000000001E-3</v>
      </c>
      <c r="F14" s="76"/>
    </row>
    <row r="15" spans="1:6" ht="12.75" customHeight="1" x14ac:dyDescent="0.2">
      <c r="B15" s="76" t="s">
        <v>183</v>
      </c>
      <c r="C15" s="76"/>
      <c r="D15" s="76" t="s">
        <v>210</v>
      </c>
      <c r="E15" s="76">
        <v>0</v>
      </c>
      <c r="F15" s="76" t="s">
        <v>1443</v>
      </c>
    </row>
    <row r="16" spans="1:6" ht="12.75" customHeight="1" x14ac:dyDescent="0.2">
      <c r="B16" s="76" t="s">
        <v>95</v>
      </c>
      <c r="C16" s="76"/>
      <c r="D16" s="76" t="s">
        <v>187</v>
      </c>
      <c r="E16" s="76">
        <f>_vil_input</f>
        <v>0</v>
      </c>
      <c r="F16" s="76"/>
    </row>
    <row r="17" spans="2:6" ht="12.75" customHeight="1" x14ac:dyDescent="0.2">
      <c r="B17" s="76" t="s">
        <v>95</v>
      </c>
      <c r="C17" s="76"/>
      <c r="D17" s="76" t="s">
        <v>188</v>
      </c>
      <c r="E17" s="76">
        <f>_vdd18io*0.65</f>
        <v>1.1700000000000002</v>
      </c>
      <c r="F17" s="76"/>
    </row>
    <row r="18" spans="2:6" ht="12.75" customHeight="1" x14ac:dyDescent="0.2">
      <c r="B18" s="76" t="s">
        <v>95</v>
      </c>
      <c r="C18" s="76"/>
      <c r="D18" s="76" t="s">
        <v>189</v>
      </c>
      <c r="E18" s="76">
        <f>_Vph_default</f>
        <v>5</v>
      </c>
      <c r="F18" s="76"/>
    </row>
    <row r="19" spans="2:6" ht="12.75" customHeight="1" x14ac:dyDescent="0.2">
      <c r="B19" s="76" t="s">
        <v>95</v>
      </c>
      <c r="C19" s="76"/>
      <c r="D19" s="76" t="s">
        <v>190</v>
      </c>
      <c r="E19" s="76">
        <f>1*mA</f>
        <v>1E-3</v>
      </c>
      <c r="F19" s="76"/>
    </row>
    <row r="20" spans="2:6" ht="12.75" customHeight="1" x14ac:dyDescent="0.2">
      <c r="B20" s="76" t="s">
        <v>95</v>
      </c>
      <c r="C20" s="76"/>
      <c r="D20" s="76" t="s">
        <v>191</v>
      </c>
      <c r="E20" s="76">
        <f>_Tpr_default</f>
        <v>1.5999999999999999E-5</v>
      </c>
      <c r="F20" s="76"/>
    </row>
    <row r="21" spans="2:6" ht="12.75" customHeight="1" x14ac:dyDescent="0.2">
      <c r="B21" s="76" t="s">
        <v>95</v>
      </c>
      <c r="C21" s="76"/>
      <c r="D21" s="76" t="s">
        <v>192</v>
      </c>
      <c r="E21" s="76">
        <f>_Vfph_default</f>
        <v>6</v>
      </c>
      <c r="F21" s="76"/>
    </row>
    <row r="22" spans="2:6" ht="12.75" customHeight="1" x14ac:dyDescent="0.2">
      <c r="B22" s="76" t="s">
        <v>95</v>
      </c>
      <c r="C22" s="76"/>
      <c r="D22" s="76" t="s">
        <v>193</v>
      </c>
      <c r="E22" s="76" t="s">
        <v>194</v>
      </c>
      <c r="F22" s="76"/>
    </row>
    <row r="23" spans="2:6" ht="12.75" customHeight="1" x14ac:dyDescent="0.2">
      <c r="B23" s="76" t="s">
        <v>1422</v>
      </c>
      <c r="C23" s="76"/>
      <c r="D23" s="76" t="s">
        <v>207</v>
      </c>
      <c r="E23" s="76">
        <f>_vqps</f>
        <v>0</v>
      </c>
      <c r="F23" s="76" t="s">
        <v>1445</v>
      </c>
    </row>
    <row r="24" spans="2:6" ht="12.75" customHeight="1" x14ac:dyDescent="0.2">
      <c r="B24" s="76" t="s">
        <v>1422</v>
      </c>
      <c r="C24" s="76"/>
      <c r="D24" s="76" t="s">
        <v>208</v>
      </c>
      <c r="E24" s="76">
        <f>200*mA</f>
        <v>0.2</v>
      </c>
      <c r="F24" s="76" t="s">
        <v>1444</v>
      </c>
    </row>
    <row r="25" spans="2:6" ht="12.75" customHeight="1" x14ac:dyDescent="0.2">
      <c r="B25" s="76" t="s">
        <v>1422</v>
      </c>
      <c r="C25" s="76"/>
      <c r="D25" s="76" t="s">
        <v>209</v>
      </c>
      <c r="E25" s="76">
        <v>5.0000000000000001E-3</v>
      </c>
      <c r="F25" s="76"/>
    </row>
    <row r="26" spans="2:6" ht="12.75" customHeight="1" x14ac:dyDescent="0.2">
      <c r="B26" s="76" t="s">
        <v>1422</v>
      </c>
      <c r="C26" s="76"/>
      <c r="D26" s="76" t="s">
        <v>210</v>
      </c>
      <c r="E26" s="76">
        <v>10000</v>
      </c>
      <c r="F26" s="76" t="s">
        <v>1443</v>
      </c>
    </row>
    <row r="27" spans="2:6" ht="12.75" customHeight="1" x14ac:dyDescent="0.2">
      <c r="B27" s="76" t="s">
        <v>1522</v>
      </c>
      <c r="C27" s="76"/>
      <c r="D27" s="76" t="s">
        <v>187</v>
      </c>
      <c r="E27" s="76">
        <f>_vil_input</f>
        <v>0</v>
      </c>
      <c r="F27" s="76"/>
    </row>
    <row r="28" spans="2:6" ht="12.75" customHeight="1" x14ac:dyDescent="0.2">
      <c r="B28" s="76" t="s">
        <v>1522</v>
      </c>
      <c r="C28" s="76"/>
      <c r="D28" s="76" t="s">
        <v>188</v>
      </c>
      <c r="E28" s="76">
        <f>_vih_input</f>
        <v>1.8</v>
      </c>
      <c r="F28" s="76"/>
    </row>
    <row r="29" spans="2:6" ht="12.75" customHeight="1" x14ac:dyDescent="0.2">
      <c r="B29" s="76" t="s">
        <v>1522</v>
      </c>
      <c r="C29" s="76"/>
      <c r="D29" s="76" t="s">
        <v>189</v>
      </c>
      <c r="E29" s="76">
        <f>_Vph_default</f>
        <v>5</v>
      </c>
      <c r="F29" s="76" t="s">
        <v>203</v>
      </c>
    </row>
    <row r="30" spans="2:6" ht="12.75" customHeight="1" x14ac:dyDescent="0.2">
      <c r="B30" s="76" t="s">
        <v>1522</v>
      </c>
      <c r="C30" s="76"/>
      <c r="D30" s="76" t="s">
        <v>190</v>
      </c>
      <c r="E30" s="76">
        <f>100*uA</f>
        <v>9.9999999999999991E-5</v>
      </c>
      <c r="F30" s="76" t="s">
        <v>204</v>
      </c>
    </row>
    <row r="31" spans="2:6" ht="12.75" customHeight="1" x14ac:dyDescent="0.2">
      <c r="B31" s="76" t="s">
        <v>1522</v>
      </c>
      <c r="C31" s="76"/>
      <c r="D31" s="76" t="s">
        <v>191</v>
      </c>
      <c r="E31" s="76">
        <f>_Tpr_default</f>
        <v>1.5999999999999999E-5</v>
      </c>
      <c r="F31" s="76"/>
    </row>
    <row r="32" spans="2:6" ht="12.75" customHeight="1" x14ac:dyDescent="0.2">
      <c r="B32" s="76" t="s">
        <v>1522</v>
      </c>
      <c r="C32" s="76"/>
      <c r="D32" s="76" t="s">
        <v>192</v>
      </c>
      <c r="E32" s="76">
        <f>_Vfph_default</f>
        <v>6</v>
      </c>
      <c r="F32" s="76"/>
    </row>
    <row r="33" spans="2:6" ht="12.75" customHeight="1" x14ac:dyDescent="0.2">
      <c r="B33" s="76" t="s">
        <v>1522</v>
      </c>
      <c r="C33" s="76"/>
      <c r="D33" s="76" t="s">
        <v>193</v>
      </c>
      <c r="E33" s="76" t="s">
        <v>194</v>
      </c>
      <c r="F33" s="76"/>
    </row>
    <row r="34" spans="2:6" ht="12.75" customHeight="1" x14ac:dyDescent="0.2">
      <c r="B34" s="76" t="s">
        <v>990</v>
      </c>
      <c r="C34" s="76"/>
      <c r="D34" s="76" t="s">
        <v>187</v>
      </c>
      <c r="E34" s="76">
        <f>_vil_pif</f>
        <v>0.05</v>
      </c>
      <c r="F34" s="76"/>
    </row>
    <row r="35" spans="2:6" ht="12.75" customHeight="1" x14ac:dyDescent="0.2">
      <c r="B35" s="76" t="s">
        <v>990</v>
      </c>
      <c r="C35" s="76"/>
      <c r="D35" s="76" t="s">
        <v>188</v>
      </c>
      <c r="E35" s="76">
        <f>_vih_pif</f>
        <v>0.7</v>
      </c>
      <c r="F35" s="76"/>
    </row>
    <row r="36" spans="2:6" ht="12.75" customHeight="1" x14ac:dyDescent="0.2">
      <c r="B36" s="76" t="s">
        <v>990</v>
      </c>
      <c r="C36" s="76"/>
      <c r="D36" s="76" t="s">
        <v>189</v>
      </c>
      <c r="E36" s="76">
        <f>_Vph_default</f>
        <v>5</v>
      </c>
      <c r="F36" s="76" t="s">
        <v>203</v>
      </c>
    </row>
    <row r="37" spans="2:6" ht="12.75" customHeight="1" x14ac:dyDescent="0.2">
      <c r="B37" s="76" t="s">
        <v>990</v>
      </c>
      <c r="C37" s="76"/>
      <c r="D37" s="76" t="s">
        <v>190</v>
      </c>
      <c r="E37" s="76">
        <f>1*uA</f>
        <v>9.9999999999999995E-7</v>
      </c>
      <c r="F37" s="76" t="s">
        <v>204</v>
      </c>
    </row>
    <row r="38" spans="2:6" ht="12.75" customHeight="1" x14ac:dyDescent="0.2">
      <c r="B38" s="76" t="s">
        <v>990</v>
      </c>
      <c r="C38" s="76"/>
      <c r="D38" s="76" t="s">
        <v>191</v>
      </c>
      <c r="E38" s="76">
        <f>_Tpr_default</f>
        <v>1.5999999999999999E-5</v>
      </c>
      <c r="F38" s="76"/>
    </row>
    <row r="39" spans="2:6" ht="12.75" customHeight="1" x14ac:dyDescent="0.2">
      <c r="B39" s="76" t="s">
        <v>990</v>
      </c>
      <c r="C39" s="76"/>
      <c r="D39" s="76" t="s">
        <v>192</v>
      </c>
      <c r="E39" s="76">
        <f>_Vfph_default</f>
        <v>6</v>
      </c>
      <c r="F39" s="76"/>
    </row>
    <row r="40" spans="2:6" ht="12.75" customHeight="1" x14ac:dyDescent="0.2">
      <c r="B40" s="76" t="s">
        <v>990</v>
      </c>
      <c r="C40" s="76"/>
      <c r="D40" s="76" t="s">
        <v>193</v>
      </c>
      <c r="E40" s="76" t="s">
        <v>194</v>
      </c>
      <c r="F40" s="76"/>
    </row>
    <row r="41" spans="2:6" ht="12.75" customHeight="1" x14ac:dyDescent="0.2">
      <c r="B41" s="76" t="s">
        <v>997</v>
      </c>
      <c r="C41" s="76"/>
      <c r="D41" s="76" t="s">
        <v>187</v>
      </c>
      <c r="E41" s="76">
        <f>_vil_input</f>
        <v>0</v>
      </c>
      <c r="F41" s="76"/>
    </row>
    <row r="42" spans="2:6" ht="12.75" customHeight="1" x14ac:dyDescent="0.2">
      <c r="B42" s="76" t="s">
        <v>997</v>
      </c>
      <c r="C42" s="76"/>
      <c r="D42" s="76" t="s">
        <v>188</v>
      </c>
      <c r="E42" s="76">
        <f>_vih_input</f>
        <v>1.8</v>
      </c>
      <c r="F42" s="76"/>
    </row>
    <row r="43" spans="2:6" ht="12.75" customHeight="1" x14ac:dyDescent="0.2">
      <c r="B43" s="76" t="s">
        <v>997</v>
      </c>
      <c r="C43" s="76"/>
      <c r="D43" s="76" t="s">
        <v>189</v>
      </c>
      <c r="E43" s="76">
        <f>_Vph_default</f>
        <v>5</v>
      </c>
      <c r="F43" s="76"/>
    </row>
    <row r="44" spans="2:6" ht="12.75" customHeight="1" x14ac:dyDescent="0.2">
      <c r="B44" s="76" t="s">
        <v>997</v>
      </c>
      <c r="C44" s="76"/>
      <c r="D44" s="76" t="s">
        <v>190</v>
      </c>
      <c r="E44" s="76">
        <f>_Iph_default</f>
        <v>0</v>
      </c>
      <c r="F44" s="76"/>
    </row>
    <row r="45" spans="2:6" ht="12.75" customHeight="1" x14ac:dyDescent="0.2">
      <c r="B45" s="76" t="s">
        <v>997</v>
      </c>
      <c r="C45" s="76"/>
      <c r="D45" s="76" t="s">
        <v>191</v>
      </c>
      <c r="E45" s="76">
        <f>_Tpr_default</f>
        <v>1.5999999999999999E-5</v>
      </c>
      <c r="F45" s="76"/>
    </row>
    <row r="46" spans="2:6" ht="12.75" customHeight="1" x14ac:dyDescent="0.2">
      <c r="B46" s="76" t="s">
        <v>997</v>
      </c>
      <c r="C46" s="76"/>
      <c r="D46" s="76" t="s">
        <v>192</v>
      </c>
      <c r="E46" s="76">
        <f>_Vfph_default</f>
        <v>6</v>
      </c>
      <c r="F46" s="76"/>
    </row>
    <row r="47" spans="2:6" ht="12.75" customHeight="1" x14ac:dyDescent="0.2">
      <c r="B47" s="76" t="s">
        <v>997</v>
      </c>
      <c r="C47" s="76"/>
      <c r="D47" s="76" t="s">
        <v>193</v>
      </c>
      <c r="E47" s="76" t="s">
        <v>194</v>
      </c>
      <c r="F47" s="76"/>
    </row>
    <row r="48" spans="2:6" ht="12.75" customHeight="1" x14ac:dyDescent="0.2">
      <c r="B48" s="76" t="s">
        <v>639</v>
      </c>
      <c r="C48" s="76"/>
      <c r="D48" s="76" t="s">
        <v>187</v>
      </c>
      <c r="E48" s="76">
        <f>_vil_input</f>
        <v>0</v>
      </c>
      <c r="F48" s="76"/>
    </row>
    <row r="49" spans="2:6" ht="12.75" customHeight="1" x14ac:dyDescent="0.2">
      <c r="B49" s="76" t="s">
        <v>639</v>
      </c>
      <c r="C49" s="76"/>
      <c r="D49" s="76" t="s">
        <v>188</v>
      </c>
      <c r="E49" s="76">
        <f>_vih_input</f>
        <v>1.8</v>
      </c>
      <c r="F49" s="76"/>
    </row>
    <row r="50" spans="2:6" ht="12.75" customHeight="1" x14ac:dyDescent="0.2">
      <c r="B50" s="76" t="s">
        <v>639</v>
      </c>
      <c r="C50" s="76"/>
      <c r="D50" s="76" t="s">
        <v>212</v>
      </c>
      <c r="E50" s="76">
        <v>0.26</v>
      </c>
      <c r="F50" s="76" t="s">
        <v>643</v>
      </c>
    </row>
    <row r="51" spans="2:6" ht="12.75" customHeight="1" x14ac:dyDescent="0.2">
      <c r="B51" s="76" t="s">
        <v>639</v>
      </c>
      <c r="C51" s="76"/>
      <c r="D51" s="76" t="s">
        <v>213</v>
      </c>
      <c r="E51" s="76">
        <f>_voh_other</f>
        <v>1.35</v>
      </c>
      <c r="F51" s="76" t="s">
        <v>644</v>
      </c>
    </row>
    <row r="52" spans="2:6" ht="12.75" customHeight="1" x14ac:dyDescent="0.2">
      <c r="B52" s="76" t="s">
        <v>639</v>
      </c>
      <c r="C52" s="76"/>
      <c r="D52" s="76" t="s">
        <v>214</v>
      </c>
      <c r="E52" s="76">
        <f>12*mA</f>
        <v>1.2E-2</v>
      </c>
      <c r="F52" s="76"/>
    </row>
    <row r="53" spans="2:6" ht="12.75" customHeight="1" x14ac:dyDescent="0.2">
      <c r="B53" s="76" t="s">
        <v>639</v>
      </c>
      <c r="C53" s="76"/>
      <c r="D53" s="76" t="s">
        <v>215</v>
      </c>
      <c r="E53" s="76">
        <f>-12*mA</f>
        <v>-1.2E-2</v>
      </c>
      <c r="F53" s="76"/>
    </row>
    <row r="54" spans="2:6" ht="12.75" customHeight="1" x14ac:dyDescent="0.2">
      <c r="B54" s="76" t="s">
        <v>639</v>
      </c>
      <c r="C54" s="76"/>
      <c r="D54" s="76" t="s">
        <v>216</v>
      </c>
      <c r="E54" s="76">
        <f>(_voh_other-_vol_other)/2+_vol_other</f>
        <v>0.80500000000000005</v>
      </c>
      <c r="F54" s="76"/>
    </row>
    <row r="55" spans="2:6" ht="12.75" customHeight="1" x14ac:dyDescent="0.2">
      <c r="B55" s="76" t="s">
        <v>639</v>
      </c>
      <c r="C55" s="76"/>
      <c r="D55" s="76" t="s">
        <v>217</v>
      </c>
      <c r="E55" s="76">
        <f>_Vch_default</f>
        <v>2.2999999999999998</v>
      </c>
      <c r="F55" s="76"/>
    </row>
    <row r="56" spans="2:6" ht="12.75" customHeight="1" x14ac:dyDescent="0.2">
      <c r="B56" s="76" t="s">
        <v>639</v>
      </c>
      <c r="C56" s="76"/>
      <c r="D56" s="76" t="s">
        <v>218</v>
      </c>
      <c r="E56" s="76">
        <f>_Vcl_default</f>
        <v>-0.5</v>
      </c>
      <c r="F56" s="76"/>
    </row>
    <row r="57" spans="2:6" ht="12.75" customHeight="1" x14ac:dyDescent="0.2">
      <c r="B57" s="76" t="s">
        <v>639</v>
      </c>
      <c r="C57" s="76"/>
      <c r="D57" s="76" t="s">
        <v>189</v>
      </c>
      <c r="E57" s="76">
        <f>_Vph_default</f>
        <v>5</v>
      </c>
      <c r="F57" s="76"/>
    </row>
    <row r="58" spans="2:6" ht="12.75" customHeight="1" x14ac:dyDescent="0.2">
      <c r="B58" s="76" t="s">
        <v>639</v>
      </c>
      <c r="C58" s="76"/>
      <c r="D58" s="76" t="s">
        <v>190</v>
      </c>
      <c r="E58" s="76">
        <f>6*mA</f>
        <v>6.0000000000000001E-3</v>
      </c>
      <c r="F58" s="76"/>
    </row>
    <row r="59" spans="2:6" ht="12.75" customHeight="1" x14ac:dyDescent="0.2">
      <c r="B59" s="76" t="s">
        <v>639</v>
      </c>
      <c r="C59" s="76"/>
      <c r="D59" s="76" t="s">
        <v>191</v>
      </c>
      <c r="E59" s="76">
        <f>_Tpr_default</f>
        <v>1.5999999999999999E-5</v>
      </c>
      <c r="F59" s="76"/>
    </row>
    <row r="60" spans="2:6" ht="12.75" customHeight="1" x14ac:dyDescent="0.2">
      <c r="B60" s="76" t="s">
        <v>639</v>
      </c>
      <c r="C60" s="76"/>
      <c r="D60" s="76" t="s">
        <v>192</v>
      </c>
      <c r="E60" s="76">
        <f>_Vfph_default</f>
        <v>6</v>
      </c>
      <c r="F60" s="76"/>
    </row>
    <row r="61" spans="2:6" ht="12.75" customHeight="1" x14ac:dyDescent="0.2">
      <c r="B61" s="76" t="s">
        <v>639</v>
      </c>
      <c r="C61" s="76"/>
      <c r="D61" s="76" t="s">
        <v>193</v>
      </c>
      <c r="E61" s="76" t="s">
        <v>194</v>
      </c>
      <c r="F61" s="76"/>
    </row>
    <row r="62" spans="2:6" ht="12.75" customHeight="1" x14ac:dyDescent="0.2">
      <c r="B62" s="76" t="s">
        <v>640</v>
      </c>
      <c r="C62" s="76"/>
      <c r="D62" s="76" t="s">
        <v>187</v>
      </c>
      <c r="E62" s="76">
        <f>_vil_input</f>
        <v>0</v>
      </c>
      <c r="F62" s="76"/>
    </row>
    <row r="63" spans="2:6" ht="12.75" customHeight="1" x14ac:dyDescent="0.2">
      <c r="B63" s="76" t="s">
        <v>640</v>
      </c>
      <c r="C63" s="76"/>
      <c r="D63" s="76" t="s">
        <v>188</v>
      </c>
      <c r="E63" s="76">
        <f>_vih_input</f>
        <v>1.8</v>
      </c>
      <c r="F63" s="76"/>
    </row>
    <row r="64" spans="2:6" ht="12.75" customHeight="1" x14ac:dyDescent="0.2">
      <c r="B64" s="76" t="s">
        <v>640</v>
      </c>
      <c r="C64" s="76"/>
      <c r="D64" s="76" t="s">
        <v>212</v>
      </c>
      <c r="E64" s="76">
        <f>_vol_other</f>
        <v>0.26</v>
      </c>
      <c r="F64" s="76"/>
    </row>
    <row r="65" spans="2:6" ht="12.75" customHeight="1" x14ac:dyDescent="0.2">
      <c r="B65" s="76" t="s">
        <v>640</v>
      </c>
      <c r="C65" s="76"/>
      <c r="D65" s="76" t="s">
        <v>213</v>
      </c>
      <c r="E65" s="76">
        <f xml:space="preserve"> _voh_other</f>
        <v>1.35</v>
      </c>
      <c r="F65" s="76"/>
    </row>
    <row r="66" spans="2:6" ht="12.75" customHeight="1" x14ac:dyDescent="0.2">
      <c r="B66" s="76" t="s">
        <v>640</v>
      </c>
      <c r="C66" s="76"/>
      <c r="D66" s="76" t="s">
        <v>214</v>
      </c>
      <c r="E66" s="76">
        <f>_gpio_Isrc</f>
        <v>0</v>
      </c>
      <c r="F66" s="76"/>
    </row>
    <row r="67" spans="2:6" ht="12.75" customHeight="1" x14ac:dyDescent="0.2">
      <c r="B67" s="76" t="s">
        <v>640</v>
      </c>
      <c r="C67" s="76"/>
      <c r="D67" s="76" t="s">
        <v>215</v>
      </c>
      <c r="E67" s="76">
        <f>_gpio_Isink</f>
        <v>-2E-3</v>
      </c>
      <c r="F67" s="76"/>
    </row>
    <row r="68" spans="2:6" ht="12.75" customHeight="1" x14ac:dyDescent="0.2">
      <c r="B68" s="76" t="s">
        <v>640</v>
      </c>
      <c r="C68" s="76"/>
      <c r="D68" s="76" t="s">
        <v>216</v>
      </c>
      <c r="E68" s="76">
        <f>0.9</f>
        <v>0.9</v>
      </c>
      <c r="F68" s="76" t="s">
        <v>642</v>
      </c>
    </row>
    <row r="69" spans="2:6" ht="12.75" customHeight="1" x14ac:dyDescent="0.2">
      <c r="B69" s="76" t="s">
        <v>640</v>
      </c>
      <c r="C69" s="76"/>
      <c r="D69" s="76" t="s">
        <v>217</v>
      </c>
      <c r="E69" s="76">
        <f>_Vch_default</f>
        <v>2.2999999999999998</v>
      </c>
      <c r="F69" s="76"/>
    </row>
    <row r="70" spans="2:6" ht="12.75" customHeight="1" x14ac:dyDescent="0.2">
      <c r="B70" s="76" t="s">
        <v>640</v>
      </c>
      <c r="C70" s="76"/>
      <c r="D70" s="76" t="s">
        <v>218</v>
      </c>
      <c r="E70" s="76">
        <f>_Vcl_default</f>
        <v>-0.5</v>
      </c>
      <c r="F70" s="76"/>
    </row>
    <row r="71" spans="2:6" ht="12.75" customHeight="1" x14ac:dyDescent="0.2">
      <c r="B71" s="76" t="s">
        <v>640</v>
      </c>
      <c r="C71" s="76"/>
      <c r="D71" s="76" t="s">
        <v>189</v>
      </c>
      <c r="E71" s="76">
        <f>_Vph_default</f>
        <v>5</v>
      </c>
      <c r="F71" s="76"/>
    </row>
    <row r="72" spans="2:6" ht="12.75" customHeight="1" x14ac:dyDescent="0.2">
      <c r="B72" s="76" t="s">
        <v>640</v>
      </c>
      <c r="C72" s="76"/>
      <c r="D72" s="76" t="s">
        <v>190</v>
      </c>
      <c r="E72" s="76">
        <f>6*mA</f>
        <v>6.0000000000000001E-3</v>
      </c>
      <c r="F72" s="76"/>
    </row>
    <row r="73" spans="2:6" ht="12.75" customHeight="1" x14ac:dyDescent="0.2">
      <c r="B73" s="76" t="s">
        <v>640</v>
      </c>
      <c r="C73" s="76"/>
      <c r="D73" s="76" t="s">
        <v>191</v>
      </c>
      <c r="E73" s="76">
        <f>_Tpr_default</f>
        <v>1.5999999999999999E-5</v>
      </c>
      <c r="F73" s="76"/>
    </row>
    <row r="74" spans="2:6" ht="12.75" customHeight="1" x14ac:dyDescent="0.2">
      <c r="B74" s="76" t="s">
        <v>640</v>
      </c>
      <c r="C74" s="76"/>
      <c r="D74" s="76" t="s">
        <v>192</v>
      </c>
      <c r="E74" s="76">
        <f>_Vfph_default</f>
        <v>6</v>
      </c>
      <c r="F74" s="76"/>
    </row>
    <row r="75" spans="2:6" ht="12.75" customHeight="1" x14ac:dyDescent="0.2">
      <c r="B75" s="76" t="s">
        <v>640</v>
      </c>
      <c r="C75" s="76"/>
      <c r="D75" s="76" t="s">
        <v>193</v>
      </c>
      <c r="E75" s="76" t="s">
        <v>194</v>
      </c>
      <c r="F75" s="76"/>
    </row>
    <row r="76" spans="2:6" ht="12.75" customHeight="1" x14ac:dyDescent="0.2">
      <c r="B76" s="76" t="s">
        <v>109</v>
      </c>
      <c r="C76" s="76"/>
      <c r="D76" s="76" t="s">
        <v>187</v>
      </c>
      <c r="E76" s="76">
        <v>0</v>
      </c>
      <c r="F76" s="76"/>
    </row>
    <row r="77" spans="2:6" ht="12.75" customHeight="1" x14ac:dyDescent="0.2">
      <c r="B77" s="76" t="s">
        <v>109</v>
      </c>
      <c r="C77" s="76"/>
      <c r="D77" s="76" t="s">
        <v>188</v>
      </c>
      <c r="E77" s="76">
        <v>1.8</v>
      </c>
      <c r="F77" s="76"/>
    </row>
    <row r="78" spans="2:6" ht="12.75" customHeight="1" x14ac:dyDescent="0.2">
      <c r="B78" s="76" t="s">
        <v>109</v>
      </c>
      <c r="C78" s="76"/>
      <c r="D78" s="76" t="s">
        <v>212</v>
      </c>
      <c r="E78" s="76">
        <v>0.3</v>
      </c>
      <c r="F78" s="76"/>
    </row>
    <row r="79" spans="2:6" ht="12.75" customHeight="1" x14ac:dyDescent="0.2">
      <c r="B79" s="76" t="s">
        <v>109</v>
      </c>
      <c r="C79" s="76"/>
      <c r="D79" s="76" t="s">
        <v>213</v>
      </c>
      <c r="E79" s="76">
        <v>1.5</v>
      </c>
      <c r="F79" s="76"/>
    </row>
    <row r="80" spans="2:6" ht="12.75" customHeight="1" x14ac:dyDescent="0.2">
      <c r="B80" s="76" t="s">
        <v>109</v>
      </c>
      <c r="C80" s="76"/>
      <c r="D80" s="76" t="s">
        <v>214</v>
      </c>
      <c r="E80" s="76">
        <v>0</v>
      </c>
      <c r="F80" s="76"/>
    </row>
    <row r="81" spans="2:6" ht="12.75" customHeight="1" x14ac:dyDescent="0.2">
      <c r="B81" s="76" t="s">
        <v>109</v>
      </c>
      <c r="C81" s="76"/>
      <c r="D81" s="76" t="s">
        <v>215</v>
      </c>
      <c r="E81" s="76">
        <v>0</v>
      </c>
      <c r="F81" s="76"/>
    </row>
    <row r="82" spans="2:6" ht="12.75" customHeight="1" x14ac:dyDescent="0.2">
      <c r="B82" s="76" t="s">
        <v>109</v>
      </c>
      <c r="C82" s="76"/>
      <c r="D82" s="76" t="s">
        <v>216</v>
      </c>
      <c r="E82" s="76">
        <v>0</v>
      </c>
      <c r="F82" s="76"/>
    </row>
    <row r="83" spans="2:6" ht="12.75" customHeight="1" x14ac:dyDescent="0.2">
      <c r="B83" s="76" t="s">
        <v>109</v>
      </c>
      <c r="C83" s="76"/>
      <c r="D83" s="76" t="s">
        <v>217</v>
      </c>
      <c r="E83" s="76">
        <f>_Vch_default</f>
        <v>2.2999999999999998</v>
      </c>
      <c r="F83" s="76"/>
    </row>
    <row r="84" spans="2:6" ht="12.75" customHeight="1" x14ac:dyDescent="0.2">
      <c r="B84" s="76" t="s">
        <v>109</v>
      </c>
      <c r="C84" s="76"/>
      <c r="D84" s="76" t="s">
        <v>218</v>
      </c>
      <c r="E84" s="76">
        <f>_Vcl_default</f>
        <v>-0.5</v>
      </c>
      <c r="F84" s="76"/>
    </row>
    <row r="85" spans="2:6" ht="12.75" customHeight="1" x14ac:dyDescent="0.2">
      <c r="B85" s="76" t="s">
        <v>109</v>
      </c>
      <c r="C85" s="76"/>
      <c r="D85" s="76" t="s">
        <v>189</v>
      </c>
      <c r="E85" s="76">
        <f>_Vph_default</f>
        <v>5</v>
      </c>
      <c r="F85" s="76"/>
    </row>
    <row r="86" spans="2:6" ht="12.75" customHeight="1" x14ac:dyDescent="0.2">
      <c r="B86" s="76" t="s">
        <v>109</v>
      </c>
      <c r="C86" s="76"/>
      <c r="D86" s="76" t="s">
        <v>190</v>
      </c>
      <c r="E86" s="76">
        <f>_Iph_default</f>
        <v>0</v>
      </c>
      <c r="F86" s="76"/>
    </row>
    <row r="87" spans="2:6" ht="12.75" customHeight="1" x14ac:dyDescent="0.2">
      <c r="B87" s="76" t="s">
        <v>109</v>
      </c>
      <c r="C87" s="76"/>
      <c r="D87" s="76" t="s">
        <v>191</v>
      </c>
      <c r="E87" s="76">
        <f>_Tpr_default</f>
        <v>1.5999999999999999E-5</v>
      </c>
      <c r="F87" s="76"/>
    </row>
    <row r="88" spans="2:6" ht="12.75" customHeight="1" x14ac:dyDescent="0.2">
      <c r="B88" s="76" t="s">
        <v>109</v>
      </c>
      <c r="C88" s="76"/>
      <c r="D88" s="76" t="s">
        <v>192</v>
      </c>
      <c r="E88" s="76">
        <f>_Vfph_default</f>
        <v>6</v>
      </c>
      <c r="F88" s="76"/>
    </row>
    <row r="89" spans="2:6" ht="12.75" customHeight="1" x14ac:dyDescent="0.2">
      <c r="B89" s="76" t="s">
        <v>109</v>
      </c>
      <c r="C89" s="76"/>
      <c r="D89" s="76" t="s">
        <v>193</v>
      </c>
      <c r="E89" s="76" t="s">
        <v>194</v>
      </c>
      <c r="F89" s="76"/>
    </row>
    <row r="90" spans="2:6" ht="12.75" customHeight="1" x14ac:dyDescent="0.2">
      <c r="B90" s="76" t="s">
        <v>911</v>
      </c>
      <c r="C90" s="76"/>
      <c r="D90" s="76" t="s">
        <v>212</v>
      </c>
      <c r="E90" s="76">
        <f>_vol_miso</f>
        <v>0.13</v>
      </c>
      <c r="F90" s="76"/>
    </row>
    <row r="91" spans="2:6" ht="12.75" customHeight="1" x14ac:dyDescent="0.2">
      <c r="B91" s="76" t="s">
        <v>911</v>
      </c>
      <c r="C91" s="76"/>
      <c r="D91" s="76" t="s">
        <v>213</v>
      </c>
      <c r="E91" s="76">
        <f>_voh_miso</f>
        <v>1.46</v>
      </c>
      <c r="F91" s="76"/>
    </row>
    <row r="92" spans="2:6" ht="12.75" customHeight="1" x14ac:dyDescent="0.2">
      <c r="B92" s="76" t="s">
        <v>911</v>
      </c>
      <c r="C92" s="76"/>
      <c r="D92" s="76" t="s">
        <v>214</v>
      </c>
      <c r="E92" s="76">
        <f>_miso_Isrc</f>
        <v>0</v>
      </c>
      <c r="F92" s="76"/>
    </row>
    <row r="93" spans="2:6" ht="12.75" customHeight="1" x14ac:dyDescent="0.2">
      <c r="B93" s="76" t="s">
        <v>911</v>
      </c>
      <c r="C93" s="76"/>
      <c r="D93" s="76" t="s">
        <v>215</v>
      </c>
      <c r="E93" s="76">
        <f>_miso_Isink</f>
        <v>0</v>
      </c>
      <c r="F93" s="76"/>
    </row>
    <row r="94" spans="2:6" ht="12.75" customHeight="1" x14ac:dyDescent="0.2">
      <c r="B94" s="76" t="s">
        <v>911</v>
      </c>
      <c r="C94" s="76"/>
      <c r="D94" s="76" t="s">
        <v>216</v>
      </c>
      <c r="E94" s="76">
        <f>(_voh_miso-_vol_miso)/2+_vol_miso</f>
        <v>0.79500000000000004</v>
      </c>
      <c r="F94" s="76"/>
    </row>
    <row r="95" spans="2:6" ht="12.75" customHeight="1" x14ac:dyDescent="0.2">
      <c r="B95" s="76" t="s">
        <v>911</v>
      </c>
      <c r="C95" s="76"/>
      <c r="D95" s="76" t="s">
        <v>217</v>
      </c>
      <c r="E95" s="76">
        <f>_Vch_default</f>
        <v>2.2999999999999998</v>
      </c>
      <c r="F95" s="76"/>
    </row>
    <row r="96" spans="2:6" ht="12.75" customHeight="1" x14ac:dyDescent="0.2">
      <c r="B96" s="76" t="s">
        <v>911</v>
      </c>
      <c r="C96" s="76"/>
      <c r="D96" s="76" t="s">
        <v>218</v>
      </c>
      <c r="E96" s="76">
        <f>_Vcl_default</f>
        <v>-0.5</v>
      </c>
      <c r="F96" s="76"/>
    </row>
    <row r="97" spans="2:6" ht="12.75" customHeight="1" x14ac:dyDescent="0.2">
      <c r="B97" s="76" t="s">
        <v>911</v>
      </c>
      <c r="C97" s="76"/>
      <c r="D97" s="76" t="s">
        <v>193</v>
      </c>
      <c r="E97" s="76" t="s">
        <v>194</v>
      </c>
      <c r="F97" s="76"/>
    </row>
    <row r="98" spans="2:6" ht="12.75" customHeight="1" x14ac:dyDescent="0.2">
      <c r="B98" s="76" t="s">
        <v>895</v>
      </c>
      <c r="C98" s="76"/>
      <c r="D98" s="76" t="s">
        <v>212</v>
      </c>
      <c r="E98" s="76">
        <f>_vol_tdo</f>
        <v>0.26</v>
      </c>
      <c r="F98" s="76"/>
    </row>
    <row r="99" spans="2:6" ht="12.75" customHeight="1" x14ac:dyDescent="0.2">
      <c r="B99" s="76" t="s">
        <v>895</v>
      </c>
      <c r="C99" s="76"/>
      <c r="D99" s="76" t="s">
        <v>213</v>
      </c>
      <c r="E99" s="76">
        <f>_voh_tdo</f>
        <v>1.37</v>
      </c>
      <c r="F99" s="76"/>
    </row>
    <row r="100" spans="2:6" ht="12.75" customHeight="1" x14ac:dyDescent="0.2">
      <c r="B100" s="76" t="s">
        <v>895</v>
      </c>
      <c r="C100" s="76"/>
      <c r="D100" s="76" t="s">
        <v>214</v>
      </c>
      <c r="E100" s="76">
        <f>_tdo_Isrc</f>
        <v>0</v>
      </c>
      <c r="F100" s="76"/>
    </row>
    <row r="101" spans="2:6" ht="12.75" customHeight="1" x14ac:dyDescent="0.2">
      <c r="B101" s="76" t="s">
        <v>895</v>
      </c>
      <c r="C101" s="76"/>
      <c r="D101" s="76" t="s">
        <v>215</v>
      </c>
      <c r="E101" s="76">
        <f>_tdo_Isink</f>
        <v>0</v>
      </c>
      <c r="F101" s="76"/>
    </row>
    <row r="102" spans="2:6" ht="12.75" customHeight="1" x14ac:dyDescent="0.2">
      <c r="B102" s="76" t="s">
        <v>895</v>
      </c>
      <c r="C102" s="76"/>
      <c r="D102" s="76" t="s">
        <v>216</v>
      </c>
      <c r="E102" s="76">
        <f>(_voh_tdo+_vol_tdo)/2</f>
        <v>0.81500000000000006</v>
      </c>
      <c r="F102" s="76"/>
    </row>
    <row r="103" spans="2:6" ht="12.75" customHeight="1" x14ac:dyDescent="0.2">
      <c r="B103" s="76" t="s">
        <v>895</v>
      </c>
      <c r="C103" s="76"/>
      <c r="D103" s="76" t="s">
        <v>217</v>
      </c>
      <c r="E103" s="76">
        <f>_Vch_default</f>
        <v>2.2999999999999998</v>
      </c>
      <c r="F103" s="76"/>
    </row>
    <row r="104" spans="2:6" ht="12.75" customHeight="1" x14ac:dyDescent="0.2">
      <c r="B104" s="76" t="s">
        <v>895</v>
      </c>
      <c r="C104" s="76"/>
      <c r="D104" s="76" t="s">
        <v>218</v>
      </c>
      <c r="E104" s="76">
        <f>_Vcl_default</f>
        <v>-0.5</v>
      </c>
      <c r="F104" s="76"/>
    </row>
    <row r="105" spans="2:6" ht="12.75" customHeight="1" x14ac:dyDescent="0.2">
      <c r="B105" s="76" t="s">
        <v>895</v>
      </c>
      <c r="C105" s="76"/>
      <c r="D105" s="76" t="s">
        <v>193</v>
      </c>
      <c r="E105" s="76" t="s">
        <v>194</v>
      </c>
      <c r="F105" s="76"/>
    </row>
    <row r="106" spans="2:6" ht="12.75" customHeight="1" x14ac:dyDescent="0.2">
      <c r="B106" s="76" t="s">
        <v>99</v>
      </c>
      <c r="C106" s="76"/>
      <c r="D106" s="76" t="s">
        <v>212</v>
      </c>
      <c r="E106" s="76">
        <f>_irq_vol</f>
        <v>0.26</v>
      </c>
      <c r="F106" s="76" t="s">
        <v>232</v>
      </c>
    </row>
    <row r="107" spans="2:6" ht="12.75" customHeight="1" x14ac:dyDescent="0.2">
      <c r="B107" s="76" t="s">
        <v>99</v>
      </c>
      <c r="C107" s="76"/>
      <c r="D107" s="76" t="s">
        <v>213</v>
      </c>
      <c r="E107" s="76">
        <f>_irq_voh</f>
        <v>1.35</v>
      </c>
      <c r="F107" s="76"/>
    </row>
    <row r="108" spans="2:6" ht="12.75" customHeight="1" x14ac:dyDescent="0.2">
      <c r="B108" s="76" t="s">
        <v>99</v>
      </c>
      <c r="C108" s="76"/>
      <c r="D108" s="76" t="s">
        <v>214</v>
      </c>
      <c r="E108" s="76">
        <f>_irqout_Isrc</f>
        <v>0</v>
      </c>
      <c r="F108" s="76" t="s">
        <v>221</v>
      </c>
    </row>
    <row r="109" spans="2:6" ht="12.75" customHeight="1" x14ac:dyDescent="0.2">
      <c r="B109" s="76" t="s">
        <v>99</v>
      </c>
      <c r="C109" s="76"/>
      <c r="D109" s="76" t="s">
        <v>215</v>
      </c>
      <c r="E109" s="76">
        <f>_irqout_Isink</f>
        <v>-2E-3</v>
      </c>
      <c r="F109" s="76" t="s">
        <v>222</v>
      </c>
    </row>
    <row r="110" spans="2:6" ht="12.75" customHeight="1" x14ac:dyDescent="0.2">
      <c r="B110" s="76" t="s">
        <v>99</v>
      </c>
      <c r="C110" s="76"/>
      <c r="D110" s="76" t="s">
        <v>216</v>
      </c>
      <c r="E110" s="76">
        <f>(_voh_other+_vol_other)/2</f>
        <v>0.80500000000000005</v>
      </c>
      <c r="F110" s="76"/>
    </row>
    <row r="111" spans="2:6" ht="12.75" customHeight="1" x14ac:dyDescent="0.2">
      <c r="B111" s="76" t="s">
        <v>99</v>
      </c>
      <c r="C111" s="76"/>
      <c r="D111" s="76" t="s">
        <v>217</v>
      </c>
      <c r="E111" s="76">
        <f>_Vch_default</f>
        <v>2.2999999999999998</v>
      </c>
      <c r="F111" s="76"/>
    </row>
    <row r="112" spans="2:6" ht="12.75" customHeight="1" x14ac:dyDescent="0.2">
      <c r="B112" s="76" t="s">
        <v>99</v>
      </c>
      <c r="C112" s="76"/>
      <c r="D112" s="76" t="s">
        <v>218</v>
      </c>
      <c r="E112" s="76">
        <f>_Vcl_default</f>
        <v>-0.5</v>
      </c>
      <c r="F112" s="76"/>
    </row>
    <row r="113" spans="2:6" ht="12.75" customHeight="1" x14ac:dyDescent="0.2">
      <c r="B113" s="76" t="s">
        <v>99</v>
      </c>
      <c r="C113" s="76"/>
      <c r="D113" s="76" t="s">
        <v>193</v>
      </c>
      <c r="E113" s="76" t="s">
        <v>194</v>
      </c>
      <c r="F113" s="76"/>
    </row>
    <row r="114" spans="2:6" ht="12.75" customHeight="1" x14ac:dyDescent="0.2">
      <c r="B114" s="76" t="s">
        <v>121</v>
      </c>
      <c r="C114" s="76"/>
      <c r="D114" s="76" t="s">
        <v>212</v>
      </c>
      <c r="E114" s="76">
        <f>_vol_other</f>
        <v>0.26</v>
      </c>
      <c r="F114" s="76"/>
    </row>
    <row r="115" spans="2:6" ht="12.75" customHeight="1" x14ac:dyDescent="0.2">
      <c r="B115" s="76" t="s">
        <v>121</v>
      </c>
      <c r="C115" s="76"/>
      <c r="D115" s="76" t="s">
        <v>213</v>
      </c>
      <c r="E115" s="76">
        <f>_voh_other</f>
        <v>1.35</v>
      </c>
      <c r="F115" s="76"/>
    </row>
    <row r="116" spans="2:6" ht="12.75" customHeight="1" x14ac:dyDescent="0.2">
      <c r="B116" s="76" t="s">
        <v>121</v>
      </c>
      <c r="C116" s="76"/>
      <c r="D116" s="76" t="s">
        <v>214</v>
      </c>
      <c r="E116" s="76">
        <v>0</v>
      </c>
      <c r="F116" s="76"/>
    </row>
    <row r="117" spans="2:6" ht="12.75" customHeight="1" x14ac:dyDescent="0.2">
      <c r="B117" s="76" t="s">
        <v>121</v>
      </c>
      <c r="C117" s="76"/>
      <c r="D117" s="76" t="s">
        <v>215</v>
      </c>
      <c r="E117" s="76">
        <v>0</v>
      </c>
      <c r="F117" s="76"/>
    </row>
    <row r="118" spans="2:6" ht="12.75" customHeight="1" x14ac:dyDescent="0.2">
      <c r="B118" s="76" t="s">
        <v>121</v>
      </c>
      <c r="C118" s="76"/>
      <c r="D118" s="76" t="s">
        <v>216</v>
      </c>
      <c r="E118" s="76">
        <f>(_voh_other+_vol_other)/2</f>
        <v>0.80500000000000005</v>
      </c>
      <c r="F118" s="76"/>
    </row>
    <row r="119" spans="2:6" ht="12.75" customHeight="1" x14ac:dyDescent="0.2">
      <c r="B119" s="76" t="s">
        <v>121</v>
      </c>
      <c r="C119" s="76"/>
      <c r="D119" s="76" t="s">
        <v>217</v>
      </c>
      <c r="E119" s="76">
        <f>_Vch_default</f>
        <v>2.2999999999999998</v>
      </c>
      <c r="F119" s="76"/>
    </row>
    <row r="120" spans="2:6" ht="12.75" customHeight="1" x14ac:dyDescent="0.2">
      <c r="B120" s="76" t="s">
        <v>121</v>
      </c>
      <c r="C120" s="76"/>
      <c r="D120" s="76" t="s">
        <v>218</v>
      </c>
      <c r="E120" s="76">
        <f>_Vcl_default</f>
        <v>-0.5</v>
      </c>
      <c r="F120" s="76"/>
    </row>
    <row r="121" spans="2:6" ht="12.75" customHeight="1" x14ac:dyDescent="0.2">
      <c r="B121" s="76" t="s">
        <v>121</v>
      </c>
      <c r="C121" s="76"/>
      <c r="D121" s="76" t="s">
        <v>193</v>
      </c>
      <c r="E121" s="76" t="s">
        <v>194</v>
      </c>
      <c r="F121" s="76"/>
    </row>
    <row r="122" spans="2:6" ht="12.75" customHeight="1" x14ac:dyDescent="0.2">
      <c r="B122" s="76" t="s">
        <v>111</v>
      </c>
      <c r="C122" s="76"/>
      <c r="D122" s="76" t="s">
        <v>212</v>
      </c>
      <c r="E122" s="76">
        <f>_vol_other</f>
        <v>0.26</v>
      </c>
      <c r="F122" s="76"/>
    </row>
    <row r="123" spans="2:6" ht="12.75" customHeight="1" x14ac:dyDescent="0.2">
      <c r="B123" s="76" t="s">
        <v>111</v>
      </c>
      <c r="C123" s="76"/>
      <c r="D123" s="76" t="s">
        <v>213</v>
      </c>
      <c r="E123" s="76">
        <f>_voh_other</f>
        <v>1.35</v>
      </c>
      <c r="F123" s="76"/>
    </row>
    <row r="124" spans="2:6" ht="12.75" customHeight="1" x14ac:dyDescent="0.2">
      <c r="B124" s="76" t="s">
        <v>111</v>
      </c>
      <c r="C124" s="76"/>
      <c r="D124" s="76" t="s">
        <v>214</v>
      </c>
      <c r="E124" s="76">
        <v>0</v>
      </c>
      <c r="F124" s="76"/>
    </row>
    <row r="125" spans="2:6" ht="12.75" customHeight="1" x14ac:dyDescent="0.2">
      <c r="B125" s="76" t="s">
        <v>111</v>
      </c>
      <c r="C125" s="76"/>
      <c r="D125" s="76" t="s">
        <v>215</v>
      </c>
      <c r="E125" s="76">
        <v>0</v>
      </c>
      <c r="F125" s="76"/>
    </row>
    <row r="126" spans="2:6" ht="12.75" customHeight="1" x14ac:dyDescent="0.2">
      <c r="B126" s="76" t="s">
        <v>111</v>
      </c>
      <c r="C126" s="76"/>
      <c r="D126" s="76" t="s">
        <v>216</v>
      </c>
      <c r="E126" s="76">
        <f>(_voh_other+_vol_other)/2</f>
        <v>0.80500000000000005</v>
      </c>
      <c r="F126" s="76"/>
    </row>
    <row r="127" spans="2:6" ht="12.75" customHeight="1" x14ac:dyDescent="0.2">
      <c r="B127" s="76" t="s">
        <v>111</v>
      </c>
      <c r="C127" s="76"/>
      <c r="D127" s="76" t="s">
        <v>217</v>
      </c>
      <c r="E127" s="76">
        <f>_Vch_default</f>
        <v>2.2999999999999998</v>
      </c>
      <c r="F127" s="76"/>
    </row>
    <row r="128" spans="2:6" ht="12.75" customHeight="1" x14ac:dyDescent="0.2">
      <c r="B128" s="76" t="s">
        <v>111</v>
      </c>
      <c r="C128" s="76"/>
      <c r="D128" s="76" t="s">
        <v>218</v>
      </c>
      <c r="E128" s="76">
        <f>_Vcl_default</f>
        <v>-0.5</v>
      </c>
      <c r="F128" s="76"/>
    </row>
    <row r="129" spans="2:6" ht="12.75" customHeight="1" x14ac:dyDescent="0.2">
      <c r="B129" s="76" t="s">
        <v>111</v>
      </c>
      <c r="C129" s="76"/>
      <c r="D129" s="76" t="s">
        <v>193</v>
      </c>
      <c r="E129" s="76" t="s">
        <v>194</v>
      </c>
      <c r="F129" s="76"/>
    </row>
    <row r="130" spans="2:6" ht="12.75" customHeight="1" x14ac:dyDescent="0.2">
      <c r="B130" s="76" t="s">
        <v>1399</v>
      </c>
      <c r="C130" s="76"/>
      <c r="D130" s="76" t="s">
        <v>187</v>
      </c>
      <c r="E130" s="76">
        <v>0.4</v>
      </c>
      <c r="F130" s="76" t="s">
        <v>261</v>
      </c>
    </row>
    <row r="131" spans="2:6" ht="12.75" customHeight="1" x14ac:dyDescent="0.2">
      <c r="B131" s="76" t="s">
        <v>1399</v>
      </c>
      <c r="C131" s="76"/>
      <c r="D131" s="76" t="s">
        <v>188</v>
      </c>
      <c r="E131" s="76">
        <v>2.7</v>
      </c>
      <c r="F131" s="76" t="s">
        <v>262</v>
      </c>
    </row>
    <row r="132" spans="2:6" ht="12.75" customHeight="1" x14ac:dyDescent="0.2">
      <c r="B132" s="76" t="s">
        <v>1399</v>
      </c>
      <c r="C132" s="76"/>
      <c r="D132" s="76" t="s">
        <v>189</v>
      </c>
      <c r="E132" s="76">
        <f>_Vph_default</f>
        <v>5</v>
      </c>
      <c r="F132" s="76"/>
    </row>
    <row r="133" spans="2:6" ht="12.75" customHeight="1" x14ac:dyDescent="0.2">
      <c r="B133" s="76" t="s">
        <v>1399</v>
      </c>
      <c r="C133" s="76"/>
      <c r="D133" s="76" t="s">
        <v>190</v>
      </c>
      <c r="E133" s="76">
        <v>0</v>
      </c>
      <c r="F133" s="76"/>
    </row>
    <row r="134" spans="2:6" ht="12.75" customHeight="1" x14ac:dyDescent="0.2">
      <c r="B134" s="76" t="s">
        <v>1399</v>
      </c>
      <c r="C134" s="76"/>
      <c r="D134" s="76" t="s">
        <v>191</v>
      </c>
      <c r="E134" s="76">
        <v>1.5999999999999999E-5</v>
      </c>
      <c r="F134" s="76"/>
    </row>
    <row r="135" spans="2:6" ht="12.75" customHeight="1" x14ac:dyDescent="0.2">
      <c r="B135" s="76" t="s">
        <v>1399</v>
      </c>
      <c r="C135" s="76"/>
      <c r="D135" s="76" t="s">
        <v>192</v>
      </c>
      <c r="E135" s="76">
        <f>_Vfph_default</f>
        <v>6</v>
      </c>
      <c r="F135" s="76"/>
    </row>
    <row r="136" spans="2:6" ht="12.75" customHeight="1" x14ac:dyDescent="0.2">
      <c r="B136" s="76" t="s">
        <v>1399</v>
      </c>
      <c r="C136" s="76"/>
      <c r="D136" s="76" t="s">
        <v>193</v>
      </c>
      <c r="E136" s="76" t="s">
        <v>194</v>
      </c>
      <c r="F136" s="76"/>
    </row>
  </sheetData>
  <autoFilter ref="D3:D4"/>
  <pageMargins left="0.7" right="0.7" top="0.75" bottom="0.75" header="0.3" footer="0.3"/>
  <pageSetup orientation="landscape" horizontalDpi="200" verticalDpi="200" copies="0" r:id="rId1"/>
  <headerFooter>
    <oddHeader>&amp;L&amp;LTeradyne IG-XL</oddHeader>
    <oddFooter>&amp;L&amp;LWorkbook '&amp;F', Sheet '&amp;A'&amp;R&amp;R&amp;D &amp;T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outlinePr summaryBelow="0" summaryRight="0"/>
  </sheetPr>
  <dimension ref="A1:F130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2.75" x14ac:dyDescent="0.2"/>
  <cols>
    <col min="1" max="1" width="9.140625" style="75"/>
    <col min="2" max="2" width="13.42578125" style="75" customWidth="1"/>
    <col min="3" max="3" width="6.28515625" style="75" customWidth="1"/>
    <col min="4" max="4" width="13.42578125" style="75" customWidth="1"/>
    <col min="5" max="5" width="17.5703125" style="75" customWidth="1"/>
    <col min="6" max="6" width="42.85546875" style="75" customWidth="1"/>
    <col min="7" max="16384" width="9.140625" style="75"/>
  </cols>
  <sheetData>
    <row r="1" spans="1:6" ht="25.5" customHeight="1" x14ac:dyDescent="0.2">
      <c r="A1" s="75" t="s">
        <v>83</v>
      </c>
      <c r="B1" s="75" t="s">
        <v>29</v>
      </c>
    </row>
    <row r="3" spans="1:6" x14ac:dyDescent="0.2">
      <c r="B3" s="75" t="s">
        <v>151</v>
      </c>
      <c r="C3" s="75" t="s">
        <v>184</v>
      </c>
      <c r="D3" s="75" t="s">
        <v>36</v>
      </c>
      <c r="E3" s="75" t="s">
        <v>16</v>
      </c>
      <c r="F3" s="75" t="s">
        <v>4</v>
      </c>
    </row>
    <row r="4" spans="1:6" ht="12.75" customHeight="1" x14ac:dyDescent="0.2">
      <c r="B4" s="76" t="s">
        <v>182</v>
      </c>
      <c r="C4" s="76"/>
      <c r="D4" s="76" t="s">
        <v>207</v>
      </c>
      <c r="E4" s="76">
        <f>_vdd18io</f>
        <v>1.8</v>
      </c>
      <c r="F4" s="76"/>
    </row>
    <row r="5" spans="1:6" ht="12.75" customHeight="1" x14ac:dyDescent="0.2">
      <c r="B5" s="76" t="s">
        <v>182</v>
      </c>
      <c r="C5" s="76"/>
      <c r="D5" s="76" t="s">
        <v>208</v>
      </c>
      <c r="E5" s="76">
        <f>200*mA</f>
        <v>0.2</v>
      </c>
      <c r="F5" s="76"/>
    </row>
    <row r="6" spans="1:6" ht="12.75" customHeight="1" x14ac:dyDescent="0.2">
      <c r="B6" s="76" t="s">
        <v>182</v>
      </c>
      <c r="C6" s="76"/>
      <c r="D6" s="76" t="s">
        <v>209</v>
      </c>
      <c r="E6" s="76">
        <v>5.0000000000000001E-3</v>
      </c>
      <c r="F6" s="76"/>
    </row>
    <row r="7" spans="1:6" ht="12.75" customHeight="1" x14ac:dyDescent="0.2">
      <c r="B7" s="76" t="s">
        <v>182</v>
      </c>
      <c r="C7" s="76"/>
      <c r="D7" s="76" t="s">
        <v>210</v>
      </c>
      <c r="E7" s="76">
        <v>0</v>
      </c>
      <c r="F7" s="76"/>
    </row>
    <row r="8" spans="1:6" ht="12.75" customHeight="1" x14ac:dyDescent="0.2">
      <c r="B8" s="76" t="s">
        <v>1591</v>
      </c>
      <c r="C8" s="76"/>
      <c r="D8" s="76" t="s">
        <v>207</v>
      </c>
      <c r="E8" s="76">
        <f>_vdd10</f>
        <v>1</v>
      </c>
      <c r="F8" s="76"/>
    </row>
    <row r="9" spans="1:6" ht="12.75" customHeight="1" x14ac:dyDescent="0.2">
      <c r="B9" s="76" t="s">
        <v>1591</v>
      </c>
      <c r="C9" s="76"/>
      <c r="D9" s="76" t="s">
        <v>208</v>
      </c>
      <c r="E9" s="76">
        <f>800*mA</f>
        <v>0.8</v>
      </c>
      <c r="F9" s="76" t="s">
        <v>1592</v>
      </c>
    </row>
    <row r="10" spans="1:6" ht="12.75" customHeight="1" x14ac:dyDescent="0.2">
      <c r="B10" s="76" t="s">
        <v>1591</v>
      </c>
      <c r="C10" s="76"/>
      <c r="D10" s="76" t="s">
        <v>209</v>
      </c>
      <c r="E10" s="76">
        <v>5.0000000000000001E-3</v>
      </c>
      <c r="F10" s="76"/>
    </row>
    <row r="11" spans="1:6" ht="12.75" customHeight="1" x14ac:dyDescent="0.2">
      <c r="B11" s="76" t="s">
        <v>1591</v>
      </c>
      <c r="C11" s="76"/>
      <c r="D11" s="76" t="s">
        <v>210</v>
      </c>
      <c r="E11" s="76">
        <v>0</v>
      </c>
      <c r="F11" s="76" t="s">
        <v>1593</v>
      </c>
    </row>
    <row r="12" spans="1:6" ht="12.75" customHeight="1" x14ac:dyDescent="0.2">
      <c r="B12" s="76" t="s">
        <v>176</v>
      </c>
      <c r="C12" s="76"/>
      <c r="D12" s="76" t="s">
        <v>207</v>
      </c>
      <c r="E12" s="76">
        <f>_avee</f>
        <v>-4</v>
      </c>
      <c r="F12" s="76" t="s">
        <v>1594</v>
      </c>
    </row>
    <row r="13" spans="1:6" ht="12.75" customHeight="1" x14ac:dyDescent="0.2">
      <c r="B13" s="76" t="s">
        <v>176</v>
      </c>
      <c r="C13" s="76"/>
      <c r="D13" s="76" t="s">
        <v>208</v>
      </c>
      <c r="E13" s="76">
        <f>800*mA</f>
        <v>0.8</v>
      </c>
      <c r="F13" s="76" t="s">
        <v>1592</v>
      </c>
    </row>
    <row r="14" spans="1:6" ht="12.75" customHeight="1" x14ac:dyDescent="0.2">
      <c r="B14" s="76" t="s">
        <v>176</v>
      </c>
      <c r="C14" s="76"/>
      <c r="D14" s="76" t="s">
        <v>209</v>
      </c>
      <c r="E14" s="76">
        <v>5.0000000000000001E-3</v>
      </c>
      <c r="F14" s="76"/>
    </row>
    <row r="15" spans="1:6" ht="12.75" customHeight="1" x14ac:dyDescent="0.2">
      <c r="B15" s="76" t="s">
        <v>176</v>
      </c>
      <c r="C15" s="76"/>
      <c r="D15" s="76" t="s">
        <v>210</v>
      </c>
      <c r="E15" s="76">
        <v>0</v>
      </c>
      <c r="F15" s="76" t="s">
        <v>1593</v>
      </c>
    </row>
    <row r="16" spans="1:6" ht="12.75" customHeight="1" x14ac:dyDescent="0.2">
      <c r="B16" s="76" t="s">
        <v>95</v>
      </c>
      <c r="C16" s="76"/>
      <c r="D16" s="76" t="s">
        <v>187</v>
      </c>
      <c r="E16" s="76">
        <f>_vil_input</f>
        <v>0</v>
      </c>
      <c r="F16" s="76"/>
    </row>
    <row r="17" spans="2:6" ht="12.75" customHeight="1" x14ac:dyDescent="0.2">
      <c r="B17" s="76" t="s">
        <v>95</v>
      </c>
      <c r="C17" s="76"/>
      <c r="D17" s="76" t="s">
        <v>188</v>
      </c>
      <c r="E17" s="76">
        <f>_vdd18io*0.65</f>
        <v>1.1700000000000002</v>
      </c>
      <c r="F17" s="76"/>
    </row>
    <row r="18" spans="2:6" ht="12.75" customHeight="1" x14ac:dyDescent="0.2">
      <c r="B18" s="76" t="s">
        <v>95</v>
      </c>
      <c r="C18" s="76"/>
      <c r="D18" s="76" t="s">
        <v>189</v>
      </c>
      <c r="E18" s="76">
        <f>_Vph_default</f>
        <v>5</v>
      </c>
      <c r="F18" s="76"/>
    </row>
    <row r="19" spans="2:6" ht="12.75" customHeight="1" x14ac:dyDescent="0.2">
      <c r="B19" s="76" t="s">
        <v>95</v>
      </c>
      <c r="C19" s="76"/>
      <c r="D19" s="76" t="s">
        <v>190</v>
      </c>
      <c r="E19" s="76">
        <f>1*mA</f>
        <v>1E-3</v>
      </c>
      <c r="F19" s="76"/>
    </row>
    <row r="20" spans="2:6" ht="12.75" customHeight="1" x14ac:dyDescent="0.2">
      <c r="B20" s="76" t="s">
        <v>95</v>
      </c>
      <c r="C20" s="76"/>
      <c r="D20" s="76" t="s">
        <v>191</v>
      </c>
      <c r="E20" s="76">
        <f>_Tpr_default</f>
        <v>1.5999999999999999E-5</v>
      </c>
      <c r="F20" s="76"/>
    </row>
    <row r="21" spans="2:6" ht="12.75" customHeight="1" x14ac:dyDescent="0.2">
      <c r="B21" s="76" t="s">
        <v>95</v>
      </c>
      <c r="C21" s="76"/>
      <c r="D21" s="76" t="s">
        <v>192</v>
      </c>
      <c r="E21" s="76">
        <f>_Vfph_default</f>
        <v>6</v>
      </c>
      <c r="F21" s="76"/>
    </row>
    <row r="22" spans="2:6" ht="12.75" customHeight="1" x14ac:dyDescent="0.2">
      <c r="B22" s="76" t="s">
        <v>95</v>
      </c>
      <c r="C22" s="76"/>
      <c r="D22" s="76" t="s">
        <v>193</v>
      </c>
      <c r="E22" s="76" t="s">
        <v>194</v>
      </c>
      <c r="F22" s="76"/>
    </row>
    <row r="23" spans="2:6" ht="12.75" customHeight="1" x14ac:dyDescent="0.2">
      <c r="B23" s="76" t="s">
        <v>1422</v>
      </c>
      <c r="C23" s="76"/>
      <c r="D23" s="76" t="s">
        <v>207</v>
      </c>
      <c r="E23" s="76">
        <f>_vqps</f>
        <v>0</v>
      </c>
      <c r="F23" s="76"/>
    </row>
    <row r="24" spans="2:6" ht="12.75" customHeight="1" x14ac:dyDescent="0.2">
      <c r="B24" s="76" t="s">
        <v>1422</v>
      </c>
      <c r="C24" s="76"/>
      <c r="D24" s="76" t="s">
        <v>208</v>
      </c>
      <c r="E24" s="76">
        <f>20*mA</f>
        <v>0.02</v>
      </c>
      <c r="F24" s="76"/>
    </row>
    <row r="25" spans="2:6" ht="12.75" customHeight="1" x14ac:dyDescent="0.2">
      <c r="B25" s="76" t="s">
        <v>1422</v>
      </c>
      <c r="C25" s="76"/>
      <c r="D25" s="76" t="s">
        <v>209</v>
      </c>
      <c r="E25" s="76">
        <v>5.0000000000000001E-3</v>
      </c>
      <c r="F25" s="76"/>
    </row>
    <row r="26" spans="2:6" ht="12.75" customHeight="1" x14ac:dyDescent="0.2">
      <c r="B26" s="76" t="s">
        <v>1422</v>
      </c>
      <c r="C26" s="76"/>
      <c r="D26" s="76" t="s">
        <v>210</v>
      </c>
      <c r="E26" s="76">
        <v>0</v>
      </c>
      <c r="F26" s="76"/>
    </row>
    <row r="27" spans="2:6" ht="12.75" customHeight="1" x14ac:dyDescent="0.2">
      <c r="B27" s="76" t="s">
        <v>1595</v>
      </c>
      <c r="C27" s="76"/>
      <c r="D27" s="76" t="s">
        <v>187</v>
      </c>
      <c r="E27" s="76">
        <f>_vil_input</f>
        <v>0</v>
      </c>
      <c r="F27" s="76"/>
    </row>
    <row r="28" spans="2:6" ht="12.75" customHeight="1" x14ac:dyDescent="0.2">
      <c r="B28" s="76" t="s">
        <v>1595</v>
      </c>
      <c r="C28" s="76"/>
      <c r="D28" s="76" t="s">
        <v>188</v>
      </c>
      <c r="E28" s="76">
        <f>_vih_input</f>
        <v>1.8</v>
      </c>
      <c r="F28" s="76"/>
    </row>
    <row r="29" spans="2:6" ht="12.75" customHeight="1" x14ac:dyDescent="0.2">
      <c r="B29" s="76" t="s">
        <v>1595</v>
      </c>
      <c r="C29" s="76"/>
      <c r="D29" s="76" t="s">
        <v>189</v>
      </c>
      <c r="E29" s="76">
        <f>_Vph_default</f>
        <v>5</v>
      </c>
      <c r="F29" s="76" t="s">
        <v>203</v>
      </c>
    </row>
    <row r="30" spans="2:6" ht="12.75" customHeight="1" x14ac:dyDescent="0.2">
      <c r="B30" s="76" t="s">
        <v>1595</v>
      </c>
      <c r="C30" s="76"/>
      <c r="D30" s="76" t="s">
        <v>190</v>
      </c>
      <c r="E30" s="76">
        <f>100*uA</f>
        <v>9.9999999999999991E-5</v>
      </c>
      <c r="F30" s="76" t="s">
        <v>204</v>
      </c>
    </row>
    <row r="31" spans="2:6" ht="12.75" customHeight="1" x14ac:dyDescent="0.2">
      <c r="B31" s="76" t="s">
        <v>1595</v>
      </c>
      <c r="C31" s="76"/>
      <c r="D31" s="76" t="s">
        <v>191</v>
      </c>
      <c r="E31" s="76">
        <f>_Tpr_default</f>
        <v>1.5999999999999999E-5</v>
      </c>
      <c r="F31" s="76"/>
    </row>
    <row r="32" spans="2:6" ht="12.75" customHeight="1" x14ac:dyDescent="0.2">
      <c r="B32" s="76" t="s">
        <v>1595</v>
      </c>
      <c r="C32" s="76"/>
      <c r="D32" s="76" t="s">
        <v>192</v>
      </c>
      <c r="E32" s="76">
        <f>_Vfph_default</f>
        <v>6</v>
      </c>
      <c r="F32" s="76"/>
    </row>
    <row r="33" spans="2:6" ht="12.75" customHeight="1" x14ac:dyDescent="0.2">
      <c r="B33" s="76" t="s">
        <v>1595</v>
      </c>
      <c r="C33" s="76"/>
      <c r="D33" s="76" t="s">
        <v>193</v>
      </c>
      <c r="E33" s="76" t="s">
        <v>194</v>
      </c>
      <c r="F33" s="76"/>
    </row>
    <row r="34" spans="2:6" ht="12.75" customHeight="1" x14ac:dyDescent="0.2">
      <c r="B34" s="76" t="s">
        <v>1596</v>
      </c>
      <c r="C34" s="76"/>
      <c r="D34" s="76" t="s">
        <v>187</v>
      </c>
      <c r="E34" s="76">
        <f>_vil_pif</f>
        <v>0.05</v>
      </c>
      <c r="F34" s="76"/>
    </row>
    <row r="35" spans="2:6" ht="12.75" customHeight="1" x14ac:dyDescent="0.2">
      <c r="B35" s="76" t="s">
        <v>1596</v>
      </c>
      <c r="C35" s="76"/>
      <c r="D35" s="76" t="s">
        <v>188</v>
      </c>
      <c r="E35" s="76">
        <f>_vih_pif</f>
        <v>0.7</v>
      </c>
      <c r="F35" s="76"/>
    </row>
    <row r="36" spans="2:6" ht="12.75" customHeight="1" x14ac:dyDescent="0.2">
      <c r="B36" s="76" t="s">
        <v>1596</v>
      </c>
      <c r="C36" s="76"/>
      <c r="D36" s="76" t="s">
        <v>189</v>
      </c>
      <c r="E36" s="76">
        <f>_Vph_default</f>
        <v>5</v>
      </c>
      <c r="F36" s="76" t="s">
        <v>203</v>
      </c>
    </row>
    <row r="37" spans="2:6" ht="12.75" customHeight="1" x14ac:dyDescent="0.2">
      <c r="B37" s="76" t="s">
        <v>1596</v>
      </c>
      <c r="C37" s="76"/>
      <c r="D37" s="76" t="s">
        <v>190</v>
      </c>
      <c r="E37" s="76">
        <f>1*uA</f>
        <v>9.9999999999999995E-7</v>
      </c>
      <c r="F37" s="76" t="s">
        <v>204</v>
      </c>
    </row>
    <row r="38" spans="2:6" ht="12.75" customHeight="1" x14ac:dyDescent="0.2">
      <c r="B38" s="76" t="s">
        <v>1596</v>
      </c>
      <c r="C38" s="76"/>
      <c r="D38" s="76" t="s">
        <v>191</v>
      </c>
      <c r="E38" s="76">
        <f>_Tpr_default</f>
        <v>1.5999999999999999E-5</v>
      </c>
      <c r="F38" s="76"/>
    </row>
    <row r="39" spans="2:6" ht="12.75" customHeight="1" x14ac:dyDescent="0.2">
      <c r="B39" s="76" t="s">
        <v>1596</v>
      </c>
      <c r="C39" s="76"/>
      <c r="D39" s="76" t="s">
        <v>192</v>
      </c>
      <c r="E39" s="76">
        <f>_Vfph_default</f>
        <v>6</v>
      </c>
      <c r="F39" s="76"/>
    </row>
    <row r="40" spans="2:6" ht="12.75" customHeight="1" x14ac:dyDescent="0.2">
      <c r="B40" s="76" t="s">
        <v>1596</v>
      </c>
      <c r="C40" s="76"/>
      <c r="D40" s="76" t="s">
        <v>193</v>
      </c>
      <c r="E40" s="76" t="s">
        <v>194</v>
      </c>
      <c r="F40" s="76"/>
    </row>
    <row r="41" spans="2:6" ht="12.75" customHeight="1" x14ac:dyDescent="0.2">
      <c r="B41" s="76" t="s">
        <v>997</v>
      </c>
      <c r="C41" s="76"/>
      <c r="D41" s="76" t="s">
        <v>187</v>
      </c>
      <c r="E41" s="76">
        <f>_vil_input</f>
        <v>0</v>
      </c>
      <c r="F41" s="76"/>
    </row>
    <row r="42" spans="2:6" ht="12.75" customHeight="1" x14ac:dyDescent="0.2">
      <c r="B42" s="76" t="s">
        <v>997</v>
      </c>
      <c r="C42" s="76"/>
      <c r="D42" s="76" t="s">
        <v>188</v>
      </c>
      <c r="E42" s="76">
        <f>_vih_input</f>
        <v>1.8</v>
      </c>
      <c r="F42" s="76"/>
    </row>
    <row r="43" spans="2:6" ht="12.75" customHeight="1" x14ac:dyDescent="0.2">
      <c r="B43" s="76" t="s">
        <v>997</v>
      </c>
      <c r="C43" s="76"/>
      <c r="D43" s="76" t="s">
        <v>189</v>
      </c>
      <c r="E43" s="76">
        <f>_Vph_default</f>
        <v>5</v>
      </c>
      <c r="F43" s="76"/>
    </row>
    <row r="44" spans="2:6" ht="12.75" customHeight="1" x14ac:dyDescent="0.2">
      <c r="B44" s="76" t="s">
        <v>997</v>
      </c>
      <c r="C44" s="76"/>
      <c r="D44" s="76" t="s">
        <v>190</v>
      </c>
      <c r="E44" s="76">
        <f>_Iph_default</f>
        <v>0</v>
      </c>
      <c r="F44" s="76"/>
    </row>
    <row r="45" spans="2:6" ht="12.75" customHeight="1" x14ac:dyDescent="0.2">
      <c r="B45" s="76" t="s">
        <v>997</v>
      </c>
      <c r="C45" s="76"/>
      <c r="D45" s="76" t="s">
        <v>191</v>
      </c>
      <c r="E45" s="76">
        <f>_Tpr_default</f>
        <v>1.5999999999999999E-5</v>
      </c>
      <c r="F45" s="76"/>
    </row>
    <row r="46" spans="2:6" ht="12.75" customHeight="1" x14ac:dyDescent="0.2">
      <c r="B46" s="76" t="s">
        <v>997</v>
      </c>
      <c r="C46" s="76"/>
      <c r="D46" s="76" t="s">
        <v>192</v>
      </c>
      <c r="E46" s="76">
        <f>_Vfph_default</f>
        <v>6</v>
      </c>
      <c r="F46" s="76"/>
    </row>
    <row r="47" spans="2:6" ht="12.75" customHeight="1" x14ac:dyDescent="0.2">
      <c r="B47" s="76" t="s">
        <v>997</v>
      </c>
      <c r="C47" s="76"/>
      <c r="D47" s="76" t="s">
        <v>193</v>
      </c>
      <c r="E47" s="76" t="s">
        <v>194</v>
      </c>
      <c r="F47" s="76"/>
    </row>
    <row r="48" spans="2:6" ht="12.75" customHeight="1" x14ac:dyDescent="0.2">
      <c r="B48" s="76" t="s">
        <v>639</v>
      </c>
      <c r="C48" s="76"/>
      <c r="D48" s="76" t="s">
        <v>187</v>
      </c>
      <c r="E48" s="76">
        <f>_vil_input</f>
        <v>0</v>
      </c>
      <c r="F48" s="76"/>
    </row>
    <row r="49" spans="2:6" ht="12.75" customHeight="1" x14ac:dyDescent="0.2">
      <c r="B49" s="76" t="s">
        <v>639</v>
      </c>
      <c r="C49" s="76"/>
      <c r="D49" s="76" t="s">
        <v>188</v>
      </c>
      <c r="E49" s="76">
        <f>_vih_input</f>
        <v>1.8</v>
      </c>
      <c r="F49" s="76"/>
    </row>
    <row r="50" spans="2:6" ht="12.75" customHeight="1" x14ac:dyDescent="0.2">
      <c r="B50" s="76" t="s">
        <v>639</v>
      </c>
      <c r="C50" s="76"/>
      <c r="D50" s="76" t="s">
        <v>212</v>
      </c>
      <c r="E50" s="76">
        <v>0.26</v>
      </c>
      <c r="F50" s="76" t="s">
        <v>643</v>
      </c>
    </row>
    <row r="51" spans="2:6" ht="12.75" customHeight="1" x14ac:dyDescent="0.2">
      <c r="B51" s="76" t="s">
        <v>639</v>
      </c>
      <c r="C51" s="76"/>
      <c r="D51" s="76" t="s">
        <v>213</v>
      </c>
      <c r="E51" s="76">
        <f>_voh_other</f>
        <v>1.35</v>
      </c>
      <c r="F51" s="76" t="s">
        <v>644</v>
      </c>
    </row>
    <row r="52" spans="2:6" ht="12.75" customHeight="1" x14ac:dyDescent="0.2">
      <c r="B52" s="76" t="s">
        <v>639</v>
      </c>
      <c r="C52" s="76"/>
      <c r="D52" s="76" t="s">
        <v>214</v>
      </c>
      <c r="E52" s="76">
        <f>12*mA</f>
        <v>1.2E-2</v>
      </c>
      <c r="F52" s="76"/>
    </row>
    <row r="53" spans="2:6" ht="12.75" customHeight="1" x14ac:dyDescent="0.2">
      <c r="B53" s="76" t="s">
        <v>639</v>
      </c>
      <c r="C53" s="76"/>
      <c r="D53" s="76" t="s">
        <v>215</v>
      </c>
      <c r="E53" s="76">
        <f>-12*mA</f>
        <v>-1.2E-2</v>
      </c>
      <c r="F53" s="76"/>
    </row>
    <row r="54" spans="2:6" ht="12.75" customHeight="1" x14ac:dyDescent="0.2">
      <c r="B54" s="76" t="s">
        <v>639</v>
      </c>
      <c r="C54" s="76"/>
      <c r="D54" s="76" t="s">
        <v>216</v>
      </c>
      <c r="E54" s="76">
        <f>(_voh_other-_vol_other)/2+_vol_other</f>
        <v>0.80500000000000005</v>
      </c>
      <c r="F54" s="76"/>
    </row>
    <row r="55" spans="2:6" ht="12.75" customHeight="1" x14ac:dyDescent="0.2">
      <c r="B55" s="76" t="s">
        <v>639</v>
      </c>
      <c r="C55" s="76"/>
      <c r="D55" s="76" t="s">
        <v>217</v>
      </c>
      <c r="E55" s="76">
        <v>3</v>
      </c>
      <c r="F55" s="76"/>
    </row>
    <row r="56" spans="2:6" ht="12.75" customHeight="1" x14ac:dyDescent="0.2">
      <c r="B56" s="76" t="s">
        <v>639</v>
      </c>
      <c r="C56" s="76"/>
      <c r="D56" s="76" t="s">
        <v>218</v>
      </c>
      <c r="E56" s="76">
        <v>-1</v>
      </c>
      <c r="F56" s="76"/>
    </row>
    <row r="57" spans="2:6" ht="12.75" customHeight="1" x14ac:dyDescent="0.2">
      <c r="B57" s="76" t="s">
        <v>639</v>
      </c>
      <c r="C57" s="76"/>
      <c r="D57" s="76" t="s">
        <v>189</v>
      </c>
      <c r="E57" s="76">
        <f>_Vph_default</f>
        <v>5</v>
      </c>
      <c r="F57" s="76"/>
    </row>
    <row r="58" spans="2:6" ht="12.75" customHeight="1" x14ac:dyDescent="0.2">
      <c r="B58" s="76" t="s">
        <v>639</v>
      </c>
      <c r="C58" s="76"/>
      <c r="D58" s="76" t="s">
        <v>190</v>
      </c>
      <c r="E58" s="76">
        <f>6*mA</f>
        <v>6.0000000000000001E-3</v>
      </c>
      <c r="F58" s="76"/>
    </row>
    <row r="59" spans="2:6" ht="12.75" customHeight="1" x14ac:dyDescent="0.2">
      <c r="B59" s="76" t="s">
        <v>639</v>
      </c>
      <c r="C59" s="76"/>
      <c r="D59" s="76" t="s">
        <v>191</v>
      </c>
      <c r="E59" s="76">
        <f>_Tpr_default</f>
        <v>1.5999999999999999E-5</v>
      </c>
      <c r="F59" s="76"/>
    </row>
    <row r="60" spans="2:6" ht="12.75" customHeight="1" x14ac:dyDescent="0.2">
      <c r="B60" s="76" t="s">
        <v>639</v>
      </c>
      <c r="C60" s="76"/>
      <c r="D60" s="76" t="s">
        <v>192</v>
      </c>
      <c r="E60" s="76">
        <f>_Vfph_default</f>
        <v>6</v>
      </c>
      <c r="F60" s="76"/>
    </row>
    <row r="61" spans="2:6" ht="12.75" customHeight="1" x14ac:dyDescent="0.2">
      <c r="B61" s="76" t="s">
        <v>639</v>
      </c>
      <c r="C61" s="76"/>
      <c r="D61" s="76" t="s">
        <v>193</v>
      </c>
      <c r="E61" s="76" t="s">
        <v>194</v>
      </c>
      <c r="F61" s="76"/>
    </row>
    <row r="62" spans="2:6" ht="12.75" customHeight="1" x14ac:dyDescent="0.2">
      <c r="B62" s="76" t="s">
        <v>640</v>
      </c>
      <c r="C62" s="76"/>
      <c r="D62" s="76" t="s">
        <v>187</v>
      </c>
      <c r="E62" s="76">
        <f>_vil_input</f>
        <v>0</v>
      </c>
      <c r="F62" s="76"/>
    </row>
    <row r="63" spans="2:6" ht="12.75" customHeight="1" x14ac:dyDescent="0.2">
      <c r="B63" s="76" t="s">
        <v>640</v>
      </c>
      <c r="C63" s="76"/>
      <c r="D63" s="76" t="s">
        <v>188</v>
      </c>
      <c r="E63" s="76">
        <f>_vih_input</f>
        <v>1.8</v>
      </c>
      <c r="F63" s="76"/>
    </row>
    <row r="64" spans="2:6" ht="12.75" customHeight="1" x14ac:dyDescent="0.2">
      <c r="B64" s="76" t="s">
        <v>640</v>
      </c>
      <c r="C64" s="76"/>
      <c r="D64" s="76" t="s">
        <v>212</v>
      </c>
      <c r="E64" s="76">
        <f>_vol_other</f>
        <v>0.26</v>
      </c>
      <c r="F64" s="76"/>
    </row>
    <row r="65" spans="2:6" ht="12.75" customHeight="1" x14ac:dyDescent="0.2">
      <c r="B65" s="76" t="s">
        <v>640</v>
      </c>
      <c r="C65" s="76"/>
      <c r="D65" s="76" t="s">
        <v>213</v>
      </c>
      <c r="E65" s="76">
        <f xml:space="preserve"> _voh_other</f>
        <v>1.35</v>
      </c>
      <c r="F65" s="76"/>
    </row>
    <row r="66" spans="2:6" ht="12.75" customHeight="1" x14ac:dyDescent="0.2">
      <c r="B66" s="76" t="s">
        <v>640</v>
      </c>
      <c r="C66" s="76"/>
      <c r="D66" s="76" t="s">
        <v>214</v>
      </c>
      <c r="E66" s="76">
        <f>_gpio_Isrc</f>
        <v>0</v>
      </c>
      <c r="F66" s="76"/>
    </row>
    <row r="67" spans="2:6" ht="12.75" customHeight="1" x14ac:dyDescent="0.2">
      <c r="B67" s="76" t="s">
        <v>640</v>
      </c>
      <c r="C67" s="76"/>
      <c r="D67" s="76" t="s">
        <v>215</v>
      </c>
      <c r="E67" s="76">
        <f>_gpio_Isink</f>
        <v>-2E-3</v>
      </c>
      <c r="F67" s="76"/>
    </row>
    <row r="68" spans="2:6" ht="12.75" customHeight="1" x14ac:dyDescent="0.2">
      <c r="B68" s="76" t="s">
        <v>640</v>
      </c>
      <c r="C68" s="76"/>
      <c r="D68" s="76" t="s">
        <v>216</v>
      </c>
      <c r="E68" s="76">
        <f>0.9</f>
        <v>0.9</v>
      </c>
      <c r="F68" s="76" t="s">
        <v>642</v>
      </c>
    </row>
    <row r="69" spans="2:6" ht="12.75" customHeight="1" x14ac:dyDescent="0.2">
      <c r="B69" s="76" t="s">
        <v>640</v>
      </c>
      <c r="C69" s="76"/>
      <c r="D69" s="76" t="s">
        <v>217</v>
      </c>
      <c r="E69" s="76">
        <v>3</v>
      </c>
      <c r="F69" s="76"/>
    </row>
    <row r="70" spans="2:6" ht="12.75" customHeight="1" x14ac:dyDescent="0.2">
      <c r="B70" s="76" t="s">
        <v>640</v>
      </c>
      <c r="C70" s="76"/>
      <c r="D70" s="76" t="s">
        <v>218</v>
      </c>
      <c r="E70" s="76">
        <v>-1</v>
      </c>
      <c r="F70" s="76"/>
    </row>
    <row r="71" spans="2:6" ht="12.75" customHeight="1" x14ac:dyDescent="0.2">
      <c r="B71" s="76" t="s">
        <v>640</v>
      </c>
      <c r="C71" s="76"/>
      <c r="D71" s="76" t="s">
        <v>189</v>
      </c>
      <c r="E71" s="76">
        <f>_Vph_default</f>
        <v>5</v>
      </c>
      <c r="F71" s="76"/>
    </row>
    <row r="72" spans="2:6" ht="12.75" customHeight="1" x14ac:dyDescent="0.2">
      <c r="B72" s="76" t="s">
        <v>640</v>
      </c>
      <c r="C72" s="76"/>
      <c r="D72" s="76" t="s">
        <v>190</v>
      </c>
      <c r="E72" s="76">
        <f>6*mA</f>
        <v>6.0000000000000001E-3</v>
      </c>
      <c r="F72" s="76"/>
    </row>
    <row r="73" spans="2:6" ht="12.75" customHeight="1" x14ac:dyDescent="0.2">
      <c r="B73" s="76" t="s">
        <v>640</v>
      </c>
      <c r="C73" s="76"/>
      <c r="D73" s="76" t="s">
        <v>191</v>
      </c>
      <c r="E73" s="76">
        <f>_Tpr_default</f>
        <v>1.5999999999999999E-5</v>
      </c>
      <c r="F73" s="76"/>
    </row>
    <row r="74" spans="2:6" ht="12.75" customHeight="1" x14ac:dyDescent="0.2">
      <c r="B74" s="76" t="s">
        <v>640</v>
      </c>
      <c r="C74" s="76"/>
      <c r="D74" s="76" t="s">
        <v>192</v>
      </c>
      <c r="E74" s="76">
        <f>_Vfph_default</f>
        <v>6</v>
      </c>
      <c r="F74" s="76"/>
    </row>
    <row r="75" spans="2:6" ht="12.75" customHeight="1" x14ac:dyDescent="0.2">
      <c r="B75" s="76" t="s">
        <v>640</v>
      </c>
      <c r="C75" s="76"/>
      <c r="D75" s="76" t="s">
        <v>193</v>
      </c>
      <c r="E75" s="76" t="s">
        <v>1597</v>
      </c>
      <c r="F75" s="76"/>
    </row>
    <row r="76" spans="2:6" ht="12.75" customHeight="1" x14ac:dyDescent="0.2">
      <c r="B76" s="76" t="s">
        <v>1598</v>
      </c>
      <c r="C76" s="76"/>
      <c r="D76" s="76" t="s">
        <v>212</v>
      </c>
      <c r="E76" s="76">
        <f>_vol_miso</f>
        <v>0.13</v>
      </c>
      <c r="F76" s="76" t="s">
        <v>1599</v>
      </c>
    </row>
    <row r="77" spans="2:6" ht="12.75" customHeight="1" x14ac:dyDescent="0.2">
      <c r="B77" s="76" t="s">
        <v>1598</v>
      </c>
      <c r="C77" s="76"/>
      <c r="D77" s="76" t="s">
        <v>213</v>
      </c>
      <c r="E77" s="76">
        <f>_voh_miso</f>
        <v>1.46</v>
      </c>
      <c r="F77" s="76"/>
    </row>
    <row r="78" spans="2:6" ht="12.75" customHeight="1" x14ac:dyDescent="0.2">
      <c r="B78" s="76" t="s">
        <v>1598</v>
      </c>
      <c r="C78" s="76"/>
      <c r="D78" s="76" t="s">
        <v>214</v>
      </c>
      <c r="E78" s="76">
        <f>_miso_Isrc</f>
        <v>0</v>
      </c>
      <c r="F78" s="76" t="s">
        <v>1600</v>
      </c>
    </row>
    <row r="79" spans="2:6" ht="12.75" customHeight="1" x14ac:dyDescent="0.2">
      <c r="B79" s="76" t="s">
        <v>1598</v>
      </c>
      <c r="C79" s="76"/>
      <c r="D79" s="76" t="s">
        <v>215</v>
      </c>
      <c r="E79" s="76">
        <f>_miso_Isink</f>
        <v>0</v>
      </c>
      <c r="F79" s="76" t="s">
        <v>1601</v>
      </c>
    </row>
    <row r="80" spans="2:6" ht="12.75" customHeight="1" x14ac:dyDescent="0.2">
      <c r="B80" s="76" t="s">
        <v>1598</v>
      </c>
      <c r="C80" s="76"/>
      <c r="D80" s="76" t="s">
        <v>216</v>
      </c>
      <c r="E80" s="76">
        <f>(_voh_miso-_vol_miso)/2+_vol_miso</f>
        <v>0.79500000000000004</v>
      </c>
      <c r="F80" s="76" t="s">
        <v>1602</v>
      </c>
    </row>
    <row r="81" spans="2:6" ht="12.75" customHeight="1" x14ac:dyDescent="0.2">
      <c r="B81" s="76" t="s">
        <v>1598</v>
      </c>
      <c r="C81" s="76"/>
      <c r="D81" s="76" t="s">
        <v>217</v>
      </c>
      <c r="E81" s="76">
        <v>3</v>
      </c>
      <c r="F81" s="76" t="s">
        <v>1603</v>
      </c>
    </row>
    <row r="82" spans="2:6" ht="12.75" customHeight="1" x14ac:dyDescent="0.2">
      <c r="B82" s="76" t="s">
        <v>1598</v>
      </c>
      <c r="C82" s="76"/>
      <c r="D82" s="76" t="s">
        <v>218</v>
      </c>
      <c r="E82" s="76">
        <v>-1</v>
      </c>
      <c r="F82" s="76"/>
    </row>
    <row r="83" spans="2:6" ht="12.75" customHeight="1" x14ac:dyDescent="0.2">
      <c r="B83" s="76" t="s">
        <v>1598</v>
      </c>
      <c r="C83" s="76"/>
      <c r="D83" s="76" t="s">
        <v>193</v>
      </c>
      <c r="E83" s="76" t="s">
        <v>194</v>
      </c>
      <c r="F83" s="76"/>
    </row>
    <row r="84" spans="2:6" ht="12.75" customHeight="1" x14ac:dyDescent="0.2">
      <c r="B84" s="76" t="s">
        <v>911</v>
      </c>
      <c r="C84" s="76"/>
      <c r="D84" s="76" t="s">
        <v>212</v>
      </c>
      <c r="E84" s="76">
        <f>_vol_miso</f>
        <v>0.13</v>
      </c>
      <c r="F84" s="76"/>
    </row>
    <row r="85" spans="2:6" ht="12.75" customHeight="1" x14ac:dyDescent="0.2">
      <c r="B85" s="76" t="s">
        <v>911</v>
      </c>
      <c r="C85" s="76"/>
      <c r="D85" s="76" t="s">
        <v>213</v>
      </c>
      <c r="E85" s="76">
        <f>_voh_miso</f>
        <v>1.46</v>
      </c>
      <c r="F85" s="76"/>
    </row>
    <row r="86" spans="2:6" ht="12.75" customHeight="1" x14ac:dyDescent="0.2">
      <c r="B86" s="76" t="s">
        <v>911</v>
      </c>
      <c r="C86" s="76"/>
      <c r="D86" s="76" t="s">
        <v>214</v>
      </c>
      <c r="E86" s="76">
        <f>_miso_Isrc</f>
        <v>0</v>
      </c>
      <c r="F86" s="76"/>
    </row>
    <row r="87" spans="2:6" ht="12.75" customHeight="1" x14ac:dyDescent="0.2">
      <c r="B87" s="76" t="s">
        <v>911</v>
      </c>
      <c r="C87" s="76"/>
      <c r="D87" s="76" t="s">
        <v>215</v>
      </c>
      <c r="E87" s="76">
        <f>_miso_Isink</f>
        <v>0</v>
      </c>
      <c r="F87" s="76"/>
    </row>
    <row r="88" spans="2:6" ht="12.75" customHeight="1" x14ac:dyDescent="0.2">
      <c r="B88" s="76" t="s">
        <v>911</v>
      </c>
      <c r="C88" s="76"/>
      <c r="D88" s="76" t="s">
        <v>216</v>
      </c>
      <c r="E88" s="76">
        <f>(_voh_miso-_vol_miso)/2+_vol_miso</f>
        <v>0.79500000000000004</v>
      </c>
      <c r="F88" s="76"/>
    </row>
    <row r="89" spans="2:6" ht="12.75" customHeight="1" x14ac:dyDescent="0.2">
      <c r="B89" s="76" t="s">
        <v>911</v>
      </c>
      <c r="C89" s="76"/>
      <c r="D89" s="76" t="s">
        <v>217</v>
      </c>
      <c r="E89" s="76">
        <v>3</v>
      </c>
      <c r="F89" s="76"/>
    </row>
    <row r="90" spans="2:6" ht="12.75" customHeight="1" x14ac:dyDescent="0.2">
      <c r="B90" s="76" t="s">
        <v>911</v>
      </c>
      <c r="C90" s="76"/>
      <c r="D90" s="76" t="s">
        <v>218</v>
      </c>
      <c r="E90" s="76">
        <v>-1</v>
      </c>
      <c r="F90" s="76"/>
    </row>
    <row r="91" spans="2:6" ht="12.75" customHeight="1" x14ac:dyDescent="0.2">
      <c r="B91" s="76" t="s">
        <v>911</v>
      </c>
      <c r="C91" s="76"/>
      <c r="D91" s="76" t="s">
        <v>193</v>
      </c>
      <c r="E91" s="76" t="s">
        <v>194</v>
      </c>
      <c r="F91" s="76"/>
    </row>
    <row r="92" spans="2:6" ht="12.75" customHeight="1" x14ac:dyDescent="0.2">
      <c r="B92" s="76" t="s">
        <v>1604</v>
      </c>
      <c r="C92" s="76"/>
      <c r="D92" s="76" t="s">
        <v>212</v>
      </c>
      <c r="E92" s="76">
        <f>_vol_tdo</f>
        <v>0.26</v>
      </c>
      <c r="F92" s="76" t="s">
        <v>231</v>
      </c>
    </row>
    <row r="93" spans="2:6" ht="12.75" customHeight="1" x14ac:dyDescent="0.2">
      <c r="B93" s="76" t="s">
        <v>1604</v>
      </c>
      <c r="C93" s="76"/>
      <c r="D93" s="76" t="s">
        <v>213</v>
      </c>
      <c r="E93" s="76">
        <f>_voh_tdo</f>
        <v>1.37</v>
      </c>
      <c r="F93" s="76"/>
    </row>
    <row r="94" spans="2:6" ht="12.75" customHeight="1" x14ac:dyDescent="0.2">
      <c r="B94" s="76" t="s">
        <v>1604</v>
      </c>
      <c r="C94" s="76"/>
      <c r="D94" s="76" t="s">
        <v>214</v>
      </c>
      <c r="E94" s="76">
        <f>_tdo_Isrc</f>
        <v>0</v>
      </c>
      <c r="F94" s="76" t="s">
        <v>357</v>
      </c>
    </row>
    <row r="95" spans="2:6" ht="12.75" customHeight="1" x14ac:dyDescent="0.2">
      <c r="B95" s="76" t="s">
        <v>1604</v>
      </c>
      <c r="C95" s="76"/>
      <c r="D95" s="76" t="s">
        <v>215</v>
      </c>
      <c r="E95" s="76">
        <f>_tdo_Isink</f>
        <v>0</v>
      </c>
      <c r="F95" s="76" t="s">
        <v>219</v>
      </c>
    </row>
    <row r="96" spans="2:6" ht="12.75" customHeight="1" x14ac:dyDescent="0.2">
      <c r="B96" s="76" t="s">
        <v>1604</v>
      </c>
      <c r="C96" s="76"/>
      <c r="D96" s="76" t="s">
        <v>216</v>
      </c>
      <c r="E96" s="76">
        <f>(_voh_tdo+_vol_tdo)/2</f>
        <v>0.81500000000000006</v>
      </c>
      <c r="F96" s="76" t="s">
        <v>220</v>
      </c>
    </row>
    <row r="97" spans="2:6" ht="12.75" customHeight="1" x14ac:dyDescent="0.2">
      <c r="B97" s="76" t="s">
        <v>1604</v>
      </c>
      <c r="C97" s="76"/>
      <c r="D97" s="76" t="s">
        <v>217</v>
      </c>
      <c r="E97" s="76">
        <v>2.5</v>
      </c>
      <c r="F97" s="76" t="s">
        <v>1605</v>
      </c>
    </row>
    <row r="98" spans="2:6" ht="12.75" customHeight="1" x14ac:dyDescent="0.2">
      <c r="B98" s="76" t="s">
        <v>1604</v>
      </c>
      <c r="C98" s="76"/>
      <c r="D98" s="76" t="s">
        <v>218</v>
      </c>
      <c r="E98" s="76">
        <v>-0.5</v>
      </c>
      <c r="F98" s="76"/>
    </row>
    <row r="99" spans="2:6" ht="12.75" customHeight="1" x14ac:dyDescent="0.2">
      <c r="B99" s="76" t="s">
        <v>1604</v>
      </c>
      <c r="C99" s="76"/>
      <c r="D99" s="76" t="s">
        <v>193</v>
      </c>
      <c r="E99" s="76" t="s">
        <v>194</v>
      </c>
      <c r="F99" s="76"/>
    </row>
    <row r="100" spans="2:6" ht="12.75" customHeight="1" x14ac:dyDescent="0.2">
      <c r="B100" s="76" t="s">
        <v>895</v>
      </c>
      <c r="C100" s="76"/>
      <c r="D100" s="76" t="s">
        <v>212</v>
      </c>
      <c r="E100" s="76">
        <f>_vol_tdo</f>
        <v>0.26</v>
      </c>
      <c r="F100" s="76"/>
    </row>
    <row r="101" spans="2:6" ht="12.75" customHeight="1" x14ac:dyDescent="0.2">
      <c r="B101" s="76" t="s">
        <v>895</v>
      </c>
      <c r="C101" s="76"/>
      <c r="D101" s="76" t="s">
        <v>213</v>
      </c>
      <c r="E101" s="76">
        <f>_voh_tdo</f>
        <v>1.37</v>
      </c>
      <c r="F101" s="76"/>
    </row>
    <row r="102" spans="2:6" ht="12.75" customHeight="1" x14ac:dyDescent="0.2">
      <c r="B102" s="76" t="s">
        <v>895</v>
      </c>
      <c r="C102" s="76"/>
      <c r="D102" s="76" t="s">
        <v>214</v>
      </c>
      <c r="E102" s="76">
        <f>_tdo_Isrc</f>
        <v>0</v>
      </c>
      <c r="F102" s="76"/>
    </row>
    <row r="103" spans="2:6" ht="12.75" customHeight="1" x14ac:dyDescent="0.2">
      <c r="B103" s="76" t="s">
        <v>895</v>
      </c>
      <c r="C103" s="76"/>
      <c r="D103" s="76" t="s">
        <v>215</v>
      </c>
      <c r="E103" s="76">
        <f>_tdo_Isink</f>
        <v>0</v>
      </c>
      <c r="F103" s="76"/>
    </row>
    <row r="104" spans="2:6" ht="12.75" customHeight="1" x14ac:dyDescent="0.2">
      <c r="B104" s="76" t="s">
        <v>895</v>
      </c>
      <c r="C104" s="76"/>
      <c r="D104" s="76" t="s">
        <v>216</v>
      </c>
      <c r="E104" s="76">
        <f>(_voh_tdo+_vol_tdo)/2</f>
        <v>0.81500000000000006</v>
      </c>
      <c r="F104" s="76"/>
    </row>
    <row r="105" spans="2:6" ht="12.75" customHeight="1" x14ac:dyDescent="0.2">
      <c r="B105" s="76" t="s">
        <v>895</v>
      </c>
      <c r="C105" s="76"/>
      <c r="D105" s="76" t="s">
        <v>217</v>
      </c>
      <c r="E105" s="76">
        <v>2.5</v>
      </c>
      <c r="F105" s="76"/>
    </row>
    <row r="106" spans="2:6" ht="12.75" customHeight="1" x14ac:dyDescent="0.2">
      <c r="B106" s="76" t="s">
        <v>895</v>
      </c>
      <c r="C106" s="76"/>
      <c r="D106" s="76" t="s">
        <v>218</v>
      </c>
      <c r="E106" s="76">
        <v>-0.5</v>
      </c>
      <c r="F106" s="76"/>
    </row>
    <row r="107" spans="2:6" ht="12.75" customHeight="1" x14ac:dyDescent="0.2">
      <c r="B107" s="76" t="s">
        <v>895</v>
      </c>
      <c r="C107" s="76"/>
      <c r="D107" s="76" t="s">
        <v>193</v>
      </c>
      <c r="E107" s="76" t="s">
        <v>194</v>
      </c>
      <c r="F107" s="76"/>
    </row>
    <row r="108" spans="2:6" ht="12.75" customHeight="1" x14ac:dyDescent="0.2">
      <c r="B108" s="76" t="s">
        <v>99</v>
      </c>
      <c r="C108" s="76"/>
      <c r="D108" s="76" t="s">
        <v>212</v>
      </c>
      <c r="E108" s="76">
        <f>_irq_vol</f>
        <v>0.26</v>
      </c>
      <c r="F108" s="76" t="s">
        <v>232</v>
      </c>
    </row>
    <row r="109" spans="2:6" ht="12.75" customHeight="1" x14ac:dyDescent="0.2">
      <c r="B109" s="76" t="s">
        <v>99</v>
      </c>
      <c r="C109" s="76"/>
      <c r="D109" s="76" t="s">
        <v>213</v>
      </c>
      <c r="E109" s="76">
        <f>_irq_voh</f>
        <v>1.35</v>
      </c>
      <c r="F109" s="76"/>
    </row>
    <row r="110" spans="2:6" ht="12.75" customHeight="1" x14ac:dyDescent="0.2">
      <c r="B110" s="76" t="s">
        <v>99</v>
      </c>
      <c r="C110" s="76"/>
      <c r="D110" s="76" t="s">
        <v>214</v>
      </c>
      <c r="E110" s="76">
        <f>_irqout_Isrc</f>
        <v>0</v>
      </c>
      <c r="F110" s="76" t="s">
        <v>221</v>
      </c>
    </row>
    <row r="111" spans="2:6" ht="12.75" customHeight="1" x14ac:dyDescent="0.2">
      <c r="B111" s="76" t="s">
        <v>99</v>
      </c>
      <c r="C111" s="76"/>
      <c r="D111" s="76" t="s">
        <v>215</v>
      </c>
      <c r="E111" s="76">
        <f>_irqout_Isink</f>
        <v>-2E-3</v>
      </c>
      <c r="F111" s="76" t="s">
        <v>222</v>
      </c>
    </row>
    <row r="112" spans="2:6" ht="12.75" customHeight="1" x14ac:dyDescent="0.2">
      <c r="B112" s="76" t="s">
        <v>99</v>
      </c>
      <c r="C112" s="76"/>
      <c r="D112" s="76" t="s">
        <v>216</v>
      </c>
      <c r="E112" s="76">
        <f>(_voh_other+_vol_other)/2</f>
        <v>0.80500000000000005</v>
      </c>
      <c r="F112" s="76">
        <f>(_voh_other+_vol_other)/2</f>
        <v>0.80500000000000005</v>
      </c>
    </row>
    <row r="113" spans="2:6" ht="12.75" customHeight="1" x14ac:dyDescent="0.2">
      <c r="B113" s="76" t="s">
        <v>99</v>
      </c>
      <c r="C113" s="76"/>
      <c r="D113" s="76" t="s">
        <v>217</v>
      </c>
      <c r="E113" s="76">
        <v>3</v>
      </c>
      <c r="F113" s="76"/>
    </row>
    <row r="114" spans="2:6" ht="12.75" customHeight="1" x14ac:dyDescent="0.2">
      <c r="B114" s="76" t="s">
        <v>99</v>
      </c>
      <c r="C114" s="76"/>
      <c r="D114" s="76" t="s">
        <v>218</v>
      </c>
      <c r="E114" s="76">
        <v>-1</v>
      </c>
      <c r="F114" s="76"/>
    </row>
    <row r="115" spans="2:6" ht="12.75" customHeight="1" x14ac:dyDescent="0.2">
      <c r="B115" s="76" t="s">
        <v>99</v>
      </c>
      <c r="C115" s="76"/>
      <c r="D115" s="76" t="s">
        <v>193</v>
      </c>
      <c r="E115" s="76" t="s">
        <v>194</v>
      </c>
      <c r="F115" s="76"/>
    </row>
    <row r="116" spans="2:6" ht="12.75" customHeight="1" x14ac:dyDescent="0.2">
      <c r="B116" s="76" t="s">
        <v>121</v>
      </c>
      <c r="C116" s="76"/>
      <c r="D116" s="76" t="s">
        <v>212</v>
      </c>
      <c r="E116" s="76">
        <f>_vol_other</f>
        <v>0.26</v>
      </c>
      <c r="F116" s="76"/>
    </row>
    <row r="117" spans="2:6" ht="12.75" customHeight="1" x14ac:dyDescent="0.2">
      <c r="B117" s="76" t="s">
        <v>121</v>
      </c>
      <c r="C117" s="76"/>
      <c r="D117" s="76" t="s">
        <v>213</v>
      </c>
      <c r="E117" s="76">
        <f>_voh_other</f>
        <v>1.35</v>
      </c>
      <c r="F117" s="76"/>
    </row>
    <row r="118" spans="2:6" ht="12.75" customHeight="1" x14ac:dyDescent="0.2">
      <c r="B118" s="76" t="s">
        <v>121</v>
      </c>
      <c r="C118" s="76"/>
      <c r="D118" s="76" t="s">
        <v>214</v>
      </c>
      <c r="E118" s="76">
        <v>0</v>
      </c>
      <c r="F118" s="76"/>
    </row>
    <row r="119" spans="2:6" ht="12.75" customHeight="1" x14ac:dyDescent="0.2">
      <c r="B119" s="76" t="s">
        <v>121</v>
      </c>
      <c r="C119" s="76"/>
      <c r="D119" s="76" t="s">
        <v>215</v>
      </c>
      <c r="E119" s="76">
        <v>0</v>
      </c>
      <c r="F119" s="76"/>
    </row>
    <row r="120" spans="2:6" ht="12.75" customHeight="1" x14ac:dyDescent="0.2">
      <c r="B120" s="76" t="s">
        <v>121</v>
      </c>
      <c r="C120" s="76"/>
      <c r="D120" s="76" t="s">
        <v>216</v>
      </c>
      <c r="E120" s="76">
        <f>(_voh_other+_vol_other)/2</f>
        <v>0.80500000000000005</v>
      </c>
      <c r="F120" s="76"/>
    </row>
    <row r="121" spans="2:6" ht="12.75" customHeight="1" x14ac:dyDescent="0.2">
      <c r="B121" s="76" t="s">
        <v>121</v>
      </c>
      <c r="C121" s="76"/>
      <c r="D121" s="76" t="s">
        <v>217</v>
      </c>
      <c r="E121" s="76">
        <v>2.2000000000000002</v>
      </c>
      <c r="F121" s="76"/>
    </row>
    <row r="122" spans="2:6" ht="12.75" customHeight="1" x14ac:dyDescent="0.2">
      <c r="B122" s="76" t="s">
        <v>121</v>
      </c>
      <c r="C122" s="76"/>
      <c r="D122" s="76" t="s">
        <v>218</v>
      </c>
      <c r="E122" s="76">
        <v>-0.5</v>
      </c>
      <c r="F122" s="76"/>
    </row>
    <row r="123" spans="2:6" ht="12.75" customHeight="1" x14ac:dyDescent="0.2">
      <c r="B123" s="76" t="s">
        <v>121</v>
      </c>
      <c r="C123" s="76"/>
      <c r="D123" s="76" t="s">
        <v>193</v>
      </c>
      <c r="E123" s="76" t="s">
        <v>194</v>
      </c>
      <c r="F123" s="76"/>
    </row>
    <row r="124" spans="2:6" ht="12.75" customHeight="1" x14ac:dyDescent="0.2">
      <c r="B124" s="76" t="s">
        <v>1047</v>
      </c>
      <c r="C124" s="76"/>
      <c r="D124" s="76" t="s">
        <v>187</v>
      </c>
      <c r="E124" s="76">
        <v>0.4</v>
      </c>
      <c r="F124" s="76" t="s">
        <v>261</v>
      </c>
    </row>
    <row r="125" spans="2:6" ht="12.75" customHeight="1" x14ac:dyDescent="0.2">
      <c r="B125" s="76" t="s">
        <v>1047</v>
      </c>
      <c r="C125" s="76"/>
      <c r="D125" s="76" t="s">
        <v>188</v>
      </c>
      <c r="E125" s="76">
        <v>2.7</v>
      </c>
      <c r="F125" s="76" t="s">
        <v>262</v>
      </c>
    </row>
    <row r="126" spans="2:6" ht="12.75" customHeight="1" x14ac:dyDescent="0.2">
      <c r="B126" s="76" t="s">
        <v>1047</v>
      </c>
      <c r="C126" s="76"/>
      <c r="D126" s="76" t="s">
        <v>189</v>
      </c>
      <c r="E126" s="76">
        <f>_Vph_default</f>
        <v>5</v>
      </c>
      <c r="F126" s="76"/>
    </row>
    <row r="127" spans="2:6" ht="12.75" customHeight="1" x14ac:dyDescent="0.2">
      <c r="B127" s="76" t="s">
        <v>1047</v>
      </c>
      <c r="C127" s="76"/>
      <c r="D127" s="76" t="s">
        <v>190</v>
      </c>
      <c r="E127" s="76">
        <v>0</v>
      </c>
      <c r="F127" s="76"/>
    </row>
    <row r="128" spans="2:6" ht="12.75" customHeight="1" x14ac:dyDescent="0.2">
      <c r="B128" s="76" t="s">
        <v>1047</v>
      </c>
      <c r="C128" s="76"/>
      <c r="D128" s="76" t="s">
        <v>191</v>
      </c>
      <c r="E128" s="76">
        <v>1.5999999999999999E-5</v>
      </c>
      <c r="F128" s="76"/>
    </row>
    <row r="129" spans="2:6" ht="12.75" customHeight="1" x14ac:dyDescent="0.2">
      <c r="B129" s="76" t="s">
        <v>1047</v>
      </c>
      <c r="C129" s="76"/>
      <c r="D129" s="76" t="s">
        <v>192</v>
      </c>
      <c r="E129" s="76">
        <f>_Vfph_default</f>
        <v>6</v>
      </c>
      <c r="F129" s="76"/>
    </row>
    <row r="130" spans="2:6" ht="12.75" customHeight="1" x14ac:dyDescent="0.2">
      <c r="B130" s="76" t="s">
        <v>1047</v>
      </c>
      <c r="C130" s="76"/>
      <c r="D130" s="76" t="s">
        <v>193</v>
      </c>
      <c r="E130" s="76" t="s">
        <v>194</v>
      </c>
      <c r="F130" s="76"/>
    </row>
  </sheetData>
  <autoFilter ref="D3:D4"/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outlinePr summaryBelow="0" summaryRight="0"/>
  </sheetPr>
  <dimension ref="A1:F54"/>
  <sheetViews>
    <sheetView showGridLines="0" workbookViewId="0">
      <pane ySplit="3" topLeftCell="A4" activePane="bottomLeft" state="frozen"/>
      <selection pane="bottomLeft" activeCell="I17" sqref="I17"/>
    </sheetView>
  </sheetViews>
  <sheetFormatPr defaultRowHeight="12.75" x14ac:dyDescent="0.2"/>
  <cols>
    <col min="1" max="1" width="9.140625" style="75"/>
    <col min="2" max="2" width="13.42578125" style="75" customWidth="1"/>
    <col min="3" max="3" width="6.28515625" style="75" customWidth="1"/>
    <col min="4" max="4" width="13.42578125" style="75" customWidth="1"/>
    <col min="5" max="5" width="17.5703125" style="75" customWidth="1"/>
    <col min="6" max="6" width="42.85546875" style="75" customWidth="1"/>
    <col min="7" max="16384" width="9.140625" style="75"/>
  </cols>
  <sheetData>
    <row r="1" spans="1:6" ht="25.5" customHeight="1" x14ac:dyDescent="0.2">
      <c r="A1" s="75" t="s">
        <v>83</v>
      </c>
      <c r="B1" s="75" t="s">
        <v>29</v>
      </c>
    </row>
    <row r="3" spans="1:6" x14ac:dyDescent="0.2">
      <c r="B3" s="75" t="s">
        <v>151</v>
      </c>
      <c r="C3" s="75" t="s">
        <v>184</v>
      </c>
      <c r="D3" s="75" t="s">
        <v>36</v>
      </c>
      <c r="E3" s="75" t="s">
        <v>16</v>
      </c>
      <c r="F3" s="75" t="s">
        <v>4</v>
      </c>
    </row>
    <row r="4" spans="1:6" ht="12.75" customHeight="1" x14ac:dyDescent="0.2">
      <c r="B4" s="76" t="s">
        <v>182</v>
      </c>
      <c r="C4" s="76"/>
      <c r="D4" s="76" t="s">
        <v>207</v>
      </c>
      <c r="E4" s="76">
        <f>0</f>
        <v>0</v>
      </c>
      <c r="F4" s="76" t="s">
        <v>1445</v>
      </c>
    </row>
    <row r="5" spans="1:6" ht="12.75" customHeight="1" x14ac:dyDescent="0.2">
      <c r="B5" s="76" t="s">
        <v>182</v>
      </c>
      <c r="C5" s="76"/>
      <c r="D5" s="76" t="s">
        <v>208</v>
      </c>
      <c r="E5" s="76">
        <f>200*mA</f>
        <v>0.2</v>
      </c>
      <c r="F5" s="76" t="s">
        <v>1444</v>
      </c>
    </row>
    <row r="6" spans="1:6" ht="12.75" customHeight="1" x14ac:dyDescent="0.2">
      <c r="B6" s="76" t="s">
        <v>182</v>
      </c>
      <c r="C6" s="76"/>
      <c r="D6" s="76" t="s">
        <v>209</v>
      </c>
      <c r="E6" s="76">
        <v>5.0000000000000001E-3</v>
      </c>
      <c r="F6" s="76"/>
    </row>
    <row r="7" spans="1:6" ht="12.75" customHeight="1" x14ac:dyDescent="0.2">
      <c r="B7" s="76" t="s">
        <v>182</v>
      </c>
      <c r="C7" s="76"/>
      <c r="D7" s="76" t="s">
        <v>210</v>
      </c>
      <c r="E7" s="76">
        <v>18000</v>
      </c>
      <c r="F7" s="76" t="s">
        <v>1443</v>
      </c>
    </row>
    <row r="8" spans="1:6" ht="12.75" customHeight="1" x14ac:dyDescent="0.2">
      <c r="B8" s="76" t="s">
        <v>181</v>
      </c>
      <c r="C8" s="76"/>
      <c r="D8" s="76" t="s">
        <v>207</v>
      </c>
      <c r="E8" s="76">
        <f>0</f>
        <v>0</v>
      </c>
      <c r="F8" s="76" t="s">
        <v>1445</v>
      </c>
    </row>
    <row r="9" spans="1:6" ht="12.75" customHeight="1" x14ac:dyDescent="0.2">
      <c r="B9" s="76" t="s">
        <v>181</v>
      </c>
      <c r="C9" s="76"/>
      <c r="D9" s="76" t="s">
        <v>208</v>
      </c>
      <c r="E9" s="76">
        <f>200*mA</f>
        <v>0.2</v>
      </c>
      <c r="F9" s="76" t="s">
        <v>1444</v>
      </c>
    </row>
    <row r="10" spans="1:6" ht="12.75" customHeight="1" x14ac:dyDescent="0.2">
      <c r="B10" s="76" t="s">
        <v>181</v>
      </c>
      <c r="C10" s="76"/>
      <c r="D10" s="76" t="s">
        <v>209</v>
      </c>
      <c r="E10" s="76">
        <v>5.0000000000000001E-3</v>
      </c>
      <c r="F10" s="76"/>
    </row>
    <row r="11" spans="1:6" ht="12.75" customHeight="1" x14ac:dyDescent="0.2">
      <c r="B11" s="76" t="s">
        <v>181</v>
      </c>
      <c r="C11" s="76"/>
      <c r="D11" s="76" t="s">
        <v>210</v>
      </c>
      <c r="E11" s="76">
        <v>10000</v>
      </c>
      <c r="F11" s="76" t="s">
        <v>1443</v>
      </c>
    </row>
    <row r="12" spans="1:6" ht="12.75" customHeight="1" x14ac:dyDescent="0.2">
      <c r="B12" s="76" t="s">
        <v>183</v>
      </c>
      <c r="C12" s="76"/>
      <c r="D12" s="76" t="s">
        <v>207</v>
      </c>
      <c r="E12" s="76">
        <f>0</f>
        <v>0</v>
      </c>
      <c r="F12" s="76" t="s">
        <v>1445</v>
      </c>
    </row>
    <row r="13" spans="1:6" ht="12.75" customHeight="1" x14ac:dyDescent="0.2">
      <c r="B13" s="76" t="s">
        <v>183</v>
      </c>
      <c r="C13" s="76"/>
      <c r="D13" s="76" t="s">
        <v>208</v>
      </c>
      <c r="E13" s="76">
        <f>200*mA</f>
        <v>0.2</v>
      </c>
      <c r="F13" s="76" t="s">
        <v>1444</v>
      </c>
    </row>
    <row r="14" spans="1:6" ht="12.75" customHeight="1" x14ac:dyDescent="0.2">
      <c r="B14" s="76" t="s">
        <v>183</v>
      </c>
      <c r="C14" s="76"/>
      <c r="D14" s="76" t="s">
        <v>209</v>
      </c>
      <c r="E14" s="76">
        <v>5.0000000000000001E-3</v>
      </c>
      <c r="F14" s="76"/>
    </row>
    <row r="15" spans="1:6" ht="12.75" customHeight="1" x14ac:dyDescent="0.2">
      <c r="B15" s="76" t="s">
        <v>183</v>
      </c>
      <c r="C15" s="76"/>
      <c r="D15" s="76" t="s">
        <v>210</v>
      </c>
      <c r="E15" s="76">
        <v>0</v>
      </c>
      <c r="F15" s="76" t="s">
        <v>1443</v>
      </c>
    </row>
    <row r="16" spans="1:6" ht="12.75" customHeight="1" x14ac:dyDescent="0.2">
      <c r="B16" s="76" t="s">
        <v>1422</v>
      </c>
      <c r="C16" s="76"/>
      <c r="D16" s="76" t="s">
        <v>207</v>
      </c>
      <c r="E16" s="76">
        <f>0</f>
        <v>0</v>
      </c>
      <c r="F16" s="76" t="s">
        <v>1445</v>
      </c>
    </row>
    <row r="17" spans="2:6" ht="12.75" customHeight="1" x14ac:dyDescent="0.2">
      <c r="B17" s="76" t="s">
        <v>1422</v>
      </c>
      <c r="C17" s="76"/>
      <c r="D17" s="76" t="s">
        <v>208</v>
      </c>
      <c r="E17" s="76">
        <f>200*mA</f>
        <v>0.2</v>
      </c>
      <c r="F17" s="76" t="s">
        <v>1444</v>
      </c>
    </row>
    <row r="18" spans="2:6" ht="12.75" customHeight="1" x14ac:dyDescent="0.2">
      <c r="B18" s="76" t="s">
        <v>1422</v>
      </c>
      <c r="C18" s="76"/>
      <c r="D18" s="76" t="s">
        <v>209</v>
      </c>
      <c r="E18" s="76">
        <v>5.0000000000000001E-3</v>
      </c>
      <c r="F18" s="76"/>
    </row>
    <row r="19" spans="2:6" ht="12.75" customHeight="1" x14ac:dyDescent="0.2">
      <c r="B19" s="76" t="s">
        <v>1422</v>
      </c>
      <c r="C19" s="76"/>
      <c r="D19" s="76" t="s">
        <v>210</v>
      </c>
      <c r="E19" s="76">
        <v>10000</v>
      </c>
      <c r="F19" s="76" t="s">
        <v>1443</v>
      </c>
    </row>
    <row r="20" spans="2:6" ht="12.75" customHeight="1" x14ac:dyDescent="0.2">
      <c r="B20" s="76" t="s">
        <v>947</v>
      </c>
      <c r="C20" s="76"/>
      <c r="D20" s="76" t="s">
        <v>187</v>
      </c>
      <c r="E20" s="76">
        <f>0</f>
        <v>0</v>
      </c>
      <c r="F20" s="76"/>
    </row>
    <row r="21" spans="2:6" ht="12.75" customHeight="1" x14ac:dyDescent="0.2">
      <c r="B21" s="76" t="s">
        <v>947</v>
      </c>
      <c r="C21" s="76"/>
      <c r="D21" s="76" t="s">
        <v>188</v>
      </c>
      <c r="E21" s="76">
        <f>0</f>
        <v>0</v>
      </c>
      <c r="F21" s="76"/>
    </row>
    <row r="22" spans="2:6" ht="12.75" customHeight="1" x14ac:dyDescent="0.2">
      <c r="B22" s="76" t="s">
        <v>947</v>
      </c>
      <c r="C22" s="76"/>
      <c r="D22" s="76" t="s">
        <v>212</v>
      </c>
      <c r="E22" s="76">
        <f>-1.1</f>
        <v>-1.1000000000000001</v>
      </c>
      <c r="F22" s="76"/>
    </row>
    <row r="23" spans="2:6" ht="12.75" customHeight="1" x14ac:dyDescent="0.2">
      <c r="B23" s="76" t="s">
        <v>947</v>
      </c>
      <c r="C23" s="76"/>
      <c r="D23" s="76" t="s">
        <v>213</v>
      </c>
      <c r="E23" s="76">
        <f>-0.2</f>
        <v>-0.2</v>
      </c>
      <c r="F23" s="76"/>
    </row>
    <row r="24" spans="2:6" ht="12.75" customHeight="1" x14ac:dyDescent="0.2">
      <c r="B24" s="76" t="s">
        <v>947</v>
      </c>
      <c r="C24" s="76"/>
      <c r="D24" s="76" t="s">
        <v>214</v>
      </c>
      <c r="E24" s="76">
        <f>_cont_Isrc</f>
        <v>0</v>
      </c>
      <c r="F24" s="76"/>
    </row>
    <row r="25" spans="2:6" ht="12.75" customHeight="1" x14ac:dyDescent="0.2">
      <c r="B25" s="76" t="s">
        <v>947</v>
      </c>
      <c r="C25" s="76"/>
      <c r="D25" s="76" t="s">
        <v>215</v>
      </c>
      <c r="E25" s="76">
        <f>_cont_Isink</f>
        <v>0</v>
      </c>
      <c r="F25" s="76"/>
    </row>
    <row r="26" spans="2:6" ht="12.75" customHeight="1" x14ac:dyDescent="0.2">
      <c r="B26" s="76" t="s">
        <v>947</v>
      </c>
      <c r="C26" s="76"/>
      <c r="D26" s="76" t="s">
        <v>216</v>
      </c>
      <c r="E26" s="76">
        <f>-1.5</f>
        <v>-1.5</v>
      </c>
      <c r="F26" s="76"/>
    </row>
    <row r="27" spans="2:6" ht="12.75" customHeight="1" x14ac:dyDescent="0.2">
      <c r="B27" s="76" t="s">
        <v>947</v>
      </c>
      <c r="C27" s="76"/>
      <c r="D27" s="76" t="s">
        <v>217</v>
      </c>
      <c r="E27" s="76">
        <f>_Vch_default</f>
        <v>2.2999999999999998</v>
      </c>
      <c r="F27" s="76"/>
    </row>
    <row r="28" spans="2:6" ht="12.75" customHeight="1" x14ac:dyDescent="0.2">
      <c r="B28" s="76" t="s">
        <v>947</v>
      </c>
      <c r="C28" s="76"/>
      <c r="D28" s="76" t="s">
        <v>218</v>
      </c>
      <c r="E28" s="76">
        <f>_Vcl_default-1</f>
        <v>-1.5</v>
      </c>
      <c r="F28" s="76"/>
    </row>
    <row r="29" spans="2:6" ht="12.75" customHeight="1" x14ac:dyDescent="0.2">
      <c r="B29" s="76" t="s">
        <v>947</v>
      </c>
      <c r="C29" s="76"/>
      <c r="D29" s="76" t="s">
        <v>189</v>
      </c>
      <c r="E29" s="76">
        <f>_Vph_default</f>
        <v>5</v>
      </c>
      <c r="F29" s="76"/>
    </row>
    <row r="30" spans="2:6" ht="12.75" customHeight="1" x14ac:dyDescent="0.2">
      <c r="B30" s="76" t="s">
        <v>947</v>
      </c>
      <c r="C30" s="76"/>
      <c r="D30" s="76" t="s">
        <v>190</v>
      </c>
      <c r="E30" s="76">
        <f>_Iph_default</f>
        <v>0</v>
      </c>
      <c r="F30" s="76"/>
    </row>
    <row r="31" spans="2:6" ht="12.75" customHeight="1" x14ac:dyDescent="0.2">
      <c r="B31" s="76" t="s">
        <v>947</v>
      </c>
      <c r="C31" s="76"/>
      <c r="D31" s="76" t="s">
        <v>191</v>
      </c>
      <c r="E31" s="76">
        <f>_Tpr_default</f>
        <v>1.5999999999999999E-5</v>
      </c>
      <c r="F31" s="76"/>
    </row>
    <row r="32" spans="2:6" ht="12.75" customHeight="1" x14ac:dyDescent="0.2">
      <c r="B32" s="76" t="s">
        <v>947</v>
      </c>
      <c r="C32" s="76"/>
      <c r="D32" s="76" t="s">
        <v>192</v>
      </c>
      <c r="E32" s="76">
        <f>_Vfph_default</f>
        <v>6</v>
      </c>
      <c r="F32" s="76"/>
    </row>
    <row r="33" spans="2:6" ht="12.75" customHeight="1" x14ac:dyDescent="0.2">
      <c r="B33" s="76" t="s">
        <v>947</v>
      </c>
      <c r="C33" s="76"/>
      <c r="D33" s="76" t="s">
        <v>193</v>
      </c>
      <c r="E33" s="76" t="s">
        <v>194</v>
      </c>
      <c r="F33" s="76"/>
    </row>
    <row r="34" spans="2:6" ht="12.75" customHeight="1" x14ac:dyDescent="0.2">
      <c r="B34" s="76" t="s">
        <v>175</v>
      </c>
      <c r="C34" s="76"/>
      <c r="D34" s="76" t="s">
        <v>187</v>
      </c>
      <c r="E34" s="76">
        <f>0</f>
        <v>0</v>
      </c>
      <c r="F34" s="76"/>
    </row>
    <row r="35" spans="2:6" ht="12.75" customHeight="1" x14ac:dyDescent="0.2">
      <c r="B35" s="76" t="s">
        <v>175</v>
      </c>
      <c r="C35" s="76"/>
      <c r="D35" s="76" t="s">
        <v>188</v>
      </c>
      <c r="E35" s="76">
        <f>0</f>
        <v>0</v>
      </c>
      <c r="F35" s="76"/>
    </row>
    <row r="36" spans="2:6" ht="12.75" customHeight="1" x14ac:dyDescent="0.2">
      <c r="B36" s="76" t="s">
        <v>175</v>
      </c>
      <c r="C36" s="76"/>
      <c r="D36" s="76" t="s">
        <v>212</v>
      </c>
      <c r="E36" s="76">
        <f>-1.1</f>
        <v>-1.1000000000000001</v>
      </c>
      <c r="F36" s="76"/>
    </row>
    <row r="37" spans="2:6" ht="12.75" customHeight="1" x14ac:dyDescent="0.2">
      <c r="B37" s="76" t="s">
        <v>175</v>
      </c>
      <c r="C37" s="76"/>
      <c r="D37" s="76" t="s">
        <v>213</v>
      </c>
      <c r="E37" s="76">
        <f>-0.2</f>
        <v>-0.2</v>
      </c>
      <c r="F37" s="76"/>
    </row>
    <row r="38" spans="2:6" ht="12.75" customHeight="1" x14ac:dyDescent="0.2">
      <c r="B38" s="76" t="s">
        <v>175</v>
      </c>
      <c r="C38" s="76"/>
      <c r="D38" s="76" t="s">
        <v>214</v>
      </c>
      <c r="E38" s="76">
        <f>_cont_Isrc</f>
        <v>0</v>
      </c>
      <c r="F38" s="76"/>
    </row>
    <row r="39" spans="2:6" ht="12.75" customHeight="1" x14ac:dyDescent="0.2">
      <c r="B39" s="76" t="s">
        <v>175</v>
      </c>
      <c r="C39" s="76"/>
      <c r="D39" s="76" t="s">
        <v>215</v>
      </c>
      <c r="E39" s="76">
        <f>_cont_Isink</f>
        <v>0</v>
      </c>
      <c r="F39" s="76"/>
    </row>
    <row r="40" spans="2:6" ht="12.75" customHeight="1" x14ac:dyDescent="0.2">
      <c r="B40" s="76" t="s">
        <v>175</v>
      </c>
      <c r="C40" s="76"/>
      <c r="D40" s="76" t="s">
        <v>216</v>
      </c>
      <c r="E40" s="76">
        <f>-1.5</f>
        <v>-1.5</v>
      </c>
      <c r="F40" s="76"/>
    </row>
    <row r="41" spans="2:6" ht="12.75" customHeight="1" x14ac:dyDescent="0.2">
      <c r="B41" s="76" t="s">
        <v>175</v>
      </c>
      <c r="C41" s="76"/>
      <c r="D41" s="76" t="s">
        <v>217</v>
      </c>
      <c r="E41" s="76">
        <f>_Vch_default</f>
        <v>2.2999999999999998</v>
      </c>
      <c r="F41" s="76"/>
    </row>
    <row r="42" spans="2:6" ht="12.75" customHeight="1" x14ac:dyDescent="0.2">
      <c r="B42" s="76" t="s">
        <v>175</v>
      </c>
      <c r="C42" s="76"/>
      <c r="D42" s="76" t="s">
        <v>218</v>
      </c>
      <c r="E42" s="76">
        <f>_Vcl_default-1</f>
        <v>-1.5</v>
      </c>
      <c r="F42" s="76"/>
    </row>
    <row r="43" spans="2:6" ht="12.75" customHeight="1" x14ac:dyDescent="0.2">
      <c r="B43" s="76" t="s">
        <v>175</v>
      </c>
      <c r="C43" s="76"/>
      <c r="D43" s="76" t="s">
        <v>189</v>
      </c>
      <c r="E43" s="76">
        <f>_Vph_default</f>
        <v>5</v>
      </c>
      <c r="F43" s="76"/>
    </row>
    <row r="44" spans="2:6" ht="12.75" customHeight="1" x14ac:dyDescent="0.2">
      <c r="B44" s="76" t="s">
        <v>175</v>
      </c>
      <c r="C44" s="76"/>
      <c r="D44" s="76" t="s">
        <v>190</v>
      </c>
      <c r="E44" s="76">
        <f>_Iph_default</f>
        <v>0</v>
      </c>
      <c r="F44" s="76"/>
    </row>
    <row r="45" spans="2:6" ht="12.75" customHeight="1" x14ac:dyDescent="0.2">
      <c r="B45" s="76" t="s">
        <v>175</v>
      </c>
      <c r="C45" s="76"/>
      <c r="D45" s="76" t="s">
        <v>191</v>
      </c>
      <c r="E45" s="76">
        <f>_Tpr_default</f>
        <v>1.5999999999999999E-5</v>
      </c>
      <c r="F45" s="76"/>
    </row>
    <row r="46" spans="2:6" ht="12.75" customHeight="1" x14ac:dyDescent="0.2">
      <c r="B46" s="76" t="s">
        <v>175</v>
      </c>
      <c r="C46" s="76"/>
      <c r="D46" s="76" t="s">
        <v>192</v>
      </c>
      <c r="E46" s="76">
        <f>_Vfph_default</f>
        <v>6</v>
      </c>
      <c r="F46" s="76"/>
    </row>
    <row r="47" spans="2:6" ht="12.75" customHeight="1" x14ac:dyDescent="0.2">
      <c r="B47" s="76" t="s">
        <v>175</v>
      </c>
      <c r="C47" s="76"/>
      <c r="D47" s="76" t="s">
        <v>193</v>
      </c>
      <c r="E47" s="76" t="s">
        <v>194</v>
      </c>
      <c r="F47" s="76"/>
    </row>
    <row r="48" spans="2:6" ht="12.75" customHeight="1" x14ac:dyDescent="0.2">
      <c r="B48" s="76" t="s">
        <v>1399</v>
      </c>
      <c r="C48" s="76"/>
      <c r="D48" s="76" t="s">
        <v>187</v>
      </c>
      <c r="E48" s="76">
        <v>0</v>
      </c>
      <c r="F48" s="76"/>
    </row>
    <row r="49" spans="2:6" ht="12.75" customHeight="1" x14ac:dyDescent="0.2">
      <c r="B49" s="76" t="s">
        <v>1399</v>
      </c>
      <c r="C49" s="76"/>
      <c r="D49" s="76" t="s">
        <v>188</v>
      </c>
      <c r="E49" s="76">
        <v>0</v>
      </c>
      <c r="F49" s="76"/>
    </row>
    <row r="50" spans="2:6" ht="12.75" customHeight="1" x14ac:dyDescent="0.2">
      <c r="B50" s="76" t="s">
        <v>1399</v>
      </c>
      <c r="C50" s="76"/>
      <c r="D50" s="76" t="s">
        <v>189</v>
      </c>
      <c r="E50" s="76">
        <f>_Vph_default</f>
        <v>5</v>
      </c>
      <c r="F50" s="76"/>
    </row>
    <row r="51" spans="2:6" ht="12.75" customHeight="1" x14ac:dyDescent="0.2">
      <c r="B51" s="76" t="s">
        <v>1399</v>
      </c>
      <c r="C51" s="76"/>
      <c r="D51" s="76" t="s">
        <v>190</v>
      </c>
      <c r="E51" s="76">
        <v>0</v>
      </c>
      <c r="F51" s="76"/>
    </row>
    <row r="52" spans="2:6" ht="12.75" customHeight="1" x14ac:dyDescent="0.2">
      <c r="B52" s="76" t="s">
        <v>1399</v>
      </c>
      <c r="C52" s="76"/>
      <c r="D52" s="76" t="s">
        <v>191</v>
      </c>
      <c r="E52" s="76">
        <v>1.5999999999999999E-5</v>
      </c>
      <c r="F52" s="76"/>
    </row>
    <row r="53" spans="2:6" ht="12.75" customHeight="1" x14ac:dyDescent="0.2">
      <c r="B53" s="76" t="s">
        <v>1399</v>
      </c>
      <c r="C53" s="76"/>
      <c r="D53" s="76" t="s">
        <v>192</v>
      </c>
      <c r="E53" s="76">
        <f>_Vfph_default</f>
        <v>6</v>
      </c>
      <c r="F53" s="76"/>
    </row>
    <row r="54" spans="2:6" ht="12.75" customHeight="1" x14ac:dyDescent="0.2">
      <c r="B54" s="76" t="s">
        <v>1399</v>
      </c>
      <c r="C54" s="76"/>
      <c r="D54" s="76" t="s">
        <v>193</v>
      </c>
      <c r="E54" s="76" t="s">
        <v>194</v>
      </c>
      <c r="F54" s="76"/>
    </row>
  </sheetData>
  <autoFilter ref="D3:D4"/>
  <pageMargins left="0.7" right="0.7" top="0.75" bottom="0.75" header="0.3" footer="0.3"/>
  <pageSetup orientation="landscape" horizontalDpi="200" verticalDpi="200" copies="0" r:id="rId1"/>
  <headerFooter>
    <oddHeader>&amp;L&amp;LTeradyne IG-XL</oddHeader>
    <oddFooter>&amp;L&amp;LWorkbook '&amp;F', Sheet '&amp;A'&amp;R&amp;R&amp;D &amp;T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outlinePr summaryBelow="0" summaryRight="0"/>
  </sheetPr>
  <dimension ref="A1:F54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2.75" x14ac:dyDescent="0.2"/>
  <cols>
    <col min="1" max="1" width="9.140625" style="75"/>
    <col min="2" max="2" width="13.42578125" style="75" customWidth="1"/>
    <col min="3" max="3" width="6.28515625" style="75" customWidth="1"/>
    <col min="4" max="4" width="13.42578125" style="75" customWidth="1"/>
    <col min="5" max="5" width="17.5703125" style="75" customWidth="1"/>
    <col min="6" max="6" width="42.85546875" style="75" customWidth="1"/>
    <col min="7" max="16384" width="9.140625" style="75"/>
  </cols>
  <sheetData>
    <row r="1" spans="1:6" ht="25.5" customHeight="1" x14ac:dyDescent="0.2">
      <c r="A1" s="75" t="s">
        <v>83</v>
      </c>
      <c r="B1" s="75" t="s">
        <v>29</v>
      </c>
    </row>
    <row r="3" spans="1:6" x14ac:dyDescent="0.2">
      <c r="B3" s="75" t="s">
        <v>151</v>
      </c>
      <c r="C3" s="75" t="s">
        <v>184</v>
      </c>
      <c r="D3" s="75" t="s">
        <v>36</v>
      </c>
      <c r="E3" s="75" t="s">
        <v>16</v>
      </c>
      <c r="F3" s="75" t="s">
        <v>4</v>
      </c>
    </row>
    <row r="4" spans="1:6" ht="12.75" customHeight="1" x14ac:dyDescent="0.2">
      <c r="B4" s="76" t="s">
        <v>182</v>
      </c>
      <c r="C4" s="76"/>
      <c r="D4" s="76" t="s">
        <v>207</v>
      </c>
      <c r="E4" s="76">
        <f>0</f>
        <v>0</v>
      </c>
      <c r="F4" s="76" t="s">
        <v>1445</v>
      </c>
    </row>
    <row r="5" spans="1:6" ht="12.75" customHeight="1" x14ac:dyDescent="0.2">
      <c r="B5" s="76" t="s">
        <v>182</v>
      </c>
      <c r="C5" s="76"/>
      <c r="D5" s="76" t="s">
        <v>208</v>
      </c>
      <c r="E5" s="76">
        <f>200*mA</f>
        <v>0.2</v>
      </c>
      <c r="F5" s="76" t="s">
        <v>1444</v>
      </c>
    </row>
    <row r="6" spans="1:6" ht="12.75" customHeight="1" x14ac:dyDescent="0.2">
      <c r="B6" s="76" t="s">
        <v>182</v>
      </c>
      <c r="C6" s="76"/>
      <c r="D6" s="76" t="s">
        <v>209</v>
      </c>
      <c r="E6" s="76">
        <v>5.0000000000000001E-3</v>
      </c>
      <c r="F6" s="76"/>
    </row>
    <row r="7" spans="1:6" ht="12.75" customHeight="1" x14ac:dyDescent="0.2">
      <c r="B7" s="76" t="s">
        <v>182</v>
      </c>
      <c r="C7" s="76"/>
      <c r="D7" s="76" t="s">
        <v>210</v>
      </c>
      <c r="E7" s="76">
        <v>18000</v>
      </c>
      <c r="F7" s="76" t="s">
        <v>1443</v>
      </c>
    </row>
    <row r="8" spans="1:6" ht="12.75" customHeight="1" x14ac:dyDescent="0.2">
      <c r="B8" s="76" t="s">
        <v>181</v>
      </c>
      <c r="C8" s="76"/>
      <c r="D8" s="76" t="s">
        <v>207</v>
      </c>
      <c r="E8" s="76">
        <f>0</f>
        <v>0</v>
      </c>
      <c r="F8" s="76" t="s">
        <v>1445</v>
      </c>
    </row>
    <row r="9" spans="1:6" ht="12.75" customHeight="1" x14ac:dyDescent="0.2">
      <c r="B9" s="76" t="s">
        <v>181</v>
      </c>
      <c r="C9" s="76"/>
      <c r="D9" s="76" t="s">
        <v>208</v>
      </c>
      <c r="E9" s="76">
        <f>200*mA</f>
        <v>0.2</v>
      </c>
      <c r="F9" s="76" t="s">
        <v>1444</v>
      </c>
    </row>
    <row r="10" spans="1:6" ht="12.75" customHeight="1" x14ac:dyDescent="0.2">
      <c r="B10" s="76" t="s">
        <v>181</v>
      </c>
      <c r="C10" s="76"/>
      <c r="D10" s="76" t="s">
        <v>209</v>
      </c>
      <c r="E10" s="76">
        <v>5.0000000000000001E-3</v>
      </c>
      <c r="F10" s="76"/>
    </row>
    <row r="11" spans="1:6" ht="12.75" customHeight="1" x14ac:dyDescent="0.2">
      <c r="B11" s="76" t="s">
        <v>181</v>
      </c>
      <c r="C11" s="76"/>
      <c r="D11" s="76" t="s">
        <v>210</v>
      </c>
      <c r="E11" s="76">
        <v>10000</v>
      </c>
      <c r="F11" s="76" t="s">
        <v>1443</v>
      </c>
    </row>
    <row r="12" spans="1:6" ht="12.75" customHeight="1" x14ac:dyDescent="0.2">
      <c r="B12" s="76" t="s">
        <v>183</v>
      </c>
      <c r="C12" s="76"/>
      <c r="D12" s="76" t="s">
        <v>207</v>
      </c>
      <c r="E12" s="76">
        <f>0</f>
        <v>0</v>
      </c>
      <c r="F12" s="76" t="s">
        <v>1445</v>
      </c>
    </row>
    <row r="13" spans="1:6" ht="12.75" customHeight="1" x14ac:dyDescent="0.2">
      <c r="B13" s="76" t="s">
        <v>183</v>
      </c>
      <c r="C13" s="76"/>
      <c r="D13" s="76" t="s">
        <v>208</v>
      </c>
      <c r="E13" s="76">
        <f>200*mA</f>
        <v>0.2</v>
      </c>
      <c r="F13" s="76" t="s">
        <v>1444</v>
      </c>
    </row>
    <row r="14" spans="1:6" ht="12.75" customHeight="1" x14ac:dyDescent="0.2">
      <c r="B14" s="76" t="s">
        <v>183</v>
      </c>
      <c r="C14" s="76"/>
      <c r="D14" s="76" t="s">
        <v>209</v>
      </c>
      <c r="E14" s="76">
        <v>5.0000000000000001E-3</v>
      </c>
      <c r="F14" s="76"/>
    </row>
    <row r="15" spans="1:6" ht="12.75" customHeight="1" x14ac:dyDescent="0.2">
      <c r="B15" s="76" t="s">
        <v>183</v>
      </c>
      <c r="C15" s="76"/>
      <c r="D15" s="76" t="s">
        <v>210</v>
      </c>
      <c r="E15" s="76">
        <v>0</v>
      </c>
      <c r="F15" s="76" t="s">
        <v>1443</v>
      </c>
    </row>
    <row r="16" spans="1:6" ht="12.75" customHeight="1" x14ac:dyDescent="0.2">
      <c r="B16" s="76" t="s">
        <v>1422</v>
      </c>
      <c r="C16" s="76"/>
      <c r="D16" s="76" t="s">
        <v>207</v>
      </c>
      <c r="E16" s="76">
        <f>0</f>
        <v>0</v>
      </c>
      <c r="F16" s="76" t="s">
        <v>1445</v>
      </c>
    </row>
    <row r="17" spans="2:6" ht="12.75" customHeight="1" x14ac:dyDescent="0.2">
      <c r="B17" s="76" t="s">
        <v>1422</v>
      </c>
      <c r="C17" s="76"/>
      <c r="D17" s="76" t="s">
        <v>208</v>
      </c>
      <c r="E17" s="76">
        <f>200*mA</f>
        <v>0.2</v>
      </c>
      <c r="F17" s="76" t="s">
        <v>1444</v>
      </c>
    </row>
    <row r="18" spans="2:6" ht="12.75" customHeight="1" x14ac:dyDescent="0.2">
      <c r="B18" s="76" t="s">
        <v>1422</v>
      </c>
      <c r="C18" s="76"/>
      <c r="D18" s="76" t="s">
        <v>209</v>
      </c>
      <c r="E18" s="76">
        <v>5.0000000000000001E-3</v>
      </c>
      <c r="F18" s="76"/>
    </row>
    <row r="19" spans="2:6" ht="12.75" customHeight="1" x14ac:dyDescent="0.2">
      <c r="B19" s="76" t="s">
        <v>1422</v>
      </c>
      <c r="C19" s="76"/>
      <c r="D19" s="76" t="s">
        <v>210</v>
      </c>
      <c r="E19" s="76">
        <v>10000</v>
      </c>
      <c r="F19" s="76" t="s">
        <v>1443</v>
      </c>
    </row>
    <row r="20" spans="2:6" ht="12.75" customHeight="1" x14ac:dyDescent="0.2">
      <c r="B20" s="76" t="s">
        <v>947</v>
      </c>
      <c r="C20" s="76"/>
      <c r="D20" s="76" t="s">
        <v>187</v>
      </c>
      <c r="E20" s="76">
        <f>0</f>
        <v>0</v>
      </c>
      <c r="F20" s="76"/>
    </row>
    <row r="21" spans="2:6" ht="12.75" customHeight="1" x14ac:dyDescent="0.2">
      <c r="B21" s="76" t="s">
        <v>947</v>
      </c>
      <c r="C21" s="76"/>
      <c r="D21" s="76" t="s">
        <v>188</v>
      </c>
      <c r="E21" s="76">
        <f>0</f>
        <v>0</v>
      </c>
      <c r="F21" s="76"/>
    </row>
    <row r="22" spans="2:6" ht="12.75" customHeight="1" x14ac:dyDescent="0.2">
      <c r="B22" s="76" t="s">
        <v>947</v>
      </c>
      <c r="C22" s="76"/>
      <c r="D22" s="76" t="s">
        <v>212</v>
      </c>
      <c r="E22" s="76">
        <f>0.2</f>
        <v>0.2</v>
      </c>
      <c r="F22" s="76"/>
    </row>
    <row r="23" spans="2:6" ht="12.75" customHeight="1" x14ac:dyDescent="0.2">
      <c r="B23" s="76" t="s">
        <v>947</v>
      </c>
      <c r="C23" s="76"/>
      <c r="D23" s="76" t="s">
        <v>213</v>
      </c>
      <c r="E23" s="76">
        <f>1.1</f>
        <v>1.1000000000000001</v>
      </c>
      <c r="F23" s="76"/>
    </row>
    <row r="24" spans="2:6" ht="12.75" customHeight="1" x14ac:dyDescent="0.2">
      <c r="B24" s="76" t="s">
        <v>947</v>
      </c>
      <c r="C24" s="76"/>
      <c r="D24" s="76" t="s">
        <v>214</v>
      </c>
      <c r="E24" s="76">
        <f>_cont_Isrc</f>
        <v>0</v>
      </c>
      <c r="F24" s="76"/>
    </row>
    <row r="25" spans="2:6" ht="12.75" customHeight="1" x14ac:dyDescent="0.2">
      <c r="B25" s="76" t="s">
        <v>947</v>
      </c>
      <c r="C25" s="76"/>
      <c r="D25" s="76" t="s">
        <v>215</v>
      </c>
      <c r="E25" s="76">
        <f>_cont_Isink</f>
        <v>0</v>
      </c>
      <c r="F25" s="76"/>
    </row>
    <row r="26" spans="2:6" ht="12.75" customHeight="1" x14ac:dyDescent="0.2">
      <c r="B26" s="76" t="s">
        <v>947</v>
      </c>
      <c r="C26" s="76"/>
      <c r="D26" s="76" t="s">
        <v>216</v>
      </c>
      <c r="E26" s="76">
        <f>1.5</f>
        <v>1.5</v>
      </c>
      <c r="F26" s="76"/>
    </row>
    <row r="27" spans="2:6" ht="12.75" customHeight="1" x14ac:dyDescent="0.2">
      <c r="B27" s="76" t="s">
        <v>947</v>
      </c>
      <c r="C27" s="76"/>
      <c r="D27" s="76" t="s">
        <v>217</v>
      </c>
      <c r="E27" s="76">
        <f>_Vch_default</f>
        <v>2.2999999999999998</v>
      </c>
      <c r="F27" s="76"/>
    </row>
    <row r="28" spans="2:6" ht="12.75" customHeight="1" x14ac:dyDescent="0.2">
      <c r="B28" s="76" t="s">
        <v>947</v>
      </c>
      <c r="C28" s="76"/>
      <c r="D28" s="76" t="s">
        <v>218</v>
      </c>
      <c r="E28" s="76">
        <f>_Vcl_default</f>
        <v>-0.5</v>
      </c>
      <c r="F28" s="76"/>
    </row>
    <row r="29" spans="2:6" ht="12.75" customHeight="1" x14ac:dyDescent="0.2">
      <c r="B29" s="76" t="s">
        <v>947</v>
      </c>
      <c r="C29" s="76"/>
      <c r="D29" s="76" t="s">
        <v>189</v>
      </c>
      <c r="E29" s="76">
        <f>_Vph_default</f>
        <v>5</v>
      </c>
      <c r="F29" s="76"/>
    </row>
    <row r="30" spans="2:6" ht="12.75" customHeight="1" x14ac:dyDescent="0.2">
      <c r="B30" s="76" t="s">
        <v>947</v>
      </c>
      <c r="C30" s="76"/>
      <c r="D30" s="76" t="s">
        <v>190</v>
      </c>
      <c r="E30" s="76">
        <f>_Iph_default</f>
        <v>0</v>
      </c>
      <c r="F30" s="76"/>
    </row>
    <row r="31" spans="2:6" ht="12.75" customHeight="1" x14ac:dyDescent="0.2">
      <c r="B31" s="76" t="s">
        <v>947</v>
      </c>
      <c r="C31" s="76"/>
      <c r="D31" s="76" t="s">
        <v>191</v>
      </c>
      <c r="E31" s="76">
        <f>_Tpr_default</f>
        <v>1.5999999999999999E-5</v>
      </c>
      <c r="F31" s="76"/>
    </row>
    <row r="32" spans="2:6" ht="12.75" customHeight="1" x14ac:dyDescent="0.2">
      <c r="B32" s="76" t="s">
        <v>947</v>
      </c>
      <c r="C32" s="76"/>
      <c r="D32" s="76" t="s">
        <v>192</v>
      </c>
      <c r="E32" s="76">
        <f>_Vfph_default</f>
        <v>6</v>
      </c>
      <c r="F32" s="76"/>
    </row>
    <row r="33" spans="2:6" ht="12.75" customHeight="1" x14ac:dyDescent="0.2">
      <c r="B33" s="76" t="s">
        <v>947</v>
      </c>
      <c r="C33" s="76"/>
      <c r="D33" s="76" t="s">
        <v>193</v>
      </c>
      <c r="E33" s="76" t="s">
        <v>194</v>
      </c>
      <c r="F33" s="76"/>
    </row>
    <row r="34" spans="2:6" ht="12.75" customHeight="1" x14ac:dyDescent="0.2">
      <c r="B34" s="76" t="s">
        <v>175</v>
      </c>
      <c r="C34" s="76"/>
      <c r="D34" s="76" t="s">
        <v>187</v>
      </c>
      <c r="E34" s="76">
        <f>0</f>
        <v>0</v>
      </c>
      <c r="F34" s="76"/>
    </row>
    <row r="35" spans="2:6" ht="12.75" customHeight="1" x14ac:dyDescent="0.2">
      <c r="B35" s="76" t="s">
        <v>175</v>
      </c>
      <c r="C35" s="76"/>
      <c r="D35" s="76" t="s">
        <v>188</v>
      </c>
      <c r="E35" s="76">
        <f>0</f>
        <v>0</v>
      </c>
      <c r="F35" s="76"/>
    </row>
    <row r="36" spans="2:6" ht="12.75" customHeight="1" x14ac:dyDescent="0.2">
      <c r="B36" s="76" t="s">
        <v>175</v>
      </c>
      <c r="C36" s="76"/>
      <c r="D36" s="76" t="s">
        <v>212</v>
      </c>
      <c r="E36" s="76">
        <f>0.2</f>
        <v>0.2</v>
      </c>
      <c r="F36" s="76"/>
    </row>
    <row r="37" spans="2:6" ht="12.75" customHeight="1" x14ac:dyDescent="0.2">
      <c r="B37" s="76" t="s">
        <v>175</v>
      </c>
      <c r="C37" s="76"/>
      <c r="D37" s="76" t="s">
        <v>213</v>
      </c>
      <c r="E37" s="76">
        <f>1.1</f>
        <v>1.1000000000000001</v>
      </c>
      <c r="F37" s="76"/>
    </row>
    <row r="38" spans="2:6" ht="12.75" customHeight="1" x14ac:dyDescent="0.2">
      <c r="B38" s="76" t="s">
        <v>175</v>
      </c>
      <c r="C38" s="76"/>
      <c r="D38" s="76" t="s">
        <v>214</v>
      </c>
      <c r="E38" s="76">
        <f>_cont_Isrc</f>
        <v>0</v>
      </c>
      <c r="F38" s="76"/>
    </row>
    <row r="39" spans="2:6" ht="12.75" customHeight="1" x14ac:dyDescent="0.2">
      <c r="B39" s="76" t="s">
        <v>175</v>
      </c>
      <c r="C39" s="76"/>
      <c r="D39" s="76" t="s">
        <v>215</v>
      </c>
      <c r="E39" s="76">
        <f>_cont_Isink</f>
        <v>0</v>
      </c>
      <c r="F39" s="76"/>
    </row>
    <row r="40" spans="2:6" ht="12.75" customHeight="1" x14ac:dyDescent="0.2">
      <c r="B40" s="76" t="s">
        <v>175</v>
      </c>
      <c r="C40" s="76"/>
      <c r="D40" s="76" t="s">
        <v>216</v>
      </c>
      <c r="E40" s="76">
        <f>1.5</f>
        <v>1.5</v>
      </c>
      <c r="F40" s="76"/>
    </row>
    <row r="41" spans="2:6" ht="12.75" customHeight="1" x14ac:dyDescent="0.2">
      <c r="B41" s="76" t="s">
        <v>175</v>
      </c>
      <c r="C41" s="76"/>
      <c r="D41" s="76" t="s">
        <v>217</v>
      </c>
      <c r="E41" s="76">
        <f>_Vch_default</f>
        <v>2.2999999999999998</v>
      </c>
      <c r="F41" s="76"/>
    </row>
    <row r="42" spans="2:6" ht="12.75" customHeight="1" x14ac:dyDescent="0.2">
      <c r="B42" s="76" t="s">
        <v>175</v>
      </c>
      <c r="C42" s="76"/>
      <c r="D42" s="76" t="s">
        <v>218</v>
      </c>
      <c r="E42" s="76">
        <f>_Vcl_default</f>
        <v>-0.5</v>
      </c>
      <c r="F42" s="76"/>
    </row>
    <row r="43" spans="2:6" ht="12.75" customHeight="1" x14ac:dyDescent="0.2">
      <c r="B43" s="76" t="s">
        <v>175</v>
      </c>
      <c r="C43" s="76"/>
      <c r="D43" s="76" t="s">
        <v>189</v>
      </c>
      <c r="E43" s="76">
        <f>_Vph_default</f>
        <v>5</v>
      </c>
      <c r="F43" s="76"/>
    </row>
    <row r="44" spans="2:6" ht="12.75" customHeight="1" x14ac:dyDescent="0.2">
      <c r="B44" s="76" t="s">
        <v>175</v>
      </c>
      <c r="C44" s="76"/>
      <c r="D44" s="76" t="s">
        <v>190</v>
      </c>
      <c r="E44" s="76">
        <f>_Iph_default</f>
        <v>0</v>
      </c>
      <c r="F44" s="76"/>
    </row>
    <row r="45" spans="2:6" ht="12.75" customHeight="1" x14ac:dyDescent="0.2">
      <c r="B45" s="76" t="s">
        <v>175</v>
      </c>
      <c r="C45" s="76"/>
      <c r="D45" s="76" t="s">
        <v>191</v>
      </c>
      <c r="E45" s="76">
        <f>_Tpr_default</f>
        <v>1.5999999999999999E-5</v>
      </c>
      <c r="F45" s="76"/>
    </row>
    <row r="46" spans="2:6" ht="12.75" customHeight="1" x14ac:dyDescent="0.2">
      <c r="B46" s="76" t="s">
        <v>175</v>
      </c>
      <c r="C46" s="76"/>
      <c r="D46" s="76" t="s">
        <v>192</v>
      </c>
      <c r="E46" s="76">
        <f>_Vfph_default</f>
        <v>6</v>
      </c>
      <c r="F46" s="76"/>
    </row>
    <row r="47" spans="2:6" ht="12.75" customHeight="1" x14ac:dyDescent="0.2">
      <c r="B47" s="76" t="s">
        <v>175</v>
      </c>
      <c r="C47" s="76"/>
      <c r="D47" s="76" t="s">
        <v>193</v>
      </c>
      <c r="E47" s="76" t="s">
        <v>194</v>
      </c>
      <c r="F47" s="76"/>
    </row>
    <row r="48" spans="2:6" ht="12.75" customHeight="1" x14ac:dyDescent="0.2">
      <c r="B48" s="76" t="s">
        <v>1399</v>
      </c>
      <c r="C48" s="76"/>
      <c r="D48" s="76" t="s">
        <v>187</v>
      </c>
      <c r="E48" s="76">
        <v>0</v>
      </c>
      <c r="F48" s="76"/>
    </row>
    <row r="49" spans="2:6" ht="12.75" customHeight="1" x14ac:dyDescent="0.2">
      <c r="B49" s="76" t="s">
        <v>1399</v>
      </c>
      <c r="C49" s="76"/>
      <c r="D49" s="76" t="s">
        <v>188</v>
      </c>
      <c r="E49" s="76">
        <v>0</v>
      </c>
      <c r="F49" s="76"/>
    </row>
    <row r="50" spans="2:6" ht="12.75" customHeight="1" x14ac:dyDescent="0.2">
      <c r="B50" s="76" t="s">
        <v>1399</v>
      </c>
      <c r="C50" s="76"/>
      <c r="D50" s="76" t="s">
        <v>189</v>
      </c>
      <c r="E50" s="76">
        <f>_Vph_default</f>
        <v>5</v>
      </c>
      <c r="F50" s="76"/>
    </row>
    <row r="51" spans="2:6" ht="12.75" customHeight="1" x14ac:dyDescent="0.2">
      <c r="B51" s="76" t="s">
        <v>1399</v>
      </c>
      <c r="C51" s="76"/>
      <c r="D51" s="76" t="s">
        <v>190</v>
      </c>
      <c r="E51" s="76">
        <v>0</v>
      </c>
      <c r="F51" s="76"/>
    </row>
    <row r="52" spans="2:6" ht="12.75" customHeight="1" x14ac:dyDescent="0.2">
      <c r="B52" s="76" t="s">
        <v>1399</v>
      </c>
      <c r="C52" s="76"/>
      <c r="D52" s="76" t="s">
        <v>191</v>
      </c>
      <c r="E52" s="76">
        <v>1.5999999999999999E-5</v>
      </c>
      <c r="F52" s="76"/>
    </row>
    <row r="53" spans="2:6" ht="12.75" customHeight="1" x14ac:dyDescent="0.2">
      <c r="B53" s="76" t="s">
        <v>1399</v>
      </c>
      <c r="C53" s="76"/>
      <c r="D53" s="76" t="s">
        <v>192</v>
      </c>
      <c r="E53" s="76">
        <f>_Vfph_default</f>
        <v>6</v>
      </c>
      <c r="F53" s="76"/>
    </row>
    <row r="54" spans="2:6" ht="12.75" customHeight="1" x14ac:dyDescent="0.2">
      <c r="B54" s="76" t="s">
        <v>1399</v>
      </c>
      <c r="C54" s="76"/>
      <c r="D54" s="76" t="s">
        <v>193</v>
      </c>
      <c r="E54" s="76" t="s">
        <v>194</v>
      </c>
      <c r="F54" s="76"/>
    </row>
  </sheetData>
  <autoFilter ref="D3:D4"/>
  <pageMargins left="0.7" right="0.7" top="0.75" bottom="0.75" header="0.3" footer="0.3"/>
  <pageSetup orientation="landscape" horizontalDpi="200" verticalDpi="200" copies="0" r:id="rId1"/>
  <headerFooter>
    <oddHeader>&amp;L&amp;LTeradyne IG-XL</oddHeader>
    <oddFooter>&amp;L&amp;LWorkbook '&amp;F', Sheet '&amp;A'&amp;R&amp;R&amp;D &amp;T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outlinePr summaryBelow="0" summaryRight="0"/>
  </sheetPr>
  <dimension ref="A1:P86"/>
  <sheetViews>
    <sheetView showGridLines="0" zoomScaleNormal="100" workbookViewId="0">
      <pane ySplit="6" topLeftCell="A7" activePane="bottomLeft" state="frozen"/>
      <selection pane="bottomLeft" activeCell="A7" sqref="A7"/>
    </sheetView>
  </sheetViews>
  <sheetFormatPr defaultRowHeight="12.75" x14ac:dyDescent="0.2"/>
  <cols>
    <col min="1" max="1" width="9.140625" style="75"/>
    <col min="2" max="3" width="13.42578125" style="75" customWidth="1"/>
    <col min="4" max="4" width="6.28515625" style="75" customWidth="1"/>
    <col min="5" max="5" width="13.42578125" style="75" customWidth="1"/>
    <col min="6" max="6" width="9.28515625" style="75" bestFit="1" customWidth="1"/>
    <col min="7" max="8" width="9.140625" style="75"/>
    <col min="9" max="12" width="13.42578125" style="75" customWidth="1"/>
    <col min="13" max="13" width="9.140625" style="75"/>
    <col min="14" max="15" width="13.42578125" style="75" customWidth="1"/>
    <col min="16" max="16" width="42.85546875" style="75" customWidth="1"/>
    <col min="17" max="16384" width="9.140625" style="75"/>
  </cols>
  <sheetData>
    <row r="1" spans="1:16" ht="25.5" customHeight="1" x14ac:dyDescent="0.2">
      <c r="A1" s="75" t="s">
        <v>61</v>
      </c>
      <c r="B1" s="75" t="s">
        <v>146</v>
      </c>
    </row>
    <row r="3" spans="1:16" x14ac:dyDescent="0.2">
      <c r="B3" s="1" t="s">
        <v>147</v>
      </c>
      <c r="C3" s="2" t="s">
        <v>237</v>
      </c>
      <c r="E3" s="1" t="s">
        <v>148</v>
      </c>
      <c r="F3" s="2">
        <f>1*us</f>
        <v>9.9999999999999995E-7</v>
      </c>
      <c r="H3" s="1" t="s">
        <v>149</v>
      </c>
      <c r="I3" s="2">
        <f>1*us</f>
        <v>9.9999999999999995E-7</v>
      </c>
    </row>
    <row r="5" spans="1:16" x14ac:dyDescent="0.2">
      <c r="C5" s="75" t="s">
        <v>150</v>
      </c>
      <c r="E5" s="75" t="s">
        <v>151</v>
      </c>
      <c r="G5" s="75" t="s">
        <v>152</v>
      </c>
      <c r="I5" s="75" t="s">
        <v>153</v>
      </c>
      <c r="M5" s="75" t="s">
        <v>154</v>
      </c>
    </row>
    <row r="6" spans="1:16" x14ac:dyDescent="0.2">
      <c r="B6" s="75" t="s">
        <v>155</v>
      </c>
      <c r="C6" s="75" t="s">
        <v>156</v>
      </c>
      <c r="D6" s="75" t="s">
        <v>157</v>
      </c>
      <c r="E6" s="75" t="s">
        <v>20</v>
      </c>
      <c r="F6" s="75" t="s">
        <v>158</v>
      </c>
      <c r="G6" s="75" t="s">
        <v>159</v>
      </c>
      <c r="H6" s="75" t="s">
        <v>160</v>
      </c>
      <c r="I6" s="75" t="s">
        <v>161</v>
      </c>
      <c r="J6" s="75" t="s">
        <v>152</v>
      </c>
      <c r="K6" s="75" t="s">
        <v>162</v>
      </c>
      <c r="L6" s="75" t="s">
        <v>163</v>
      </c>
      <c r="M6" s="75" t="s">
        <v>164</v>
      </c>
      <c r="N6" s="75" t="s">
        <v>165</v>
      </c>
      <c r="O6" s="75" t="s">
        <v>166</v>
      </c>
      <c r="P6" s="75" t="s">
        <v>4</v>
      </c>
    </row>
    <row r="7" spans="1:16" ht="19.149999999999999" customHeight="1" x14ac:dyDescent="0.2">
      <c r="B7" s="76" t="s">
        <v>167</v>
      </c>
      <c r="C7" s="76">
        <f t="shared" ref="C7:C38" si="0">100*ns</f>
        <v>1.0000000000000001E-7</v>
      </c>
      <c r="D7" s="76"/>
      <c r="E7" s="76" t="s">
        <v>893</v>
      </c>
      <c r="F7" s="76" t="s">
        <v>168</v>
      </c>
      <c r="G7" s="76" t="s">
        <v>169</v>
      </c>
      <c r="H7" s="76" t="s">
        <v>170</v>
      </c>
      <c r="I7" s="76">
        <v>0</v>
      </c>
      <c r="J7" s="76">
        <f>C7*0.1</f>
        <v>1.0000000000000002E-8</v>
      </c>
      <c r="K7" s="76"/>
      <c r="L7" s="76">
        <f t="shared" ref="L7:L38" si="1">C7</f>
        <v>1.0000000000000001E-7</v>
      </c>
      <c r="M7" s="76" t="s">
        <v>163</v>
      </c>
      <c r="N7" s="76"/>
      <c r="O7" s="76"/>
      <c r="P7" s="76" t="s">
        <v>171</v>
      </c>
    </row>
    <row r="8" spans="1:16" ht="12.75" customHeight="1" x14ac:dyDescent="0.2">
      <c r="B8" s="76" t="s">
        <v>167</v>
      </c>
      <c r="C8" s="76">
        <f t="shared" si="0"/>
        <v>1.0000000000000001E-7</v>
      </c>
      <c r="D8" s="76"/>
      <c r="E8" s="76" t="s">
        <v>894</v>
      </c>
      <c r="F8" s="76" t="s">
        <v>168</v>
      </c>
      <c r="G8" s="76" t="s">
        <v>169</v>
      </c>
      <c r="H8" s="76" t="s">
        <v>170</v>
      </c>
      <c r="I8" s="76">
        <v>0</v>
      </c>
      <c r="J8" s="76">
        <f>C8*0.2</f>
        <v>2.0000000000000004E-8</v>
      </c>
      <c r="K8" s="76"/>
      <c r="L8" s="76">
        <f t="shared" si="1"/>
        <v>1.0000000000000001E-7</v>
      </c>
      <c r="M8" s="76" t="s">
        <v>163</v>
      </c>
      <c r="N8" s="76">
        <f>C8*0.9</f>
        <v>9.0000000000000012E-8</v>
      </c>
      <c r="O8" s="76"/>
      <c r="P8" s="76" t="s">
        <v>171</v>
      </c>
    </row>
    <row r="9" spans="1:16" ht="12.75" customHeight="1" x14ac:dyDescent="0.2">
      <c r="B9" s="76" t="s">
        <v>167</v>
      </c>
      <c r="C9" s="76">
        <f t="shared" si="0"/>
        <v>1.0000000000000001E-7</v>
      </c>
      <c r="D9" s="76"/>
      <c r="E9" s="76" t="s">
        <v>896</v>
      </c>
      <c r="F9" s="76" t="s">
        <v>168</v>
      </c>
      <c r="G9" s="76" t="s">
        <v>169</v>
      </c>
      <c r="H9" s="76" t="s">
        <v>170</v>
      </c>
      <c r="I9" s="76">
        <v>0</v>
      </c>
      <c r="J9" s="76">
        <f>C9*0.2</f>
        <v>2.0000000000000004E-8</v>
      </c>
      <c r="K9" s="76"/>
      <c r="L9" s="76">
        <f t="shared" si="1"/>
        <v>1.0000000000000001E-7</v>
      </c>
      <c r="M9" s="76" t="s">
        <v>163</v>
      </c>
      <c r="N9" s="76">
        <f>C9*0.9</f>
        <v>9.0000000000000012E-8</v>
      </c>
      <c r="O9" s="76"/>
      <c r="P9" s="76" t="s">
        <v>171</v>
      </c>
    </row>
    <row r="10" spans="1:16" ht="12.75" customHeight="1" x14ac:dyDescent="0.2">
      <c r="B10" s="76" t="s">
        <v>167</v>
      </c>
      <c r="C10" s="76">
        <f t="shared" si="0"/>
        <v>1.0000000000000001E-7</v>
      </c>
      <c r="D10" s="76"/>
      <c r="E10" s="76" t="s">
        <v>897</v>
      </c>
      <c r="F10" s="76" t="s">
        <v>168</v>
      </c>
      <c r="G10" s="76" t="s">
        <v>169</v>
      </c>
      <c r="H10" s="76" t="s">
        <v>170</v>
      </c>
      <c r="I10" s="76">
        <v>0</v>
      </c>
      <c r="J10" s="76">
        <f>C10*0.1</f>
        <v>1.0000000000000002E-8</v>
      </c>
      <c r="K10" s="76"/>
      <c r="L10" s="76">
        <f t="shared" si="1"/>
        <v>1.0000000000000001E-7</v>
      </c>
      <c r="M10" s="76" t="s">
        <v>163</v>
      </c>
      <c r="N10" s="76">
        <f>C10*0.9</f>
        <v>9.0000000000000012E-8</v>
      </c>
      <c r="O10" s="76"/>
      <c r="P10" s="76" t="s">
        <v>171</v>
      </c>
    </row>
    <row r="11" spans="1:16" ht="12.75" customHeight="1" x14ac:dyDescent="0.2">
      <c r="B11" s="76" t="s">
        <v>167</v>
      </c>
      <c r="C11" s="76">
        <f t="shared" si="0"/>
        <v>1.0000000000000001E-7</v>
      </c>
      <c r="D11" s="76"/>
      <c r="E11" s="76" t="s">
        <v>895</v>
      </c>
      <c r="F11" s="76" t="s">
        <v>168</v>
      </c>
      <c r="G11" s="76" t="s">
        <v>169</v>
      </c>
      <c r="H11" s="76" t="s">
        <v>170</v>
      </c>
      <c r="I11" s="76">
        <v>0</v>
      </c>
      <c r="J11" s="76">
        <v>0</v>
      </c>
      <c r="K11" s="76"/>
      <c r="L11" s="76">
        <f t="shared" si="1"/>
        <v>1.0000000000000001E-7</v>
      </c>
      <c r="M11" s="76" t="s">
        <v>172</v>
      </c>
      <c r="N11" s="76">
        <f>C11*0.9</f>
        <v>9.0000000000000012E-8</v>
      </c>
      <c r="O11" s="76"/>
      <c r="P11" s="76" t="s">
        <v>171</v>
      </c>
    </row>
    <row r="12" spans="1:16" ht="12.75" customHeight="1" x14ac:dyDescent="0.2">
      <c r="B12" s="76" t="s">
        <v>167</v>
      </c>
      <c r="C12" s="76">
        <f t="shared" si="0"/>
        <v>1.0000000000000001E-7</v>
      </c>
      <c r="D12" s="76"/>
      <c r="E12" s="76" t="s">
        <v>909</v>
      </c>
      <c r="F12" s="76" t="s">
        <v>168</v>
      </c>
      <c r="G12" s="76" t="s">
        <v>169</v>
      </c>
      <c r="H12" s="76" t="s">
        <v>170</v>
      </c>
      <c r="I12" s="76">
        <v>0</v>
      </c>
      <c r="J12" s="76">
        <f>C12*0.3</f>
        <v>3.0000000000000004E-8</v>
      </c>
      <c r="K12" s="76"/>
      <c r="L12" s="76">
        <f t="shared" si="1"/>
        <v>1.0000000000000001E-7</v>
      </c>
      <c r="M12" s="76" t="s">
        <v>163</v>
      </c>
      <c r="N12" s="76"/>
      <c r="O12" s="76"/>
      <c r="P12" s="76" t="s">
        <v>171</v>
      </c>
    </row>
    <row r="13" spans="1:16" ht="12.75" customHeight="1" x14ac:dyDescent="0.2">
      <c r="B13" s="76" t="s">
        <v>167</v>
      </c>
      <c r="C13" s="76">
        <f t="shared" si="0"/>
        <v>1.0000000000000001E-7</v>
      </c>
      <c r="D13" s="76"/>
      <c r="E13" s="76" t="s">
        <v>908</v>
      </c>
      <c r="F13" s="76" t="s">
        <v>168</v>
      </c>
      <c r="G13" s="76" t="s">
        <v>169</v>
      </c>
      <c r="H13" s="76" t="s">
        <v>170</v>
      </c>
      <c r="I13" s="76">
        <v>0</v>
      </c>
      <c r="J13" s="76">
        <f>C13*0.4</f>
        <v>4.0000000000000007E-8</v>
      </c>
      <c r="K13" s="76"/>
      <c r="L13" s="76">
        <f t="shared" si="1"/>
        <v>1.0000000000000001E-7</v>
      </c>
      <c r="M13" s="76" t="s">
        <v>163</v>
      </c>
      <c r="N13" s="76"/>
      <c r="O13" s="76"/>
      <c r="P13" s="76" t="s">
        <v>171</v>
      </c>
    </row>
    <row r="14" spans="1:16" ht="12.75" customHeight="1" x14ac:dyDescent="0.2">
      <c r="B14" s="76" t="s">
        <v>167</v>
      </c>
      <c r="C14" s="76">
        <f t="shared" si="0"/>
        <v>1.0000000000000001E-7</v>
      </c>
      <c r="D14" s="76"/>
      <c r="E14" s="76" t="s">
        <v>910</v>
      </c>
      <c r="F14" s="76" t="s">
        <v>168</v>
      </c>
      <c r="G14" s="76" t="s">
        <v>169</v>
      </c>
      <c r="H14" s="76" t="s">
        <v>170</v>
      </c>
      <c r="I14" s="76">
        <v>0</v>
      </c>
      <c r="J14" s="76">
        <f>C14*0.2</f>
        <v>2.0000000000000004E-8</v>
      </c>
      <c r="K14" s="76"/>
      <c r="L14" s="76">
        <f t="shared" si="1"/>
        <v>1.0000000000000001E-7</v>
      </c>
      <c r="M14" s="76" t="s">
        <v>163</v>
      </c>
      <c r="N14" s="76"/>
      <c r="O14" s="76"/>
      <c r="P14" s="76" t="s">
        <v>171</v>
      </c>
    </row>
    <row r="15" spans="1:16" ht="12.75" customHeight="1" x14ac:dyDescent="0.2">
      <c r="B15" s="76" t="s">
        <v>167</v>
      </c>
      <c r="C15" s="76">
        <f t="shared" si="0"/>
        <v>1.0000000000000001E-7</v>
      </c>
      <c r="D15" s="76"/>
      <c r="E15" s="76" t="s">
        <v>911</v>
      </c>
      <c r="F15" s="76" t="s">
        <v>168</v>
      </c>
      <c r="G15" s="76" t="s">
        <v>169</v>
      </c>
      <c r="H15" s="76" t="s">
        <v>170</v>
      </c>
      <c r="I15" s="76">
        <v>0</v>
      </c>
      <c r="J15" s="76">
        <v>0</v>
      </c>
      <c r="K15" s="76"/>
      <c r="L15" s="76">
        <f t="shared" si="1"/>
        <v>1.0000000000000001E-7</v>
      </c>
      <c r="M15" s="76" t="s">
        <v>172</v>
      </c>
      <c r="N15" s="76">
        <f>C15*0.9+(0*ns)</f>
        <v>9.0000000000000012E-8</v>
      </c>
      <c r="O15" s="76"/>
      <c r="P15" s="76" t="s">
        <v>337</v>
      </c>
    </row>
    <row r="16" spans="1:16" ht="12.75" customHeight="1" x14ac:dyDescent="0.2">
      <c r="B16" s="76" t="s">
        <v>167</v>
      </c>
      <c r="C16" s="76">
        <f t="shared" si="0"/>
        <v>1.0000000000000001E-7</v>
      </c>
      <c r="D16" s="76"/>
      <c r="E16" s="76" t="s">
        <v>95</v>
      </c>
      <c r="F16" s="76" t="s">
        <v>168</v>
      </c>
      <c r="G16" s="76" t="s">
        <v>169</v>
      </c>
      <c r="H16" s="76" t="s">
        <v>170</v>
      </c>
      <c r="I16" s="76">
        <v>0</v>
      </c>
      <c r="J16" s="76">
        <f>C16*0.1</f>
        <v>1.0000000000000002E-8</v>
      </c>
      <c r="K16" s="76"/>
      <c r="L16" s="76">
        <f t="shared" si="1"/>
        <v>1.0000000000000001E-7</v>
      </c>
      <c r="M16" s="76" t="s">
        <v>163</v>
      </c>
      <c r="N16" s="76"/>
      <c r="O16" s="76"/>
      <c r="P16" s="76" t="s">
        <v>171</v>
      </c>
    </row>
    <row r="17" spans="2:16" ht="12.75" customHeight="1" x14ac:dyDescent="0.2">
      <c r="B17" s="76" t="s">
        <v>167</v>
      </c>
      <c r="C17" s="76">
        <f t="shared" si="0"/>
        <v>1.0000000000000001E-7</v>
      </c>
      <c r="D17" s="76"/>
      <c r="E17" s="76" t="s">
        <v>96</v>
      </c>
      <c r="F17" s="76" t="s">
        <v>168</v>
      </c>
      <c r="G17" s="76" t="s">
        <v>169</v>
      </c>
      <c r="H17" s="76" t="s">
        <v>170</v>
      </c>
      <c r="I17" s="76">
        <v>0</v>
      </c>
      <c r="J17" s="76">
        <f>C17*0.1</f>
        <v>1.0000000000000002E-8</v>
      </c>
      <c r="K17" s="76"/>
      <c r="L17" s="76">
        <f t="shared" si="1"/>
        <v>1.0000000000000001E-7</v>
      </c>
      <c r="M17" s="76" t="s">
        <v>163</v>
      </c>
      <c r="N17" s="76"/>
      <c r="O17" s="76"/>
      <c r="P17" s="76" t="s">
        <v>171</v>
      </c>
    </row>
    <row r="18" spans="2:16" ht="12.75" customHeight="1" x14ac:dyDescent="0.2">
      <c r="B18" s="76" t="s">
        <v>167</v>
      </c>
      <c r="C18" s="76">
        <f t="shared" si="0"/>
        <v>1.0000000000000001E-7</v>
      </c>
      <c r="D18" s="76"/>
      <c r="E18" s="76" t="s">
        <v>122</v>
      </c>
      <c r="F18" s="76" t="s">
        <v>168</v>
      </c>
      <c r="G18" s="76" t="s">
        <v>169</v>
      </c>
      <c r="H18" s="76" t="s">
        <v>170</v>
      </c>
      <c r="I18" s="76">
        <v>0</v>
      </c>
      <c r="J18" s="76">
        <f t="shared" ref="J18:J33" si="2">C18*0.2</f>
        <v>2.0000000000000004E-8</v>
      </c>
      <c r="K18" s="76"/>
      <c r="L18" s="76">
        <f t="shared" si="1"/>
        <v>1.0000000000000001E-7</v>
      </c>
      <c r="M18" s="76" t="s">
        <v>172</v>
      </c>
      <c r="N18" s="76">
        <f t="shared" ref="N18:N33" si="3">C18*0.9</f>
        <v>9.0000000000000012E-8</v>
      </c>
      <c r="O18" s="76"/>
      <c r="P18" s="76" t="s">
        <v>171</v>
      </c>
    </row>
    <row r="19" spans="2:16" ht="12.75" customHeight="1" x14ac:dyDescent="0.2">
      <c r="B19" s="76" t="s">
        <v>167</v>
      </c>
      <c r="C19" s="76">
        <f t="shared" si="0"/>
        <v>1.0000000000000001E-7</v>
      </c>
      <c r="D19" s="76"/>
      <c r="E19" s="76" t="s">
        <v>123</v>
      </c>
      <c r="F19" s="76" t="s">
        <v>168</v>
      </c>
      <c r="G19" s="76" t="s">
        <v>169</v>
      </c>
      <c r="H19" s="76" t="s">
        <v>170</v>
      </c>
      <c r="I19" s="76">
        <v>0</v>
      </c>
      <c r="J19" s="76">
        <f t="shared" si="2"/>
        <v>2.0000000000000004E-8</v>
      </c>
      <c r="K19" s="76"/>
      <c r="L19" s="76">
        <f t="shared" si="1"/>
        <v>1.0000000000000001E-7</v>
      </c>
      <c r="M19" s="76" t="s">
        <v>172</v>
      </c>
      <c r="N19" s="76">
        <f t="shared" si="3"/>
        <v>9.0000000000000012E-8</v>
      </c>
      <c r="O19" s="76"/>
      <c r="P19" s="76" t="s">
        <v>171</v>
      </c>
    </row>
    <row r="20" spans="2:16" ht="12.75" customHeight="1" x14ac:dyDescent="0.2">
      <c r="B20" s="76" t="s">
        <v>167</v>
      </c>
      <c r="C20" s="76">
        <f t="shared" si="0"/>
        <v>1.0000000000000001E-7</v>
      </c>
      <c r="D20" s="76"/>
      <c r="E20" s="76" t="s">
        <v>124</v>
      </c>
      <c r="F20" s="76" t="s">
        <v>168</v>
      </c>
      <c r="G20" s="76" t="s">
        <v>169</v>
      </c>
      <c r="H20" s="76" t="s">
        <v>170</v>
      </c>
      <c r="I20" s="76">
        <v>0</v>
      </c>
      <c r="J20" s="76">
        <f t="shared" si="2"/>
        <v>2.0000000000000004E-8</v>
      </c>
      <c r="K20" s="76"/>
      <c r="L20" s="76">
        <f t="shared" si="1"/>
        <v>1.0000000000000001E-7</v>
      </c>
      <c r="M20" s="76" t="s">
        <v>172</v>
      </c>
      <c r="N20" s="76">
        <f t="shared" si="3"/>
        <v>9.0000000000000012E-8</v>
      </c>
      <c r="O20" s="76"/>
      <c r="P20" s="76" t="s">
        <v>171</v>
      </c>
    </row>
    <row r="21" spans="2:16" ht="12.75" customHeight="1" x14ac:dyDescent="0.2">
      <c r="B21" s="76" t="s">
        <v>167</v>
      </c>
      <c r="C21" s="76">
        <f t="shared" si="0"/>
        <v>1.0000000000000001E-7</v>
      </c>
      <c r="D21" s="76"/>
      <c r="E21" s="76" t="s">
        <v>125</v>
      </c>
      <c r="F21" s="76" t="s">
        <v>168</v>
      </c>
      <c r="G21" s="76" t="s">
        <v>169</v>
      </c>
      <c r="H21" s="76" t="s">
        <v>170</v>
      </c>
      <c r="I21" s="76">
        <v>0</v>
      </c>
      <c r="J21" s="76">
        <f t="shared" si="2"/>
        <v>2.0000000000000004E-8</v>
      </c>
      <c r="K21" s="76"/>
      <c r="L21" s="76">
        <f t="shared" si="1"/>
        <v>1.0000000000000001E-7</v>
      </c>
      <c r="M21" s="76" t="s">
        <v>172</v>
      </c>
      <c r="N21" s="76">
        <f t="shared" si="3"/>
        <v>9.0000000000000012E-8</v>
      </c>
      <c r="O21" s="76"/>
      <c r="P21" s="76" t="s">
        <v>171</v>
      </c>
    </row>
    <row r="22" spans="2:16" ht="12.75" customHeight="1" x14ac:dyDescent="0.2">
      <c r="B22" s="76" t="s">
        <v>167</v>
      </c>
      <c r="C22" s="76">
        <f t="shared" si="0"/>
        <v>1.0000000000000001E-7</v>
      </c>
      <c r="D22" s="76"/>
      <c r="E22" s="76" t="s">
        <v>126</v>
      </c>
      <c r="F22" s="76" t="s">
        <v>168</v>
      </c>
      <c r="G22" s="76" t="s">
        <v>169</v>
      </c>
      <c r="H22" s="76" t="s">
        <v>170</v>
      </c>
      <c r="I22" s="76">
        <v>0</v>
      </c>
      <c r="J22" s="76">
        <f t="shared" si="2"/>
        <v>2.0000000000000004E-8</v>
      </c>
      <c r="K22" s="76"/>
      <c r="L22" s="76">
        <f t="shared" si="1"/>
        <v>1.0000000000000001E-7</v>
      </c>
      <c r="M22" s="76" t="s">
        <v>172</v>
      </c>
      <c r="N22" s="76">
        <f t="shared" si="3"/>
        <v>9.0000000000000012E-8</v>
      </c>
      <c r="O22" s="76"/>
      <c r="P22" s="76" t="s">
        <v>171</v>
      </c>
    </row>
    <row r="23" spans="2:16" ht="12.75" customHeight="1" x14ac:dyDescent="0.2">
      <c r="B23" s="76" t="s">
        <v>167</v>
      </c>
      <c r="C23" s="76">
        <f t="shared" si="0"/>
        <v>1.0000000000000001E-7</v>
      </c>
      <c r="D23" s="76"/>
      <c r="E23" s="76" t="s">
        <v>127</v>
      </c>
      <c r="F23" s="76" t="s">
        <v>168</v>
      </c>
      <c r="G23" s="76" t="s">
        <v>169</v>
      </c>
      <c r="H23" s="76" t="s">
        <v>170</v>
      </c>
      <c r="I23" s="76">
        <v>0</v>
      </c>
      <c r="J23" s="76">
        <f t="shared" si="2"/>
        <v>2.0000000000000004E-8</v>
      </c>
      <c r="K23" s="76"/>
      <c r="L23" s="76">
        <f t="shared" si="1"/>
        <v>1.0000000000000001E-7</v>
      </c>
      <c r="M23" s="76" t="s">
        <v>172</v>
      </c>
      <c r="N23" s="76">
        <f t="shared" si="3"/>
        <v>9.0000000000000012E-8</v>
      </c>
      <c r="O23" s="76"/>
      <c r="P23" s="76" t="s">
        <v>171</v>
      </c>
    </row>
    <row r="24" spans="2:16" ht="12.75" customHeight="1" x14ac:dyDescent="0.2">
      <c r="B24" s="76" t="s">
        <v>167</v>
      </c>
      <c r="C24" s="76">
        <f t="shared" si="0"/>
        <v>1.0000000000000001E-7</v>
      </c>
      <c r="D24" s="76"/>
      <c r="E24" s="76" t="s">
        <v>128</v>
      </c>
      <c r="F24" s="76" t="s">
        <v>168</v>
      </c>
      <c r="G24" s="76" t="s">
        <v>169</v>
      </c>
      <c r="H24" s="76" t="s">
        <v>170</v>
      </c>
      <c r="I24" s="76">
        <v>0</v>
      </c>
      <c r="J24" s="76">
        <f t="shared" si="2"/>
        <v>2.0000000000000004E-8</v>
      </c>
      <c r="K24" s="76"/>
      <c r="L24" s="76">
        <f t="shared" si="1"/>
        <v>1.0000000000000001E-7</v>
      </c>
      <c r="M24" s="76" t="s">
        <v>172</v>
      </c>
      <c r="N24" s="76">
        <f t="shared" si="3"/>
        <v>9.0000000000000012E-8</v>
      </c>
      <c r="O24" s="76"/>
      <c r="P24" s="76" t="s">
        <v>171</v>
      </c>
    </row>
    <row r="25" spans="2:16" ht="12.75" customHeight="1" x14ac:dyDescent="0.2">
      <c r="B25" s="76" t="s">
        <v>167</v>
      </c>
      <c r="C25" s="76">
        <f t="shared" si="0"/>
        <v>1.0000000000000001E-7</v>
      </c>
      <c r="D25" s="76"/>
      <c r="E25" s="76" t="s">
        <v>129</v>
      </c>
      <c r="F25" s="76" t="s">
        <v>168</v>
      </c>
      <c r="G25" s="76" t="s">
        <v>169</v>
      </c>
      <c r="H25" s="76" t="s">
        <v>170</v>
      </c>
      <c r="I25" s="76">
        <v>0</v>
      </c>
      <c r="J25" s="76">
        <f t="shared" si="2"/>
        <v>2.0000000000000004E-8</v>
      </c>
      <c r="K25" s="76"/>
      <c r="L25" s="76">
        <f t="shared" si="1"/>
        <v>1.0000000000000001E-7</v>
      </c>
      <c r="M25" s="76" t="s">
        <v>172</v>
      </c>
      <c r="N25" s="76">
        <f t="shared" si="3"/>
        <v>9.0000000000000012E-8</v>
      </c>
      <c r="O25" s="76"/>
      <c r="P25" s="76" t="s">
        <v>171</v>
      </c>
    </row>
    <row r="26" spans="2:16" ht="12.75" customHeight="1" x14ac:dyDescent="0.2">
      <c r="B26" s="76" t="s">
        <v>167</v>
      </c>
      <c r="C26" s="76">
        <f t="shared" si="0"/>
        <v>1.0000000000000001E-7</v>
      </c>
      <c r="D26" s="76"/>
      <c r="E26" s="76" t="s">
        <v>130</v>
      </c>
      <c r="F26" s="76" t="s">
        <v>168</v>
      </c>
      <c r="G26" s="76" t="s">
        <v>169</v>
      </c>
      <c r="H26" s="76" t="s">
        <v>170</v>
      </c>
      <c r="I26" s="76">
        <v>0</v>
      </c>
      <c r="J26" s="76">
        <f t="shared" si="2"/>
        <v>2.0000000000000004E-8</v>
      </c>
      <c r="K26" s="76"/>
      <c r="L26" s="76">
        <f t="shared" si="1"/>
        <v>1.0000000000000001E-7</v>
      </c>
      <c r="M26" s="76" t="s">
        <v>172</v>
      </c>
      <c r="N26" s="76">
        <f t="shared" si="3"/>
        <v>9.0000000000000012E-8</v>
      </c>
      <c r="O26" s="76"/>
      <c r="P26" s="76" t="s">
        <v>171</v>
      </c>
    </row>
    <row r="27" spans="2:16" ht="12.75" customHeight="1" x14ac:dyDescent="0.2">
      <c r="B27" s="76" t="s">
        <v>167</v>
      </c>
      <c r="C27" s="76">
        <f t="shared" si="0"/>
        <v>1.0000000000000001E-7</v>
      </c>
      <c r="D27" s="76"/>
      <c r="E27" s="76" t="s">
        <v>131</v>
      </c>
      <c r="F27" s="76" t="s">
        <v>168</v>
      </c>
      <c r="G27" s="76" t="s">
        <v>169</v>
      </c>
      <c r="H27" s="76" t="s">
        <v>170</v>
      </c>
      <c r="I27" s="76">
        <v>0</v>
      </c>
      <c r="J27" s="76">
        <f t="shared" si="2"/>
        <v>2.0000000000000004E-8</v>
      </c>
      <c r="K27" s="76"/>
      <c r="L27" s="76">
        <f t="shared" si="1"/>
        <v>1.0000000000000001E-7</v>
      </c>
      <c r="M27" s="76" t="s">
        <v>172</v>
      </c>
      <c r="N27" s="76">
        <f t="shared" si="3"/>
        <v>9.0000000000000012E-8</v>
      </c>
      <c r="O27" s="76"/>
      <c r="P27" s="76" t="s">
        <v>171</v>
      </c>
    </row>
    <row r="28" spans="2:16" ht="12.75" customHeight="1" x14ac:dyDescent="0.2">
      <c r="B28" s="76" t="s">
        <v>167</v>
      </c>
      <c r="C28" s="76">
        <f t="shared" si="0"/>
        <v>1.0000000000000001E-7</v>
      </c>
      <c r="D28" s="76"/>
      <c r="E28" s="76" t="s">
        <v>132</v>
      </c>
      <c r="F28" s="76" t="s">
        <v>168</v>
      </c>
      <c r="G28" s="76" t="s">
        <v>169</v>
      </c>
      <c r="H28" s="76" t="s">
        <v>170</v>
      </c>
      <c r="I28" s="76">
        <v>0</v>
      </c>
      <c r="J28" s="76">
        <f t="shared" si="2"/>
        <v>2.0000000000000004E-8</v>
      </c>
      <c r="K28" s="76"/>
      <c r="L28" s="76">
        <f t="shared" si="1"/>
        <v>1.0000000000000001E-7</v>
      </c>
      <c r="M28" s="76" t="s">
        <v>172</v>
      </c>
      <c r="N28" s="76">
        <f t="shared" si="3"/>
        <v>9.0000000000000012E-8</v>
      </c>
      <c r="O28" s="76"/>
      <c r="P28" s="76" t="s">
        <v>171</v>
      </c>
    </row>
    <row r="29" spans="2:16" ht="12.75" customHeight="1" x14ac:dyDescent="0.2">
      <c r="B29" s="76" t="s">
        <v>167</v>
      </c>
      <c r="C29" s="76">
        <f t="shared" si="0"/>
        <v>1.0000000000000001E-7</v>
      </c>
      <c r="D29" s="76"/>
      <c r="E29" s="76" t="s">
        <v>133</v>
      </c>
      <c r="F29" s="76" t="s">
        <v>168</v>
      </c>
      <c r="G29" s="76" t="s">
        <v>169</v>
      </c>
      <c r="H29" s="76" t="s">
        <v>170</v>
      </c>
      <c r="I29" s="76">
        <v>0</v>
      </c>
      <c r="J29" s="76">
        <f t="shared" si="2"/>
        <v>2.0000000000000004E-8</v>
      </c>
      <c r="K29" s="76"/>
      <c r="L29" s="76">
        <f t="shared" si="1"/>
        <v>1.0000000000000001E-7</v>
      </c>
      <c r="M29" s="76" t="s">
        <v>172</v>
      </c>
      <c r="N29" s="76">
        <f t="shared" si="3"/>
        <v>9.0000000000000012E-8</v>
      </c>
      <c r="O29" s="76"/>
      <c r="P29" s="76" t="s">
        <v>171</v>
      </c>
    </row>
    <row r="30" spans="2:16" ht="12.75" customHeight="1" x14ac:dyDescent="0.2">
      <c r="B30" s="76" t="s">
        <v>167</v>
      </c>
      <c r="C30" s="76">
        <f t="shared" si="0"/>
        <v>1.0000000000000001E-7</v>
      </c>
      <c r="D30" s="76"/>
      <c r="E30" s="76" t="s">
        <v>134</v>
      </c>
      <c r="F30" s="76" t="s">
        <v>168</v>
      </c>
      <c r="G30" s="76" t="s">
        <v>169</v>
      </c>
      <c r="H30" s="76" t="s">
        <v>170</v>
      </c>
      <c r="I30" s="76">
        <v>0</v>
      </c>
      <c r="J30" s="76">
        <f t="shared" si="2"/>
        <v>2.0000000000000004E-8</v>
      </c>
      <c r="K30" s="76"/>
      <c r="L30" s="76">
        <f t="shared" si="1"/>
        <v>1.0000000000000001E-7</v>
      </c>
      <c r="M30" s="76" t="s">
        <v>172</v>
      </c>
      <c r="N30" s="76">
        <f t="shared" si="3"/>
        <v>9.0000000000000012E-8</v>
      </c>
      <c r="O30" s="76"/>
      <c r="P30" s="76" t="s">
        <v>171</v>
      </c>
    </row>
    <row r="31" spans="2:16" ht="12.75" customHeight="1" x14ac:dyDescent="0.2">
      <c r="B31" s="76" t="s">
        <v>167</v>
      </c>
      <c r="C31" s="76">
        <f t="shared" si="0"/>
        <v>1.0000000000000001E-7</v>
      </c>
      <c r="D31" s="76"/>
      <c r="E31" s="76" t="s">
        <v>135</v>
      </c>
      <c r="F31" s="76" t="s">
        <v>168</v>
      </c>
      <c r="G31" s="76" t="s">
        <v>169</v>
      </c>
      <c r="H31" s="76" t="s">
        <v>170</v>
      </c>
      <c r="I31" s="76">
        <v>0</v>
      </c>
      <c r="J31" s="76">
        <f t="shared" si="2"/>
        <v>2.0000000000000004E-8</v>
      </c>
      <c r="K31" s="76"/>
      <c r="L31" s="76">
        <f t="shared" si="1"/>
        <v>1.0000000000000001E-7</v>
      </c>
      <c r="M31" s="76" t="s">
        <v>172</v>
      </c>
      <c r="N31" s="76">
        <f t="shared" si="3"/>
        <v>9.0000000000000012E-8</v>
      </c>
      <c r="O31" s="76"/>
      <c r="P31" s="76" t="s">
        <v>171</v>
      </c>
    </row>
    <row r="32" spans="2:16" ht="12.75" customHeight="1" x14ac:dyDescent="0.2">
      <c r="B32" s="76" t="s">
        <v>167</v>
      </c>
      <c r="C32" s="76">
        <f t="shared" si="0"/>
        <v>1.0000000000000001E-7</v>
      </c>
      <c r="D32" s="76"/>
      <c r="E32" s="76" t="s">
        <v>136</v>
      </c>
      <c r="F32" s="76" t="s">
        <v>168</v>
      </c>
      <c r="G32" s="76" t="s">
        <v>169</v>
      </c>
      <c r="H32" s="76" t="s">
        <v>170</v>
      </c>
      <c r="I32" s="76">
        <v>0</v>
      </c>
      <c r="J32" s="76">
        <f t="shared" si="2"/>
        <v>2.0000000000000004E-8</v>
      </c>
      <c r="K32" s="76"/>
      <c r="L32" s="76">
        <f t="shared" si="1"/>
        <v>1.0000000000000001E-7</v>
      </c>
      <c r="M32" s="76" t="s">
        <v>172</v>
      </c>
      <c r="N32" s="76">
        <f t="shared" si="3"/>
        <v>9.0000000000000012E-8</v>
      </c>
      <c r="O32" s="76"/>
      <c r="P32" s="76" t="s">
        <v>171</v>
      </c>
    </row>
    <row r="33" spans="2:16" ht="12.75" customHeight="1" x14ac:dyDescent="0.2">
      <c r="B33" s="76" t="s">
        <v>167</v>
      </c>
      <c r="C33" s="76">
        <f t="shared" si="0"/>
        <v>1.0000000000000001E-7</v>
      </c>
      <c r="D33" s="76"/>
      <c r="E33" s="76" t="s">
        <v>137</v>
      </c>
      <c r="F33" s="76" t="s">
        <v>168</v>
      </c>
      <c r="G33" s="76" t="s">
        <v>169</v>
      </c>
      <c r="H33" s="76" t="s">
        <v>170</v>
      </c>
      <c r="I33" s="76">
        <v>0</v>
      </c>
      <c r="J33" s="76">
        <f t="shared" si="2"/>
        <v>2.0000000000000004E-8</v>
      </c>
      <c r="K33" s="76"/>
      <c r="L33" s="76">
        <f t="shared" si="1"/>
        <v>1.0000000000000001E-7</v>
      </c>
      <c r="M33" s="76" t="s">
        <v>172</v>
      </c>
      <c r="N33" s="76">
        <f t="shared" si="3"/>
        <v>9.0000000000000012E-8</v>
      </c>
      <c r="O33" s="76"/>
      <c r="P33" s="76" t="s">
        <v>171</v>
      </c>
    </row>
    <row r="34" spans="2:16" ht="12.75" customHeight="1" x14ac:dyDescent="0.2">
      <c r="B34" s="76" t="s">
        <v>167</v>
      </c>
      <c r="C34" s="76">
        <f t="shared" si="0"/>
        <v>1.0000000000000001E-7</v>
      </c>
      <c r="D34" s="76"/>
      <c r="E34" s="76" t="s">
        <v>99</v>
      </c>
      <c r="F34" s="76" t="s">
        <v>168</v>
      </c>
      <c r="G34" s="76" t="s">
        <v>169</v>
      </c>
      <c r="H34" s="76" t="s">
        <v>170</v>
      </c>
      <c r="I34" s="76">
        <v>0</v>
      </c>
      <c r="J34" s="76">
        <v>0</v>
      </c>
      <c r="K34" s="76"/>
      <c r="L34" s="76">
        <f t="shared" si="1"/>
        <v>1.0000000000000001E-7</v>
      </c>
      <c r="M34" s="76" t="s">
        <v>172</v>
      </c>
      <c r="N34" s="76">
        <f>C34*1.25</f>
        <v>1.2500000000000002E-7</v>
      </c>
      <c r="O34" s="76"/>
      <c r="P34" s="76" t="s">
        <v>171</v>
      </c>
    </row>
    <row r="35" spans="2:16" ht="12.75" customHeight="1" x14ac:dyDescent="0.2">
      <c r="B35" s="76" t="s">
        <v>167</v>
      </c>
      <c r="C35" s="76">
        <f t="shared" si="0"/>
        <v>1.0000000000000001E-7</v>
      </c>
      <c r="D35" s="76"/>
      <c r="E35" s="76" t="s">
        <v>898</v>
      </c>
      <c r="F35" s="76" t="s">
        <v>168</v>
      </c>
      <c r="G35" s="76" t="s">
        <v>169</v>
      </c>
      <c r="H35" s="76" t="s">
        <v>170</v>
      </c>
      <c r="I35" s="76">
        <v>0</v>
      </c>
      <c r="J35" s="76">
        <f t="shared" ref="J35:J66" si="4">C35*0.2</f>
        <v>2.0000000000000004E-8</v>
      </c>
      <c r="K35" s="76"/>
      <c r="L35" s="76">
        <f t="shared" si="1"/>
        <v>1.0000000000000001E-7</v>
      </c>
      <c r="M35" s="76" t="s">
        <v>163</v>
      </c>
      <c r="N35" s="76"/>
      <c r="O35" s="76"/>
      <c r="P35" s="76" t="s">
        <v>171</v>
      </c>
    </row>
    <row r="36" spans="2:16" ht="12.75" customHeight="1" x14ac:dyDescent="0.2">
      <c r="B36" s="76" t="s">
        <v>167</v>
      </c>
      <c r="C36" s="76">
        <f t="shared" si="0"/>
        <v>1.0000000000000001E-7</v>
      </c>
      <c r="D36" s="76"/>
      <c r="E36" s="76" t="s">
        <v>899</v>
      </c>
      <c r="F36" s="76" t="s">
        <v>168</v>
      </c>
      <c r="G36" s="76" t="s">
        <v>169</v>
      </c>
      <c r="H36" s="76" t="s">
        <v>170</v>
      </c>
      <c r="I36" s="76">
        <v>0</v>
      </c>
      <c r="J36" s="76">
        <f t="shared" si="4"/>
        <v>2.0000000000000004E-8</v>
      </c>
      <c r="K36" s="76"/>
      <c r="L36" s="76">
        <f t="shared" si="1"/>
        <v>1.0000000000000001E-7</v>
      </c>
      <c r="M36" s="76" t="s">
        <v>163</v>
      </c>
      <c r="N36" s="76"/>
      <c r="O36" s="76"/>
      <c r="P36" s="76" t="s">
        <v>171</v>
      </c>
    </row>
    <row r="37" spans="2:16" ht="12.75" customHeight="1" x14ac:dyDescent="0.2">
      <c r="B37" s="76" t="s">
        <v>167</v>
      </c>
      <c r="C37" s="76">
        <f t="shared" si="0"/>
        <v>1.0000000000000001E-7</v>
      </c>
      <c r="D37" s="76"/>
      <c r="E37" s="76" t="s">
        <v>900</v>
      </c>
      <c r="F37" s="76" t="s">
        <v>168</v>
      </c>
      <c r="G37" s="76" t="s">
        <v>169</v>
      </c>
      <c r="H37" s="76" t="s">
        <v>170</v>
      </c>
      <c r="I37" s="76">
        <v>0</v>
      </c>
      <c r="J37" s="76">
        <f t="shared" si="4"/>
        <v>2.0000000000000004E-8</v>
      </c>
      <c r="K37" s="76"/>
      <c r="L37" s="76">
        <f t="shared" si="1"/>
        <v>1.0000000000000001E-7</v>
      </c>
      <c r="M37" s="76" t="s">
        <v>163</v>
      </c>
      <c r="N37" s="76"/>
      <c r="O37" s="76"/>
      <c r="P37" s="76" t="s">
        <v>171</v>
      </c>
    </row>
    <row r="38" spans="2:16" ht="12.75" customHeight="1" x14ac:dyDescent="0.2">
      <c r="B38" s="76" t="s">
        <v>167</v>
      </c>
      <c r="C38" s="76">
        <f t="shared" si="0"/>
        <v>1.0000000000000001E-7</v>
      </c>
      <c r="D38" s="76"/>
      <c r="E38" s="76" t="s">
        <v>901</v>
      </c>
      <c r="F38" s="76" t="s">
        <v>168</v>
      </c>
      <c r="G38" s="76" t="s">
        <v>169</v>
      </c>
      <c r="H38" s="76" t="s">
        <v>170</v>
      </c>
      <c r="I38" s="76">
        <v>0</v>
      </c>
      <c r="J38" s="76">
        <f t="shared" si="4"/>
        <v>2.0000000000000004E-8</v>
      </c>
      <c r="K38" s="76"/>
      <c r="L38" s="76">
        <f t="shared" si="1"/>
        <v>1.0000000000000001E-7</v>
      </c>
      <c r="M38" s="76" t="s">
        <v>163</v>
      </c>
      <c r="N38" s="76"/>
      <c r="O38" s="76"/>
      <c r="P38" s="76" t="s">
        <v>171</v>
      </c>
    </row>
    <row r="39" spans="2:16" ht="12.75" customHeight="1" x14ac:dyDescent="0.2">
      <c r="B39" s="76" t="s">
        <v>167</v>
      </c>
      <c r="C39" s="76">
        <f t="shared" ref="C39:C70" si="5">100*ns</f>
        <v>1.0000000000000001E-7</v>
      </c>
      <c r="D39" s="76"/>
      <c r="E39" s="76" t="s">
        <v>902</v>
      </c>
      <c r="F39" s="76" t="s">
        <v>168</v>
      </c>
      <c r="G39" s="76" t="s">
        <v>169</v>
      </c>
      <c r="H39" s="76" t="s">
        <v>170</v>
      </c>
      <c r="I39" s="76">
        <v>0</v>
      </c>
      <c r="J39" s="76">
        <f t="shared" si="4"/>
        <v>2.0000000000000004E-8</v>
      </c>
      <c r="K39" s="76"/>
      <c r="L39" s="76">
        <f t="shared" ref="L39:L70" si="6">C39</f>
        <v>1.0000000000000001E-7</v>
      </c>
      <c r="M39" s="76" t="s">
        <v>163</v>
      </c>
      <c r="N39" s="76"/>
      <c r="O39" s="76"/>
      <c r="P39" s="76" t="s">
        <v>171</v>
      </c>
    </row>
    <row r="40" spans="2:16" ht="12.75" customHeight="1" x14ac:dyDescent="0.2">
      <c r="B40" s="76" t="s">
        <v>167</v>
      </c>
      <c r="C40" s="76">
        <f t="shared" si="5"/>
        <v>1.0000000000000001E-7</v>
      </c>
      <c r="D40" s="76"/>
      <c r="E40" s="76" t="s">
        <v>903</v>
      </c>
      <c r="F40" s="76" t="s">
        <v>168</v>
      </c>
      <c r="G40" s="76" t="s">
        <v>169</v>
      </c>
      <c r="H40" s="76" t="s">
        <v>170</v>
      </c>
      <c r="I40" s="76">
        <v>0</v>
      </c>
      <c r="J40" s="76">
        <f t="shared" si="4"/>
        <v>2.0000000000000004E-8</v>
      </c>
      <c r="K40" s="76"/>
      <c r="L40" s="76">
        <f t="shared" si="6"/>
        <v>1.0000000000000001E-7</v>
      </c>
      <c r="M40" s="76" t="s">
        <v>163</v>
      </c>
      <c r="N40" s="76"/>
      <c r="O40" s="76"/>
      <c r="P40" s="76" t="s">
        <v>171</v>
      </c>
    </row>
    <row r="41" spans="2:16" ht="12.75" customHeight="1" x14ac:dyDescent="0.2">
      <c r="B41" s="76" t="s">
        <v>167</v>
      </c>
      <c r="C41" s="76">
        <f t="shared" si="5"/>
        <v>1.0000000000000001E-7</v>
      </c>
      <c r="D41" s="76"/>
      <c r="E41" s="76" t="s">
        <v>904</v>
      </c>
      <c r="F41" s="76" t="s">
        <v>168</v>
      </c>
      <c r="G41" s="76" t="s">
        <v>169</v>
      </c>
      <c r="H41" s="76" t="s">
        <v>170</v>
      </c>
      <c r="I41" s="76">
        <v>0</v>
      </c>
      <c r="J41" s="76">
        <f t="shared" si="4"/>
        <v>2.0000000000000004E-8</v>
      </c>
      <c r="K41" s="76"/>
      <c r="L41" s="76">
        <f t="shared" si="6"/>
        <v>1.0000000000000001E-7</v>
      </c>
      <c r="M41" s="76" t="s">
        <v>163</v>
      </c>
      <c r="N41" s="76"/>
      <c r="O41" s="76"/>
      <c r="P41" s="76" t="s">
        <v>171</v>
      </c>
    </row>
    <row r="42" spans="2:16" ht="12.75" customHeight="1" x14ac:dyDescent="0.2">
      <c r="B42" s="76" t="s">
        <v>167</v>
      </c>
      <c r="C42" s="76">
        <f t="shared" si="5"/>
        <v>1.0000000000000001E-7</v>
      </c>
      <c r="D42" s="76"/>
      <c r="E42" s="76" t="s">
        <v>905</v>
      </c>
      <c r="F42" s="76" t="s">
        <v>168</v>
      </c>
      <c r="G42" s="76" t="s">
        <v>169</v>
      </c>
      <c r="H42" s="76" t="s">
        <v>170</v>
      </c>
      <c r="I42" s="76">
        <v>0</v>
      </c>
      <c r="J42" s="76">
        <f t="shared" si="4"/>
        <v>2.0000000000000004E-8</v>
      </c>
      <c r="K42" s="76"/>
      <c r="L42" s="76">
        <f t="shared" si="6"/>
        <v>1.0000000000000001E-7</v>
      </c>
      <c r="M42" s="76" t="s">
        <v>163</v>
      </c>
      <c r="N42" s="76"/>
      <c r="O42" s="76"/>
      <c r="P42" s="76" t="s">
        <v>171</v>
      </c>
    </row>
    <row r="43" spans="2:16" ht="12.75" customHeight="1" x14ac:dyDescent="0.2">
      <c r="B43" s="76" t="s">
        <v>167</v>
      </c>
      <c r="C43" s="76">
        <f t="shared" si="5"/>
        <v>1.0000000000000001E-7</v>
      </c>
      <c r="D43" s="76"/>
      <c r="E43" s="76" t="s">
        <v>906</v>
      </c>
      <c r="F43" s="76" t="s">
        <v>168</v>
      </c>
      <c r="G43" s="76" t="s">
        <v>169</v>
      </c>
      <c r="H43" s="76" t="s">
        <v>170</v>
      </c>
      <c r="I43" s="76">
        <v>0</v>
      </c>
      <c r="J43" s="76">
        <f t="shared" si="4"/>
        <v>2.0000000000000004E-8</v>
      </c>
      <c r="K43" s="76"/>
      <c r="L43" s="76">
        <f t="shared" si="6"/>
        <v>1.0000000000000001E-7</v>
      </c>
      <c r="M43" s="76" t="s">
        <v>163</v>
      </c>
      <c r="N43" s="76"/>
      <c r="O43" s="76"/>
      <c r="P43" s="76" t="s">
        <v>171</v>
      </c>
    </row>
    <row r="44" spans="2:16" ht="12.75" customHeight="1" x14ac:dyDescent="0.2">
      <c r="B44" s="76" t="s">
        <v>167</v>
      </c>
      <c r="C44" s="76">
        <f t="shared" si="5"/>
        <v>1.0000000000000001E-7</v>
      </c>
      <c r="D44" s="76"/>
      <c r="E44" s="76" t="s">
        <v>907</v>
      </c>
      <c r="F44" s="76" t="s">
        <v>168</v>
      </c>
      <c r="G44" s="76" t="s">
        <v>169</v>
      </c>
      <c r="H44" s="76" t="s">
        <v>170</v>
      </c>
      <c r="I44" s="76">
        <v>0</v>
      </c>
      <c r="J44" s="76">
        <f t="shared" si="4"/>
        <v>2.0000000000000004E-8</v>
      </c>
      <c r="K44" s="76"/>
      <c r="L44" s="76">
        <f t="shared" si="6"/>
        <v>1.0000000000000001E-7</v>
      </c>
      <c r="M44" s="76" t="s">
        <v>163</v>
      </c>
      <c r="N44" s="76"/>
      <c r="O44" s="76"/>
      <c r="P44" s="76" t="s">
        <v>171</v>
      </c>
    </row>
    <row r="45" spans="2:16" ht="12.75" customHeight="1" x14ac:dyDescent="0.2">
      <c r="B45" s="76" t="s">
        <v>167</v>
      </c>
      <c r="C45" s="76">
        <f t="shared" si="5"/>
        <v>1.0000000000000001E-7</v>
      </c>
      <c r="D45" s="76"/>
      <c r="E45" s="76" t="s">
        <v>912</v>
      </c>
      <c r="F45" s="76" t="s">
        <v>168</v>
      </c>
      <c r="G45" s="76" t="s">
        <v>169</v>
      </c>
      <c r="H45" s="76" t="s">
        <v>170</v>
      </c>
      <c r="I45" s="76">
        <v>0</v>
      </c>
      <c r="J45" s="76">
        <f t="shared" si="4"/>
        <v>2.0000000000000004E-8</v>
      </c>
      <c r="K45" s="76"/>
      <c r="L45" s="76">
        <f t="shared" si="6"/>
        <v>1.0000000000000001E-7</v>
      </c>
      <c r="M45" s="76" t="s">
        <v>163</v>
      </c>
      <c r="N45" s="76"/>
      <c r="O45" s="76"/>
      <c r="P45" s="76" t="s">
        <v>171</v>
      </c>
    </row>
    <row r="46" spans="2:16" ht="12.75" customHeight="1" x14ac:dyDescent="0.2">
      <c r="B46" s="76" t="s">
        <v>167</v>
      </c>
      <c r="C46" s="76">
        <f t="shared" si="5"/>
        <v>1.0000000000000001E-7</v>
      </c>
      <c r="D46" s="76"/>
      <c r="E46" s="76" t="s">
        <v>913</v>
      </c>
      <c r="F46" s="76" t="s">
        <v>168</v>
      </c>
      <c r="G46" s="76" t="s">
        <v>169</v>
      </c>
      <c r="H46" s="76" t="s">
        <v>170</v>
      </c>
      <c r="I46" s="76">
        <v>0</v>
      </c>
      <c r="J46" s="76">
        <f t="shared" si="4"/>
        <v>2.0000000000000004E-8</v>
      </c>
      <c r="K46" s="76"/>
      <c r="L46" s="76">
        <f t="shared" si="6"/>
        <v>1.0000000000000001E-7</v>
      </c>
      <c r="M46" s="76" t="s">
        <v>163</v>
      </c>
      <c r="N46" s="76"/>
      <c r="O46" s="76"/>
      <c r="P46" s="76" t="s">
        <v>171</v>
      </c>
    </row>
    <row r="47" spans="2:16" ht="12.75" customHeight="1" x14ac:dyDescent="0.2">
      <c r="B47" s="76" t="s">
        <v>167</v>
      </c>
      <c r="C47" s="76">
        <f t="shared" si="5"/>
        <v>1.0000000000000001E-7</v>
      </c>
      <c r="D47" s="76"/>
      <c r="E47" s="76" t="s">
        <v>914</v>
      </c>
      <c r="F47" s="76" t="s">
        <v>168</v>
      </c>
      <c r="G47" s="76" t="s">
        <v>169</v>
      </c>
      <c r="H47" s="76" t="s">
        <v>170</v>
      </c>
      <c r="I47" s="76">
        <v>0</v>
      </c>
      <c r="J47" s="76">
        <f t="shared" si="4"/>
        <v>2.0000000000000004E-8</v>
      </c>
      <c r="K47" s="76"/>
      <c r="L47" s="76">
        <f t="shared" si="6"/>
        <v>1.0000000000000001E-7</v>
      </c>
      <c r="M47" s="76" t="s">
        <v>163</v>
      </c>
      <c r="N47" s="76"/>
      <c r="O47" s="76"/>
      <c r="P47" s="76" t="s">
        <v>171</v>
      </c>
    </row>
    <row r="48" spans="2:16" ht="12.75" customHeight="1" x14ac:dyDescent="0.2">
      <c r="B48" s="76" t="s">
        <v>167</v>
      </c>
      <c r="C48" s="76">
        <f t="shared" si="5"/>
        <v>1.0000000000000001E-7</v>
      </c>
      <c r="D48" s="76"/>
      <c r="E48" s="76" t="s">
        <v>915</v>
      </c>
      <c r="F48" s="76" t="s">
        <v>168</v>
      </c>
      <c r="G48" s="76" t="s">
        <v>169</v>
      </c>
      <c r="H48" s="76" t="s">
        <v>170</v>
      </c>
      <c r="I48" s="76">
        <v>0</v>
      </c>
      <c r="J48" s="76">
        <f t="shared" si="4"/>
        <v>2.0000000000000004E-8</v>
      </c>
      <c r="K48" s="76"/>
      <c r="L48" s="76">
        <f t="shared" si="6"/>
        <v>1.0000000000000001E-7</v>
      </c>
      <c r="M48" s="76" t="s">
        <v>163</v>
      </c>
      <c r="N48" s="76"/>
      <c r="O48" s="76"/>
      <c r="P48" s="76" t="s">
        <v>171</v>
      </c>
    </row>
    <row r="49" spans="2:16" ht="12.75" customHeight="1" x14ac:dyDescent="0.2">
      <c r="B49" s="76" t="s">
        <v>167</v>
      </c>
      <c r="C49" s="76">
        <f t="shared" si="5"/>
        <v>1.0000000000000001E-7</v>
      </c>
      <c r="D49" s="76"/>
      <c r="E49" s="76" t="s">
        <v>916</v>
      </c>
      <c r="F49" s="76" t="s">
        <v>168</v>
      </c>
      <c r="G49" s="76" t="s">
        <v>169</v>
      </c>
      <c r="H49" s="76" t="s">
        <v>170</v>
      </c>
      <c r="I49" s="76">
        <v>0</v>
      </c>
      <c r="J49" s="76">
        <f t="shared" si="4"/>
        <v>2.0000000000000004E-8</v>
      </c>
      <c r="K49" s="76"/>
      <c r="L49" s="76">
        <f t="shared" si="6"/>
        <v>1.0000000000000001E-7</v>
      </c>
      <c r="M49" s="76" t="s">
        <v>163</v>
      </c>
      <c r="N49" s="76"/>
      <c r="O49" s="76"/>
      <c r="P49" s="76" t="s">
        <v>171</v>
      </c>
    </row>
    <row r="50" spans="2:16" ht="12.75" customHeight="1" x14ac:dyDescent="0.2">
      <c r="B50" s="76" t="s">
        <v>167</v>
      </c>
      <c r="C50" s="76">
        <f t="shared" si="5"/>
        <v>1.0000000000000001E-7</v>
      </c>
      <c r="D50" s="76"/>
      <c r="E50" s="76" t="s">
        <v>917</v>
      </c>
      <c r="F50" s="76" t="s">
        <v>168</v>
      </c>
      <c r="G50" s="76" t="s">
        <v>169</v>
      </c>
      <c r="H50" s="76" t="s">
        <v>170</v>
      </c>
      <c r="I50" s="76">
        <v>0</v>
      </c>
      <c r="J50" s="76">
        <f t="shared" si="4"/>
        <v>2.0000000000000004E-8</v>
      </c>
      <c r="K50" s="76"/>
      <c r="L50" s="76">
        <f t="shared" si="6"/>
        <v>1.0000000000000001E-7</v>
      </c>
      <c r="M50" s="76" t="s">
        <v>163</v>
      </c>
      <c r="N50" s="76"/>
      <c r="O50" s="76"/>
      <c r="P50" s="76" t="s">
        <v>171</v>
      </c>
    </row>
    <row r="51" spans="2:16" ht="12.75" customHeight="1" x14ac:dyDescent="0.2">
      <c r="B51" s="76" t="s">
        <v>167</v>
      </c>
      <c r="C51" s="76">
        <f t="shared" si="5"/>
        <v>1.0000000000000001E-7</v>
      </c>
      <c r="D51" s="76"/>
      <c r="E51" s="76" t="s">
        <v>918</v>
      </c>
      <c r="F51" s="76" t="s">
        <v>168</v>
      </c>
      <c r="G51" s="76" t="s">
        <v>169</v>
      </c>
      <c r="H51" s="76" t="s">
        <v>170</v>
      </c>
      <c r="I51" s="76">
        <v>0</v>
      </c>
      <c r="J51" s="76">
        <f t="shared" si="4"/>
        <v>2.0000000000000004E-8</v>
      </c>
      <c r="K51" s="76"/>
      <c r="L51" s="76">
        <f t="shared" si="6"/>
        <v>1.0000000000000001E-7</v>
      </c>
      <c r="M51" s="76" t="s">
        <v>163</v>
      </c>
      <c r="N51" s="76"/>
      <c r="O51" s="76"/>
      <c r="P51" s="76" t="s">
        <v>171</v>
      </c>
    </row>
    <row r="52" spans="2:16" ht="12.75" customHeight="1" x14ac:dyDescent="0.2">
      <c r="B52" s="76" t="s">
        <v>167</v>
      </c>
      <c r="C52" s="76">
        <f t="shared" si="5"/>
        <v>1.0000000000000001E-7</v>
      </c>
      <c r="D52" s="76"/>
      <c r="E52" s="76" t="s">
        <v>919</v>
      </c>
      <c r="F52" s="76" t="s">
        <v>168</v>
      </c>
      <c r="G52" s="76" t="s">
        <v>169</v>
      </c>
      <c r="H52" s="76" t="s">
        <v>170</v>
      </c>
      <c r="I52" s="76">
        <v>0</v>
      </c>
      <c r="J52" s="76">
        <f t="shared" si="4"/>
        <v>2.0000000000000004E-8</v>
      </c>
      <c r="K52" s="76"/>
      <c r="L52" s="76">
        <f t="shared" si="6"/>
        <v>1.0000000000000001E-7</v>
      </c>
      <c r="M52" s="76" t="s">
        <v>163</v>
      </c>
      <c r="N52" s="76"/>
      <c r="O52" s="76"/>
      <c r="P52" s="76" t="s">
        <v>171</v>
      </c>
    </row>
    <row r="53" spans="2:16" ht="12.75" customHeight="1" x14ac:dyDescent="0.2">
      <c r="B53" s="76" t="s">
        <v>167</v>
      </c>
      <c r="C53" s="76">
        <f t="shared" si="5"/>
        <v>1.0000000000000001E-7</v>
      </c>
      <c r="D53" s="76"/>
      <c r="E53" s="76" t="s">
        <v>920</v>
      </c>
      <c r="F53" s="76" t="s">
        <v>168</v>
      </c>
      <c r="G53" s="76" t="s">
        <v>169</v>
      </c>
      <c r="H53" s="76" t="s">
        <v>170</v>
      </c>
      <c r="I53" s="76">
        <v>0</v>
      </c>
      <c r="J53" s="76">
        <f t="shared" si="4"/>
        <v>2.0000000000000004E-8</v>
      </c>
      <c r="K53" s="76"/>
      <c r="L53" s="76">
        <f t="shared" si="6"/>
        <v>1.0000000000000001E-7</v>
      </c>
      <c r="M53" s="76" t="s">
        <v>163</v>
      </c>
      <c r="N53" s="76"/>
      <c r="O53" s="76"/>
      <c r="P53" s="76" t="s">
        <v>171</v>
      </c>
    </row>
    <row r="54" spans="2:16" ht="12.75" customHeight="1" x14ac:dyDescent="0.2">
      <c r="B54" s="76" t="s">
        <v>167</v>
      </c>
      <c r="C54" s="76">
        <f t="shared" si="5"/>
        <v>1.0000000000000001E-7</v>
      </c>
      <c r="D54" s="76"/>
      <c r="E54" s="76" t="s">
        <v>921</v>
      </c>
      <c r="F54" s="76" t="s">
        <v>168</v>
      </c>
      <c r="G54" s="76" t="s">
        <v>169</v>
      </c>
      <c r="H54" s="76" t="s">
        <v>170</v>
      </c>
      <c r="I54" s="76">
        <v>0</v>
      </c>
      <c r="J54" s="76">
        <f t="shared" si="4"/>
        <v>2.0000000000000004E-8</v>
      </c>
      <c r="K54" s="76"/>
      <c r="L54" s="76">
        <f t="shared" si="6"/>
        <v>1.0000000000000001E-7</v>
      </c>
      <c r="M54" s="76" t="s">
        <v>163</v>
      </c>
      <c r="N54" s="76"/>
      <c r="O54" s="76"/>
      <c r="P54" s="76" t="s">
        <v>171</v>
      </c>
    </row>
    <row r="55" spans="2:16" ht="12.75" customHeight="1" x14ac:dyDescent="0.2">
      <c r="B55" s="76" t="s">
        <v>167</v>
      </c>
      <c r="C55" s="76">
        <f t="shared" si="5"/>
        <v>1.0000000000000001E-7</v>
      </c>
      <c r="D55" s="76"/>
      <c r="E55" s="76" t="s">
        <v>922</v>
      </c>
      <c r="F55" s="76" t="s">
        <v>168</v>
      </c>
      <c r="G55" s="76" t="s">
        <v>169</v>
      </c>
      <c r="H55" s="76" t="s">
        <v>170</v>
      </c>
      <c r="I55" s="76">
        <v>0</v>
      </c>
      <c r="J55" s="76">
        <f t="shared" si="4"/>
        <v>2.0000000000000004E-8</v>
      </c>
      <c r="K55" s="76"/>
      <c r="L55" s="76">
        <f t="shared" si="6"/>
        <v>1.0000000000000001E-7</v>
      </c>
      <c r="M55" s="76" t="s">
        <v>163</v>
      </c>
      <c r="N55" s="76"/>
      <c r="O55" s="76"/>
      <c r="P55" s="76" t="s">
        <v>171</v>
      </c>
    </row>
    <row r="56" spans="2:16" ht="12.75" customHeight="1" x14ac:dyDescent="0.2">
      <c r="B56" s="76" t="s">
        <v>167</v>
      </c>
      <c r="C56" s="76">
        <f t="shared" si="5"/>
        <v>1.0000000000000001E-7</v>
      </c>
      <c r="D56" s="76"/>
      <c r="E56" s="76" t="s">
        <v>923</v>
      </c>
      <c r="F56" s="76" t="s">
        <v>168</v>
      </c>
      <c r="G56" s="76" t="s">
        <v>169</v>
      </c>
      <c r="H56" s="76" t="s">
        <v>170</v>
      </c>
      <c r="I56" s="76">
        <v>0</v>
      </c>
      <c r="J56" s="76">
        <f t="shared" si="4"/>
        <v>2.0000000000000004E-8</v>
      </c>
      <c r="K56" s="76"/>
      <c r="L56" s="76">
        <f t="shared" si="6"/>
        <v>1.0000000000000001E-7</v>
      </c>
      <c r="M56" s="76" t="s">
        <v>163</v>
      </c>
      <c r="N56" s="76"/>
      <c r="O56" s="76"/>
      <c r="P56" s="76" t="s">
        <v>171</v>
      </c>
    </row>
    <row r="57" spans="2:16" ht="12.75" customHeight="1" x14ac:dyDescent="0.2">
      <c r="B57" s="76" t="s">
        <v>167</v>
      </c>
      <c r="C57" s="76">
        <f t="shared" si="5"/>
        <v>1.0000000000000001E-7</v>
      </c>
      <c r="D57" s="76"/>
      <c r="E57" s="76" t="s">
        <v>924</v>
      </c>
      <c r="F57" s="76" t="s">
        <v>168</v>
      </c>
      <c r="G57" s="76" t="s">
        <v>169</v>
      </c>
      <c r="H57" s="76" t="s">
        <v>170</v>
      </c>
      <c r="I57" s="76">
        <v>0</v>
      </c>
      <c r="J57" s="76">
        <f t="shared" si="4"/>
        <v>2.0000000000000004E-8</v>
      </c>
      <c r="K57" s="76"/>
      <c r="L57" s="76">
        <f t="shared" si="6"/>
        <v>1.0000000000000001E-7</v>
      </c>
      <c r="M57" s="76" t="s">
        <v>163</v>
      </c>
      <c r="N57" s="76"/>
      <c r="O57" s="76"/>
      <c r="P57" s="76" t="s">
        <v>171</v>
      </c>
    </row>
    <row r="58" spans="2:16" ht="12.75" customHeight="1" x14ac:dyDescent="0.2">
      <c r="B58" s="76" t="s">
        <v>167</v>
      </c>
      <c r="C58" s="76">
        <f t="shared" si="5"/>
        <v>1.0000000000000001E-7</v>
      </c>
      <c r="D58" s="76"/>
      <c r="E58" s="76" t="s">
        <v>925</v>
      </c>
      <c r="F58" s="76" t="s">
        <v>168</v>
      </c>
      <c r="G58" s="76" t="s">
        <v>169</v>
      </c>
      <c r="H58" s="76" t="s">
        <v>170</v>
      </c>
      <c r="I58" s="76">
        <v>0</v>
      </c>
      <c r="J58" s="76">
        <f t="shared" si="4"/>
        <v>2.0000000000000004E-8</v>
      </c>
      <c r="K58" s="76"/>
      <c r="L58" s="76">
        <f t="shared" si="6"/>
        <v>1.0000000000000001E-7</v>
      </c>
      <c r="M58" s="76" t="s">
        <v>163</v>
      </c>
      <c r="N58" s="76"/>
      <c r="O58" s="76"/>
      <c r="P58" s="76" t="s">
        <v>171</v>
      </c>
    </row>
    <row r="59" spans="2:16" ht="12.75" customHeight="1" x14ac:dyDescent="0.2">
      <c r="B59" s="76" t="s">
        <v>167</v>
      </c>
      <c r="C59" s="76">
        <f t="shared" si="5"/>
        <v>1.0000000000000001E-7</v>
      </c>
      <c r="D59" s="76"/>
      <c r="E59" s="76" t="s">
        <v>926</v>
      </c>
      <c r="F59" s="76" t="s">
        <v>168</v>
      </c>
      <c r="G59" s="76" t="s">
        <v>169</v>
      </c>
      <c r="H59" s="76" t="s">
        <v>170</v>
      </c>
      <c r="I59" s="76">
        <v>0</v>
      </c>
      <c r="J59" s="76">
        <f t="shared" si="4"/>
        <v>2.0000000000000004E-8</v>
      </c>
      <c r="K59" s="76"/>
      <c r="L59" s="76">
        <f t="shared" si="6"/>
        <v>1.0000000000000001E-7</v>
      </c>
      <c r="M59" s="76" t="s">
        <v>163</v>
      </c>
      <c r="N59" s="76"/>
      <c r="O59" s="76"/>
      <c r="P59" s="76" t="s">
        <v>171</v>
      </c>
    </row>
    <row r="60" spans="2:16" ht="12.75" customHeight="1" x14ac:dyDescent="0.2">
      <c r="B60" s="76" t="s">
        <v>167</v>
      </c>
      <c r="C60" s="76">
        <f t="shared" si="5"/>
        <v>1.0000000000000001E-7</v>
      </c>
      <c r="D60" s="76"/>
      <c r="E60" s="76" t="s">
        <v>927</v>
      </c>
      <c r="F60" s="76" t="s">
        <v>168</v>
      </c>
      <c r="G60" s="76" t="s">
        <v>169</v>
      </c>
      <c r="H60" s="76" t="s">
        <v>170</v>
      </c>
      <c r="I60" s="76">
        <v>0</v>
      </c>
      <c r="J60" s="76">
        <f t="shared" si="4"/>
        <v>2.0000000000000004E-8</v>
      </c>
      <c r="K60" s="76"/>
      <c r="L60" s="76">
        <f t="shared" si="6"/>
        <v>1.0000000000000001E-7</v>
      </c>
      <c r="M60" s="76" t="s">
        <v>163</v>
      </c>
      <c r="N60" s="76"/>
      <c r="O60" s="76"/>
      <c r="P60" s="76" t="s">
        <v>171</v>
      </c>
    </row>
    <row r="61" spans="2:16" ht="12.75" customHeight="1" x14ac:dyDescent="0.2">
      <c r="B61" s="76" t="s">
        <v>167</v>
      </c>
      <c r="C61" s="76">
        <f t="shared" si="5"/>
        <v>1.0000000000000001E-7</v>
      </c>
      <c r="D61" s="76"/>
      <c r="E61" s="76" t="s">
        <v>928</v>
      </c>
      <c r="F61" s="76" t="s">
        <v>168</v>
      </c>
      <c r="G61" s="76" t="s">
        <v>169</v>
      </c>
      <c r="H61" s="76" t="s">
        <v>170</v>
      </c>
      <c r="I61" s="76">
        <v>0</v>
      </c>
      <c r="J61" s="76">
        <f t="shared" si="4"/>
        <v>2.0000000000000004E-8</v>
      </c>
      <c r="K61" s="76"/>
      <c r="L61" s="76">
        <f t="shared" si="6"/>
        <v>1.0000000000000001E-7</v>
      </c>
      <c r="M61" s="76" t="s">
        <v>163</v>
      </c>
      <c r="N61" s="76"/>
      <c r="O61" s="76"/>
      <c r="P61" s="76" t="s">
        <v>171</v>
      </c>
    </row>
    <row r="62" spans="2:16" ht="12.75" customHeight="1" x14ac:dyDescent="0.2">
      <c r="B62" s="76" t="s">
        <v>167</v>
      </c>
      <c r="C62" s="76">
        <f t="shared" si="5"/>
        <v>1.0000000000000001E-7</v>
      </c>
      <c r="D62" s="76"/>
      <c r="E62" s="76" t="s">
        <v>929</v>
      </c>
      <c r="F62" s="76" t="s">
        <v>168</v>
      </c>
      <c r="G62" s="76" t="s">
        <v>169</v>
      </c>
      <c r="H62" s="76" t="s">
        <v>170</v>
      </c>
      <c r="I62" s="76">
        <v>0</v>
      </c>
      <c r="J62" s="76">
        <f t="shared" si="4"/>
        <v>2.0000000000000004E-8</v>
      </c>
      <c r="K62" s="76"/>
      <c r="L62" s="76">
        <f t="shared" si="6"/>
        <v>1.0000000000000001E-7</v>
      </c>
      <c r="M62" s="76" t="s">
        <v>163</v>
      </c>
      <c r="N62" s="76"/>
      <c r="O62" s="76"/>
      <c r="P62" s="76" t="s">
        <v>171</v>
      </c>
    </row>
    <row r="63" spans="2:16" ht="12.75" customHeight="1" x14ac:dyDescent="0.2">
      <c r="B63" s="76" t="s">
        <v>167</v>
      </c>
      <c r="C63" s="76">
        <f t="shared" si="5"/>
        <v>1.0000000000000001E-7</v>
      </c>
      <c r="D63" s="76"/>
      <c r="E63" s="76" t="s">
        <v>930</v>
      </c>
      <c r="F63" s="76" t="s">
        <v>168</v>
      </c>
      <c r="G63" s="76" t="s">
        <v>169</v>
      </c>
      <c r="H63" s="76" t="s">
        <v>170</v>
      </c>
      <c r="I63" s="76">
        <v>0</v>
      </c>
      <c r="J63" s="76">
        <f t="shared" si="4"/>
        <v>2.0000000000000004E-8</v>
      </c>
      <c r="K63" s="76"/>
      <c r="L63" s="76">
        <f t="shared" si="6"/>
        <v>1.0000000000000001E-7</v>
      </c>
      <c r="M63" s="76" t="s">
        <v>163</v>
      </c>
      <c r="N63" s="76"/>
      <c r="O63" s="76"/>
      <c r="P63" s="76" t="s">
        <v>171</v>
      </c>
    </row>
    <row r="64" spans="2:16" ht="12.75" customHeight="1" x14ac:dyDescent="0.2">
      <c r="B64" s="76" t="s">
        <v>167</v>
      </c>
      <c r="C64" s="76">
        <f t="shared" si="5"/>
        <v>1.0000000000000001E-7</v>
      </c>
      <c r="D64" s="76"/>
      <c r="E64" s="76" t="s">
        <v>931</v>
      </c>
      <c r="F64" s="76" t="s">
        <v>168</v>
      </c>
      <c r="G64" s="76" t="s">
        <v>169</v>
      </c>
      <c r="H64" s="76" t="s">
        <v>170</v>
      </c>
      <c r="I64" s="76">
        <v>0</v>
      </c>
      <c r="J64" s="76">
        <f t="shared" si="4"/>
        <v>2.0000000000000004E-8</v>
      </c>
      <c r="K64" s="76"/>
      <c r="L64" s="76">
        <f t="shared" si="6"/>
        <v>1.0000000000000001E-7</v>
      </c>
      <c r="M64" s="76" t="s">
        <v>163</v>
      </c>
      <c r="N64" s="76"/>
      <c r="O64" s="76"/>
      <c r="P64" s="76" t="s">
        <v>171</v>
      </c>
    </row>
    <row r="65" spans="2:16" ht="12.75" customHeight="1" x14ac:dyDescent="0.2">
      <c r="B65" s="76" t="s">
        <v>167</v>
      </c>
      <c r="C65" s="76">
        <f t="shared" si="5"/>
        <v>1.0000000000000001E-7</v>
      </c>
      <c r="D65" s="76"/>
      <c r="E65" s="76" t="s">
        <v>932</v>
      </c>
      <c r="F65" s="76" t="s">
        <v>168</v>
      </c>
      <c r="G65" s="76" t="s">
        <v>169</v>
      </c>
      <c r="H65" s="76" t="s">
        <v>170</v>
      </c>
      <c r="I65" s="76">
        <v>0</v>
      </c>
      <c r="J65" s="76">
        <f t="shared" si="4"/>
        <v>2.0000000000000004E-8</v>
      </c>
      <c r="K65" s="76"/>
      <c r="L65" s="76">
        <f t="shared" si="6"/>
        <v>1.0000000000000001E-7</v>
      </c>
      <c r="M65" s="76" t="s">
        <v>163</v>
      </c>
      <c r="N65" s="76"/>
      <c r="O65" s="76"/>
      <c r="P65" s="76" t="s">
        <v>171</v>
      </c>
    </row>
    <row r="66" spans="2:16" ht="12.75" customHeight="1" x14ac:dyDescent="0.2">
      <c r="B66" s="76" t="s">
        <v>167</v>
      </c>
      <c r="C66" s="76">
        <f t="shared" si="5"/>
        <v>1.0000000000000001E-7</v>
      </c>
      <c r="D66" s="76"/>
      <c r="E66" s="76" t="s">
        <v>933</v>
      </c>
      <c r="F66" s="76" t="s">
        <v>168</v>
      </c>
      <c r="G66" s="76" t="s">
        <v>169</v>
      </c>
      <c r="H66" s="76" t="s">
        <v>170</v>
      </c>
      <c r="I66" s="76">
        <v>0</v>
      </c>
      <c r="J66" s="76">
        <f t="shared" si="4"/>
        <v>2.0000000000000004E-8</v>
      </c>
      <c r="K66" s="76"/>
      <c r="L66" s="76">
        <f t="shared" si="6"/>
        <v>1.0000000000000001E-7</v>
      </c>
      <c r="M66" s="76" t="s">
        <v>163</v>
      </c>
      <c r="N66" s="76"/>
      <c r="O66" s="76"/>
      <c r="P66" s="76" t="s">
        <v>171</v>
      </c>
    </row>
    <row r="67" spans="2:16" ht="12.75" customHeight="1" x14ac:dyDescent="0.2">
      <c r="B67" s="76" t="s">
        <v>167</v>
      </c>
      <c r="C67" s="76">
        <f t="shared" si="5"/>
        <v>1.0000000000000001E-7</v>
      </c>
      <c r="D67" s="76"/>
      <c r="E67" s="76" t="s">
        <v>934</v>
      </c>
      <c r="F67" s="76" t="s">
        <v>168</v>
      </c>
      <c r="G67" s="76" t="s">
        <v>169</v>
      </c>
      <c r="H67" s="76" t="s">
        <v>170</v>
      </c>
      <c r="I67" s="76">
        <v>0</v>
      </c>
      <c r="J67" s="76">
        <f t="shared" ref="J67:J86" si="7">C67*0.2</f>
        <v>2.0000000000000004E-8</v>
      </c>
      <c r="K67" s="76"/>
      <c r="L67" s="76">
        <f t="shared" si="6"/>
        <v>1.0000000000000001E-7</v>
      </c>
      <c r="M67" s="76" t="s">
        <v>163</v>
      </c>
      <c r="N67" s="76"/>
      <c r="O67" s="76"/>
      <c r="P67" s="76" t="s">
        <v>171</v>
      </c>
    </row>
    <row r="68" spans="2:16" ht="12.75" customHeight="1" x14ac:dyDescent="0.2">
      <c r="B68" s="76" t="s">
        <v>167</v>
      </c>
      <c r="C68" s="76">
        <f t="shared" si="5"/>
        <v>1.0000000000000001E-7</v>
      </c>
      <c r="D68" s="76"/>
      <c r="E68" s="76" t="s">
        <v>935</v>
      </c>
      <c r="F68" s="76" t="s">
        <v>168</v>
      </c>
      <c r="G68" s="76" t="s">
        <v>169</v>
      </c>
      <c r="H68" s="76" t="s">
        <v>170</v>
      </c>
      <c r="I68" s="76">
        <v>0</v>
      </c>
      <c r="J68" s="76">
        <f t="shared" si="7"/>
        <v>2.0000000000000004E-8</v>
      </c>
      <c r="K68" s="76"/>
      <c r="L68" s="76">
        <f t="shared" si="6"/>
        <v>1.0000000000000001E-7</v>
      </c>
      <c r="M68" s="76" t="s">
        <v>163</v>
      </c>
      <c r="N68" s="76"/>
      <c r="O68" s="76"/>
      <c r="P68" s="76" t="s">
        <v>171</v>
      </c>
    </row>
    <row r="69" spans="2:16" ht="12.75" customHeight="1" x14ac:dyDescent="0.2">
      <c r="B69" s="76" t="s">
        <v>167</v>
      </c>
      <c r="C69" s="76">
        <f t="shared" si="5"/>
        <v>1.0000000000000001E-7</v>
      </c>
      <c r="D69" s="76"/>
      <c r="E69" s="76" t="s">
        <v>936</v>
      </c>
      <c r="F69" s="76" t="s">
        <v>168</v>
      </c>
      <c r="G69" s="76" t="s">
        <v>169</v>
      </c>
      <c r="H69" s="76" t="s">
        <v>170</v>
      </c>
      <c r="I69" s="76">
        <v>0</v>
      </c>
      <c r="J69" s="76">
        <f t="shared" si="7"/>
        <v>2.0000000000000004E-8</v>
      </c>
      <c r="K69" s="76"/>
      <c r="L69" s="76">
        <f t="shared" si="6"/>
        <v>1.0000000000000001E-7</v>
      </c>
      <c r="M69" s="76" t="s">
        <v>163</v>
      </c>
      <c r="N69" s="76"/>
      <c r="O69" s="76"/>
      <c r="P69" s="76" t="s">
        <v>171</v>
      </c>
    </row>
    <row r="70" spans="2:16" ht="12.75" customHeight="1" x14ac:dyDescent="0.2">
      <c r="B70" s="76" t="s">
        <v>167</v>
      </c>
      <c r="C70" s="76">
        <f t="shared" si="5"/>
        <v>1.0000000000000001E-7</v>
      </c>
      <c r="D70" s="76"/>
      <c r="E70" s="76" t="s">
        <v>937</v>
      </c>
      <c r="F70" s="76" t="s">
        <v>168</v>
      </c>
      <c r="G70" s="76" t="s">
        <v>169</v>
      </c>
      <c r="H70" s="76" t="s">
        <v>170</v>
      </c>
      <c r="I70" s="76">
        <v>0</v>
      </c>
      <c r="J70" s="76">
        <f t="shared" si="7"/>
        <v>2.0000000000000004E-8</v>
      </c>
      <c r="K70" s="76"/>
      <c r="L70" s="76">
        <f t="shared" si="6"/>
        <v>1.0000000000000001E-7</v>
      </c>
      <c r="M70" s="76" t="s">
        <v>163</v>
      </c>
      <c r="N70" s="76"/>
      <c r="O70" s="76"/>
      <c r="P70" s="76" t="s">
        <v>171</v>
      </c>
    </row>
    <row r="71" spans="2:16" ht="12.75" customHeight="1" x14ac:dyDescent="0.2">
      <c r="B71" s="76" t="s">
        <v>167</v>
      </c>
      <c r="C71" s="76">
        <f t="shared" ref="C71:C86" si="8">100*ns</f>
        <v>1.0000000000000001E-7</v>
      </c>
      <c r="D71" s="76"/>
      <c r="E71" s="76" t="s">
        <v>938</v>
      </c>
      <c r="F71" s="76" t="s">
        <v>168</v>
      </c>
      <c r="G71" s="76" t="s">
        <v>169</v>
      </c>
      <c r="H71" s="76" t="s">
        <v>170</v>
      </c>
      <c r="I71" s="76">
        <v>0</v>
      </c>
      <c r="J71" s="76">
        <f t="shared" si="7"/>
        <v>2.0000000000000004E-8</v>
      </c>
      <c r="K71" s="76"/>
      <c r="L71" s="76">
        <f t="shared" ref="L71:L86" si="9">C71</f>
        <v>1.0000000000000001E-7</v>
      </c>
      <c r="M71" s="76" t="s">
        <v>163</v>
      </c>
      <c r="N71" s="76"/>
      <c r="O71" s="76"/>
      <c r="P71" s="76" t="s">
        <v>171</v>
      </c>
    </row>
    <row r="72" spans="2:16" ht="12.75" customHeight="1" x14ac:dyDescent="0.2">
      <c r="B72" s="76" t="s">
        <v>167</v>
      </c>
      <c r="C72" s="76">
        <f t="shared" si="8"/>
        <v>1.0000000000000001E-7</v>
      </c>
      <c r="D72" s="76"/>
      <c r="E72" s="76" t="s">
        <v>939</v>
      </c>
      <c r="F72" s="76" t="s">
        <v>168</v>
      </c>
      <c r="G72" s="76" t="s">
        <v>169</v>
      </c>
      <c r="H72" s="76" t="s">
        <v>170</v>
      </c>
      <c r="I72" s="76">
        <v>0</v>
      </c>
      <c r="J72" s="76">
        <f t="shared" si="7"/>
        <v>2.0000000000000004E-8</v>
      </c>
      <c r="K72" s="76"/>
      <c r="L72" s="76">
        <f t="shared" si="9"/>
        <v>1.0000000000000001E-7</v>
      </c>
      <c r="M72" s="76" t="s">
        <v>163</v>
      </c>
      <c r="N72" s="76"/>
      <c r="O72" s="76"/>
      <c r="P72" s="76" t="s">
        <v>171</v>
      </c>
    </row>
    <row r="73" spans="2:16" ht="12.75" customHeight="1" x14ac:dyDescent="0.2">
      <c r="B73" s="76" t="s">
        <v>167</v>
      </c>
      <c r="C73" s="76">
        <f t="shared" si="8"/>
        <v>1.0000000000000001E-7</v>
      </c>
      <c r="D73" s="76"/>
      <c r="E73" s="76" t="s">
        <v>940</v>
      </c>
      <c r="F73" s="76" t="s">
        <v>168</v>
      </c>
      <c r="G73" s="76" t="s">
        <v>169</v>
      </c>
      <c r="H73" s="76" t="s">
        <v>170</v>
      </c>
      <c r="I73" s="76">
        <v>0</v>
      </c>
      <c r="J73" s="76">
        <f t="shared" si="7"/>
        <v>2.0000000000000004E-8</v>
      </c>
      <c r="K73" s="76"/>
      <c r="L73" s="76">
        <f t="shared" si="9"/>
        <v>1.0000000000000001E-7</v>
      </c>
      <c r="M73" s="76" t="s">
        <v>163</v>
      </c>
      <c r="N73" s="76"/>
      <c r="O73" s="76"/>
      <c r="P73" s="76" t="s">
        <v>171</v>
      </c>
    </row>
    <row r="74" spans="2:16" ht="12.75" customHeight="1" x14ac:dyDescent="0.2">
      <c r="B74" s="76" t="s">
        <v>167</v>
      </c>
      <c r="C74" s="76">
        <f t="shared" si="8"/>
        <v>1.0000000000000001E-7</v>
      </c>
      <c r="D74" s="76"/>
      <c r="E74" s="76" t="s">
        <v>941</v>
      </c>
      <c r="F74" s="76" t="s">
        <v>168</v>
      </c>
      <c r="G74" s="76" t="s">
        <v>169</v>
      </c>
      <c r="H74" s="76" t="s">
        <v>170</v>
      </c>
      <c r="I74" s="76">
        <v>0</v>
      </c>
      <c r="J74" s="76">
        <f t="shared" si="7"/>
        <v>2.0000000000000004E-8</v>
      </c>
      <c r="K74" s="76"/>
      <c r="L74" s="76">
        <f t="shared" si="9"/>
        <v>1.0000000000000001E-7</v>
      </c>
      <c r="M74" s="76" t="s">
        <v>163</v>
      </c>
      <c r="N74" s="76"/>
      <c r="O74" s="76"/>
      <c r="P74" s="76" t="s">
        <v>171</v>
      </c>
    </row>
    <row r="75" spans="2:16" ht="12.75" customHeight="1" x14ac:dyDescent="0.2">
      <c r="B75" s="76" t="s">
        <v>167</v>
      </c>
      <c r="C75" s="76">
        <f t="shared" si="8"/>
        <v>1.0000000000000001E-7</v>
      </c>
      <c r="D75" s="76"/>
      <c r="E75" s="76" t="s">
        <v>942</v>
      </c>
      <c r="F75" s="76" t="s">
        <v>168</v>
      </c>
      <c r="G75" s="76" t="s">
        <v>169</v>
      </c>
      <c r="H75" s="76" t="s">
        <v>170</v>
      </c>
      <c r="I75" s="76">
        <v>0</v>
      </c>
      <c r="J75" s="76">
        <f t="shared" si="7"/>
        <v>2.0000000000000004E-8</v>
      </c>
      <c r="K75" s="76"/>
      <c r="L75" s="76">
        <f t="shared" si="9"/>
        <v>1.0000000000000001E-7</v>
      </c>
      <c r="M75" s="76" t="s">
        <v>163</v>
      </c>
      <c r="N75" s="76"/>
      <c r="O75" s="76"/>
      <c r="P75" s="76" t="s">
        <v>171</v>
      </c>
    </row>
    <row r="76" spans="2:16" ht="12.75" customHeight="1" x14ac:dyDescent="0.2">
      <c r="B76" s="76" t="s">
        <v>167</v>
      </c>
      <c r="C76" s="76">
        <f t="shared" si="8"/>
        <v>1.0000000000000001E-7</v>
      </c>
      <c r="D76" s="76"/>
      <c r="E76" s="76" t="s">
        <v>943</v>
      </c>
      <c r="F76" s="76" t="s">
        <v>168</v>
      </c>
      <c r="G76" s="76" t="s">
        <v>169</v>
      </c>
      <c r="H76" s="76" t="s">
        <v>170</v>
      </c>
      <c r="I76" s="76">
        <v>0</v>
      </c>
      <c r="J76" s="76">
        <f t="shared" si="7"/>
        <v>2.0000000000000004E-8</v>
      </c>
      <c r="K76" s="76"/>
      <c r="L76" s="76">
        <f t="shared" si="9"/>
        <v>1.0000000000000001E-7</v>
      </c>
      <c r="M76" s="76" t="s">
        <v>163</v>
      </c>
      <c r="N76" s="76"/>
      <c r="O76" s="76"/>
      <c r="P76" s="76" t="s">
        <v>171</v>
      </c>
    </row>
    <row r="77" spans="2:16" ht="12.75" customHeight="1" x14ac:dyDescent="0.2">
      <c r="B77" s="76" t="s">
        <v>167</v>
      </c>
      <c r="C77" s="76">
        <f t="shared" si="8"/>
        <v>1.0000000000000001E-7</v>
      </c>
      <c r="D77" s="76"/>
      <c r="E77" s="76" t="s">
        <v>944</v>
      </c>
      <c r="F77" s="76" t="s">
        <v>168</v>
      </c>
      <c r="G77" s="76" t="s">
        <v>169</v>
      </c>
      <c r="H77" s="76" t="s">
        <v>170</v>
      </c>
      <c r="I77" s="76">
        <v>0</v>
      </c>
      <c r="J77" s="76">
        <f t="shared" si="7"/>
        <v>2.0000000000000004E-8</v>
      </c>
      <c r="K77" s="76"/>
      <c r="L77" s="76">
        <f t="shared" si="9"/>
        <v>1.0000000000000001E-7</v>
      </c>
      <c r="M77" s="76" t="s">
        <v>163</v>
      </c>
      <c r="N77" s="76"/>
      <c r="O77" s="76"/>
      <c r="P77" s="76" t="s">
        <v>171</v>
      </c>
    </row>
    <row r="78" spans="2:16" ht="12.75" customHeight="1" x14ac:dyDescent="0.2">
      <c r="B78" s="76" t="s">
        <v>167</v>
      </c>
      <c r="C78" s="76">
        <f t="shared" si="8"/>
        <v>1.0000000000000001E-7</v>
      </c>
      <c r="D78" s="76"/>
      <c r="E78" s="76" t="s">
        <v>945</v>
      </c>
      <c r="F78" s="76" t="s">
        <v>168</v>
      </c>
      <c r="G78" s="76" t="s">
        <v>169</v>
      </c>
      <c r="H78" s="76" t="s">
        <v>170</v>
      </c>
      <c r="I78" s="76">
        <v>0</v>
      </c>
      <c r="J78" s="76">
        <f t="shared" si="7"/>
        <v>2.0000000000000004E-8</v>
      </c>
      <c r="K78" s="76"/>
      <c r="L78" s="76">
        <f t="shared" si="9"/>
        <v>1.0000000000000001E-7</v>
      </c>
      <c r="M78" s="76" t="s">
        <v>163</v>
      </c>
      <c r="N78" s="76"/>
      <c r="O78" s="76"/>
      <c r="P78" s="76" t="s">
        <v>171</v>
      </c>
    </row>
    <row r="79" spans="2:16" ht="12.75" customHeight="1" x14ac:dyDescent="0.2">
      <c r="B79" s="76" t="s">
        <v>167</v>
      </c>
      <c r="C79" s="76">
        <f t="shared" si="8"/>
        <v>1.0000000000000001E-7</v>
      </c>
      <c r="D79" s="76"/>
      <c r="E79" s="76" t="s">
        <v>946</v>
      </c>
      <c r="F79" s="76" t="s">
        <v>168</v>
      </c>
      <c r="G79" s="76" t="s">
        <v>169</v>
      </c>
      <c r="H79" s="76" t="s">
        <v>170</v>
      </c>
      <c r="I79" s="76">
        <v>0</v>
      </c>
      <c r="J79" s="76">
        <f t="shared" si="7"/>
        <v>2.0000000000000004E-8</v>
      </c>
      <c r="K79" s="76"/>
      <c r="L79" s="76">
        <f t="shared" si="9"/>
        <v>1.0000000000000001E-7</v>
      </c>
      <c r="M79" s="76" t="s">
        <v>163</v>
      </c>
      <c r="N79" s="76"/>
      <c r="O79" s="76"/>
      <c r="P79" s="76" t="s">
        <v>171</v>
      </c>
    </row>
    <row r="80" spans="2:16" ht="12.75" customHeight="1" x14ac:dyDescent="0.2">
      <c r="B80" s="76" t="s">
        <v>167</v>
      </c>
      <c r="C80" s="76">
        <f t="shared" si="8"/>
        <v>1.0000000000000001E-7</v>
      </c>
      <c r="D80" s="76"/>
      <c r="E80" s="76" t="s">
        <v>97</v>
      </c>
      <c r="F80" s="76" t="s">
        <v>168</v>
      </c>
      <c r="G80" s="76" t="s">
        <v>169</v>
      </c>
      <c r="H80" s="76" t="s">
        <v>170</v>
      </c>
      <c r="I80" s="76">
        <v>0</v>
      </c>
      <c r="J80" s="76">
        <f t="shared" si="7"/>
        <v>2.0000000000000004E-8</v>
      </c>
      <c r="K80" s="76"/>
      <c r="L80" s="76">
        <f t="shared" si="9"/>
        <v>1.0000000000000001E-7</v>
      </c>
      <c r="M80" s="76" t="s">
        <v>163</v>
      </c>
      <c r="N80" s="76"/>
      <c r="O80" s="76"/>
      <c r="P80" s="76" t="s">
        <v>171</v>
      </c>
    </row>
    <row r="81" spans="2:16" ht="12.75" customHeight="1" x14ac:dyDescent="0.2">
      <c r="B81" s="76" t="s">
        <v>167</v>
      </c>
      <c r="C81" s="76">
        <f t="shared" si="8"/>
        <v>1.0000000000000001E-7</v>
      </c>
      <c r="D81" s="76"/>
      <c r="E81" s="76" t="s">
        <v>98</v>
      </c>
      <c r="F81" s="76" t="s">
        <v>168</v>
      </c>
      <c r="G81" s="76" t="s">
        <v>169</v>
      </c>
      <c r="H81" s="76" t="s">
        <v>170</v>
      </c>
      <c r="I81" s="76">
        <v>0</v>
      </c>
      <c r="J81" s="76">
        <f t="shared" si="7"/>
        <v>2.0000000000000004E-8</v>
      </c>
      <c r="K81" s="76"/>
      <c r="L81" s="76">
        <f t="shared" si="9"/>
        <v>1.0000000000000001E-7</v>
      </c>
      <c r="M81" s="76" t="s">
        <v>163</v>
      </c>
      <c r="N81" s="76"/>
      <c r="O81" s="76"/>
      <c r="P81" s="76" t="s">
        <v>171</v>
      </c>
    </row>
    <row r="82" spans="2:16" ht="12.75" customHeight="1" x14ac:dyDescent="0.2">
      <c r="B82" s="76" t="s">
        <v>167</v>
      </c>
      <c r="C82" s="76">
        <f t="shared" si="8"/>
        <v>1.0000000000000001E-7</v>
      </c>
      <c r="D82" s="76"/>
      <c r="E82" s="76" t="s">
        <v>103</v>
      </c>
      <c r="F82" s="76" t="s">
        <v>168</v>
      </c>
      <c r="G82" s="76" t="s">
        <v>169</v>
      </c>
      <c r="H82" s="76" t="s">
        <v>170</v>
      </c>
      <c r="I82" s="76">
        <v>0</v>
      </c>
      <c r="J82" s="76">
        <f>C82*0.2</f>
        <v>2.0000000000000004E-8</v>
      </c>
      <c r="K82" s="76"/>
      <c r="L82" s="76"/>
      <c r="M82" s="76" t="s">
        <v>163</v>
      </c>
      <c r="N82" s="76"/>
      <c r="O82" s="76"/>
      <c r="P82" s="76" t="s">
        <v>171</v>
      </c>
    </row>
    <row r="83" spans="2:16" ht="12.75" customHeight="1" x14ac:dyDescent="0.2">
      <c r="B83" s="76" t="s">
        <v>167</v>
      </c>
      <c r="C83" s="76">
        <f t="shared" si="8"/>
        <v>1.0000000000000001E-7</v>
      </c>
      <c r="D83" s="76"/>
      <c r="E83" s="76" t="s">
        <v>109</v>
      </c>
      <c r="F83" s="76" t="s">
        <v>168</v>
      </c>
      <c r="G83" s="76" t="s">
        <v>169</v>
      </c>
      <c r="H83" s="76" t="s">
        <v>170</v>
      </c>
      <c r="I83" s="76">
        <v>0</v>
      </c>
      <c r="J83" s="76">
        <f>C83*0.2</f>
        <v>2.0000000000000004E-8</v>
      </c>
      <c r="K83" s="76"/>
      <c r="L83" s="76">
        <v>0</v>
      </c>
      <c r="M83" s="76" t="s">
        <v>172</v>
      </c>
      <c r="N83" s="76">
        <f>C83*0.9</f>
        <v>9.0000000000000012E-8</v>
      </c>
      <c r="O83" s="76"/>
      <c r="P83" s="76" t="s">
        <v>171</v>
      </c>
    </row>
    <row r="84" spans="2:16" ht="12.75" customHeight="1" x14ac:dyDescent="0.2">
      <c r="B84" s="76" t="s">
        <v>167</v>
      </c>
      <c r="C84" s="76">
        <f t="shared" si="8"/>
        <v>1.0000000000000001E-7</v>
      </c>
      <c r="D84" s="76"/>
      <c r="E84" s="76" t="s">
        <v>111</v>
      </c>
      <c r="F84" s="76" t="s">
        <v>168</v>
      </c>
      <c r="G84" s="76" t="s">
        <v>169</v>
      </c>
      <c r="H84" s="76" t="s">
        <v>170</v>
      </c>
      <c r="I84" s="76">
        <v>0</v>
      </c>
      <c r="J84" s="76">
        <v>0</v>
      </c>
      <c r="K84" s="76"/>
      <c r="L84" s="76">
        <v>0</v>
      </c>
      <c r="M84" s="76" t="s">
        <v>172</v>
      </c>
      <c r="N84" s="76">
        <f>C84*0.9</f>
        <v>9.0000000000000012E-8</v>
      </c>
      <c r="O84" s="76"/>
      <c r="P84" s="76" t="s">
        <v>171</v>
      </c>
    </row>
    <row r="85" spans="2:16" ht="12.75" customHeight="1" x14ac:dyDescent="0.2">
      <c r="B85" s="76" t="s">
        <v>167</v>
      </c>
      <c r="C85" s="76">
        <f t="shared" si="8"/>
        <v>1.0000000000000001E-7</v>
      </c>
      <c r="D85" s="76"/>
      <c r="E85" s="76" t="s">
        <v>120</v>
      </c>
      <c r="F85" s="76" t="s">
        <v>168</v>
      </c>
      <c r="G85" s="76" t="s">
        <v>169</v>
      </c>
      <c r="H85" s="76" t="s">
        <v>170</v>
      </c>
      <c r="I85" s="76">
        <v>0</v>
      </c>
      <c r="J85" s="76">
        <f t="shared" si="7"/>
        <v>2.0000000000000004E-8</v>
      </c>
      <c r="K85" s="76"/>
      <c r="L85" s="76">
        <f t="shared" si="9"/>
        <v>1.0000000000000001E-7</v>
      </c>
      <c r="M85" s="76" t="s">
        <v>172</v>
      </c>
      <c r="N85" s="76">
        <f>C85*0.9</f>
        <v>9.0000000000000012E-8</v>
      </c>
      <c r="O85" s="76"/>
      <c r="P85" s="76" t="s">
        <v>171</v>
      </c>
    </row>
    <row r="86" spans="2:16" ht="12.75" customHeight="1" x14ac:dyDescent="0.2">
      <c r="B86" s="76" t="s">
        <v>167</v>
      </c>
      <c r="C86" s="76">
        <f t="shared" si="8"/>
        <v>1.0000000000000001E-7</v>
      </c>
      <c r="D86" s="76"/>
      <c r="E86" s="76" t="s">
        <v>121</v>
      </c>
      <c r="F86" s="76" t="s">
        <v>168</v>
      </c>
      <c r="G86" s="76" t="s">
        <v>169</v>
      </c>
      <c r="H86" s="76" t="s">
        <v>170</v>
      </c>
      <c r="I86" s="76">
        <v>0</v>
      </c>
      <c r="J86" s="76">
        <f t="shared" si="7"/>
        <v>2.0000000000000004E-8</v>
      </c>
      <c r="K86" s="76"/>
      <c r="L86" s="76">
        <f t="shared" si="9"/>
        <v>1.0000000000000001E-7</v>
      </c>
      <c r="M86" s="76" t="s">
        <v>172</v>
      </c>
      <c r="N86" s="76">
        <f>C86*0.9</f>
        <v>9.0000000000000012E-8</v>
      </c>
      <c r="O86" s="76"/>
      <c r="P86" s="76" t="s">
        <v>171</v>
      </c>
    </row>
  </sheetData>
  <autoFilter ref="E6:E7"/>
  <dataValidations count="1">
    <dataValidation type="list" allowBlank="1" showInputMessage="1" showErrorMessage="1" sqref="C3">
      <formula1>"Normal,Extended,Quad"</formula1>
    </dataValidation>
  </dataValidations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outlinePr summaryBelow="0" summaryRight="0"/>
  </sheetPr>
  <dimension ref="A1:P86"/>
  <sheetViews>
    <sheetView showGridLines="0" zoomScaleNormal="100" workbookViewId="0">
      <pane ySplit="6" topLeftCell="A7" activePane="bottomLeft" state="frozen"/>
      <selection pane="bottomLeft" activeCell="A7" sqref="A7"/>
    </sheetView>
  </sheetViews>
  <sheetFormatPr defaultRowHeight="12.75" x14ac:dyDescent="0.2"/>
  <cols>
    <col min="1" max="1" width="9.140625" style="75"/>
    <col min="2" max="3" width="13.42578125" style="75" customWidth="1"/>
    <col min="4" max="4" width="6.28515625" style="75" customWidth="1"/>
    <col min="5" max="5" width="13.42578125" style="75" customWidth="1"/>
    <col min="6" max="6" width="9.28515625" style="75" bestFit="1" customWidth="1"/>
    <col min="7" max="8" width="9.140625" style="75"/>
    <col min="9" max="12" width="13.42578125" style="75" customWidth="1"/>
    <col min="13" max="13" width="9.140625" style="75"/>
    <col min="14" max="15" width="13.42578125" style="75" customWidth="1"/>
    <col min="16" max="16" width="42.85546875" style="75" customWidth="1"/>
    <col min="17" max="16384" width="9.140625" style="75"/>
  </cols>
  <sheetData>
    <row r="1" spans="1:16" ht="25.5" customHeight="1" x14ac:dyDescent="0.2">
      <c r="A1" s="75" t="s">
        <v>61</v>
      </c>
      <c r="B1" s="75" t="s">
        <v>146</v>
      </c>
    </row>
    <row r="3" spans="1:16" x14ac:dyDescent="0.2">
      <c r="B3" s="1" t="s">
        <v>147</v>
      </c>
      <c r="C3" s="2" t="s">
        <v>237</v>
      </c>
      <c r="E3" s="1" t="s">
        <v>148</v>
      </c>
      <c r="F3" s="2">
        <f>1*us</f>
        <v>9.9999999999999995E-7</v>
      </c>
      <c r="H3" s="1" t="s">
        <v>149</v>
      </c>
      <c r="I3" s="2">
        <f>1*us</f>
        <v>9.9999999999999995E-7</v>
      </c>
    </row>
    <row r="5" spans="1:16" x14ac:dyDescent="0.2">
      <c r="C5" s="75" t="s">
        <v>150</v>
      </c>
      <c r="E5" s="75" t="s">
        <v>151</v>
      </c>
      <c r="G5" s="75" t="s">
        <v>152</v>
      </c>
      <c r="I5" s="75" t="s">
        <v>153</v>
      </c>
      <c r="M5" s="75" t="s">
        <v>154</v>
      </c>
    </row>
    <row r="6" spans="1:16" x14ac:dyDescent="0.2">
      <c r="B6" s="75" t="s">
        <v>155</v>
      </c>
      <c r="C6" s="75" t="s">
        <v>156</v>
      </c>
      <c r="D6" s="75" t="s">
        <v>157</v>
      </c>
      <c r="E6" s="75" t="s">
        <v>20</v>
      </c>
      <c r="F6" s="75" t="s">
        <v>158</v>
      </c>
      <c r="G6" s="75" t="s">
        <v>159</v>
      </c>
      <c r="H6" s="75" t="s">
        <v>160</v>
      </c>
      <c r="I6" s="75" t="s">
        <v>161</v>
      </c>
      <c r="J6" s="75" t="s">
        <v>152</v>
      </c>
      <c r="K6" s="75" t="s">
        <v>162</v>
      </c>
      <c r="L6" s="75" t="s">
        <v>163</v>
      </c>
      <c r="M6" s="75" t="s">
        <v>164</v>
      </c>
      <c r="N6" s="75" t="s">
        <v>165</v>
      </c>
      <c r="O6" s="75" t="s">
        <v>166</v>
      </c>
      <c r="P6" s="75" t="s">
        <v>4</v>
      </c>
    </row>
    <row r="7" spans="1:16" ht="19.149999999999999" customHeight="1" x14ac:dyDescent="0.2">
      <c r="B7" s="76" t="s">
        <v>167</v>
      </c>
      <c r="C7" s="76">
        <f t="shared" ref="C7:C38" si="0">20*ns</f>
        <v>2E-8</v>
      </c>
      <c r="D7" s="76"/>
      <c r="E7" s="76" t="s">
        <v>893</v>
      </c>
      <c r="F7" s="76" t="s">
        <v>168</v>
      </c>
      <c r="G7" s="76" t="s">
        <v>169</v>
      </c>
      <c r="H7" s="76" t="s">
        <v>170</v>
      </c>
      <c r="I7" s="76">
        <v>0</v>
      </c>
      <c r="J7" s="76">
        <f>C7*0.1</f>
        <v>2.0000000000000001E-9</v>
      </c>
      <c r="K7" s="76"/>
      <c r="L7" s="76">
        <f t="shared" ref="L7:L38" si="1">C7</f>
        <v>2E-8</v>
      </c>
      <c r="M7" s="76" t="s">
        <v>163</v>
      </c>
      <c r="N7" s="76"/>
      <c r="O7" s="76"/>
      <c r="P7" s="76" t="s">
        <v>171</v>
      </c>
    </row>
    <row r="8" spans="1:16" ht="12.75" customHeight="1" x14ac:dyDescent="0.2">
      <c r="B8" s="76" t="s">
        <v>167</v>
      </c>
      <c r="C8" s="76">
        <f t="shared" si="0"/>
        <v>2E-8</v>
      </c>
      <c r="D8" s="76"/>
      <c r="E8" s="76" t="s">
        <v>894</v>
      </c>
      <c r="F8" s="76" t="s">
        <v>168</v>
      </c>
      <c r="G8" s="76" t="s">
        <v>169</v>
      </c>
      <c r="H8" s="76" t="s">
        <v>170</v>
      </c>
      <c r="I8" s="76">
        <v>0</v>
      </c>
      <c r="J8" s="76">
        <f>C8*0.2</f>
        <v>4.0000000000000002E-9</v>
      </c>
      <c r="K8" s="76"/>
      <c r="L8" s="76">
        <f t="shared" si="1"/>
        <v>2E-8</v>
      </c>
      <c r="M8" s="76" t="s">
        <v>163</v>
      </c>
      <c r="N8" s="76">
        <f>C8*0.9</f>
        <v>1.8000000000000002E-8</v>
      </c>
      <c r="O8" s="76"/>
      <c r="P8" s="76" t="s">
        <v>171</v>
      </c>
    </row>
    <row r="9" spans="1:16" ht="12.75" customHeight="1" x14ac:dyDescent="0.2">
      <c r="B9" s="76" t="s">
        <v>167</v>
      </c>
      <c r="C9" s="76">
        <f t="shared" si="0"/>
        <v>2E-8</v>
      </c>
      <c r="D9" s="76"/>
      <c r="E9" s="76" t="s">
        <v>896</v>
      </c>
      <c r="F9" s="76" t="s">
        <v>168</v>
      </c>
      <c r="G9" s="76" t="s">
        <v>169</v>
      </c>
      <c r="H9" s="76" t="s">
        <v>170</v>
      </c>
      <c r="I9" s="76">
        <v>0</v>
      </c>
      <c r="J9" s="76">
        <f>C9*0.2</f>
        <v>4.0000000000000002E-9</v>
      </c>
      <c r="K9" s="76"/>
      <c r="L9" s="76">
        <f t="shared" si="1"/>
        <v>2E-8</v>
      </c>
      <c r="M9" s="76" t="s">
        <v>163</v>
      </c>
      <c r="N9" s="76">
        <f>C9*0.9</f>
        <v>1.8000000000000002E-8</v>
      </c>
      <c r="O9" s="76"/>
      <c r="P9" s="76" t="s">
        <v>171</v>
      </c>
    </row>
    <row r="10" spans="1:16" ht="12.75" customHeight="1" x14ac:dyDescent="0.2">
      <c r="B10" s="76" t="s">
        <v>167</v>
      </c>
      <c r="C10" s="76">
        <f t="shared" si="0"/>
        <v>2E-8</v>
      </c>
      <c r="D10" s="76"/>
      <c r="E10" s="76" t="s">
        <v>897</v>
      </c>
      <c r="F10" s="76" t="s">
        <v>168</v>
      </c>
      <c r="G10" s="76" t="s">
        <v>169</v>
      </c>
      <c r="H10" s="76" t="s">
        <v>170</v>
      </c>
      <c r="I10" s="76">
        <v>0</v>
      </c>
      <c r="J10" s="76">
        <f>C10*0.1</f>
        <v>2.0000000000000001E-9</v>
      </c>
      <c r="K10" s="76"/>
      <c r="L10" s="76">
        <f t="shared" si="1"/>
        <v>2E-8</v>
      </c>
      <c r="M10" s="76" t="s">
        <v>163</v>
      </c>
      <c r="N10" s="76">
        <f>C10*0.9</f>
        <v>1.8000000000000002E-8</v>
      </c>
      <c r="O10" s="76"/>
      <c r="P10" s="76" t="s">
        <v>171</v>
      </c>
    </row>
    <row r="11" spans="1:16" ht="12.75" customHeight="1" x14ac:dyDescent="0.2">
      <c r="B11" s="76" t="s">
        <v>167</v>
      </c>
      <c r="C11" s="76">
        <f t="shared" si="0"/>
        <v>2E-8</v>
      </c>
      <c r="D11" s="76"/>
      <c r="E11" s="76" t="s">
        <v>895</v>
      </c>
      <c r="F11" s="76" t="s">
        <v>168</v>
      </c>
      <c r="G11" s="76" t="s">
        <v>169</v>
      </c>
      <c r="H11" s="76" t="s">
        <v>170</v>
      </c>
      <c r="I11" s="76">
        <v>0</v>
      </c>
      <c r="J11" s="76">
        <v>0</v>
      </c>
      <c r="K11" s="76"/>
      <c r="L11" s="76">
        <f t="shared" si="1"/>
        <v>2E-8</v>
      </c>
      <c r="M11" s="76" t="s">
        <v>172</v>
      </c>
      <c r="N11" s="76">
        <f>C11*0.9</f>
        <v>1.8000000000000002E-8</v>
      </c>
      <c r="O11" s="76"/>
      <c r="P11" s="76" t="s">
        <v>171</v>
      </c>
    </row>
    <row r="12" spans="1:16" ht="12.75" customHeight="1" x14ac:dyDescent="0.2">
      <c r="B12" s="76" t="s">
        <v>167</v>
      </c>
      <c r="C12" s="76">
        <f t="shared" si="0"/>
        <v>2E-8</v>
      </c>
      <c r="D12" s="76"/>
      <c r="E12" s="76" t="s">
        <v>909</v>
      </c>
      <c r="F12" s="76" t="s">
        <v>168</v>
      </c>
      <c r="G12" s="76" t="s">
        <v>169</v>
      </c>
      <c r="H12" s="76" t="s">
        <v>170</v>
      </c>
      <c r="I12" s="76">
        <v>0</v>
      </c>
      <c r="J12" s="76">
        <f>C12*0.1</f>
        <v>2.0000000000000001E-9</v>
      </c>
      <c r="K12" s="76"/>
      <c r="L12" s="76">
        <f t="shared" si="1"/>
        <v>2E-8</v>
      </c>
      <c r="M12" s="76" t="s">
        <v>163</v>
      </c>
      <c r="N12" s="76"/>
      <c r="O12" s="76"/>
      <c r="P12" s="76" t="s">
        <v>171</v>
      </c>
    </row>
    <row r="13" spans="1:16" ht="12.75" customHeight="1" x14ac:dyDescent="0.2">
      <c r="B13" s="76" t="s">
        <v>167</v>
      </c>
      <c r="C13" s="76">
        <f t="shared" si="0"/>
        <v>2E-8</v>
      </c>
      <c r="D13" s="76"/>
      <c r="E13" s="76" t="s">
        <v>908</v>
      </c>
      <c r="F13" s="76" t="s">
        <v>168</v>
      </c>
      <c r="G13" s="76" t="s">
        <v>169</v>
      </c>
      <c r="H13" s="76" t="s">
        <v>170</v>
      </c>
      <c r="I13" s="76">
        <v>0</v>
      </c>
      <c r="J13" s="76">
        <f>C13*0.2</f>
        <v>4.0000000000000002E-9</v>
      </c>
      <c r="K13" s="76"/>
      <c r="L13" s="76">
        <f t="shared" si="1"/>
        <v>2E-8</v>
      </c>
      <c r="M13" s="76" t="s">
        <v>163</v>
      </c>
      <c r="N13" s="76"/>
      <c r="O13" s="76"/>
      <c r="P13" s="76" t="s">
        <v>171</v>
      </c>
    </row>
    <row r="14" spans="1:16" ht="12.75" customHeight="1" x14ac:dyDescent="0.2">
      <c r="B14" s="76" t="s">
        <v>167</v>
      </c>
      <c r="C14" s="76">
        <f t="shared" si="0"/>
        <v>2E-8</v>
      </c>
      <c r="D14" s="76"/>
      <c r="E14" s="76" t="s">
        <v>910</v>
      </c>
      <c r="F14" s="76" t="s">
        <v>168</v>
      </c>
      <c r="G14" s="76" t="s">
        <v>169</v>
      </c>
      <c r="H14" s="76" t="s">
        <v>170</v>
      </c>
      <c r="I14" s="76">
        <v>0</v>
      </c>
      <c r="J14" s="76">
        <f>C14*0.2</f>
        <v>4.0000000000000002E-9</v>
      </c>
      <c r="K14" s="76"/>
      <c r="L14" s="76">
        <f t="shared" si="1"/>
        <v>2E-8</v>
      </c>
      <c r="M14" s="76" t="s">
        <v>163</v>
      </c>
      <c r="N14" s="76"/>
      <c r="O14" s="76"/>
      <c r="P14" s="76" t="s">
        <v>171</v>
      </c>
    </row>
    <row r="15" spans="1:16" ht="12.75" customHeight="1" x14ac:dyDescent="0.2">
      <c r="B15" s="76" t="s">
        <v>167</v>
      </c>
      <c r="C15" s="76">
        <f t="shared" si="0"/>
        <v>2E-8</v>
      </c>
      <c r="D15" s="76"/>
      <c r="E15" s="76" t="s">
        <v>911</v>
      </c>
      <c r="F15" s="76" t="s">
        <v>168</v>
      </c>
      <c r="G15" s="76" t="s">
        <v>169</v>
      </c>
      <c r="H15" s="76" t="s">
        <v>170</v>
      </c>
      <c r="I15" s="76">
        <v>0</v>
      </c>
      <c r="J15" s="76">
        <v>0</v>
      </c>
      <c r="K15" s="76"/>
      <c r="L15" s="76">
        <f t="shared" si="1"/>
        <v>2E-8</v>
      </c>
      <c r="M15" s="76" t="s">
        <v>172</v>
      </c>
      <c r="N15" s="76">
        <f>C15*0.9+(0*ns)</f>
        <v>1.8000000000000002E-8</v>
      </c>
      <c r="O15" s="76"/>
      <c r="P15" s="76" t="s">
        <v>337</v>
      </c>
    </row>
    <row r="16" spans="1:16" ht="12.75" customHeight="1" x14ac:dyDescent="0.2">
      <c r="B16" s="76" t="s">
        <v>167</v>
      </c>
      <c r="C16" s="76">
        <f t="shared" si="0"/>
        <v>2E-8</v>
      </c>
      <c r="D16" s="76"/>
      <c r="E16" s="76" t="s">
        <v>95</v>
      </c>
      <c r="F16" s="76" t="s">
        <v>168</v>
      </c>
      <c r="G16" s="76" t="s">
        <v>169</v>
      </c>
      <c r="H16" s="76" t="s">
        <v>170</v>
      </c>
      <c r="I16" s="76">
        <v>0</v>
      </c>
      <c r="J16" s="76">
        <f>C16*0.1</f>
        <v>2.0000000000000001E-9</v>
      </c>
      <c r="K16" s="76"/>
      <c r="L16" s="76">
        <f t="shared" si="1"/>
        <v>2E-8</v>
      </c>
      <c r="M16" s="76" t="s">
        <v>163</v>
      </c>
      <c r="N16" s="76"/>
      <c r="O16" s="76"/>
      <c r="P16" s="76" t="s">
        <v>171</v>
      </c>
    </row>
    <row r="17" spans="2:16" ht="12.75" customHeight="1" x14ac:dyDescent="0.2">
      <c r="B17" s="76" t="s">
        <v>167</v>
      </c>
      <c r="C17" s="76">
        <f t="shared" si="0"/>
        <v>2E-8</v>
      </c>
      <c r="D17" s="76"/>
      <c r="E17" s="76" t="s">
        <v>96</v>
      </c>
      <c r="F17" s="76" t="s">
        <v>168</v>
      </c>
      <c r="G17" s="76" t="s">
        <v>169</v>
      </c>
      <c r="H17" s="76" t="s">
        <v>170</v>
      </c>
      <c r="I17" s="76">
        <v>0</v>
      </c>
      <c r="J17" s="76">
        <f>C17*0.1</f>
        <v>2.0000000000000001E-9</v>
      </c>
      <c r="K17" s="76"/>
      <c r="L17" s="76">
        <f t="shared" si="1"/>
        <v>2E-8</v>
      </c>
      <c r="M17" s="76" t="s">
        <v>163</v>
      </c>
      <c r="N17" s="76"/>
      <c r="O17" s="76"/>
      <c r="P17" s="76" t="s">
        <v>171</v>
      </c>
    </row>
    <row r="18" spans="2:16" ht="12.75" customHeight="1" x14ac:dyDescent="0.2">
      <c r="B18" s="76" t="s">
        <v>167</v>
      </c>
      <c r="C18" s="76">
        <f t="shared" si="0"/>
        <v>2E-8</v>
      </c>
      <c r="D18" s="76"/>
      <c r="E18" s="76" t="s">
        <v>122</v>
      </c>
      <c r="F18" s="76" t="s">
        <v>168</v>
      </c>
      <c r="G18" s="76" t="s">
        <v>169</v>
      </c>
      <c r="H18" s="76" t="s">
        <v>170</v>
      </c>
      <c r="I18" s="76">
        <v>0</v>
      </c>
      <c r="J18" s="76">
        <f t="shared" ref="J18:J33" si="2">C18*0.2</f>
        <v>4.0000000000000002E-9</v>
      </c>
      <c r="K18" s="76"/>
      <c r="L18" s="76">
        <f t="shared" si="1"/>
        <v>2E-8</v>
      </c>
      <c r="M18" s="76" t="s">
        <v>172</v>
      </c>
      <c r="N18" s="76">
        <f t="shared" ref="N18:N33" si="3">C18*0.9</f>
        <v>1.8000000000000002E-8</v>
      </c>
      <c r="O18" s="76"/>
      <c r="P18" s="76" t="s">
        <v>171</v>
      </c>
    </row>
    <row r="19" spans="2:16" ht="12.75" customHeight="1" x14ac:dyDescent="0.2">
      <c r="B19" s="76" t="s">
        <v>167</v>
      </c>
      <c r="C19" s="76">
        <f t="shared" si="0"/>
        <v>2E-8</v>
      </c>
      <c r="D19" s="76"/>
      <c r="E19" s="76" t="s">
        <v>123</v>
      </c>
      <c r="F19" s="76" t="s">
        <v>168</v>
      </c>
      <c r="G19" s="76" t="s">
        <v>169</v>
      </c>
      <c r="H19" s="76" t="s">
        <v>170</v>
      </c>
      <c r="I19" s="76">
        <v>0</v>
      </c>
      <c r="J19" s="76">
        <f t="shared" si="2"/>
        <v>4.0000000000000002E-9</v>
      </c>
      <c r="K19" s="76"/>
      <c r="L19" s="76">
        <f t="shared" si="1"/>
        <v>2E-8</v>
      </c>
      <c r="M19" s="76" t="s">
        <v>172</v>
      </c>
      <c r="N19" s="76">
        <f t="shared" si="3"/>
        <v>1.8000000000000002E-8</v>
      </c>
      <c r="O19" s="76"/>
      <c r="P19" s="76" t="s">
        <v>171</v>
      </c>
    </row>
    <row r="20" spans="2:16" ht="12.75" customHeight="1" x14ac:dyDescent="0.2">
      <c r="B20" s="76" t="s">
        <v>167</v>
      </c>
      <c r="C20" s="76">
        <f t="shared" si="0"/>
        <v>2E-8</v>
      </c>
      <c r="D20" s="76"/>
      <c r="E20" s="76" t="s">
        <v>124</v>
      </c>
      <c r="F20" s="76" t="s">
        <v>168</v>
      </c>
      <c r="G20" s="76" t="s">
        <v>169</v>
      </c>
      <c r="H20" s="76" t="s">
        <v>170</v>
      </c>
      <c r="I20" s="76">
        <v>0</v>
      </c>
      <c r="J20" s="76">
        <f t="shared" si="2"/>
        <v>4.0000000000000002E-9</v>
      </c>
      <c r="K20" s="76"/>
      <c r="L20" s="76">
        <f t="shared" si="1"/>
        <v>2E-8</v>
      </c>
      <c r="M20" s="76" t="s">
        <v>172</v>
      </c>
      <c r="N20" s="76">
        <f t="shared" si="3"/>
        <v>1.8000000000000002E-8</v>
      </c>
      <c r="O20" s="76"/>
      <c r="P20" s="76" t="s">
        <v>171</v>
      </c>
    </row>
    <row r="21" spans="2:16" ht="12.75" customHeight="1" x14ac:dyDescent="0.2">
      <c r="B21" s="76" t="s">
        <v>167</v>
      </c>
      <c r="C21" s="76">
        <f t="shared" si="0"/>
        <v>2E-8</v>
      </c>
      <c r="D21" s="76"/>
      <c r="E21" s="76" t="s">
        <v>125</v>
      </c>
      <c r="F21" s="76" t="s">
        <v>168</v>
      </c>
      <c r="G21" s="76" t="s">
        <v>169</v>
      </c>
      <c r="H21" s="76" t="s">
        <v>170</v>
      </c>
      <c r="I21" s="76">
        <v>0</v>
      </c>
      <c r="J21" s="76">
        <f t="shared" si="2"/>
        <v>4.0000000000000002E-9</v>
      </c>
      <c r="K21" s="76"/>
      <c r="L21" s="76">
        <f t="shared" si="1"/>
        <v>2E-8</v>
      </c>
      <c r="M21" s="76" t="s">
        <v>172</v>
      </c>
      <c r="N21" s="76">
        <f t="shared" si="3"/>
        <v>1.8000000000000002E-8</v>
      </c>
      <c r="O21" s="76"/>
      <c r="P21" s="76" t="s">
        <v>171</v>
      </c>
    </row>
    <row r="22" spans="2:16" ht="12.75" customHeight="1" x14ac:dyDescent="0.2">
      <c r="B22" s="76" t="s">
        <v>167</v>
      </c>
      <c r="C22" s="76">
        <f t="shared" si="0"/>
        <v>2E-8</v>
      </c>
      <c r="D22" s="76"/>
      <c r="E22" s="76" t="s">
        <v>126</v>
      </c>
      <c r="F22" s="76" t="s">
        <v>168</v>
      </c>
      <c r="G22" s="76" t="s">
        <v>169</v>
      </c>
      <c r="H22" s="76" t="s">
        <v>170</v>
      </c>
      <c r="I22" s="76">
        <v>0</v>
      </c>
      <c r="J22" s="76">
        <f t="shared" si="2"/>
        <v>4.0000000000000002E-9</v>
      </c>
      <c r="K22" s="76"/>
      <c r="L22" s="76">
        <f t="shared" si="1"/>
        <v>2E-8</v>
      </c>
      <c r="M22" s="76" t="s">
        <v>172</v>
      </c>
      <c r="N22" s="76">
        <f t="shared" si="3"/>
        <v>1.8000000000000002E-8</v>
      </c>
      <c r="O22" s="76"/>
      <c r="P22" s="76" t="s">
        <v>171</v>
      </c>
    </row>
    <row r="23" spans="2:16" ht="12.75" customHeight="1" x14ac:dyDescent="0.2">
      <c r="B23" s="76" t="s">
        <v>167</v>
      </c>
      <c r="C23" s="76">
        <f t="shared" si="0"/>
        <v>2E-8</v>
      </c>
      <c r="D23" s="76"/>
      <c r="E23" s="76" t="s">
        <v>127</v>
      </c>
      <c r="F23" s="76" t="s">
        <v>168</v>
      </c>
      <c r="G23" s="76" t="s">
        <v>169</v>
      </c>
      <c r="H23" s="76" t="s">
        <v>170</v>
      </c>
      <c r="I23" s="76">
        <v>0</v>
      </c>
      <c r="J23" s="76">
        <f t="shared" si="2"/>
        <v>4.0000000000000002E-9</v>
      </c>
      <c r="K23" s="76"/>
      <c r="L23" s="76">
        <f t="shared" si="1"/>
        <v>2E-8</v>
      </c>
      <c r="M23" s="76" t="s">
        <v>172</v>
      </c>
      <c r="N23" s="76">
        <f t="shared" si="3"/>
        <v>1.8000000000000002E-8</v>
      </c>
      <c r="O23" s="76"/>
      <c r="P23" s="76" t="s">
        <v>171</v>
      </c>
    </row>
    <row r="24" spans="2:16" ht="12.75" customHeight="1" x14ac:dyDescent="0.2">
      <c r="B24" s="76" t="s">
        <v>167</v>
      </c>
      <c r="C24" s="76">
        <f t="shared" si="0"/>
        <v>2E-8</v>
      </c>
      <c r="D24" s="76"/>
      <c r="E24" s="76" t="s">
        <v>128</v>
      </c>
      <c r="F24" s="76" t="s">
        <v>168</v>
      </c>
      <c r="G24" s="76" t="s">
        <v>169</v>
      </c>
      <c r="H24" s="76" t="s">
        <v>170</v>
      </c>
      <c r="I24" s="76">
        <v>0</v>
      </c>
      <c r="J24" s="76">
        <f t="shared" si="2"/>
        <v>4.0000000000000002E-9</v>
      </c>
      <c r="K24" s="76"/>
      <c r="L24" s="76">
        <f t="shared" si="1"/>
        <v>2E-8</v>
      </c>
      <c r="M24" s="76" t="s">
        <v>172</v>
      </c>
      <c r="N24" s="76">
        <f t="shared" si="3"/>
        <v>1.8000000000000002E-8</v>
      </c>
      <c r="O24" s="76"/>
      <c r="P24" s="76" t="s">
        <v>171</v>
      </c>
    </row>
    <row r="25" spans="2:16" ht="12.75" customHeight="1" x14ac:dyDescent="0.2">
      <c r="B25" s="76" t="s">
        <v>167</v>
      </c>
      <c r="C25" s="76">
        <f t="shared" si="0"/>
        <v>2E-8</v>
      </c>
      <c r="D25" s="76"/>
      <c r="E25" s="76" t="s">
        <v>129</v>
      </c>
      <c r="F25" s="76" t="s">
        <v>168</v>
      </c>
      <c r="G25" s="76" t="s">
        <v>169</v>
      </c>
      <c r="H25" s="76" t="s">
        <v>170</v>
      </c>
      <c r="I25" s="76">
        <v>0</v>
      </c>
      <c r="J25" s="76">
        <f t="shared" si="2"/>
        <v>4.0000000000000002E-9</v>
      </c>
      <c r="K25" s="76"/>
      <c r="L25" s="76">
        <f t="shared" si="1"/>
        <v>2E-8</v>
      </c>
      <c r="M25" s="76" t="s">
        <v>172</v>
      </c>
      <c r="N25" s="76">
        <f t="shared" si="3"/>
        <v>1.8000000000000002E-8</v>
      </c>
      <c r="O25" s="76"/>
      <c r="P25" s="76" t="s">
        <v>171</v>
      </c>
    </row>
    <row r="26" spans="2:16" ht="12.75" customHeight="1" x14ac:dyDescent="0.2">
      <c r="B26" s="76" t="s">
        <v>167</v>
      </c>
      <c r="C26" s="76">
        <f t="shared" si="0"/>
        <v>2E-8</v>
      </c>
      <c r="D26" s="76"/>
      <c r="E26" s="76" t="s">
        <v>130</v>
      </c>
      <c r="F26" s="76" t="s">
        <v>168</v>
      </c>
      <c r="G26" s="76" t="s">
        <v>169</v>
      </c>
      <c r="H26" s="76" t="s">
        <v>170</v>
      </c>
      <c r="I26" s="76">
        <v>0</v>
      </c>
      <c r="J26" s="76">
        <f t="shared" si="2"/>
        <v>4.0000000000000002E-9</v>
      </c>
      <c r="K26" s="76"/>
      <c r="L26" s="76">
        <f t="shared" si="1"/>
        <v>2E-8</v>
      </c>
      <c r="M26" s="76" t="s">
        <v>172</v>
      </c>
      <c r="N26" s="76">
        <f t="shared" si="3"/>
        <v>1.8000000000000002E-8</v>
      </c>
      <c r="O26" s="76"/>
      <c r="P26" s="76" t="s">
        <v>171</v>
      </c>
    </row>
    <row r="27" spans="2:16" ht="12.75" customHeight="1" x14ac:dyDescent="0.2">
      <c r="B27" s="76" t="s">
        <v>167</v>
      </c>
      <c r="C27" s="76">
        <f t="shared" si="0"/>
        <v>2E-8</v>
      </c>
      <c r="D27" s="76"/>
      <c r="E27" s="76" t="s">
        <v>131</v>
      </c>
      <c r="F27" s="76" t="s">
        <v>168</v>
      </c>
      <c r="G27" s="76" t="s">
        <v>169</v>
      </c>
      <c r="H27" s="76" t="s">
        <v>170</v>
      </c>
      <c r="I27" s="76">
        <v>0</v>
      </c>
      <c r="J27" s="76">
        <f t="shared" si="2"/>
        <v>4.0000000000000002E-9</v>
      </c>
      <c r="K27" s="76"/>
      <c r="L27" s="76">
        <f t="shared" si="1"/>
        <v>2E-8</v>
      </c>
      <c r="M27" s="76" t="s">
        <v>172</v>
      </c>
      <c r="N27" s="76">
        <f t="shared" si="3"/>
        <v>1.8000000000000002E-8</v>
      </c>
      <c r="O27" s="76"/>
      <c r="P27" s="76" t="s">
        <v>171</v>
      </c>
    </row>
    <row r="28" spans="2:16" ht="12.75" customHeight="1" x14ac:dyDescent="0.2">
      <c r="B28" s="76" t="s">
        <v>167</v>
      </c>
      <c r="C28" s="76">
        <f t="shared" si="0"/>
        <v>2E-8</v>
      </c>
      <c r="D28" s="76"/>
      <c r="E28" s="76" t="s">
        <v>132</v>
      </c>
      <c r="F28" s="76" t="s">
        <v>168</v>
      </c>
      <c r="G28" s="76" t="s">
        <v>169</v>
      </c>
      <c r="H28" s="76" t="s">
        <v>170</v>
      </c>
      <c r="I28" s="76">
        <v>0</v>
      </c>
      <c r="J28" s="76">
        <f t="shared" si="2"/>
        <v>4.0000000000000002E-9</v>
      </c>
      <c r="K28" s="76"/>
      <c r="L28" s="76">
        <f t="shared" si="1"/>
        <v>2E-8</v>
      </c>
      <c r="M28" s="76" t="s">
        <v>172</v>
      </c>
      <c r="N28" s="76">
        <f t="shared" si="3"/>
        <v>1.8000000000000002E-8</v>
      </c>
      <c r="O28" s="76"/>
      <c r="P28" s="76" t="s">
        <v>171</v>
      </c>
    </row>
    <row r="29" spans="2:16" ht="12.75" customHeight="1" x14ac:dyDescent="0.2">
      <c r="B29" s="76" t="s">
        <v>167</v>
      </c>
      <c r="C29" s="76">
        <f t="shared" si="0"/>
        <v>2E-8</v>
      </c>
      <c r="D29" s="76"/>
      <c r="E29" s="76" t="s">
        <v>133</v>
      </c>
      <c r="F29" s="76" t="s">
        <v>168</v>
      </c>
      <c r="G29" s="76" t="s">
        <v>169</v>
      </c>
      <c r="H29" s="76" t="s">
        <v>170</v>
      </c>
      <c r="I29" s="76">
        <v>0</v>
      </c>
      <c r="J29" s="76">
        <f t="shared" si="2"/>
        <v>4.0000000000000002E-9</v>
      </c>
      <c r="K29" s="76"/>
      <c r="L29" s="76">
        <f t="shared" si="1"/>
        <v>2E-8</v>
      </c>
      <c r="M29" s="76" t="s">
        <v>172</v>
      </c>
      <c r="N29" s="76">
        <f t="shared" si="3"/>
        <v>1.8000000000000002E-8</v>
      </c>
      <c r="O29" s="76"/>
      <c r="P29" s="76" t="s">
        <v>171</v>
      </c>
    </row>
    <row r="30" spans="2:16" ht="12.75" customHeight="1" x14ac:dyDescent="0.2">
      <c r="B30" s="76" t="s">
        <v>167</v>
      </c>
      <c r="C30" s="76">
        <f t="shared" si="0"/>
        <v>2E-8</v>
      </c>
      <c r="D30" s="76"/>
      <c r="E30" s="76" t="s">
        <v>134</v>
      </c>
      <c r="F30" s="76" t="s">
        <v>168</v>
      </c>
      <c r="G30" s="76" t="s">
        <v>169</v>
      </c>
      <c r="H30" s="76" t="s">
        <v>170</v>
      </c>
      <c r="I30" s="76">
        <v>0</v>
      </c>
      <c r="J30" s="76">
        <f t="shared" si="2"/>
        <v>4.0000000000000002E-9</v>
      </c>
      <c r="K30" s="76"/>
      <c r="L30" s="76">
        <f t="shared" si="1"/>
        <v>2E-8</v>
      </c>
      <c r="M30" s="76" t="s">
        <v>172</v>
      </c>
      <c r="N30" s="76">
        <f t="shared" si="3"/>
        <v>1.8000000000000002E-8</v>
      </c>
      <c r="O30" s="76"/>
      <c r="P30" s="76" t="s">
        <v>171</v>
      </c>
    </row>
    <row r="31" spans="2:16" ht="12.75" customHeight="1" x14ac:dyDescent="0.2">
      <c r="B31" s="76" t="s">
        <v>167</v>
      </c>
      <c r="C31" s="76">
        <f t="shared" si="0"/>
        <v>2E-8</v>
      </c>
      <c r="D31" s="76"/>
      <c r="E31" s="76" t="s">
        <v>135</v>
      </c>
      <c r="F31" s="76" t="s">
        <v>168</v>
      </c>
      <c r="G31" s="76" t="s">
        <v>169</v>
      </c>
      <c r="H31" s="76" t="s">
        <v>170</v>
      </c>
      <c r="I31" s="76">
        <v>0</v>
      </c>
      <c r="J31" s="76">
        <f t="shared" si="2"/>
        <v>4.0000000000000002E-9</v>
      </c>
      <c r="K31" s="76"/>
      <c r="L31" s="76">
        <f t="shared" si="1"/>
        <v>2E-8</v>
      </c>
      <c r="M31" s="76" t="s">
        <v>172</v>
      </c>
      <c r="N31" s="76">
        <f t="shared" si="3"/>
        <v>1.8000000000000002E-8</v>
      </c>
      <c r="O31" s="76"/>
      <c r="P31" s="76" t="s">
        <v>171</v>
      </c>
    </row>
    <row r="32" spans="2:16" ht="12.75" customHeight="1" x14ac:dyDescent="0.2">
      <c r="B32" s="76" t="s">
        <v>167</v>
      </c>
      <c r="C32" s="76">
        <f t="shared" si="0"/>
        <v>2E-8</v>
      </c>
      <c r="D32" s="76"/>
      <c r="E32" s="76" t="s">
        <v>136</v>
      </c>
      <c r="F32" s="76" t="s">
        <v>168</v>
      </c>
      <c r="G32" s="76" t="s">
        <v>169</v>
      </c>
      <c r="H32" s="76" t="s">
        <v>170</v>
      </c>
      <c r="I32" s="76">
        <v>0</v>
      </c>
      <c r="J32" s="76">
        <f t="shared" si="2"/>
        <v>4.0000000000000002E-9</v>
      </c>
      <c r="K32" s="76"/>
      <c r="L32" s="76">
        <f t="shared" si="1"/>
        <v>2E-8</v>
      </c>
      <c r="M32" s="76" t="s">
        <v>172</v>
      </c>
      <c r="N32" s="76">
        <f t="shared" si="3"/>
        <v>1.8000000000000002E-8</v>
      </c>
      <c r="O32" s="76"/>
      <c r="P32" s="76" t="s">
        <v>171</v>
      </c>
    </row>
    <row r="33" spans="2:16" ht="12.75" customHeight="1" x14ac:dyDescent="0.2">
      <c r="B33" s="76" t="s">
        <v>167</v>
      </c>
      <c r="C33" s="76">
        <f t="shared" si="0"/>
        <v>2E-8</v>
      </c>
      <c r="D33" s="76"/>
      <c r="E33" s="76" t="s">
        <v>137</v>
      </c>
      <c r="F33" s="76" t="s">
        <v>168</v>
      </c>
      <c r="G33" s="76" t="s">
        <v>169</v>
      </c>
      <c r="H33" s="76" t="s">
        <v>170</v>
      </c>
      <c r="I33" s="76">
        <v>0</v>
      </c>
      <c r="J33" s="76">
        <f t="shared" si="2"/>
        <v>4.0000000000000002E-9</v>
      </c>
      <c r="K33" s="76"/>
      <c r="L33" s="76">
        <f t="shared" si="1"/>
        <v>2E-8</v>
      </c>
      <c r="M33" s="76" t="s">
        <v>172</v>
      </c>
      <c r="N33" s="76">
        <f t="shared" si="3"/>
        <v>1.8000000000000002E-8</v>
      </c>
      <c r="O33" s="76"/>
      <c r="P33" s="76" t="s">
        <v>171</v>
      </c>
    </row>
    <row r="34" spans="2:16" ht="12.75" customHeight="1" x14ac:dyDescent="0.2">
      <c r="B34" s="76" t="s">
        <v>167</v>
      </c>
      <c r="C34" s="76">
        <f t="shared" si="0"/>
        <v>2E-8</v>
      </c>
      <c r="D34" s="76"/>
      <c r="E34" s="76" t="s">
        <v>99</v>
      </c>
      <c r="F34" s="76" t="s">
        <v>168</v>
      </c>
      <c r="G34" s="76" t="s">
        <v>169</v>
      </c>
      <c r="H34" s="76" t="s">
        <v>170</v>
      </c>
      <c r="I34" s="76">
        <v>0</v>
      </c>
      <c r="J34" s="76">
        <v>0</v>
      </c>
      <c r="K34" s="76"/>
      <c r="L34" s="76">
        <f t="shared" si="1"/>
        <v>2E-8</v>
      </c>
      <c r="M34" s="76" t="s">
        <v>172</v>
      </c>
      <c r="N34" s="76">
        <f>C34*1.25</f>
        <v>2.4999999999999999E-8</v>
      </c>
      <c r="O34" s="76"/>
      <c r="P34" s="76" t="s">
        <v>171</v>
      </c>
    </row>
    <row r="35" spans="2:16" ht="12.75" customHeight="1" x14ac:dyDescent="0.2">
      <c r="B35" s="76" t="s">
        <v>167</v>
      </c>
      <c r="C35" s="76">
        <f t="shared" si="0"/>
        <v>2E-8</v>
      </c>
      <c r="D35" s="76"/>
      <c r="E35" s="76" t="s">
        <v>898</v>
      </c>
      <c r="F35" s="76" t="s">
        <v>168</v>
      </c>
      <c r="G35" s="76" t="s">
        <v>169</v>
      </c>
      <c r="H35" s="76" t="s">
        <v>170</v>
      </c>
      <c r="I35" s="76">
        <v>0</v>
      </c>
      <c r="J35" s="76">
        <f t="shared" ref="J35:J66" si="4">C35*0.2</f>
        <v>4.0000000000000002E-9</v>
      </c>
      <c r="K35" s="76"/>
      <c r="L35" s="76">
        <f t="shared" si="1"/>
        <v>2E-8</v>
      </c>
      <c r="M35" s="76" t="s">
        <v>163</v>
      </c>
      <c r="N35" s="76"/>
      <c r="O35" s="76"/>
      <c r="P35" s="76" t="s">
        <v>171</v>
      </c>
    </row>
    <row r="36" spans="2:16" ht="12.75" customHeight="1" x14ac:dyDescent="0.2">
      <c r="B36" s="76" t="s">
        <v>167</v>
      </c>
      <c r="C36" s="76">
        <f t="shared" si="0"/>
        <v>2E-8</v>
      </c>
      <c r="D36" s="76"/>
      <c r="E36" s="76" t="s">
        <v>899</v>
      </c>
      <c r="F36" s="76" t="s">
        <v>168</v>
      </c>
      <c r="G36" s="76" t="s">
        <v>169</v>
      </c>
      <c r="H36" s="76" t="s">
        <v>170</v>
      </c>
      <c r="I36" s="76">
        <v>0</v>
      </c>
      <c r="J36" s="76">
        <f t="shared" si="4"/>
        <v>4.0000000000000002E-9</v>
      </c>
      <c r="K36" s="76"/>
      <c r="L36" s="76">
        <f t="shared" si="1"/>
        <v>2E-8</v>
      </c>
      <c r="M36" s="76" t="s">
        <v>163</v>
      </c>
      <c r="N36" s="76"/>
      <c r="O36" s="76"/>
      <c r="P36" s="76" t="s">
        <v>171</v>
      </c>
    </row>
    <row r="37" spans="2:16" ht="12.75" customHeight="1" x14ac:dyDescent="0.2">
      <c r="B37" s="76" t="s">
        <v>167</v>
      </c>
      <c r="C37" s="76">
        <f t="shared" si="0"/>
        <v>2E-8</v>
      </c>
      <c r="D37" s="76"/>
      <c r="E37" s="76" t="s">
        <v>900</v>
      </c>
      <c r="F37" s="76" t="s">
        <v>168</v>
      </c>
      <c r="G37" s="76" t="s">
        <v>169</v>
      </c>
      <c r="H37" s="76" t="s">
        <v>170</v>
      </c>
      <c r="I37" s="76">
        <v>0</v>
      </c>
      <c r="J37" s="76">
        <f t="shared" si="4"/>
        <v>4.0000000000000002E-9</v>
      </c>
      <c r="K37" s="76"/>
      <c r="L37" s="76">
        <f t="shared" si="1"/>
        <v>2E-8</v>
      </c>
      <c r="M37" s="76" t="s">
        <v>163</v>
      </c>
      <c r="N37" s="76"/>
      <c r="O37" s="76"/>
      <c r="P37" s="76" t="s">
        <v>171</v>
      </c>
    </row>
    <row r="38" spans="2:16" ht="12.75" customHeight="1" x14ac:dyDescent="0.2">
      <c r="B38" s="76" t="s">
        <v>167</v>
      </c>
      <c r="C38" s="76">
        <f t="shared" si="0"/>
        <v>2E-8</v>
      </c>
      <c r="D38" s="76"/>
      <c r="E38" s="76" t="s">
        <v>901</v>
      </c>
      <c r="F38" s="76" t="s">
        <v>168</v>
      </c>
      <c r="G38" s="76" t="s">
        <v>169</v>
      </c>
      <c r="H38" s="76" t="s">
        <v>170</v>
      </c>
      <c r="I38" s="76">
        <v>0</v>
      </c>
      <c r="J38" s="76">
        <f t="shared" si="4"/>
        <v>4.0000000000000002E-9</v>
      </c>
      <c r="K38" s="76"/>
      <c r="L38" s="76">
        <f t="shared" si="1"/>
        <v>2E-8</v>
      </c>
      <c r="M38" s="76" t="s">
        <v>163</v>
      </c>
      <c r="N38" s="76"/>
      <c r="O38" s="76"/>
      <c r="P38" s="76" t="s">
        <v>171</v>
      </c>
    </row>
    <row r="39" spans="2:16" ht="12.75" customHeight="1" x14ac:dyDescent="0.2">
      <c r="B39" s="76" t="s">
        <v>167</v>
      </c>
      <c r="C39" s="76">
        <f t="shared" ref="C39:C70" si="5">20*ns</f>
        <v>2E-8</v>
      </c>
      <c r="D39" s="76"/>
      <c r="E39" s="76" t="s">
        <v>902</v>
      </c>
      <c r="F39" s="76" t="s">
        <v>168</v>
      </c>
      <c r="G39" s="76" t="s">
        <v>169</v>
      </c>
      <c r="H39" s="76" t="s">
        <v>170</v>
      </c>
      <c r="I39" s="76">
        <v>0</v>
      </c>
      <c r="J39" s="76">
        <f t="shared" si="4"/>
        <v>4.0000000000000002E-9</v>
      </c>
      <c r="K39" s="76"/>
      <c r="L39" s="76">
        <f t="shared" ref="L39:L70" si="6">C39</f>
        <v>2E-8</v>
      </c>
      <c r="M39" s="76" t="s">
        <v>163</v>
      </c>
      <c r="N39" s="76"/>
      <c r="O39" s="76"/>
      <c r="P39" s="76" t="s">
        <v>171</v>
      </c>
    </row>
    <row r="40" spans="2:16" ht="12.75" customHeight="1" x14ac:dyDescent="0.2">
      <c r="B40" s="76" t="s">
        <v>167</v>
      </c>
      <c r="C40" s="76">
        <f t="shared" si="5"/>
        <v>2E-8</v>
      </c>
      <c r="D40" s="76"/>
      <c r="E40" s="76" t="s">
        <v>903</v>
      </c>
      <c r="F40" s="76" t="s">
        <v>168</v>
      </c>
      <c r="G40" s="76" t="s">
        <v>169</v>
      </c>
      <c r="H40" s="76" t="s">
        <v>170</v>
      </c>
      <c r="I40" s="76">
        <v>0</v>
      </c>
      <c r="J40" s="76">
        <f t="shared" si="4"/>
        <v>4.0000000000000002E-9</v>
      </c>
      <c r="K40" s="76"/>
      <c r="L40" s="76">
        <f t="shared" si="6"/>
        <v>2E-8</v>
      </c>
      <c r="M40" s="76" t="s">
        <v>163</v>
      </c>
      <c r="N40" s="76"/>
      <c r="O40" s="76"/>
      <c r="P40" s="76" t="s">
        <v>171</v>
      </c>
    </row>
    <row r="41" spans="2:16" ht="12.75" customHeight="1" x14ac:dyDescent="0.2">
      <c r="B41" s="76" t="s">
        <v>167</v>
      </c>
      <c r="C41" s="76">
        <f t="shared" si="5"/>
        <v>2E-8</v>
      </c>
      <c r="D41" s="76"/>
      <c r="E41" s="76" t="s">
        <v>904</v>
      </c>
      <c r="F41" s="76" t="s">
        <v>168</v>
      </c>
      <c r="G41" s="76" t="s">
        <v>169</v>
      </c>
      <c r="H41" s="76" t="s">
        <v>170</v>
      </c>
      <c r="I41" s="76">
        <v>0</v>
      </c>
      <c r="J41" s="76">
        <f t="shared" si="4"/>
        <v>4.0000000000000002E-9</v>
      </c>
      <c r="K41" s="76"/>
      <c r="L41" s="76">
        <f t="shared" si="6"/>
        <v>2E-8</v>
      </c>
      <c r="M41" s="76" t="s">
        <v>163</v>
      </c>
      <c r="N41" s="76"/>
      <c r="O41" s="76"/>
      <c r="P41" s="76" t="s">
        <v>171</v>
      </c>
    </row>
    <row r="42" spans="2:16" ht="12.75" customHeight="1" x14ac:dyDescent="0.2">
      <c r="B42" s="76" t="s">
        <v>167</v>
      </c>
      <c r="C42" s="76">
        <f t="shared" si="5"/>
        <v>2E-8</v>
      </c>
      <c r="D42" s="76"/>
      <c r="E42" s="76" t="s">
        <v>905</v>
      </c>
      <c r="F42" s="76" t="s">
        <v>168</v>
      </c>
      <c r="G42" s="76" t="s">
        <v>169</v>
      </c>
      <c r="H42" s="76" t="s">
        <v>170</v>
      </c>
      <c r="I42" s="76">
        <v>0</v>
      </c>
      <c r="J42" s="76">
        <f t="shared" si="4"/>
        <v>4.0000000000000002E-9</v>
      </c>
      <c r="K42" s="76"/>
      <c r="L42" s="76">
        <f t="shared" si="6"/>
        <v>2E-8</v>
      </c>
      <c r="M42" s="76" t="s">
        <v>163</v>
      </c>
      <c r="N42" s="76"/>
      <c r="O42" s="76"/>
      <c r="P42" s="76" t="s">
        <v>171</v>
      </c>
    </row>
    <row r="43" spans="2:16" ht="12.75" customHeight="1" x14ac:dyDescent="0.2">
      <c r="B43" s="76" t="s">
        <v>167</v>
      </c>
      <c r="C43" s="76">
        <f t="shared" si="5"/>
        <v>2E-8</v>
      </c>
      <c r="D43" s="76"/>
      <c r="E43" s="76" t="s">
        <v>906</v>
      </c>
      <c r="F43" s="76" t="s">
        <v>168</v>
      </c>
      <c r="G43" s="76" t="s">
        <v>169</v>
      </c>
      <c r="H43" s="76" t="s">
        <v>170</v>
      </c>
      <c r="I43" s="76">
        <v>0</v>
      </c>
      <c r="J43" s="76">
        <f t="shared" si="4"/>
        <v>4.0000000000000002E-9</v>
      </c>
      <c r="K43" s="76"/>
      <c r="L43" s="76">
        <f t="shared" si="6"/>
        <v>2E-8</v>
      </c>
      <c r="M43" s="76" t="s">
        <v>163</v>
      </c>
      <c r="N43" s="76"/>
      <c r="O43" s="76"/>
      <c r="P43" s="76" t="s">
        <v>171</v>
      </c>
    </row>
    <row r="44" spans="2:16" ht="12.75" customHeight="1" x14ac:dyDescent="0.2">
      <c r="B44" s="76" t="s">
        <v>167</v>
      </c>
      <c r="C44" s="76">
        <f t="shared" si="5"/>
        <v>2E-8</v>
      </c>
      <c r="D44" s="76"/>
      <c r="E44" s="76" t="s">
        <v>907</v>
      </c>
      <c r="F44" s="76" t="s">
        <v>168</v>
      </c>
      <c r="G44" s="76" t="s">
        <v>169</v>
      </c>
      <c r="H44" s="76" t="s">
        <v>170</v>
      </c>
      <c r="I44" s="76">
        <v>0</v>
      </c>
      <c r="J44" s="76">
        <f t="shared" si="4"/>
        <v>4.0000000000000002E-9</v>
      </c>
      <c r="K44" s="76"/>
      <c r="L44" s="76">
        <f t="shared" si="6"/>
        <v>2E-8</v>
      </c>
      <c r="M44" s="76" t="s">
        <v>163</v>
      </c>
      <c r="N44" s="76"/>
      <c r="O44" s="76"/>
      <c r="P44" s="76" t="s">
        <v>171</v>
      </c>
    </row>
    <row r="45" spans="2:16" ht="12.75" customHeight="1" x14ac:dyDescent="0.2">
      <c r="B45" s="76" t="s">
        <v>167</v>
      </c>
      <c r="C45" s="76">
        <f t="shared" si="5"/>
        <v>2E-8</v>
      </c>
      <c r="D45" s="76"/>
      <c r="E45" s="76" t="s">
        <v>912</v>
      </c>
      <c r="F45" s="76" t="s">
        <v>168</v>
      </c>
      <c r="G45" s="76" t="s">
        <v>169</v>
      </c>
      <c r="H45" s="76" t="s">
        <v>170</v>
      </c>
      <c r="I45" s="76">
        <v>0</v>
      </c>
      <c r="J45" s="76">
        <f t="shared" si="4"/>
        <v>4.0000000000000002E-9</v>
      </c>
      <c r="K45" s="76"/>
      <c r="L45" s="76">
        <f t="shared" si="6"/>
        <v>2E-8</v>
      </c>
      <c r="M45" s="76" t="s">
        <v>163</v>
      </c>
      <c r="N45" s="76"/>
      <c r="O45" s="76"/>
      <c r="P45" s="76" t="s">
        <v>171</v>
      </c>
    </row>
    <row r="46" spans="2:16" ht="12.75" customHeight="1" x14ac:dyDescent="0.2">
      <c r="B46" s="76" t="s">
        <v>167</v>
      </c>
      <c r="C46" s="76">
        <f t="shared" si="5"/>
        <v>2E-8</v>
      </c>
      <c r="D46" s="76"/>
      <c r="E46" s="76" t="s">
        <v>913</v>
      </c>
      <c r="F46" s="76" t="s">
        <v>168</v>
      </c>
      <c r="G46" s="76" t="s">
        <v>169</v>
      </c>
      <c r="H46" s="76" t="s">
        <v>170</v>
      </c>
      <c r="I46" s="76">
        <v>0</v>
      </c>
      <c r="J46" s="76">
        <f t="shared" si="4"/>
        <v>4.0000000000000002E-9</v>
      </c>
      <c r="K46" s="76"/>
      <c r="L46" s="76">
        <f t="shared" si="6"/>
        <v>2E-8</v>
      </c>
      <c r="M46" s="76" t="s">
        <v>163</v>
      </c>
      <c r="N46" s="76"/>
      <c r="O46" s="76"/>
      <c r="P46" s="76" t="s">
        <v>171</v>
      </c>
    </row>
    <row r="47" spans="2:16" ht="12.75" customHeight="1" x14ac:dyDescent="0.2">
      <c r="B47" s="76" t="s">
        <v>167</v>
      </c>
      <c r="C47" s="76">
        <f t="shared" si="5"/>
        <v>2E-8</v>
      </c>
      <c r="D47" s="76"/>
      <c r="E47" s="76" t="s">
        <v>914</v>
      </c>
      <c r="F47" s="76" t="s">
        <v>168</v>
      </c>
      <c r="G47" s="76" t="s">
        <v>169</v>
      </c>
      <c r="H47" s="76" t="s">
        <v>170</v>
      </c>
      <c r="I47" s="76">
        <v>0</v>
      </c>
      <c r="J47" s="76">
        <f t="shared" si="4"/>
        <v>4.0000000000000002E-9</v>
      </c>
      <c r="K47" s="76"/>
      <c r="L47" s="76">
        <f t="shared" si="6"/>
        <v>2E-8</v>
      </c>
      <c r="M47" s="76" t="s">
        <v>163</v>
      </c>
      <c r="N47" s="76"/>
      <c r="O47" s="76"/>
      <c r="P47" s="76" t="s">
        <v>171</v>
      </c>
    </row>
    <row r="48" spans="2:16" ht="12.75" customHeight="1" x14ac:dyDescent="0.2">
      <c r="B48" s="76" t="s">
        <v>167</v>
      </c>
      <c r="C48" s="76">
        <f t="shared" si="5"/>
        <v>2E-8</v>
      </c>
      <c r="D48" s="76"/>
      <c r="E48" s="76" t="s">
        <v>915</v>
      </c>
      <c r="F48" s="76" t="s">
        <v>168</v>
      </c>
      <c r="G48" s="76" t="s">
        <v>169</v>
      </c>
      <c r="H48" s="76" t="s">
        <v>170</v>
      </c>
      <c r="I48" s="76">
        <v>0</v>
      </c>
      <c r="J48" s="76">
        <f t="shared" si="4"/>
        <v>4.0000000000000002E-9</v>
      </c>
      <c r="K48" s="76"/>
      <c r="L48" s="76">
        <f t="shared" si="6"/>
        <v>2E-8</v>
      </c>
      <c r="M48" s="76" t="s">
        <v>163</v>
      </c>
      <c r="N48" s="76"/>
      <c r="O48" s="76"/>
      <c r="P48" s="76" t="s">
        <v>171</v>
      </c>
    </row>
    <row r="49" spans="2:16" ht="12.75" customHeight="1" x14ac:dyDescent="0.2">
      <c r="B49" s="76" t="s">
        <v>167</v>
      </c>
      <c r="C49" s="76">
        <f t="shared" si="5"/>
        <v>2E-8</v>
      </c>
      <c r="D49" s="76"/>
      <c r="E49" s="76" t="s">
        <v>916</v>
      </c>
      <c r="F49" s="76" t="s">
        <v>168</v>
      </c>
      <c r="G49" s="76" t="s">
        <v>169</v>
      </c>
      <c r="H49" s="76" t="s">
        <v>170</v>
      </c>
      <c r="I49" s="76">
        <v>0</v>
      </c>
      <c r="J49" s="76">
        <f t="shared" si="4"/>
        <v>4.0000000000000002E-9</v>
      </c>
      <c r="K49" s="76"/>
      <c r="L49" s="76">
        <f t="shared" si="6"/>
        <v>2E-8</v>
      </c>
      <c r="M49" s="76" t="s">
        <v>163</v>
      </c>
      <c r="N49" s="76"/>
      <c r="O49" s="76"/>
      <c r="P49" s="76" t="s">
        <v>171</v>
      </c>
    </row>
    <row r="50" spans="2:16" ht="12.75" customHeight="1" x14ac:dyDescent="0.2">
      <c r="B50" s="76" t="s">
        <v>167</v>
      </c>
      <c r="C50" s="76">
        <f t="shared" si="5"/>
        <v>2E-8</v>
      </c>
      <c r="D50" s="76"/>
      <c r="E50" s="76" t="s">
        <v>917</v>
      </c>
      <c r="F50" s="76" t="s">
        <v>168</v>
      </c>
      <c r="G50" s="76" t="s">
        <v>169</v>
      </c>
      <c r="H50" s="76" t="s">
        <v>170</v>
      </c>
      <c r="I50" s="76">
        <v>0</v>
      </c>
      <c r="J50" s="76">
        <f t="shared" si="4"/>
        <v>4.0000000000000002E-9</v>
      </c>
      <c r="K50" s="76"/>
      <c r="L50" s="76">
        <f t="shared" si="6"/>
        <v>2E-8</v>
      </c>
      <c r="M50" s="76" t="s">
        <v>163</v>
      </c>
      <c r="N50" s="76"/>
      <c r="O50" s="76"/>
      <c r="P50" s="76" t="s">
        <v>171</v>
      </c>
    </row>
    <row r="51" spans="2:16" ht="12.75" customHeight="1" x14ac:dyDescent="0.2">
      <c r="B51" s="76" t="s">
        <v>167</v>
      </c>
      <c r="C51" s="76">
        <f t="shared" si="5"/>
        <v>2E-8</v>
      </c>
      <c r="D51" s="76"/>
      <c r="E51" s="76" t="s">
        <v>918</v>
      </c>
      <c r="F51" s="76" t="s">
        <v>168</v>
      </c>
      <c r="G51" s="76" t="s">
        <v>169</v>
      </c>
      <c r="H51" s="76" t="s">
        <v>170</v>
      </c>
      <c r="I51" s="76">
        <v>0</v>
      </c>
      <c r="J51" s="76">
        <f t="shared" si="4"/>
        <v>4.0000000000000002E-9</v>
      </c>
      <c r="K51" s="76"/>
      <c r="L51" s="76">
        <f t="shared" si="6"/>
        <v>2E-8</v>
      </c>
      <c r="M51" s="76" t="s">
        <v>163</v>
      </c>
      <c r="N51" s="76"/>
      <c r="O51" s="76"/>
      <c r="P51" s="76" t="s">
        <v>171</v>
      </c>
    </row>
    <row r="52" spans="2:16" ht="12.75" customHeight="1" x14ac:dyDescent="0.2">
      <c r="B52" s="76" t="s">
        <v>167</v>
      </c>
      <c r="C52" s="76">
        <f t="shared" si="5"/>
        <v>2E-8</v>
      </c>
      <c r="D52" s="76"/>
      <c r="E52" s="76" t="s">
        <v>919</v>
      </c>
      <c r="F52" s="76" t="s">
        <v>168</v>
      </c>
      <c r="G52" s="76" t="s">
        <v>169</v>
      </c>
      <c r="H52" s="76" t="s">
        <v>170</v>
      </c>
      <c r="I52" s="76">
        <v>0</v>
      </c>
      <c r="J52" s="76">
        <f t="shared" si="4"/>
        <v>4.0000000000000002E-9</v>
      </c>
      <c r="K52" s="76"/>
      <c r="L52" s="76">
        <f t="shared" si="6"/>
        <v>2E-8</v>
      </c>
      <c r="M52" s="76" t="s">
        <v>163</v>
      </c>
      <c r="N52" s="76"/>
      <c r="O52" s="76"/>
      <c r="P52" s="76" t="s">
        <v>171</v>
      </c>
    </row>
    <row r="53" spans="2:16" ht="12.75" customHeight="1" x14ac:dyDescent="0.2">
      <c r="B53" s="76" t="s">
        <v>167</v>
      </c>
      <c r="C53" s="76">
        <f t="shared" si="5"/>
        <v>2E-8</v>
      </c>
      <c r="D53" s="76"/>
      <c r="E53" s="76" t="s">
        <v>920</v>
      </c>
      <c r="F53" s="76" t="s">
        <v>168</v>
      </c>
      <c r="G53" s="76" t="s">
        <v>169</v>
      </c>
      <c r="H53" s="76" t="s">
        <v>170</v>
      </c>
      <c r="I53" s="76">
        <v>0</v>
      </c>
      <c r="J53" s="76">
        <f t="shared" si="4"/>
        <v>4.0000000000000002E-9</v>
      </c>
      <c r="K53" s="76"/>
      <c r="L53" s="76">
        <f t="shared" si="6"/>
        <v>2E-8</v>
      </c>
      <c r="M53" s="76" t="s">
        <v>163</v>
      </c>
      <c r="N53" s="76"/>
      <c r="O53" s="76"/>
      <c r="P53" s="76" t="s">
        <v>171</v>
      </c>
    </row>
    <row r="54" spans="2:16" ht="12.75" customHeight="1" x14ac:dyDescent="0.2">
      <c r="B54" s="76" t="s">
        <v>167</v>
      </c>
      <c r="C54" s="76">
        <f t="shared" si="5"/>
        <v>2E-8</v>
      </c>
      <c r="D54" s="76"/>
      <c r="E54" s="76" t="s">
        <v>921</v>
      </c>
      <c r="F54" s="76" t="s">
        <v>168</v>
      </c>
      <c r="G54" s="76" t="s">
        <v>169</v>
      </c>
      <c r="H54" s="76" t="s">
        <v>170</v>
      </c>
      <c r="I54" s="76">
        <v>0</v>
      </c>
      <c r="J54" s="76">
        <f t="shared" si="4"/>
        <v>4.0000000000000002E-9</v>
      </c>
      <c r="K54" s="76"/>
      <c r="L54" s="76">
        <f t="shared" si="6"/>
        <v>2E-8</v>
      </c>
      <c r="M54" s="76" t="s">
        <v>163</v>
      </c>
      <c r="N54" s="76"/>
      <c r="O54" s="76"/>
      <c r="P54" s="76" t="s">
        <v>171</v>
      </c>
    </row>
    <row r="55" spans="2:16" ht="12.75" customHeight="1" x14ac:dyDescent="0.2">
      <c r="B55" s="76" t="s">
        <v>167</v>
      </c>
      <c r="C55" s="76">
        <f t="shared" si="5"/>
        <v>2E-8</v>
      </c>
      <c r="D55" s="76"/>
      <c r="E55" s="76" t="s">
        <v>922</v>
      </c>
      <c r="F55" s="76" t="s">
        <v>168</v>
      </c>
      <c r="G55" s="76" t="s">
        <v>169</v>
      </c>
      <c r="H55" s="76" t="s">
        <v>170</v>
      </c>
      <c r="I55" s="76">
        <v>0</v>
      </c>
      <c r="J55" s="76">
        <f t="shared" si="4"/>
        <v>4.0000000000000002E-9</v>
      </c>
      <c r="K55" s="76"/>
      <c r="L55" s="76">
        <f t="shared" si="6"/>
        <v>2E-8</v>
      </c>
      <c r="M55" s="76" t="s">
        <v>163</v>
      </c>
      <c r="N55" s="76"/>
      <c r="O55" s="76"/>
      <c r="P55" s="76" t="s">
        <v>171</v>
      </c>
    </row>
    <row r="56" spans="2:16" ht="12.75" customHeight="1" x14ac:dyDescent="0.2">
      <c r="B56" s="76" t="s">
        <v>167</v>
      </c>
      <c r="C56" s="76">
        <f t="shared" si="5"/>
        <v>2E-8</v>
      </c>
      <c r="D56" s="76"/>
      <c r="E56" s="76" t="s">
        <v>923</v>
      </c>
      <c r="F56" s="76" t="s">
        <v>168</v>
      </c>
      <c r="G56" s="76" t="s">
        <v>169</v>
      </c>
      <c r="H56" s="76" t="s">
        <v>170</v>
      </c>
      <c r="I56" s="76">
        <v>0</v>
      </c>
      <c r="J56" s="76">
        <f t="shared" si="4"/>
        <v>4.0000000000000002E-9</v>
      </c>
      <c r="K56" s="76"/>
      <c r="L56" s="76">
        <f t="shared" si="6"/>
        <v>2E-8</v>
      </c>
      <c r="M56" s="76" t="s">
        <v>163</v>
      </c>
      <c r="N56" s="76"/>
      <c r="O56" s="76"/>
      <c r="P56" s="76" t="s">
        <v>171</v>
      </c>
    </row>
    <row r="57" spans="2:16" ht="12.75" customHeight="1" x14ac:dyDescent="0.2">
      <c r="B57" s="76" t="s">
        <v>167</v>
      </c>
      <c r="C57" s="76">
        <f t="shared" si="5"/>
        <v>2E-8</v>
      </c>
      <c r="D57" s="76"/>
      <c r="E57" s="76" t="s">
        <v>924</v>
      </c>
      <c r="F57" s="76" t="s">
        <v>168</v>
      </c>
      <c r="G57" s="76" t="s">
        <v>169</v>
      </c>
      <c r="H57" s="76" t="s">
        <v>170</v>
      </c>
      <c r="I57" s="76">
        <v>0</v>
      </c>
      <c r="J57" s="76">
        <f t="shared" si="4"/>
        <v>4.0000000000000002E-9</v>
      </c>
      <c r="K57" s="76"/>
      <c r="L57" s="76">
        <f t="shared" si="6"/>
        <v>2E-8</v>
      </c>
      <c r="M57" s="76" t="s">
        <v>163</v>
      </c>
      <c r="N57" s="76"/>
      <c r="O57" s="76"/>
      <c r="P57" s="76" t="s">
        <v>171</v>
      </c>
    </row>
    <row r="58" spans="2:16" ht="12.75" customHeight="1" x14ac:dyDescent="0.2">
      <c r="B58" s="76" t="s">
        <v>167</v>
      </c>
      <c r="C58" s="76">
        <f t="shared" si="5"/>
        <v>2E-8</v>
      </c>
      <c r="D58" s="76"/>
      <c r="E58" s="76" t="s">
        <v>925</v>
      </c>
      <c r="F58" s="76" t="s">
        <v>168</v>
      </c>
      <c r="G58" s="76" t="s">
        <v>169</v>
      </c>
      <c r="H58" s="76" t="s">
        <v>170</v>
      </c>
      <c r="I58" s="76">
        <v>0</v>
      </c>
      <c r="J58" s="76">
        <f t="shared" si="4"/>
        <v>4.0000000000000002E-9</v>
      </c>
      <c r="K58" s="76"/>
      <c r="L58" s="76">
        <f t="shared" si="6"/>
        <v>2E-8</v>
      </c>
      <c r="M58" s="76" t="s">
        <v>163</v>
      </c>
      <c r="N58" s="76"/>
      <c r="O58" s="76"/>
      <c r="P58" s="76" t="s">
        <v>171</v>
      </c>
    </row>
    <row r="59" spans="2:16" ht="12.75" customHeight="1" x14ac:dyDescent="0.2">
      <c r="B59" s="76" t="s">
        <v>167</v>
      </c>
      <c r="C59" s="76">
        <f t="shared" si="5"/>
        <v>2E-8</v>
      </c>
      <c r="D59" s="76"/>
      <c r="E59" s="76" t="s">
        <v>926</v>
      </c>
      <c r="F59" s="76" t="s">
        <v>168</v>
      </c>
      <c r="G59" s="76" t="s">
        <v>169</v>
      </c>
      <c r="H59" s="76" t="s">
        <v>170</v>
      </c>
      <c r="I59" s="76">
        <v>0</v>
      </c>
      <c r="J59" s="76">
        <f t="shared" si="4"/>
        <v>4.0000000000000002E-9</v>
      </c>
      <c r="K59" s="76"/>
      <c r="L59" s="76">
        <f t="shared" si="6"/>
        <v>2E-8</v>
      </c>
      <c r="M59" s="76" t="s">
        <v>163</v>
      </c>
      <c r="N59" s="76"/>
      <c r="O59" s="76"/>
      <c r="P59" s="76" t="s">
        <v>171</v>
      </c>
    </row>
    <row r="60" spans="2:16" ht="12.75" customHeight="1" x14ac:dyDescent="0.2">
      <c r="B60" s="76" t="s">
        <v>167</v>
      </c>
      <c r="C60" s="76">
        <f t="shared" si="5"/>
        <v>2E-8</v>
      </c>
      <c r="D60" s="76"/>
      <c r="E60" s="76" t="s">
        <v>927</v>
      </c>
      <c r="F60" s="76" t="s">
        <v>168</v>
      </c>
      <c r="G60" s="76" t="s">
        <v>169</v>
      </c>
      <c r="H60" s="76" t="s">
        <v>170</v>
      </c>
      <c r="I60" s="76">
        <v>0</v>
      </c>
      <c r="J60" s="76">
        <f t="shared" si="4"/>
        <v>4.0000000000000002E-9</v>
      </c>
      <c r="K60" s="76"/>
      <c r="L60" s="76">
        <f t="shared" si="6"/>
        <v>2E-8</v>
      </c>
      <c r="M60" s="76" t="s">
        <v>163</v>
      </c>
      <c r="N60" s="76"/>
      <c r="O60" s="76"/>
      <c r="P60" s="76" t="s">
        <v>171</v>
      </c>
    </row>
    <row r="61" spans="2:16" ht="12.75" customHeight="1" x14ac:dyDescent="0.2">
      <c r="B61" s="76" t="s">
        <v>167</v>
      </c>
      <c r="C61" s="76">
        <f t="shared" si="5"/>
        <v>2E-8</v>
      </c>
      <c r="D61" s="76"/>
      <c r="E61" s="76" t="s">
        <v>928</v>
      </c>
      <c r="F61" s="76" t="s">
        <v>168</v>
      </c>
      <c r="G61" s="76" t="s">
        <v>169</v>
      </c>
      <c r="H61" s="76" t="s">
        <v>170</v>
      </c>
      <c r="I61" s="76">
        <v>0</v>
      </c>
      <c r="J61" s="76">
        <f t="shared" si="4"/>
        <v>4.0000000000000002E-9</v>
      </c>
      <c r="K61" s="76"/>
      <c r="L61" s="76">
        <f t="shared" si="6"/>
        <v>2E-8</v>
      </c>
      <c r="M61" s="76" t="s">
        <v>163</v>
      </c>
      <c r="N61" s="76"/>
      <c r="O61" s="76"/>
      <c r="P61" s="76" t="s">
        <v>171</v>
      </c>
    </row>
    <row r="62" spans="2:16" ht="12.75" customHeight="1" x14ac:dyDescent="0.2">
      <c r="B62" s="76" t="s">
        <v>167</v>
      </c>
      <c r="C62" s="76">
        <f t="shared" si="5"/>
        <v>2E-8</v>
      </c>
      <c r="D62" s="76"/>
      <c r="E62" s="76" t="s">
        <v>929</v>
      </c>
      <c r="F62" s="76" t="s">
        <v>168</v>
      </c>
      <c r="G62" s="76" t="s">
        <v>169</v>
      </c>
      <c r="H62" s="76" t="s">
        <v>170</v>
      </c>
      <c r="I62" s="76">
        <v>0</v>
      </c>
      <c r="J62" s="76">
        <f t="shared" si="4"/>
        <v>4.0000000000000002E-9</v>
      </c>
      <c r="K62" s="76"/>
      <c r="L62" s="76">
        <f t="shared" si="6"/>
        <v>2E-8</v>
      </c>
      <c r="M62" s="76" t="s">
        <v>163</v>
      </c>
      <c r="N62" s="76"/>
      <c r="O62" s="76"/>
      <c r="P62" s="76" t="s">
        <v>171</v>
      </c>
    </row>
    <row r="63" spans="2:16" ht="12.75" customHeight="1" x14ac:dyDescent="0.2">
      <c r="B63" s="76" t="s">
        <v>167</v>
      </c>
      <c r="C63" s="76">
        <f t="shared" si="5"/>
        <v>2E-8</v>
      </c>
      <c r="D63" s="76"/>
      <c r="E63" s="76" t="s">
        <v>930</v>
      </c>
      <c r="F63" s="76" t="s">
        <v>168</v>
      </c>
      <c r="G63" s="76" t="s">
        <v>169</v>
      </c>
      <c r="H63" s="76" t="s">
        <v>170</v>
      </c>
      <c r="I63" s="76">
        <v>0</v>
      </c>
      <c r="J63" s="76">
        <f t="shared" si="4"/>
        <v>4.0000000000000002E-9</v>
      </c>
      <c r="K63" s="76"/>
      <c r="L63" s="76">
        <f t="shared" si="6"/>
        <v>2E-8</v>
      </c>
      <c r="M63" s="76" t="s">
        <v>163</v>
      </c>
      <c r="N63" s="76"/>
      <c r="O63" s="76"/>
      <c r="P63" s="76" t="s">
        <v>171</v>
      </c>
    </row>
    <row r="64" spans="2:16" ht="12.75" customHeight="1" x14ac:dyDescent="0.2">
      <c r="B64" s="76" t="s">
        <v>167</v>
      </c>
      <c r="C64" s="76">
        <f t="shared" si="5"/>
        <v>2E-8</v>
      </c>
      <c r="D64" s="76"/>
      <c r="E64" s="76" t="s">
        <v>931</v>
      </c>
      <c r="F64" s="76" t="s">
        <v>168</v>
      </c>
      <c r="G64" s="76" t="s">
        <v>169</v>
      </c>
      <c r="H64" s="76" t="s">
        <v>170</v>
      </c>
      <c r="I64" s="76">
        <v>0</v>
      </c>
      <c r="J64" s="76">
        <f t="shared" si="4"/>
        <v>4.0000000000000002E-9</v>
      </c>
      <c r="K64" s="76"/>
      <c r="L64" s="76">
        <f t="shared" si="6"/>
        <v>2E-8</v>
      </c>
      <c r="M64" s="76" t="s">
        <v>163</v>
      </c>
      <c r="N64" s="76"/>
      <c r="O64" s="76"/>
      <c r="P64" s="76" t="s">
        <v>171</v>
      </c>
    </row>
    <row r="65" spans="2:16" ht="12.75" customHeight="1" x14ac:dyDescent="0.2">
      <c r="B65" s="76" t="s">
        <v>167</v>
      </c>
      <c r="C65" s="76">
        <f t="shared" si="5"/>
        <v>2E-8</v>
      </c>
      <c r="D65" s="76"/>
      <c r="E65" s="76" t="s">
        <v>932</v>
      </c>
      <c r="F65" s="76" t="s">
        <v>168</v>
      </c>
      <c r="G65" s="76" t="s">
        <v>169</v>
      </c>
      <c r="H65" s="76" t="s">
        <v>170</v>
      </c>
      <c r="I65" s="76">
        <v>0</v>
      </c>
      <c r="J65" s="76">
        <f t="shared" si="4"/>
        <v>4.0000000000000002E-9</v>
      </c>
      <c r="K65" s="76"/>
      <c r="L65" s="76">
        <f t="shared" si="6"/>
        <v>2E-8</v>
      </c>
      <c r="M65" s="76" t="s">
        <v>163</v>
      </c>
      <c r="N65" s="76"/>
      <c r="O65" s="76"/>
      <c r="P65" s="76" t="s">
        <v>171</v>
      </c>
    </row>
    <row r="66" spans="2:16" ht="12.75" customHeight="1" x14ac:dyDescent="0.2">
      <c r="B66" s="76" t="s">
        <v>167</v>
      </c>
      <c r="C66" s="76">
        <f t="shared" si="5"/>
        <v>2E-8</v>
      </c>
      <c r="D66" s="76"/>
      <c r="E66" s="76" t="s">
        <v>933</v>
      </c>
      <c r="F66" s="76" t="s">
        <v>168</v>
      </c>
      <c r="G66" s="76" t="s">
        <v>169</v>
      </c>
      <c r="H66" s="76" t="s">
        <v>170</v>
      </c>
      <c r="I66" s="76">
        <v>0</v>
      </c>
      <c r="J66" s="76">
        <f t="shared" si="4"/>
        <v>4.0000000000000002E-9</v>
      </c>
      <c r="K66" s="76"/>
      <c r="L66" s="76">
        <f t="shared" si="6"/>
        <v>2E-8</v>
      </c>
      <c r="M66" s="76" t="s">
        <v>163</v>
      </c>
      <c r="N66" s="76"/>
      <c r="O66" s="76"/>
      <c r="P66" s="76" t="s">
        <v>171</v>
      </c>
    </row>
    <row r="67" spans="2:16" ht="12.75" customHeight="1" x14ac:dyDescent="0.2">
      <c r="B67" s="76" t="s">
        <v>167</v>
      </c>
      <c r="C67" s="76">
        <f t="shared" si="5"/>
        <v>2E-8</v>
      </c>
      <c r="D67" s="76"/>
      <c r="E67" s="76" t="s">
        <v>934</v>
      </c>
      <c r="F67" s="76" t="s">
        <v>168</v>
      </c>
      <c r="G67" s="76" t="s">
        <v>169</v>
      </c>
      <c r="H67" s="76" t="s">
        <v>170</v>
      </c>
      <c r="I67" s="76">
        <v>0</v>
      </c>
      <c r="J67" s="76">
        <f t="shared" ref="J67:J86" si="7">C67*0.2</f>
        <v>4.0000000000000002E-9</v>
      </c>
      <c r="K67" s="76"/>
      <c r="L67" s="76">
        <f t="shared" si="6"/>
        <v>2E-8</v>
      </c>
      <c r="M67" s="76" t="s">
        <v>163</v>
      </c>
      <c r="N67" s="76"/>
      <c r="O67" s="76"/>
      <c r="P67" s="76" t="s">
        <v>171</v>
      </c>
    </row>
    <row r="68" spans="2:16" ht="12.75" customHeight="1" x14ac:dyDescent="0.2">
      <c r="B68" s="76" t="s">
        <v>167</v>
      </c>
      <c r="C68" s="76">
        <f t="shared" si="5"/>
        <v>2E-8</v>
      </c>
      <c r="D68" s="76"/>
      <c r="E68" s="76" t="s">
        <v>935</v>
      </c>
      <c r="F68" s="76" t="s">
        <v>168</v>
      </c>
      <c r="G68" s="76" t="s">
        <v>169</v>
      </c>
      <c r="H68" s="76" t="s">
        <v>170</v>
      </c>
      <c r="I68" s="76">
        <v>0</v>
      </c>
      <c r="J68" s="76">
        <f t="shared" si="7"/>
        <v>4.0000000000000002E-9</v>
      </c>
      <c r="K68" s="76"/>
      <c r="L68" s="76">
        <f t="shared" si="6"/>
        <v>2E-8</v>
      </c>
      <c r="M68" s="76" t="s">
        <v>163</v>
      </c>
      <c r="N68" s="76"/>
      <c r="O68" s="76"/>
      <c r="P68" s="76" t="s">
        <v>171</v>
      </c>
    </row>
    <row r="69" spans="2:16" ht="12.75" customHeight="1" x14ac:dyDescent="0.2">
      <c r="B69" s="76" t="s">
        <v>167</v>
      </c>
      <c r="C69" s="76">
        <f t="shared" si="5"/>
        <v>2E-8</v>
      </c>
      <c r="D69" s="76"/>
      <c r="E69" s="76" t="s">
        <v>936</v>
      </c>
      <c r="F69" s="76" t="s">
        <v>168</v>
      </c>
      <c r="G69" s="76" t="s">
        <v>169</v>
      </c>
      <c r="H69" s="76" t="s">
        <v>170</v>
      </c>
      <c r="I69" s="76">
        <v>0</v>
      </c>
      <c r="J69" s="76">
        <f t="shared" si="7"/>
        <v>4.0000000000000002E-9</v>
      </c>
      <c r="K69" s="76"/>
      <c r="L69" s="76">
        <f t="shared" si="6"/>
        <v>2E-8</v>
      </c>
      <c r="M69" s="76" t="s">
        <v>163</v>
      </c>
      <c r="N69" s="76"/>
      <c r="O69" s="76"/>
      <c r="P69" s="76" t="s">
        <v>171</v>
      </c>
    </row>
    <row r="70" spans="2:16" ht="12.75" customHeight="1" x14ac:dyDescent="0.2">
      <c r="B70" s="76" t="s">
        <v>167</v>
      </c>
      <c r="C70" s="76">
        <f t="shared" si="5"/>
        <v>2E-8</v>
      </c>
      <c r="D70" s="76"/>
      <c r="E70" s="76" t="s">
        <v>937</v>
      </c>
      <c r="F70" s="76" t="s">
        <v>168</v>
      </c>
      <c r="G70" s="76" t="s">
        <v>169</v>
      </c>
      <c r="H70" s="76" t="s">
        <v>170</v>
      </c>
      <c r="I70" s="76">
        <v>0</v>
      </c>
      <c r="J70" s="76">
        <f t="shared" si="7"/>
        <v>4.0000000000000002E-9</v>
      </c>
      <c r="K70" s="76"/>
      <c r="L70" s="76">
        <f t="shared" si="6"/>
        <v>2E-8</v>
      </c>
      <c r="M70" s="76" t="s">
        <v>163</v>
      </c>
      <c r="N70" s="76"/>
      <c r="O70" s="76"/>
      <c r="P70" s="76" t="s">
        <v>171</v>
      </c>
    </row>
    <row r="71" spans="2:16" ht="12.75" customHeight="1" x14ac:dyDescent="0.2">
      <c r="B71" s="76" t="s">
        <v>167</v>
      </c>
      <c r="C71" s="76">
        <f t="shared" ref="C71:C86" si="8">20*ns</f>
        <v>2E-8</v>
      </c>
      <c r="D71" s="76"/>
      <c r="E71" s="76" t="s">
        <v>938</v>
      </c>
      <c r="F71" s="76" t="s">
        <v>168</v>
      </c>
      <c r="G71" s="76" t="s">
        <v>169</v>
      </c>
      <c r="H71" s="76" t="s">
        <v>170</v>
      </c>
      <c r="I71" s="76">
        <v>0</v>
      </c>
      <c r="J71" s="76">
        <f t="shared" si="7"/>
        <v>4.0000000000000002E-9</v>
      </c>
      <c r="K71" s="76"/>
      <c r="L71" s="76">
        <f t="shared" ref="L71:L86" si="9">C71</f>
        <v>2E-8</v>
      </c>
      <c r="M71" s="76" t="s">
        <v>163</v>
      </c>
      <c r="N71" s="76"/>
      <c r="O71" s="76"/>
      <c r="P71" s="76" t="s">
        <v>171</v>
      </c>
    </row>
    <row r="72" spans="2:16" ht="12.75" customHeight="1" x14ac:dyDescent="0.2">
      <c r="B72" s="76" t="s">
        <v>167</v>
      </c>
      <c r="C72" s="76">
        <f t="shared" si="8"/>
        <v>2E-8</v>
      </c>
      <c r="D72" s="76"/>
      <c r="E72" s="76" t="s">
        <v>939</v>
      </c>
      <c r="F72" s="76" t="s">
        <v>168</v>
      </c>
      <c r="G72" s="76" t="s">
        <v>169</v>
      </c>
      <c r="H72" s="76" t="s">
        <v>170</v>
      </c>
      <c r="I72" s="76">
        <v>0</v>
      </c>
      <c r="J72" s="76">
        <f t="shared" si="7"/>
        <v>4.0000000000000002E-9</v>
      </c>
      <c r="K72" s="76"/>
      <c r="L72" s="76">
        <f t="shared" si="9"/>
        <v>2E-8</v>
      </c>
      <c r="M72" s="76" t="s">
        <v>163</v>
      </c>
      <c r="N72" s="76"/>
      <c r="O72" s="76"/>
      <c r="P72" s="76" t="s">
        <v>171</v>
      </c>
    </row>
    <row r="73" spans="2:16" ht="12.75" customHeight="1" x14ac:dyDescent="0.2">
      <c r="B73" s="76" t="s">
        <v>167</v>
      </c>
      <c r="C73" s="76">
        <f t="shared" si="8"/>
        <v>2E-8</v>
      </c>
      <c r="D73" s="76"/>
      <c r="E73" s="76" t="s">
        <v>940</v>
      </c>
      <c r="F73" s="76" t="s">
        <v>168</v>
      </c>
      <c r="G73" s="76" t="s">
        <v>169</v>
      </c>
      <c r="H73" s="76" t="s">
        <v>170</v>
      </c>
      <c r="I73" s="76">
        <v>0</v>
      </c>
      <c r="J73" s="76">
        <f t="shared" si="7"/>
        <v>4.0000000000000002E-9</v>
      </c>
      <c r="K73" s="76"/>
      <c r="L73" s="76">
        <f t="shared" si="9"/>
        <v>2E-8</v>
      </c>
      <c r="M73" s="76" t="s">
        <v>163</v>
      </c>
      <c r="N73" s="76"/>
      <c r="O73" s="76"/>
      <c r="P73" s="76" t="s">
        <v>171</v>
      </c>
    </row>
    <row r="74" spans="2:16" ht="12.75" customHeight="1" x14ac:dyDescent="0.2">
      <c r="B74" s="76" t="s">
        <v>167</v>
      </c>
      <c r="C74" s="76">
        <f t="shared" si="8"/>
        <v>2E-8</v>
      </c>
      <c r="D74" s="76"/>
      <c r="E74" s="76" t="s">
        <v>941</v>
      </c>
      <c r="F74" s="76" t="s">
        <v>168</v>
      </c>
      <c r="G74" s="76" t="s">
        <v>169</v>
      </c>
      <c r="H74" s="76" t="s">
        <v>170</v>
      </c>
      <c r="I74" s="76">
        <v>0</v>
      </c>
      <c r="J74" s="76">
        <f t="shared" si="7"/>
        <v>4.0000000000000002E-9</v>
      </c>
      <c r="K74" s="76"/>
      <c r="L74" s="76">
        <f t="shared" si="9"/>
        <v>2E-8</v>
      </c>
      <c r="M74" s="76" t="s">
        <v>163</v>
      </c>
      <c r="N74" s="76"/>
      <c r="O74" s="76"/>
      <c r="P74" s="76" t="s">
        <v>171</v>
      </c>
    </row>
    <row r="75" spans="2:16" ht="12.75" customHeight="1" x14ac:dyDescent="0.2">
      <c r="B75" s="76" t="s">
        <v>167</v>
      </c>
      <c r="C75" s="76">
        <f t="shared" si="8"/>
        <v>2E-8</v>
      </c>
      <c r="D75" s="76"/>
      <c r="E75" s="76" t="s">
        <v>942</v>
      </c>
      <c r="F75" s="76" t="s">
        <v>168</v>
      </c>
      <c r="G75" s="76" t="s">
        <v>169</v>
      </c>
      <c r="H75" s="76" t="s">
        <v>170</v>
      </c>
      <c r="I75" s="76">
        <v>0</v>
      </c>
      <c r="J75" s="76">
        <f t="shared" si="7"/>
        <v>4.0000000000000002E-9</v>
      </c>
      <c r="K75" s="76"/>
      <c r="L75" s="76">
        <f t="shared" si="9"/>
        <v>2E-8</v>
      </c>
      <c r="M75" s="76" t="s">
        <v>163</v>
      </c>
      <c r="N75" s="76"/>
      <c r="O75" s="76"/>
      <c r="P75" s="76" t="s">
        <v>171</v>
      </c>
    </row>
    <row r="76" spans="2:16" ht="12.75" customHeight="1" x14ac:dyDescent="0.2">
      <c r="B76" s="76" t="s">
        <v>167</v>
      </c>
      <c r="C76" s="76">
        <f t="shared" si="8"/>
        <v>2E-8</v>
      </c>
      <c r="D76" s="76"/>
      <c r="E76" s="76" t="s">
        <v>943</v>
      </c>
      <c r="F76" s="76" t="s">
        <v>168</v>
      </c>
      <c r="G76" s="76" t="s">
        <v>169</v>
      </c>
      <c r="H76" s="76" t="s">
        <v>170</v>
      </c>
      <c r="I76" s="76">
        <v>0</v>
      </c>
      <c r="J76" s="76">
        <f t="shared" si="7"/>
        <v>4.0000000000000002E-9</v>
      </c>
      <c r="K76" s="76"/>
      <c r="L76" s="76">
        <f t="shared" si="9"/>
        <v>2E-8</v>
      </c>
      <c r="M76" s="76" t="s">
        <v>163</v>
      </c>
      <c r="N76" s="76"/>
      <c r="O76" s="76"/>
      <c r="P76" s="76" t="s">
        <v>171</v>
      </c>
    </row>
    <row r="77" spans="2:16" ht="12.75" customHeight="1" x14ac:dyDescent="0.2">
      <c r="B77" s="76" t="s">
        <v>167</v>
      </c>
      <c r="C77" s="76">
        <f t="shared" si="8"/>
        <v>2E-8</v>
      </c>
      <c r="D77" s="76"/>
      <c r="E77" s="76" t="s">
        <v>944</v>
      </c>
      <c r="F77" s="76" t="s">
        <v>168</v>
      </c>
      <c r="G77" s="76" t="s">
        <v>169</v>
      </c>
      <c r="H77" s="76" t="s">
        <v>170</v>
      </c>
      <c r="I77" s="76">
        <v>0</v>
      </c>
      <c r="J77" s="76">
        <f t="shared" si="7"/>
        <v>4.0000000000000002E-9</v>
      </c>
      <c r="K77" s="76"/>
      <c r="L77" s="76">
        <f t="shared" si="9"/>
        <v>2E-8</v>
      </c>
      <c r="M77" s="76" t="s">
        <v>163</v>
      </c>
      <c r="N77" s="76"/>
      <c r="O77" s="76"/>
      <c r="P77" s="76" t="s">
        <v>171</v>
      </c>
    </row>
    <row r="78" spans="2:16" ht="12.75" customHeight="1" x14ac:dyDescent="0.2">
      <c r="B78" s="76" t="s">
        <v>167</v>
      </c>
      <c r="C78" s="76">
        <f t="shared" si="8"/>
        <v>2E-8</v>
      </c>
      <c r="D78" s="76"/>
      <c r="E78" s="76" t="s">
        <v>945</v>
      </c>
      <c r="F78" s="76" t="s">
        <v>168</v>
      </c>
      <c r="G78" s="76" t="s">
        <v>169</v>
      </c>
      <c r="H78" s="76" t="s">
        <v>170</v>
      </c>
      <c r="I78" s="76">
        <v>0</v>
      </c>
      <c r="J78" s="76">
        <f t="shared" si="7"/>
        <v>4.0000000000000002E-9</v>
      </c>
      <c r="K78" s="76"/>
      <c r="L78" s="76">
        <f t="shared" si="9"/>
        <v>2E-8</v>
      </c>
      <c r="M78" s="76" t="s">
        <v>163</v>
      </c>
      <c r="N78" s="76"/>
      <c r="O78" s="76"/>
      <c r="P78" s="76" t="s">
        <v>171</v>
      </c>
    </row>
    <row r="79" spans="2:16" ht="12.75" customHeight="1" x14ac:dyDescent="0.2">
      <c r="B79" s="76" t="s">
        <v>167</v>
      </c>
      <c r="C79" s="76">
        <f t="shared" si="8"/>
        <v>2E-8</v>
      </c>
      <c r="D79" s="76"/>
      <c r="E79" s="76" t="s">
        <v>946</v>
      </c>
      <c r="F79" s="76" t="s">
        <v>168</v>
      </c>
      <c r="G79" s="76" t="s">
        <v>169</v>
      </c>
      <c r="H79" s="76" t="s">
        <v>170</v>
      </c>
      <c r="I79" s="76">
        <v>0</v>
      </c>
      <c r="J79" s="76">
        <f t="shared" si="7"/>
        <v>4.0000000000000002E-9</v>
      </c>
      <c r="K79" s="76"/>
      <c r="L79" s="76">
        <f t="shared" si="9"/>
        <v>2E-8</v>
      </c>
      <c r="M79" s="76" t="s">
        <v>163</v>
      </c>
      <c r="N79" s="76"/>
      <c r="O79" s="76"/>
      <c r="P79" s="76" t="s">
        <v>171</v>
      </c>
    </row>
    <row r="80" spans="2:16" ht="12.75" customHeight="1" x14ac:dyDescent="0.2">
      <c r="B80" s="76" t="s">
        <v>167</v>
      </c>
      <c r="C80" s="76">
        <f t="shared" si="8"/>
        <v>2E-8</v>
      </c>
      <c r="D80" s="76"/>
      <c r="E80" s="76" t="s">
        <v>97</v>
      </c>
      <c r="F80" s="76" t="s">
        <v>168</v>
      </c>
      <c r="G80" s="76" t="s">
        <v>169</v>
      </c>
      <c r="H80" s="76" t="s">
        <v>170</v>
      </c>
      <c r="I80" s="76">
        <v>0</v>
      </c>
      <c r="J80" s="76">
        <f t="shared" si="7"/>
        <v>4.0000000000000002E-9</v>
      </c>
      <c r="K80" s="76"/>
      <c r="L80" s="76">
        <f t="shared" si="9"/>
        <v>2E-8</v>
      </c>
      <c r="M80" s="76" t="s">
        <v>163</v>
      </c>
      <c r="N80" s="76"/>
      <c r="O80" s="76"/>
      <c r="P80" s="76" t="s">
        <v>171</v>
      </c>
    </row>
    <row r="81" spans="2:16" ht="12.75" customHeight="1" x14ac:dyDescent="0.2">
      <c r="B81" s="76" t="s">
        <v>167</v>
      </c>
      <c r="C81" s="76">
        <f t="shared" si="8"/>
        <v>2E-8</v>
      </c>
      <c r="D81" s="76"/>
      <c r="E81" s="76" t="s">
        <v>98</v>
      </c>
      <c r="F81" s="76" t="s">
        <v>168</v>
      </c>
      <c r="G81" s="76" t="s">
        <v>169</v>
      </c>
      <c r="H81" s="76" t="s">
        <v>170</v>
      </c>
      <c r="I81" s="76">
        <v>0</v>
      </c>
      <c r="J81" s="76">
        <f t="shared" si="7"/>
        <v>4.0000000000000002E-9</v>
      </c>
      <c r="K81" s="76"/>
      <c r="L81" s="76">
        <f t="shared" si="9"/>
        <v>2E-8</v>
      </c>
      <c r="M81" s="76" t="s">
        <v>163</v>
      </c>
      <c r="N81" s="76"/>
      <c r="O81" s="76"/>
      <c r="P81" s="76" t="s">
        <v>171</v>
      </c>
    </row>
    <row r="82" spans="2:16" ht="12.75" customHeight="1" x14ac:dyDescent="0.2">
      <c r="B82" s="76" t="s">
        <v>167</v>
      </c>
      <c r="C82" s="76">
        <f t="shared" si="8"/>
        <v>2E-8</v>
      </c>
      <c r="D82" s="76"/>
      <c r="E82" s="76" t="s">
        <v>103</v>
      </c>
      <c r="F82" s="76" t="s">
        <v>168</v>
      </c>
      <c r="G82" s="76" t="s">
        <v>169</v>
      </c>
      <c r="H82" s="76" t="s">
        <v>170</v>
      </c>
      <c r="I82" s="76">
        <v>0</v>
      </c>
      <c r="J82" s="76">
        <f>C82*0.2</f>
        <v>4.0000000000000002E-9</v>
      </c>
      <c r="K82" s="76"/>
      <c r="L82" s="76"/>
      <c r="M82" s="76" t="s">
        <v>163</v>
      </c>
      <c r="N82" s="76"/>
      <c r="O82" s="76"/>
      <c r="P82" s="76" t="s">
        <v>171</v>
      </c>
    </row>
    <row r="83" spans="2:16" ht="12.75" customHeight="1" x14ac:dyDescent="0.2">
      <c r="B83" s="76" t="s">
        <v>167</v>
      </c>
      <c r="C83" s="76">
        <f t="shared" si="8"/>
        <v>2E-8</v>
      </c>
      <c r="D83" s="76"/>
      <c r="E83" s="76" t="s">
        <v>109</v>
      </c>
      <c r="F83" s="76" t="s">
        <v>168</v>
      </c>
      <c r="G83" s="76" t="s">
        <v>169</v>
      </c>
      <c r="H83" s="76" t="s">
        <v>170</v>
      </c>
      <c r="I83" s="76">
        <v>0</v>
      </c>
      <c r="J83" s="76">
        <f>C83*0.2</f>
        <v>4.0000000000000002E-9</v>
      </c>
      <c r="K83" s="76"/>
      <c r="L83" s="76">
        <v>0</v>
      </c>
      <c r="M83" s="76" t="s">
        <v>172</v>
      </c>
      <c r="N83" s="76">
        <f>C83*0.9</f>
        <v>1.8000000000000002E-8</v>
      </c>
      <c r="O83" s="76"/>
      <c r="P83" s="76" t="s">
        <v>171</v>
      </c>
    </row>
    <row r="84" spans="2:16" ht="12.75" customHeight="1" x14ac:dyDescent="0.2">
      <c r="B84" s="76" t="s">
        <v>167</v>
      </c>
      <c r="C84" s="76">
        <f t="shared" si="8"/>
        <v>2E-8</v>
      </c>
      <c r="D84" s="76"/>
      <c r="E84" s="76" t="s">
        <v>111</v>
      </c>
      <c r="F84" s="76" t="s">
        <v>168</v>
      </c>
      <c r="G84" s="76" t="s">
        <v>169</v>
      </c>
      <c r="H84" s="76" t="s">
        <v>170</v>
      </c>
      <c r="I84" s="76">
        <v>0</v>
      </c>
      <c r="J84" s="76">
        <v>0</v>
      </c>
      <c r="K84" s="76"/>
      <c r="L84" s="76">
        <v>0</v>
      </c>
      <c r="M84" s="76" t="s">
        <v>172</v>
      </c>
      <c r="N84" s="76">
        <f>C84*0.9</f>
        <v>1.8000000000000002E-8</v>
      </c>
      <c r="O84" s="76"/>
      <c r="P84" s="76" t="s">
        <v>171</v>
      </c>
    </row>
    <row r="85" spans="2:16" ht="12.75" customHeight="1" x14ac:dyDescent="0.2">
      <c r="B85" s="76" t="s">
        <v>167</v>
      </c>
      <c r="C85" s="76">
        <f t="shared" si="8"/>
        <v>2E-8</v>
      </c>
      <c r="D85" s="76"/>
      <c r="E85" s="76" t="s">
        <v>120</v>
      </c>
      <c r="F85" s="76" t="s">
        <v>168</v>
      </c>
      <c r="G85" s="76" t="s">
        <v>169</v>
      </c>
      <c r="H85" s="76" t="s">
        <v>170</v>
      </c>
      <c r="I85" s="76">
        <v>0</v>
      </c>
      <c r="J85" s="76">
        <f t="shared" si="7"/>
        <v>4.0000000000000002E-9</v>
      </c>
      <c r="K85" s="76"/>
      <c r="L85" s="76">
        <f t="shared" si="9"/>
        <v>2E-8</v>
      </c>
      <c r="M85" s="76" t="s">
        <v>172</v>
      </c>
      <c r="N85" s="76">
        <f>C85*0.9</f>
        <v>1.8000000000000002E-8</v>
      </c>
      <c r="O85" s="76"/>
      <c r="P85" s="76" t="s">
        <v>171</v>
      </c>
    </row>
    <row r="86" spans="2:16" ht="12.75" customHeight="1" x14ac:dyDescent="0.2">
      <c r="B86" s="76" t="s">
        <v>167</v>
      </c>
      <c r="C86" s="76">
        <f t="shared" si="8"/>
        <v>2E-8</v>
      </c>
      <c r="D86" s="76"/>
      <c r="E86" s="76" t="s">
        <v>121</v>
      </c>
      <c r="F86" s="76" t="s">
        <v>168</v>
      </c>
      <c r="G86" s="76" t="s">
        <v>169</v>
      </c>
      <c r="H86" s="76" t="s">
        <v>170</v>
      </c>
      <c r="I86" s="76">
        <v>0</v>
      </c>
      <c r="J86" s="76">
        <f t="shared" si="7"/>
        <v>4.0000000000000002E-9</v>
      </c>
      <c r="K86" s="76"/>
      <c r="L86" s="76">
        <f t="shared" si="9"/>
        <v>2E-8</v>
      </c>
      <c r="M86" s="76" t="s">
        <v>172</v>
      </c>
      <c r="N86" s="76">
        <f>C86*0.9</f>
        <v>1.8000000000000002E-8</v>
      </c>
      <c r="O86" s="76"/>
      <c r="P86" s="76" t="s">
        <v>171</v>
      </c>
    </row>
  </sheetData>
  <autoFilter ref="E6:E7"/>
  <dataValidations count="1">
    <dataValidation type="list" allowBlank="1" showInputMessage="1" showErrorMessage="1" sqref="C3">
      <formula1>"Normal,Extended,Quad"</formula1>
    </dataValidation>
  </dataValidations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outlinePr summaryBelow="0" summaryRight="0"/>
  </sheetPr>
  <dimension ref="A1:P86"/>
  <sheetViews>
    <sheetView showGridLines="0" zoomScaleNormal="100" workbookViewId="0">
      <pane ySplit="6" topLeftCell="A7" activePane="bottomLeft" state="frozen"/>
      <selection pane="bottomLeft" activeCell="A7" sqref="A7"/>
    </sheetView>
  </sheetViews>
  <sheetFormatPr defaultRowHeight="12.75" x14ac:dyDescent="0.2"/>
  <cols>
    <col min="1" max="1" width="9.140625" style="75"/>
    <col min="2" max="3" width="13.42578125" style="75" customWidth="1"/>
    <col min="4" max="4" width="6.28515625" style="75" customWidth="1"/>
    <col min="5" max="5" width="13.42578125" style="75" customWidth="1"/>
    <col min="6" max="6" width="9.28515625" style="75" bestFit="1" customWidth="1"/>
    <col min="7" max="8" width="9.140625" style="75"/>
    <col min="9" max="12" width="13.42578125" style="75" customWidth="1"/>
    <col min="13" max="13" width="9.140625" style="75"/>
    <col min="14" max="15" width="13.42578125" style="75" customWidth="1"/>
    <col min="16" max="16" width="42.85546875" style="75" customWidth="1"/>
    <col min="17" max="16384" width="9.140625" style="75"/>
  </cols>
  <sheetData>
    <row r="1" spans="1:16" ht="25.5" customHeight="1" x14ac:dyDescent="0.2">
      <c r="A1" s="75" t="s">
        <v>61</v>
      </c>
      <c r="B1" s="75" t="s">
        <v>146</v>
      </c>
    </row>
    <row r="3" spans="1:16" x14ac:dyDescent="0.2">
      <c r="B3" s="1" t="s">
        <v>147</v>
      </c>
      <c r="C3" s="2" t="s">
        <v>237</v>
      </c>
      <c r="E3" s="1" t="s">
        <v>148</v>
      </c>
      <c r="F3" s="2">
        <f>1*us</f>
        <v>9.9999999999999995E-7</v>
      </c>
      <c r="H3" s="1" t="s">
        <v>149</v>
      </c>
      <c r="I3" s="2">
        <f>1*us</f>
        <v>9.9999999999999995E-7</v>
      </c>
    </row>
    <row r="5" spans="1:16" x14ac:dyDescent="0.2">
      <c r="C5" s="75" t="s">
        <v>150</v>
      </c>
      <c r="E5" s="75" t="s">
        <v>151</v>
      </c>
      <c r="G5" s="75" t="s">
        <v>152</v>
      </c>
      <c r="I5" s="75" t="s">
        <v>153</v>
      </c>
      <c r="M5" s="75" t="s">
        <v>154</v>
      </c>
    </row>
    <row r="6" spans="1:16" x14ac:dyDescent="0.2">
      <c r="B6" s="75" t="s">
        <v>155</v>
      </c>
      <c r="C6" s="75" t="s">
        <v>156</v>
      </c>
      <c r="D6" s="75" t="s">
        <v>157</v>
      </c>
      <c r="E6" s="75" t="s">
        <v>20</v>
      </c>
      <c r="F6" s="75" t="s">
        <v>158</v>
      </c>
      <c r="G6" s="75" t="s">
        <v>159</v>
      </c>
      <c r="H6" s="75" t="s">
        <v>160</v>
      </c>
      <c r="I6" s="75" t="s">
        <v>161</v>
      </c>
      <c r="J6" s="75" t="s">
        <v>152</v>
      </c>
      <c r="K6" s="75" t="s">
        <v>162</v>
      </c>
      <c r="L6" s="75" t="s">
        <v>163</v>
      </c>
      <c r="M6" s="75" t="s">
        <v>164</v>
      </c>
      <c r="N6" s="75" t="s">
        <v>165</v>
      </c>
      <c r="O6" s="75" t="s">
        <v>166</v>
      </c>
      <c r="P6" s="75" t="s">
        <v>4</v>
      </c>
    </row>
    <row r="7" spans="1:16" ht="19.149999999999999" customHeight="1" x14ac:dyDescent="0.2">
      <c r="B7" s="76" t="s">
        <v>167</v>
      </c>
      <c r="C7" s="76">
        <f t="shared" ref="C7:C38" si="0">75*ns</f>
        <v>7.500000000000001E-8</v>
      </c>
      <c r="D7" s="76"/>
      <c r="E7" s="76" t="s">
        <v>893</v>
      </c>
      <c r="F7" s="76" t="s">
        <v>168</v>
      </c>
      <c r="G7" s="76" t="s">
        <v>169</v>
      </c>
      <c r="H7" s="76" t="s">
        <v>170</v>
      </c>
      <c r="I7" s="76">
        <v>0</v>
      </c>
      <c r="J7" s="76">
        <f>C7*0.1</f>
        <v>7.500000000000001E-9</v>
      </c>
      <c r="K7" s="76"/>
      <c r="L7" s="76"/>
      <c r="M7" s="76" t="s">
        <v>163</v>
      </c>
      <c r="N7" s="76"/>
      <c r="O7" s="76"/>
      <c r="P7" s="76" t="s">
        <v>171</v>
      </c>
    </row>
    <row r="8" spans="1:16" ht="12.75" customHeight="1" x14ac:dyDescent="0.2">
      <c r="B8" s="76" t="s">
        <v>167</v>
      </c>
      <c r="C8" s="76">
        <f t="shared" si="0"/>
        <v>7.500000000000001E-8</v>
      </c>
      <c r="D8" s="76"/>
      <c r="E8" s="76" t="s">
        <v>894</v>
      </c>
      <c r="F8" s="76" t="s">
        <v>168</v>
      </c>
      <c r="G8" s="76" t="s">
        <v>169</v>
      </c>
      <c r="H8" s="76" t="s">
        <v>170</v>
      </c>
      <c r="I8" s="76">
        <v>0</v>
      </c>
      <c r="J8" s="76">
        <f>C8*0.2</f>
        <v>1.5000000000000002E-8</v>
      </c>
      <c r="K8" s="76"/>
      <c r="L8" s="76">
        <v>0</v>
      </c>
      <c r="M8" s="76" t="s">
        <v>163</v>
      </c>
      <c r="N8" s="76">
        <f>C8*0.9</f>
        <v>6.7500000000000015E-8</v>
      </c>
      <c r="O8" s="76"/>
      <c r="P8" s="76" t="s">
        <v>171</v>
      </c>
    </row>
    <row r="9" spans="1:16" ht="12.75" customHeight="1" x14ac:dyDescent="0.2">
      <c r="B9" s="76" t="s">
        <v>167</v>
      </c>
      <c r="C9" s="76">
        <f t="shared" si="0"/>
        <v>7.500000000000001E-8</v>
      </c>
      <c r="D9" s="76"/>
      <c r="E9" s="76" t="s">
        <v>896</v>
      </c>
      <c r="F9" s="76" t="s">
        <v>168</v>
      </c>
      <c r="G9" s="76" t="s">
        <v>169</v>
      </c>
      <c r="H9" s="76" t="s">
        <v>170</v>
      </c>
      <c r="I9" s="76">
        <v>0</v>
      </c>
      <c r="J9" s="76">
        <f>C9*0.2</f>
        <v>1.5000000000000002E-8</v>
      </c>
      <c r="K9" s="76"/>
      <c r="L9" s="76">
        <v>0</v>
      </c>
      <c r="M9" s="76" t="s">
        <v>163</v>
      </c>
      <c r="N9" s="76">
        <f>C9*0.9</f>
        <v>6.7500000000000015E-8</v>
      </c>
      <c r="O9" s="76"/>
      <c r="P9" s="76" t="s">
        <v>171</v>
      </c>
    </row>
    <row r="10" spans="1:16" ht="12.75" customHeight="1" x14ac:dyDescent="0.2">
      <c r="B10" s="76" t="s">
        <v>167</v>
      </c>
      <c r="C10" s="76">
        <f t="shared" si="0"/>
        <v>7.500000000000001E-8</v>
      </c>
      <c r="D10" s="76"/>
      <c r="E10" s="76" t="s">
        <v>897</v>
      </c>
      <c r="F10" s="76" t="s">
        <v>168</v>
      </c>
      <c r="G10" s="76" t="s">
        <v>169</v>
      </c>
      <c r="H10" s="76" t="s">
        <v>170</v>
      </c>
      <c r="I10" s="76">
        <v>0</v>
      </c>
      <c r="J10" s="76">
        <f>C10*0.1</f>
        <v>7.500000000000001E-9</v>
      </c>
      <c r="K10" s="76"/>
      <c r="L10" s="76">
        <v>0</v>
      </c>
      <c r="M10" s="76" t="s">
        <v>163</v>
      </c>
      <c r="N10" s="76">
        <f>C10*0.9</f>
        <v>6.7500000000000015E-8</v>
      </c>
      <c r="O10" s="76"/>
      <c r="P10" s="76" t="s">
        <v>171</v>
      </c>
    </row>
    <row r="11" spans="1:16" ht="12.75" customHeight="1" x14ac:dyDescent="0.2">
      <c r="B11" s="76" t="s">
        <v>167</v>
      </c>
      <c r="C11" s="76">
        <f t="shared" si="0"/>
        <v>7.500000000000001E-8</v>
      </c>
      <c r="D11" s="76"/>
      <c r="E11" s="76" t="s">
        <v>895</v>
      </c>
      <c r="F11" s="76" t="s">
        <v>168</v>
      </c>
      <c r="G11" s="76" t="s">
        <v>169</v>
      </c>
      <c r="H11" s="76" t="s">
        <v>170</v>
      </c>
      <c r="I11" s="76">
        <v>0</v>
      </c>
      <c r="J11" s="76">
        <v>0</v>
      </c>
      <c r="K11" s="76"/>
      <c r="L11" s="76">
        <v>0</v>
      </c>
      <c r="M11" s="76" t="s">
        <v>172</v>
      </c>
      <c r="N11" s="76">
        <f>C11*0.9</f>
        <v>6.7500000000000015E-8</v>
      </c>
      <c r="O11" s="76"/>
      <c r="P11" s="76" t="s">
        <v>171</v>
      </c>
    </row>
    <row r="12" spans="1:16" ht="12.75" customHeight="1" x14ac:dyDescent="0.2">
      <c r="B12" s="76" t="s">
        <v>167</v>
      </c>
      <c r="C12" s="76">
        <f t="shared" si="0"/>
        <v>7.500000000000001E-8</v>
      </c>
      <c r="D12" s="76"/>
      <c r="E12" s="76" t="s">
        <v>909</v>
      </c>
      <c r="F12" s="76" t="s">
        <v>168</v>
      </c>
      <c r="G12" s="76" t="s">
        <v>169</v>
      </c>
      <c r="H12" s="76" t="s">
        <v>170</v>
      </c>
      <c r="I12" s="76">
        <v>0</v>
      </c>
      <c r="J12" s="76">
        <f>C12*0.1</f>
        <v>7.500000000000001E-9</v>
      </c>
      <c r="K12" s="76"/>
      <c r="L12" s="76"/>
      <c r="M12" s="76" t="s">
        <v>163</v>
      </c>
      <c r="N12" s="76"/>
      <c r="O12" s="76"/>
      <c r="P12" s="76" t="s">
        <v>171</v>
      </c>
    </row>
    <row r="13" spans="1:16" ht="12.75" customHeight="1" x14ac:dyDescent="0.2">
      <c r="B13" s="76" t="s">
        <v>167</v>
      </c>
      <c r="C13" s="76">
        <f t="shared" si="0"/>
        <v>7.500000000000001E-8</v>
      </c>
      <c r="D13" s="76"/>
      <c r="E13" s="76" t="s">
        <v>908</v>
      </c>
      <c r="F13" s="76" t="s">
        <v>168</v>
      </c>
      <c r="G13" s="76" t="s">
        <v>169</v>
      </c>
      <c r="H13" s="76" t="s">
        <v>170</v>
      </c>
      <c r="I13" s="76">
        <v>0</v>
      </c>
      <c r="J13" s="76">
        <f>C13*0.2</f>
        <v>1.5000000000000002E-8</v>
      </c>
      <c r="K13" s="76"/>
      <c r="L13" s="76"/>
      <c r="M13" s="76" t="s">
        <v>163</v>
      </c>
      <c r="N13" s="76"/>
      <c r="O13" s="76"/>
      <c r="P13" s="76" t="s">
        <v>171</v>
      </c>
    </row>
    <row r="14" spans="1:16" ht="12.75" customHeight="1" x14ac:dyDescent="0.2">
      <c r="B14" s="76" t="s">
        <v>167</v>
      </c>
      <c r="C14" s="76">
        <f t="shared" si="0"/>
        <v>7.500000000000001E-8</v>
      </c>
      <c r="D14" s="76"/>
      <c r="E14" s="76" t="s">
        <v>910</v>
      </c>
      <c r="F14" s="76" t="s">
        <v>168</v>
      </c>
      <c r="G14" s="76" t="s">
        <v>169</v>
      </c>
      <c r="H14" s="76" t="s">
        <v>170</v>
      </c>
      <c r="I14" s="76">
        <v>0</v>
      </c>
      <c r="J14" s="76">
        <f>C14*0.2</f>
        <v>1.5000000000000002E-8</v>
      </c>
      <c r="K14" s="76"/>
      <c r="L14" s="76"/>
      <c r="M14" s="76" t="s">
        <v>163</v>
      </c>
      <c r="N14" s="76"/>
      <c r="O14" s="76"/>
      <c r="P14" s="76" t="s">
        <v>171</v>
      </c>
    </row>
    <row r="15" spans="1:16" ht="12.75" customHeight="1" x14ac:dyDescent="0.2">
      <c r="B15" s="76" t="s">
        <v>167</v>
      </c>
      <c r="C15" s="76">
        <f t="shared" si="0"/>
        <v>7.500000000000001E-8</v>
      </c>
      <c r="D15" s="76"/>
      <c r="E15" s="76" t="s">
        <v>911</v>
      </c>
      <c r="F15" s="76" t="s">
        <v>168</v>
      </c>
      <c r="G15" s="76" t="s">
        <v>169</v>
      </c>
      <c r="H15" s="76" t="s">
        <v>170</v>
      </c>
      <c r="I15" s="76">
        <v>0</v>
      </c>
      <c r="J15" s="76">
        <v>0</v>
      </c>
      <c r="K15" s="76"/>
      <c r="L15" s="76">
        <v>0</v>
      </c>
      <c r="M15" s="76" t="s">
        <v>172</v>
      </c>
      <c r="N15" s="76">
        <f>C15*0.9+(10*ns)</f>
        <v>7.7500000000000012E-8</v>
      </c>
      <c r="O15" s="76"/>
      <c r="P15" s="76" t="s">
        <v>337</v>
      </c>
    </row>
    <row r="16" spans="1:16" ht="12.75" customHeight="1" x14ac:dyDescent="0.2">
      <c r="B16" s="76" t="s">
        <v>167</v>
      </c>
      <c r="C16" s="76">
        <f t="shared" si="0"/>
        <v>7.500000000000001E-8</v>
      </c>
      <c r="D16" s="76"/>
      <c r="E16" s="76" t="s">
        <v>95</v>
      </c>
      <c r="F16" s="76" t="s">
        <v>168</v>
      </c>
      <c r="G16" s="76" t="s">
        <v>169</v>
      </c>
      <c r="H16" s="76" t="s">
        <v>170</v>
      </c>
      <c r="I16" s="76">
        <v>0</v>
      </c>
      <c r="J16" s="76">
        <f>C16*0.1</f>
        <v>7.500000000000001E-9</v>
      </c>
      <c r="K16" s="76"/>
      <c r="L16" s="76"/>
      <c r="M16" s="76" t="s">
        <v>163</v>
      </c>
      <c r="N16" s="76"/>
      <c r="O16" s="76"/>
      <c r="P16" s="76" t="s">
        <v>171</v>
      </c>
    </row>
    <row r="17" spans="2:16" ht="12.75" customHeight="1" x14ac:dyDescent="0.2">
      <c r="B17" s="76" t="s">
        <v>167</v>
      </c>
      <c r="C17" s="76">
        <f t="shared" si="0"/>
        <v>7.500000000000001E-8</v>
      </c>
      <c r="D17" s="76"/>
      <c r="E17" s="76" t="s">
        <v>96</v>
      </c>
      <c r="F17" s="76" t="s">
        <v>168</v>
      </c>
      <c r="G17" s="76" t="s">
        <v>169</v>
      </c>
      <c r="H17" s="76" t="s">
        <v>170</v>
      </c>
      <c r="I17" s="76">
        <v>0</v>
      </c>
      <c r="J17" s="76">
        <f>C17*0.1</f>
        <v>7.500000000000001E-9</v>
      </c>
      <c r="K17" s="76"/>
      <c r="L17" s="76"/>
      <c r="M17" s="76" t="s">
        <v>163</v>
      </c>
      <c r="N17" s="76"/>
      <c r="O17" s="76"/>
      <c r="P17" s="76" t="s">
        <v>171</v>
      </c>
    </row>
    <row r="18" spans="2:16" ht="12.75" customHeight="1" x14ac:dyDescent="0.2">
      <c r="B18" s="76" t="s">
        <v>167</v>
      </c>
      <c r="C18" s="76">
        <f t="shared" si="0"/>
        <v>7.500000000000001E-8</v>
      </c>
      <c r="D18" s="76"/>
      <c r="E18" s="76" t="s">
        <v>122</v>
      </c>
      <c r="F18" s="76" t="s">
        <v>168</v>
      </c>
      <c r="G18" s="76" t="s">
        <v>169</v>
      </c>
      <c r="H18" s="76" t="s">
        <v>170</v>
      </c>
      <c r="I18" s="76">
        <v>0</v>
      </c>
      <c r="J18" s="76">
        <f t="shared" ref="J18:J33" si="1">C18*0.2</f>
        <v>1.5000000000000002E-8</v>
      </c>
      <c r="K18" s="76"/>
      <c r="L18" s="76">
        <v>0</v>
      </c>
      <c r="M18" s="76" t="s">
        <v>172</v>
      </c>
      <c r="N18" s="76">
        <f t="shared" ref="N18:N34" si="2">C18*0.9+(25*ns)</f>
        <v>9.2500000000000014E-8</v>
      </c>
      <c r="O18" s="76"/>
      <c r="P18" s="76" t="s">
        <v>171</v>
      </c>
    </row>
    <row r="19" spans="2:16" ht="12.75" customHeight="1" x14ac:dyDescent="0.2">
      <c r="B19" s="76" t="s">
        <v>167</v>
      </c>
      <c r="C19" s="76">
        <f t="shared" si="0"/>
        <v>7.500000000000001E-8</v>
      </c>
      <c r="D19" s="76"/>
      <c r="E19" s="76" t="s">
        <v>123</v>
      </c>
      <c r="F19" s="76" t="s">
        <v>168</v>
      </c>
      <c r="G19" s="76" t="s">
        <v>169</v>
      </c>
      <c r="H19" s="76" t="s">
        <v>170</v>
      </c>
      <c r="I19" s="76">
        <v>0</v>
      </c>
      <c r="J19" s="76">
        <f t="shared" si="1"/>
        <v>1.5000000000000002E-8</v>
      </c>
      <c r="K19" s="76"/>
      <c r="L19" s="76">
        <v>0</v>
      </c>
      <c r="M19" s="76" t="s">
        <v>172</v>
      </c>
      <c r="N19" s="76">
        <f t="shared" si="2"/>
        <v>9.2500000000000014E-8</v>
      </c>
      <c r="O19" s="76"/>
      <c r="P19" s="76" t="s">
        <v>171</v>
      </c>
    </row>
    <row r="20" spans="2:16" ht="12.75" customHeight="1" x14ac:dyDescent="0.2">
      <c r="B20" s="76" t="s">
        <v>167</v>
      </c>
      <c r="C20" s="76">
        <f t="shared" si="0"/>
        <v>7.500000000000001E-8</v>
      </c>
      <c r="D20" s="76"/>
      <c r="E20" s="76" t="s">
        <v>124</v>
      </c>
      <c r="F20" s="76" t="s">
        <v>168</v>
      </c>
      <c r="G20" s="76" t="s">
        <v>169</v>
      </c>
      <c r="H20" s="76" t="s">
        <v>170</v>
      </c>
      <c r="I20" s="76">
        <v>0</v>
      </c>
      <c r="J20" s="76">
        <f t="shared" si="1"/>
        <v>1.5000000000000002E-8</v>
      </c>
      <c r="K20" s="76"/>
      <c r="L20" s="76">
        <v>0</v>
      </c>
      <c r="M20" s="76" t="s">
        <v>172</v>
      </c>
      <c r="N20" s="76">
        <f t="shared" si="2"/>
        <v>9.2500000000000014E-8</v>
      </c>
      <c r="O20" s="76"/>
      <c r="P20" s="76" t="s">
        <v>171</v>
      </c>
    </row>
    <row r="21" spans="2:16" ht="12.75" customHeight="1" x14ac:dyDescent="0.2">
      <c r="B21" s="76" t="s">
        <v>167</v>
      </c>
      <c r="C21" s="76">
        <f t="shared" si="0"/>
        <v>7.500000000000001E-8</v>
      </c>
      <c r="D21" s="76"/>
      <c r="E21" s="76" t="s">
        <v>125</v>
      </c>
      <c r="F21" s="76" t="s">
        <v>168</v>
      </c>
      <c r="G21" s="76" t="s">
        <v>169</v>
      </c>
      <c r="H21" s="76" t="s">
        <v>170</v>
      </c>
      <c r="I21" s="76">
        <v>0</v>
      </c>
      <c r="J21" s="76">
        <f t="shared" si="1"/>
        <v>1.5000000000000002E-8</v>
      </c>
      <c r="K21" s="76"/>
      <c r="L21" s="76">
        <v>0</v>
      </c>
      <c r="M21" s="76" t="s">
        <v>172</v>
      </c>
      <c r="N21" s="76">
        <f t="shared" si="2"/>
        <v>9.2500000000000014E-8</v>
      </c>
      <c r="O21" s="76"/>
      <c r="P21" s="76" t="s">
        <v>171</v>
      </c>
    </row>
    <row r="22" spans="2:16" ht="12.75" customHeight="1" x14ac:dyDescent="0.2">
      <c r="B22" s="76" t="s">
        <v>167</v>
      </c>
      <c r="C22" s="76">
        <f t="shared" si="0"/>
        <v>7.500000000000001E-8</v>
      </c>
      <c r="D22" s="76"/>
      <c r="E22" s="76" t="s">
        <v>126</v>
      </c>
      <c r="F22" s="76" t="s">
        <v>168</v>
      </c>
      <c r="G22" s="76" t="s">
        <v>169</v>
      </c>
      <c r="H22" s="76" t="s">
        <v>170</v>
      </c>
      <c r="I22" s="76">
        <v>0</v>
      </c>
      <c r="J22" s="76">
        <f t="shared" si="1"/>
        <v>1.5000000000000002E-8</v>
      </c>
      <c r="K22" s="76"/>
      <c r="L22" s="76">
        <v>0</v>
      </c>
      <c r="M22" s="76" t="s">
        <v>172</v>
      </c>
      <c r="N22" s="76">
        <f t="shared" si="2"/>
        <v>9.2500000000000014E-8</v>
      </c>
      <c r="O22" s="76"/>
      <c r="P22" s="76" t="s">
        <v>171</v>
      </c>
    </row>
    <row r="23" spans="2:16" ht="12.75" customHeight="1" x14ac:dyDescent="0.2">
      <c r="B23" s="76" t="s">
        <v>167</v>
      </c>
      <c r="C23" s="76">
        <f t="shared" si="0"/>
        <v>7.500000000000001E-8</v>
      </c>
      <c r="D23" s="76"/>
      <c r="E23" s="76" t="s">
        <v>127</v>
      </c>
      <c r="F23" s="76" t="s">
        <v>168</v>
      </c>
      <c r="G23" s="76" t="s">
        <v>169</v>
      </c>
      <c r="H23" s="76" t="s">
        <v>170</v>
      </c>
      <c r="I23" s="76">
        <v>0</v>
      </c>
      <c r="J23" s="76">
        <f t="shared" si="1"/>
        <v>1.5000000000000002E-8</v>
      </c>
      <c r="K23" s="76"/>
      <c r="L23" s="76">
        <v>0</v>
      </c>
      <c r="M23" s="76" t="s">
        <v>172</v>
      </c>
      <c r="N23" s="76">
        <f t="shared" si="2"/>
        <v>9.2500000000000014E-8</v>
      </c>
      <c r="O23" s="76"/>
      <c r="P23" s="76" t="s">
        <v>171</v>
      </c>
    </row>
    <row r="24" spans="2:16" ht="12.75" customHeight="1" x14ac:dyDescent="0.2">
      <c r="B24" s="76" t="s">
        <v>167</v>
      </c>
      <c r="C24" s="76">
        <f t="shared" si="0"/>
        <v>7.500000000000001E-8</v>
      </c>
      <c r="D24" s="76"/>
      <c r="E24" s="76" t="s">
        <v>128</v>
      </c>
      <c r="F24" s="76" t="s">
        <v>168</v>
      </c>
      <c r="G24" s="76" t="s">
        <v>169</v>
      </c>
      <c r="H24" s="76" t="s">
        <v>170</v>
      </c>
      <c r="I24" s="76">
        <v>0</v>
      </c>
      <c r="J24" s="76">
        <f t="shared" si="1"/>
        <v>1.5000000000000002E-8</v>
      </c>
      <c r="K24" s="76"/>
      <c r="L24" s="76">
        <v>0</v>
      </c>
      <c r="M24" s="76" t="s">
        <v>172</v>
      </c>
      <c r="N24" s="76">
        <f t="shared" si="2"/>
        <v>9.2500000000000014E-8</v>
      </c>
      <c r="O24" s="76"/>
      <c r="P24" s="76" t="s">
        <v>171</v>
      </c>
    </row>
    <row r="25" spans="2:16" ht="12.75" customHeight="1" x14ac:dyDescent="0.2">
      <c r="B25" s="76" t="s">
        <v>167</v>
      </c>
      <c r="C25" s="76">
        <f t="shared" si="0"/>
        <v>7.500000000000001E-8</v>
      </c>
      <c r="D25" s="76"/>
      <c r="E25" s="76" t="s">
        <v>129</v>
      </c>
      <c r="F25" s="76" t="s">
        <v>168</v>
      </c>
      <c r="G25" s="76" t="s">
        <v>169</v>
      </c>
      <c r="H25" s="76" t="s">
        <v>170</v>
      </c>
      <c r="I25" s="76">
        <v>0</v>
      </c>
      <c r="J25" s="76">
        <f t="shared" si="1"/>
        <v>1.5000000000000002E-8</v>
      </c>
      <c r="K25" s="76"/>
      <c r="L25" s="76">
        <v>0</v>
      </c>
      <c r="M25" s="76" t="s">
        <v>172</v>
      </c>
      <c r="N25" s="76">
        <f t="shared" si="2"/>
        <v>9.2500000000000014E-8</v>
      </c>
      <c r="O25" s="76"/>
      <c r="P25" s="76" t="s">
        <v>171</v>
      </c>
    </row>
    <row r="26" spans="2:16" ht="12.75" customHeight="1" x14ac:dyDescent="0.2">
      <c r="B26" s="76" t="s">
        <v>167</v>
      </c>
      <c r="C26" s="76">
        <f t="shared" si="0"/>
        <v>7.500000000000001E-8</v>
      </c>
      <c r="D26" s="76"/>
      <c r="E26" s="76" t="s">
        <v>130</v>
      </c>
      <c r="F26" s="76" t="s">
        <v>168</v>
      </c>
      <c r="G26" s="76" t="s">
        <v>169</v>
      </c>
      <c r="H26" s="76" t="s">
        <v>170</v>
      </c>
      <c r="I26" s="76">
        <v>0</v>
      </c>
      <c r="J26" s="76">
        <f t="shared" si="1"/>
        <v>1.5000000000000002E-8</v>
      </c>
      <c r="K26" s="76"/>
      <c r="L26" s="76">
        <v>0</v>
      </c>
      <c r="M26" s="76" t="s">
        <v>172</v>
      </c>
      <c r="N26" s="76">
        <f t="shared" si="2"/>
        <v>9.2500000000000014E-8</v>
      </c>
      <c r="O26" s="76"/>
      <c r="P26" s="76" t="s">
        <v>171</v>
      </c>
    </row>
    <row r="27" spans="2:16" ht="12.75" customHeight="1" x14ac:dyDescent="0.2">
      <c r="B27" s="76" t="s">
        <v>167</v>
      </c>
      <c r="C27" s="76">
        <f t="shared" si="0"/>
        <v>7.500000000000001E-8</v>
      </c>
      <c r="D27" s="76"/>
      <c r="E27" s="76" t="s">
        <v>131</v>
      </c>
      <c r="F27" s="76" t="s">
        <v>168</v>
      </c>
      <c r="G27" s="76" t="s">
        <v>169</v>
      </c>
      <c r="H27" s="76" t="s">
        <v>170</v>
      </c>
      <c r="I27" s="76">
        <v>0</v>
      </c>
      <c r="J27" s="76">
        <f t="shared" si="1"/>
        <v>1.5000000000000002E-8</v>
      </c>
      <c r="K27" s="76"/>
      <c r="L27" s="76">
        <v>0</v>
      </c>
      <c r="M27" s="76" t="s">
        <v>172</v>
      </c>
      <c r="N27" s="76">
        <f t="shared" si="2"/>
        <v>9.2500000000000014E-8</v>
      </c>
      <c r="O27" s="76"/>
      <c r="P27" s="76" t="s">
        <v>171</v>
      </c>
    </row>
    <row r="28" spans="2:16" ht="12.75" customHeight="1" x14ac:dyDescent="0.2">
      <c r="B28" s="76" t="s">
        <v>167</v>
      </c>
      <c r="C28" s="76">
        <f t="shared" si="0"/>
        <v>7.500000000000001E-8</v>
      </c>
      <c r="D28" s="76"/>
      <c r="E28" s="76" t="s">
        <v>132</v>
      </c>
      <c r="F28" s="76" t="s">
        <v>168</v>
      </c>
      <c r="G28" s="76" t="s">
        <v>169</v>
      </c>
      <c r="H28" s="76" t="s">
        <v>170</v>
      </c>
      <c r="I28" s="76">
        <v>0</v>
      </c>
      <c r="J28" s="76">
        <f t="shared" si="1"/>
        <v>1.5000000000000002E-8</v>
      </c>
      <c r="K28" s="76"/>
      <c r="L28" s="76">
        <v>0</v>
      </c>
      <c r="M28" s="76" t="s">
        <v>172</v>
      </c>
      <c r="N28" s="76">
        <f t="shared" si="2"/>
        <v>9.2500000000000014E-8</v>
      </c>
      <c r="O28" s="76"/>
      <c r="P28" s="76" t="s">
        <v>171</v>
      </c>
    </row>
    <row r="29" spans="2:16" ht="12.75" customHeight="1" x14ac:dyDescent="0.2">
      <c r="B29" s="76" t="s">
        <v>167</v>
      </c>
      <c r="C29" s="76">
        <f t="shared" si="0"/>
        <v>7.500000000000001E-8</v>
      </c>
      <c r="D29" s="76"/>
      <c r="E29" s="76" t="s">
        <v>133</v>
      </c>
      <c r="F29" s="76" t="s">
        <v>168</v>
      </c>
      <c r="G29" s="76" t="s">
        <v>169</v>
      </c>
      <c r="H29" s="76" t="s">
        <v>170</v>
      </c>
      <c r="I29" s="76">
        <v>0</v>
      </c>
      <c r="J29" s="76">
        <f t="shared" si="1"/>
        <v>1.5000000000000002E-8</v>
      </c>
      <c r="K29" s="76"/>
      <c r="L29" s="76">
        <v>0</v>
      </c>
      <c r="M29" s="76" t="s">
        <v>172</v>
      </c>
      <c r="N29" s="76">
        <f t="shared" si="2"/>
        <v>9.2500000000000014E-8</v>
      </c>
      <c r="O29" s="76"/>
      <c r="P29" s="76" t="s">
        <v>171</v>
      </c>
    </row>
    <row r="30" spans="2:16" ht="12.75" customHeight="1" x14ac:dyDescent="0.2">
      <c r="B30" s="76" t="s">
        <v>167</v>
      </c>
      <c r="C30" s="76">
        <f t="shared" si="0"/>
        <v>7.500000000000001E-8</v>
      </c>
      <c r="D30" s="76"/>
      <c r="E30" s="76" t="s">
        <v>134</v>
      </c>
      <c r="F30" s="76" t="s">
        <v>168</v>
      </c>
      <c r="G30" s="76" t="s">
        <v>169</v>
      </c>
      <c r="H30" s="76" t="s">
        <v>170</v>
      </c>
      <c r="I30" s="76">
        <v>0</v>
      </c>
      <c r="J30" s="76">
        <f t="shared" si="1"/>
        <v>1.5000000000000002E-8</v>
      </c>
      <c r="K30" s="76"/>
      <c r="L30" s="76">
        <v>0</v>
      </c>
      <c r="M30" s="76" t="s">
        <v>172</v>
      </c>
      <c r="N30" s="76">
        <f t="shared" si="2"/>
        <v>9.2500000000000014E-8</v>
      </c>
      <c r="O30" s="76"/>
      <c r="P30" s="76" t="s">
        <v>171</v>
      </c>
    </row>
    <row r="31" spans="2:16" ht="12.75" customHeight="1" x14ac:dyDescent="0.2">
      <c r="B31" s="76" t="s">
        <v>167</v>
      </c>
      <c r="C31" s="76">
        <f t="shared" si="0"/>
        <v>7.500000000000001E-8</v>
      </c>
      <c r="D31" s="76"/>
      <c r="E31" s="76" t="s">
        <v>135</v>
      </c>
      <c r="F31" s="76" t="s">
        <v>168</v>
      </c>
      <c r="G31" s="76" t="s">
        <v>169</v>
      </c>
      <c r="H31" s="76" t="s">
        <v>170</v>
      </c>
      <c r="I31" s="76">
        <v>0</v>
      </c>
      <c r="J31" s="76">
        <f t="shared" si="1"/>
        <v>1.5000000000000002E-8</v>
      </c>
      <c r="K31" s="76"/>
      <c r="L31" s="76">
        <v>0</v>
      </c>
      <c r="M31" s="76" t="s">
        <v>172</v>
      </c>
      <c r="N31" s="76">
        <f t="shared" si="2"/>
        <v>9.2500000000000014E-8</v>
      </c>
      <c r="O31" s="76"/>
      <c r="P31" s="76" t="s">
        <v>171</v>
      </c>
    </row>
    <row r="32" spans="2:16" ht="12.75" customHeight="1" x14ac:dyDescent="0.2">
      <c r="B32" s="76" t="s">
        <v>167</v>
      </c>
      <c r="C32" s="76">
        <f t="shared" si="0"/>
        <v>7.500000000000001E-8</v>
      </c>
      <c r="D32" s="76"/>
      <c r="E32" s="76" t="s">
        <v>136</v>
      </c>
      <c r="F32" s="76" t="s">
        <v>168</v>
      </c>
      <c r="G32" s="76" t="s">
        <v>169</v>
      </c>
      <c r="H32" s="76" t="s">
        <v>170</v>
      </c>
      <c r="I32" s="76">
        <v>0</v>
      </c>
      <c r="J32" s="76">
        <f t="shared" si="1"/>
        <v>1.5000000000000002E-8</v>
      </c>
      <c r="K32" s="76"/>
      <c r="L32" s="76">
        <v>0</v>
      </c>
      <c r="M32" s="76" t="s">
        <v>172</v>
      </c>
      <c r="N32" s="76">
        <f t="shared" si="2"/>
        <v>9.2500000000000014E-8</v>
      </c>
      <c r="O32" s="76"/>
      <c r="P32" s="76" t="s">
        <v>171</v>
      </c>
    </row>
    <row r="33" spans="2:16" ht="12.75" customHeight="1" x14ac:dyDescent="0.2">
      <c r="B33" s="76" t="s">
        <v>167</v>
      </c>
      <c r="C33" s="76">
        <f t="shared" si="0"/>
        <v>7.500000000000001E-8</v>
      </c>
      <c r="D33" s="76"/>
      <c r="E33" s="76" t="s">
        <v>137</v>
      </c>
      <c r="F33" s="76" t="s">
        <v>168</v>
      </c>
      <c r="G33" s="76" t="s">
        <v>169</v>
      </c>
      <c r="H33" s="76" t="s">
        <v>170</v>
      </c>
      <c r="I33" s="76">
        <v>0</v>
      </c>
      <c r="J33" s="76">
        <f t="shared" si="1"/>
        <v>1.5000000000000002E-8</v>
      </c>
      <c r="K33" s="76"/>
      <c r="L33" s="76">
        <v>0</v>
      </c>
      <c r="M33" s="76" t="s">
        <v>172</v>
      </c>
      <c r="N33" s="76">
        <f t="shared" si="2"/>
        <v>9.2500000000000014E-8</v>
      </c>
      <c r="O33" s="76"/>
      <c r="P33" s="76" t="s">
        <v>171</v>
      </c>
    </row>
    <row r="34" spans="2:16" ht="12.75" customHeight="1" x14ac:dyDescent="0.2">
      <c r="B34" s="76" t="s">
        <v>167</v>
      </c>
      <c r="C34" s="76">
        <f t="shared" si="0"/>
        <v>7.500000000000001E-8</v>
      </c>
      <c r="D34" s="76"/>
      <c r="E34" s="76" t="s">
        <v>99</v>
      </c>
      <c r="F34" s="76" t="s">
        <v>168</v>
      </c>
      <c r="G34" s="76" t="s">
        <v>169</v>
      </c>
      <c r="H34" s="76" t="s">
        <v>170</v>
      </c>
      <c r="I34" s="76">
        <v>0</v>
      </c>
      <c r="J34" s="76">
        <v>0</v>
      </c>
      <c r="K34" s="76"/>
      <c r="L34" s="76">
        <v>0</v>
      </c>
      <c r="M34" s="76" t="s">
        <v>172</v>
      </c>
      <c r="N34" s="76">
        <f t="shared" si="2"/>
        <v>9.2500000000000014E-8</v>
      </c>
      <c r="O34" s="76"/>
      <c r="P34" s="76" t="s">
        <v>171</v>
      </c>
    </row>
    <row r="35" spans="2:16" ht="12.75" customHeight="1" x14ac:dyDescent="0.2">
      <c r="B35" s="76" t="s">
        <v>167</v>
      </c>
      <c r="C35" s="76">
        <f t="shared" si="0"/>
        <v>7.500000000000001E-8</v>
      </c>
      <c r="D35" s="76"/>
      <c r="E35" s="76" t="s">
        <v>898</v>
      </c>
      <c r="F35" s="76" t="s">
        <v>168</v>
      </c>
      <c r="G35" s="76" t="s">
        <v>169</v>
      </c>
      <c r="H35" s="76" t="s">
        <v>170</v>
      </c>
      <c r="I35" s="76">
        <v>0</v>
      </c>
      <c r="J35" s="76">
        <f t="shared" ref="J35:J66" si="3">C35*0.2</f>
        <v>1.5000000000000002E-8</v>
      </c>
      <c r="K35" s="76"/>
      <c r="L35" s="76"/>
      <c r="M35" s="76" t="s">
        <v>163</v>
      </c>
      <c r="N35" s="76"/>
      <c r="O35" s="76"/>
      <c r="P35" s="76" t="s">
        <v>171</v>
      </c>
    </row>
    <row r="36" spans="2:16" ht="12.75" customHeight="1" x14ac:dyDescent="0.2">
      <c r="B36" s="76" t="s">
        <v>167</v>
      </c>
      <c r="C36" s="76">
        <f t="shared" si="0"/>
        <v>7.500000000000001E-8</v>
      </c>
      <c r="D36" s="76"/>
      <c r="E36" s="76" t="s">
        <v>899</v>
      </c>
      <c r="F36" s="76" t="s">
        <v>168</v>
      </c>
      <c r="G36" s="76" t="s">
        <v>169</v>
      </c>
      <c r="H36" s="76" t="s">
        <v>170</v>
      </c>
      <c r="I36" s="76">
        <v>0</v>
      </c>
      <c r="J36" s="76">
        <f t="shared" si="3"/>
        <v>1.5000000000000002E-8</v>
      </c>
      <c r="K36" s="76"/>
      <c r="L36" s="76"/>
      <c r="M36" s="76" t="s">
        <v>163</v>
      </c>
      <c r="N36" s="76"/>
      <c r="O36" s="76"/>
      <c r="P36" s="76" t="s">
        <v>171</v>
      </c>
    </row>
    <row r="37" spans="2:16" ht="12.75" customHeight="1" x14ac:dyDescent="0.2">
      <c r="B37" s="76" t="s">
        <v>167</v>
      </c>
      <c r="C37" s="76">
        <f t="shared" si="0"/>
        <v>7.500000000000001E-8</v>
      </c>
      <c r="D37" s="76"/>
      <c r="E37" s="76" t="s">
        <v>900</v>
      </c>
      <c r="F37" s="76" t="s">
        <v>168</v>
      </c>
      <c r="G37" s="76" t="s">
        <v>169</v>
      </c>
      <c r="H37" s="76" t="s">
        <v>170</v>
      </c>
      <c r="I37" s="76">
        <v>0</v>
      </c>
      <c r="J37" s="76">
        <f t="shared" si="3"/>
        <v>1.5000000000000002E-8</v>
      </c>
      <c r="K37" s="76"/>
      <c r="L37" s="76"/>
      <c r="M37" s="76" t="s">
        <v>163</v>
      </c>
      <c r="N37" s="76"/>
      <c r="O37" s="76"/>
      <c r="P37" s="76" t="s">
        <v>171</v>
      </c>
    </row>
    <row r="38" spans="2:16" ht="12.75" customHeight="1" x14ac:dyDescent="0.2">
      <c r="B38" s="76" t="s">
        <v>167</v>
      </c>
      <c r="C38" s="76">
        <f t="shared" si="0"/>
        <v>7.500000000000001E-8</v>
      </c>
      <c r="D38" s="76"/>
      <c r="E38" s="76" t="s">
        <v>901</v>
      </c>
      <c r="F38" s="76" t="s">
        <v>168</v>
      </c>
      <c r="G38" s="76" t="s">
        <v>169</v>
      </c>
      <c r="H38" s="76" t="s">
        <v>170</v>
      </c>
      <c r="I38" s="76">
        <v>0</v>
      </c>
      <c r="J38" s="76">
        <f t="shared" si="3"/>
        <v>1.5000000000000002E-8</v>
      </c>
      <c r="K38" s="76"/>
      <c r="L38" s="76"/>
      <c r="M38" s="76" t="s">
        <v>163</v>
      </c>
      <c r="N38" s="76"/>
      <c r="O38" s="76"/>
      <c r="P38" s="76" t="s">
        <v>171</v>
      </c>
    </row>
    <row r="39" spans="2:16" ht="12.75" customHeight="1" x14ac:dyDescent="0.2">
      <c r="B39" s="76" t="s">
        <v>167</v>
      </c>
      <c r="C39" s="76">
        <f t="shared" ref="C39:C70" si="4">75*ns</f>
        <v>7.500000000000001E-8</v>
      </c>
      <c r="D39" s="76"/>
      <c r="E39" s="76" t="s">
        <v>902</v>
      </c>
      <c r="F39" s="76" t="s">
        <v>168</v>
      </c>
      <c r="G39" s="76" t="s">
        <v>169</v>
      </c>
      <c r="H39" s="76" t="s">
        <v>170</v>
      </c>
      <c r="I39" s="76">
        <v>0</v>
      </c>
      <c r="J39" s="76">
        <f t="shared" si="3"/>
        <v>1.5000000000000002E-8</v>
      </c>
      <c r="K39" s="76"/>
      <c r="L39" s="76"/>
      <c r="M39" s="76" t="s">
        <v>163</v>
      </c>
      <c r="N39" s="76"/>
      <c r="O39" s="76"/>
      <c r="P39" s="76" t="s">
        <v>171</v>
      </c>
    </row>
    <row r="40" spans="2:16" ht="12.75" customHeight="1" x14ac:dyDescent="0.2">
      <c r="B40" s="76" t="s">
        <v>167</v>
      </c>
      <c r="C40" s="76">
        <f t="shared" si="4"/>
        <v>7.500000000000001E-8</v>
      </c>
      <c r="D40" s="76"/>
      <c r="E40" s="76" t="s">
        <v>903</v>
      </c>
      <c r="F40" s="76" t="s">
        <v>168</v>
      </c>
      <c r="G40" s="76" t="s">
        <v>169</v>
      </c>
      <c r="H40" s="76" t="s">
        <v>170</v>
      </c>
      <c r="I40" s="76">
        <v>0</v>
      </c>
      <c r="J40" s="76">
        <f t="shared" si="3"/>
        <v>1.5000000000000002E-8</v>
      </c>
      <c r="K40" s="76"/>
      <c r="L40" s="76"/>
      <c r="M40" s="76" t="s">
        <v>163</v>
      </c>
      <c r="N40" s="76"/>
      <c r="O40" s="76"/>
      <c r="P40" s="76" t="s">
        <v>171</v>
      </c>
    </row>
    <row r="41" spans="2:16" ht="12.75" customHeight="1" x14ac:dyDescent="0.2">
      <c r="B41" s="76" t="s">
        <v>167</v>
      </c>
      <c r="C41" s="76">
        <f t="shared" si="4"/>
        <v>7.500000000000001E-8</v>
      </c>
      <c r="D41" s="76"/>
      <c r="E41" s="76" t="s">
        <v>904</v>
      </c>
      <c r="F41" s="76" t="s">
        <v>168</v>
      </c>
      <c r="G41" s="76" t="s">
        <v>169</v>
      </c>
      <c r="H41" s="76" t="s">
        <v>170</v>
      </c>
      <c r="I41" s="76">
        <v>0</v>
      </c>
      <c r="J41" s="76">
        <f t="shared" si="3"/>
        <v>1.5000000000000002E-8</v>
      </c>
      <c r="K41" s="76"/>
      <c r="L41" s="76"/>
      <c r="M41" s="76" t="s">
        <v>163</v>
      </c>
      <c r="N41" s="76"/>
      <c r="O41" s="76"/>
      <c r="P41" s="76" t="s">
        <v>171</v>
      </c>
    </row>
    <row r="42" spans="2:16" ht="12.75" customHeight="1" x14ac:dyDescent="0.2">
      <c r="B42" s="76" t="s">
        <v>167</v>
      </c>
      <c r="C42" s="76">
        <f t="shared" si="4"/>
        <v>7.500000000000001E-8</v>
      </c>
      <c r="D42" s="76"/>
      <c r="E42" s="76" t="s">
        <v>905</v>
      </c>
      <c r="F42" s="76" t="s">
        <v>168</v>
      </c>
      <c r="G42" s="76" t="s">
        <v>169</v>
      </c>
      <c r="H42" s="76" t="s">
        <v>170</v>
      </c>
      <c r="I42" s="76">
        <v>0</v>
      </c>
      <c r="J42" s="76">
        <f t="shared" si="3"/>
        <v>1.5000000000000002E-8</v>
      </c>
      <c r="K42" s="76"/>
      <c r="L42" s="76"/>
      <c r="M42" s="76" t="s">
        <v>163</v>
      </c>
      <c r="N42" s="76"/>
      <c r="O42" s="76"/>
      <c r="P42" s="76" t="s">
        <v>171</v>
      </c>
    </row>
    <row r="43" spans="2:16" ht="12.75" customHeight="1" x14ac:dyDescent="0.2">
      <c r="B43" s="76" t="s">
        <v>167</v>
      </c>
      <c r="C43" s="76">
        <f t="shared" si="4"/>
        <v>7.500000000000001E-8</v>
      </c>
      <c r="D43" s="76"/>
      <c r="E43" s="76" t="s">
        <v>906</v>
      </c>
      <c r="F43" s="76" t="s">
        <v>168</v>
      </c>
      <c r="G43" s="76" t="s">
        <v>169</v>
      </c>
      <c r="H43" s="76" t="s">
        <v>170</v>
      </c>
      <c r="I43" s="76">
        <v>0</v>
      </c>
      <c r="J43" s="76">
        <f t="shared" si="3"/>
        <v>1.5000000000000002E-8</v>
      </c>
      <c r="K43" s="76"/>
      <c r="L43" s="76"/>
      <c r="M43" s="76" t="s">
        <v>163</v>
      </c>
      <c r="N43" s="76"/>
      <c r="O43" s="76"/>
      <c r="P43" s="76" t="s">
        <v>171</v>
      </c>
    </row>
    <row r="44" spans="2:16" ht="12.75" customHeight="1" x14ac:dyDescent="0.2">
      <c r="B44" s="76" t="s">
        <v>167</v>
      </c>
      <c r="C44" s="76">
        <f t="shared" si="4"/>
        <v>7.500000000000001E-8</v>
      </c>
      <c r="D44" s="76"/>
      <c r="E44" s="76" t="s">
        <v>907</v>
      </c>
      <c r="F44" s="76" t="s">
        <v>168</v>
      </c>
      <c r="G44" s="76" t="s">
        <v>169</v>
      </c>
      <c r="H44" s="76" t="s">
        <v>170</v>
      </c>
      <c r="I44" s="76">
        <v>0</v>
      </c>
      <c r="J44" s="76">
        <f t="shared" si="3"/>
        <v>1.5000000000000002E-8</v>
      </c>
      <c r="K44" s="76"/>
      <c r="L44" s="76"/>
      <c r="M44" s="76" t="s">
        <v>163</v>
      </c>
      <c r="N44" s="76"/>
      <c r="O44" s="76"/>
      <c r="P44" s="76" t="s">
        <v>171</v>
      </c>
    </row>
    <row r="45" spans="2:16" ht="12.75" customHeight="1" x14ac:dyDescent="0.2">
      <c r="B45" s="76" t="s">
        <v>167</v>
      </c>
      <c r="C45" s="76">
        <f t="shared" si="4"/>
        <v>7.500000000000001E-8</v>
      </c>
      <c r="D45" s="76"/>
      <c r="E45" s="76" t="s">
        <v>912</v>
      </c>
      <c r="F45" s="76" t="s">
        <v>168</v>
      </c>
      <c r="G45" s="76" t="s">
        <v>169</v>
      </c>
      <c r="H45" s="76" t="s">
        <v>170</v>
      </c>
      <c r="I45" s="76">
        <v>0</v>
      </c>
      <c r="J45" s="76">
        <f t="shared" si="3"/>
        <v>1.5000000000000002E-8</v>
      </c>
      <c r="K45" s="76"/>
      <c r="L45" s="76"/>
      <c r="M45" s="76" t="s">
        <v>163</v>
      </c>
      <c r="N45" s="76"/>
      <c r="O45" s="76"/>
      <c r="P45" s="76" t="s">
        <v>171</v>
      </c>
    </row>
    <row r="46" spans="2:16" ht="12.75" customHeight="1" x14ac:dyDescent="0.2">
      <c r="B46" s="76" t="s">
        <v>167</v>
      </c>
      <c r="C46" s="76">
        <f t="shared" si="4"/>
        <v>7.500000000000001E-8</v>
      </c>
      <c r="D46" s="76"/>
      <c r="E46" s="76" t="s">
        <v>913</v>
      </c>
      <c r="F46" s="76" t="s">
        <v>168</v>
      </c>
      <c r="G46" s="76" t="s">
        <v>169</v>
      </c>
      <c r="H46" s="76" t="s">
        <v>170</v>
      </c>
      <c r="I46" s="76">
        <v>0</v>
      </c>
      <c r="J46" s="76">
        <f t="shared" si="3"/>
        <v>1.5000000000000002E-8</v>
      </c>
      <c r="K46" s="76"/>
      <c r="L46" s="76"/>
      <c r="M46" s="76" t="s">
        <v>163</v>
      </c>
      <c r="N46" s="76"/>
      <c r="O46" s="76"/>
      <c r="P46" s="76" t="s">
        <v>171</v>
      </c>
    </row>
    <row r="47" spans="2:16" ht="12.75" customHeight="1" x14ac:dyDescent="0.2">
      <c r="B47" s="76" t="s">
        <v>167</v>
      </c>
      <c r="C47" s="76">
        <f t="shared" si="4"/>
        <v>7.500000000000001E-8</v>
      </c>
      <c r="D47" s="76"/>
      <c r="E47" s="76" t="s">
        <v>914</v>
      </c>
      <c r="F47" s="76" t="s">
        <v>168</v>
      </c>
      <c r="G47" s="76" t="s">
        <v>169</v>
      </c>
      <c r="H47" s="76" t="s">
        <v>170</v>
      </c>
      <c r="I47" s="76">
        <v>0</v>
      </c>
      <c r="J47" s="76">
        <f t="shared" si="3"/>
        <v>1.5000000000000002E-8</v>
      </c>
      <c r="K47" s="76"/>
      <c r="L47" s="76"/>
      <c r="M47" s="76" t="s">
        <v>163</v>
      </c>
      <c r="N47" s="76"/>
      <c r="O47" s="76"/>
      <c r="P47" s="76" t="s">
        <v>171</v>
      </c>
    </row>
    <row r="48" spans="2:16" ht="12.75" customHeight="1" x14ac:dyDescent="0.2">
      <c r="B48" s="76" t="s">
        <v>167</v>
      </c>
      <c r="C48" s="76">
        <f t="shared" si="4"/>
        <v>7.500000000000001E-8</v>
      </c>
      <c r="D48" s="76"/>
      <c r="E48" s="76" t="s">
        <v>915</v>
      </c>
      <c r="F48" s="76" t="s">
        <v>168</v>
      </c>
      <c r="G48" s="76" t="s">
        <v>169</v>
      </c>
      <c r="H48" s="76" t="s">
        <v>170</v>
      </c>
      <c r="I48" s="76">
        <v>0</v>
      </c>
      <c r="J48" s="76">
        <f t="shared" si="3"/>
        <v>1.5000000000000002E-8</v>
      </c>
      <c r="K48" s="76"/>
      <c r="L48" s="76"/>
      <c r="M48" s="76" t="s">
        <v>163</v>
      </c>
      <c r="N48" s="76"/>
      <c r="O48" s="76"/>
      <c r="P48" s="76" t="s">
        <v>171</v>
      </c>
    </row>
    <row r="49" spans="2:16" ht="12.75" customHeight="1" x14ac:dyDescent="0.2">
      <c r="B49" s="76" t="s">
        <v>167</v>
      </c>
      <c r="C49" s="76">
        <f t="shared" si="4"/>
        <v>7.500000000000001E-8</v>
      </c>
      <c r="D49" s="76"/>
      <c r="E49" s="76" t="s">
        <v>916</v>
      </c>
      <c r="F49" s="76" t="s">
        <v>168</v>
      </c>
      <c r="G49" s="76" t="s">
        <v>169</v>
      </c>
      <c r="H49" s="76" t="s">
        <v>170</v>
      </c>
      <c r="I49" s="76">
        <v>0</v>
      </c>
      <c r="J49" s="76">
        <f t="shared" si="3"/>
        <v>1.5000000000000002E-8</v>
      </c>
      <c r="K49" s="76"/>
      <c r="L49" s="76"/>
      <c r="M49" s="76" t="s">
        <v>163</v>
      </c>
      <c r="N49" s="76"/>
      <c r="O49" s="76"/>
      <c r="P49" s="76" t="s">
        <v>171</v>
      </c>
    </row>
    <row r="50" spans="2:16" ht="12.75" customHeight="1" x14ac:dyDescent="0.2">
      <c r="B50" s="76" t="s">
        <v>167</v>
      </c>
      <c r="C50" s="76">
        <f t="shared" si="4"/>
        <v>7.500000000000001E-8</v>
      </c>
      <c r="D50" s="76"/>
      <c r="E50" s="76" t="s">
        <v>917</v>
      </c>
      <c r="F50" s="76" t="s">
        <v>168</v>
      </c>
      <c r="G50" s="76" t="s">
        <v>169</v>
      </c>
      <c r="H50" s="76" t="s">
        <v>170</v>
      </c>
      <c r="I50" s="76">
        <v>0</v>
      </c>
      <c r="J50" s="76">
        <f t="shared" si="3"/>
        <v>1.5000000000000002E-8</v>
      </c>
      <c r="K50" s="76"/>
      <c r="L50" s="76"/>
      <c r="M50" s="76" t="s">
        <v>163</v>
      </c>
      <c r="N50" s="76"/>
      <c r="O50" s="76"/>
      <c r="P50" s="76" t="s">
        <v>171</v>
      </c>
    </row>
    <row r="51" spans="2:16" ht="12.75" customHeight="1" x14ac:dyDescent="0.2">
      <c r="B51" s="76" t="s">
        <v>167</v>
      </c>
      <c r="C51" s="76">
        <f t="shared" si="4"/>
        <v>7.500000000000001E-8</v>
      </c>
      <c r="D51" s="76"/>
      <c r="E51" s="76" t="s">
        <v>918</v>
      </c>
      <c r="F51" s="76" t="s">
        <v>168</v>
      </c>
      <c r="G51" s="76" t="s">
        <v>169</v>
      </c>
      <c r="H51" s="76" t="s">
        <v>170</v>
      </c>
      <c r="I51" s="76">
        <v>0</v>
      </c>
      <c r="J51" s="76">
        <f t="shared" si="3"/>
        <v>1.5000000000000002E-8</v>
      </c>
      <c r="K51" s="76"/>
      <c r="L51" s="76"/>
      <c r="M51" s="76" t="s">
        <v>163</v>
      </c>
      <c r="N51" s="76"/>
      <c r="O51" s="76"/>
      <c r="P51" s="76" t="s">
        <v>171</v>
      </c>
    </row>
    <row r="52" spans="2:16" ht="12.75" customHeight="1" x14ac:dyDescent="0.2">
      <c r="B52" s="76" t="s">
        <v>167</v>
      </c>
      <c r="C52" s="76">
        <f t="shared" si="4"/>
        <v>7.500000000000001E-8</v>
      </c>
      <c r="D52" s="76"/>
      <c r="E52" s="76" t="s">
        <v>919</v>
      </c>
      <c r="F52" s="76" t="s">
        <v>168</v>
      </c>
      <c r="G52" s="76" t="s">
        <v>169</v>
      </c>
      <c r="H52" s="76" t="s">
        <v>170</v>
      </c>
      <c r="I52" s="76">
        <v>0</v>
      </c>
      <c r="J52" s="76">
        <f t="shared" si="3"/>
        <v>1.5000000000000002E-8</v>
      </c>
      <c r="K52" s="76"/>
      <c r="L52" s="76"/>
      <c r="M52" s="76" t="s">
        <v>163</v>
      </c>
      <c r="N52" s="76"/>
      <c r="O52" s="76"/>
      <c r="P52" s="76" t="s">
        <v>171</v>
      </c>
    </row>
    <row r="53" spans="2:16" ht="12.75" customHeight="1" x14ac:dyDescent="0.2">
      <c r="B53" s="76" t="s">
        <v>167</v>
      </c>
      <c r="C53" s="76">
        <f t="shared" si="4"/>
        <v>7.500000000000001E-8</v>
      </c>
      <c r="D53" s="76"/>
      <c r="E53" s="76" t="s">
        <v>920</v>
      </c>
      <c r="F53" s="76" t="s">
        <v>168</v>
      </c>
      <c r="G53" s="76" t="s">
        <v>169</v>
      </c>
      <c r="H53" s="76" t="s">
        <v>170</v>
      </c>
      <c r="I53" s="76">
        <v>0</v>
      </c>
      <c r="J53" s="76">
        <f t="shared" si="3"/>
        <v>1.5000000000000002E-8</v>
      </c>
      <c r="K53" s="76"/>
      <c r="L53" s="76"/>
      <c r="M53" s="76" t="s">
        <v>163</v>
      </c>
      <c r="N53" s="76"/>
      <c r="O53" s="76"/>
      <c r="P53" s="76" t="s">
        <v>171</v>
      </c>
    </row>
    <row r="54" spans="2:16" ht="12.75" customHeight="1" x14ac:dyDescent="0.2">
      <c r="B54" s="76" t="s">
        <v>167</v>
      </c>
      <c r="C54" s="76">
        <f t="shared" si="4"/>
        <v>7.500000000000001E-8</v>
      </c>
      <c r="D54" s="76"/>
      <c r="E54" s="76" t="s">
        <v>921</v>
      </c>
      <c r="F54" s="76" t="s">
        <v>168</v>
      </c>
      <c r="G54" s="76" t="s">
        <v>169</v>
      </c>
      <c r="H54" s="76" t="s">
        <v>170</v>
      </c>
      <c r="I54" s="76">
        <v>0</v>
      </c>
      <c r="J54" s="76">
        <f t="shared" si="3"/>
        <v>1.5000000000000002E-8</v>
      </c>
      <c r="K54" s="76"/>
      <c r="L54" s="76"/>
      <c r="M54" s="76" t="s">
        <v>163</v>
      </c>
      <c r="N54" s="76"/>
      <c r="O54" s="76"/>
      <c r="P54" s="76" t="s">
        <v>171</v>
      </c>
    </row>
    <row r="55" spans="2:16" ht="12.75" customHeight="1" x14ac:dyDescent="0.2">
      <c r="B55" s="76" t="s">
        <v>167</v>
      </c>
      <c r="C55" s="76">
        <f t="shared" si="4"/>
        <v>7.500000000000001E-8</v>
      </c>
      <c r="D55" s="76"/>
      <c r="E55" s="76" t="s">
        <v>922</v>
      </c>
      <c r="F55" s="76" t="s">
        <v>168</v>
      </c>
      <c r="G55" s="76" t="s">
        <v>169</v>
      </c>
      <c r="H55" s="76" t="s">
        <v>170</v>
      </c>
      <c r="I55" s="76">
        <v>0</v>
      </c>
      <c r="J55" s="76">
        <f t="shared" si="3"/>
        <v>1.5000000000000002E-8</v>
      </c>
      <c r="K55" s="76"/>
      <c r="L55" s="76"/>
      <c r="M55" s="76" t="s">
        <v>163</v>
      </c>
      <c r="N55" s="76"/>
      <c r="O55" s="76"/>
      <c r="P55" s="76" t="s">
        <v>171</v>
      </c>
    </row>
    <row r="56" spans="2:16" ht="12.75" customHeight="1" x14ac:dyDescent="0.2">
      <c r="B56" s="76" t="s">
        <v>167</v>
      </c>
      <c r="C56" s="76">
        <f t="shared" si="4"/>
        <v>7.500000000000001E-8</v>
      </c>
      <c r="D56" s="76"/>
      <c r="E56" s="76" t="s">
        <v>923</v>
      </c>
      <c r="F56" s="76" t="s">
        <v>168</v>
      </c>
      <c r="G56" s="76" t="s">
        <v>169</v>
      </c>
      <c r="H56" s="76" t="s">
        <v>170</v>
      </c>
      <c r="I56" s="76">
        <v>0</v>
      </c>
      <c r="J56" s="76">
        <f t="shared" si="3"/>
        <v>1.5000000000000002E-8</v>
      </c>
      <c r="K56" s="76"/>
      <c r="L56" s="76"/>
      <c r="M56" s="76" t="s">
        <v>163</v>
      </c>
      <c r="N56" s="76"/>
      <c r="O56" s="76"/>
      <c r="P56" s="76" t="s">
        <v>171</v>
      </c>
    </row>
    <row r="57" spans="2:16" ht="12.75" customHeight="1" x14ac:dyDescent="0.2">
      <c r="B57" s="76" t="s">
        <v>167</v>
      </c>
      <c r="C57" s="76">
        <f t="shared" si="4"/>
        <v>7.500000000000001E-8</v>
      </c>
      <c r="D57" s="76"/>
      <c r="E57" s="76" t="s">
        <v>924</v>
      </c>
      <c r="F57" s="76" t="s">
        <v>168</v>
      </c>
      <c r="G57" s="76" t="s">
        <v>169</v>
      </c>
      <c r="H57" s="76" t="s">
        <v>170</v>
      </c>
      <c r="I57" s="76">
        <v>0</v>
      </c>
      <c r="J57" s="76">
        <f t="shared" si="3"/>
        <v>1.5000000000000002E-8</v>
      </c>
      <c r="K57" s="76"/>
      <c r="L57" s="76"/>
      <c r="M57" s="76" t="s">
        <v>163</v>
      </c>
      <c r="N57" s="76"/>
      <c r="O57" s="76"/>
      <c r="P57" s="76" t="s">
        <v>171</v>
      </c>
    </row>
    <row r="58" spans="2:16" ht="12.75" customHeight="1" x14ac:dyDescent="0.2">
      <c r="B58" s="76" t="s">
        <v>167</v>
      </c>
      <c r="C58" s="76">
        <f t="shared" si="4"/>
        <v>7.500000000000001E-8</v>
      </c>
      <c r="D58" s="76"/>
      <c r="E58" s="76" t="s">
        <v>925</v>
      </c>
      <c r="F58" s="76" t="s">
        <v>168</v>
      </c>
      <c r="G58" s="76" t="s">
        <v>169</v>
      </c>
      <c r="H58" s="76" t="s">
        <v>170</v>
      </c>
      <c r="I58" s="76">
        <v>0</v>
      </c>
      <c r="J58" s="76">
        <f t="shared" si="3"/>
        <v>1.5000000000000002E-8</v>
      </c>
      <c r="K58" s="76"/>
      <c r="L58" s="76"/>
      <c r="M58" s="76" t="s">
        <v>163</v>
      </c>
      <c r="N58" s="76"/>
      <c r="O58" s="76"/>
      <c r="P58" s="76" t="s">
        <v>171</v>
      </c>
    </row>
    <row r="59" spans="2:16" ht="12.75" customHeight="1" x14ac:dyDescent="0.2">
      <c r="B59" s="76" t="s">
        <v>167</v>
      </c>
      <c r="C59" s="76">
        <f t="shared" si="4"/>
        <v>7.500000000000001E-8</v>
      </c>
      <c r="D59" s="76"/>
      <c r="E59" s="76" t="s">
        <v>926</v>
      </c>
      <c r="F59" s="76" t="s">
        <v>168</v>
      </c>
      <c r="G59" s="76" t="s">
        <v>169</v>
      </c>
      <c r="H59" s="76" t="s">
        <v>170</v>
      </c>
      <c r="I59" s="76">
        <v>0</v>
      </c>
      <c r="J59" s="76">
        <f t="shared" si="3"/>
        <v>1.5000000000000002E-8</v>
      </c>
      <c r="K59" s="76"/>
      <c r="L59" s="76"/>
      <c r="M59" s="76" t="s">
        <v>163</v>
      </c>
      <c r="N59" s="76"/>
      <c r="O59" s="76"/>
      <c r="P59" s="76" t="s">
        <v>171</v>
      </c>
    </row>
    <row r="60" spans="2:16" ht="12.75" customHeight="1" x14ac:dyDescent="0.2">
      <c r="B60" s="76" t="s">
        <v>167</v>
      </c>
      <c r="C60" s="76">
        <f t="shared" si="4"/>
        <v>7.500000000000001E-8</v>
      </c>
      <c r="D60" s="76"/>
      <c r="E60" s="76" t="s">
        <v>927</v>
      </c>
      <c r="F60" s="76" t="s">
        <v>168</v>
      </c>
      <c r="G60" s="76" t="s">
        <v>169</v>
      </c>
      <c r="H60" s="76" t="s">
        <v>170</v>
      </c>
      <c r="I60" s="76">
        <v>0</v>
      </c>
      <c r="J60" s="76">
        <f t="shared" si="3"/>
        <v>1.5000000000000002E-8</v>
      </c>
      <c r="K60" s="76"/>
      <c r="L60" s="76"/>
      <c r="M60" s="76" t="s">
        <v>163</v>
      </c>
      <c r="N60" s="76"/>
      <c r="O60" s="76"/>
      <c r="P60" s="76" t="s">
        <v>171</v>
      </c>
    </row>
    <row r="61" spans="2:16" ht="12.75" customHeight="1" x14ac:dyDescent="0.2">
      <c r="B61" s="76" t="s">
        <v>167</v>
      </c>
      <c r="C61" s="76">
        <f t="shared" si="4"/>
        <v>7.500000000000001E-8</v>
      </c>
      <c r="D61" s="76"/>
      <c r="E61" s="76" t="s">
        <v>928</v>
      </c>
      <c r="F61" s="76" t="s">
        <v>168</v>
      </c>
      <c r="G61" s="76" t="s">
        <v>169</v>
      </c>
      <c r="H61" s="76" t="s">
        <v>170</v>
      </c>
      <c r="I61" s="76">
        <v>0</v>
      </c>
      <c r="J61" s="76">
        <f t="shared" si="3"/>
        <v>1.5000000000000002E-8</v>
      </c>
      <c r="K61" s="76"/>
      <c r="L61" s="76"/>
      <c r="M61" s="76" t="s">
        <v>163</v>
      </c>
      <c r="N61" s="76"/>
      <c r="O61" s="76"/>
      <c r="P61" s="76" t="s">
        <v>171</v>
      </c>
    </row>
    <row r="62" spans="2:16" ht="12.75" customHeight="1" x14ac:dyDescent="0.2">
      <c r="B62" s="76" t="s">
        <v>167</v>
      </c>
      <c r="C62" s="76">
        <f t="shared" si="4"/>
        <v>7.500000000000001E-8</v>
      </c>
      <c r="D62" s="76"/>
      <c r="E62" s="76" t="s">
        <v>929</v>
      </c>
      <c r="F62" s="76" t="s">
        <v>168</v>
      </c>
      <c r="G62" s="76" t="s">
        <v>169</v>
      </c>
      <c r="H62" s="76" t="s">
        <v>170</v>
      </c>
      <c r="I62" s="76">
        <v>0</v>
      </c>
      <c r="J62" s="76">
        <f t="shared" si="3"/>
        <v>1.5000000000000002E-8</v>
      </c>
      <c r="K62" s="76"/>
      <c r="L62" s="76"/>
      <c r="M62" s="76" t="s">
        <v>163</v>
      </c>
      <c r="N62" s="76"/>
      <c r="O62" s="76"/>
      <c r="P62" s="76" t="s">
        <v>171</v>
      </c>
    </row>
    <row r="63" spans="2:16" ht="12.75" customHeight="1" x14ac:dyDescent="0.2">
      <c r="B63" s="76" t="s">
        <v>167</v>
      </c>
      <c r="C63" s="76">
        <f t="shared" si="4"/>
        <v>7.500000000000001E-8</v>
      </c>
      <c r="D63" s="76"/>
      <c r="E63" s="76" t="s">
        <v>930</v>
      </c>
      <c r="F63" s="76" t="s">
        <v>168</v>
      </c>
      <c r="G63" s="76" t="s">
        <v>169</v>
      </c>
      <c r="H63" s="76" t="s">
        <v>170</v>
      </c>
      <c r="I63" s="76">
        <v>0</v>
      </c>
      <c r="J63" s="76">
        <f t="shared" si="3"/>
        <v>1.5000000000000002E-8</v>
      </c>
      <c r="K63" s="76"/>
      <c r="L63" s="76"/>
      <c r="M63" s="76" t="s">
        <v>163</v>
      </c>
      <c r="N63" s="76"/>
      <c r="O63" s="76"/>
      <c r="P63" s="76" t="s">
        <v>171</v>
      </c>
    </row>
    <row r="64" spans="2:16" ht="12.75" customHeight="1" x14ac:dyDescent="0.2">
      <c r="B64" s="76" t="s">
        <v>167</v>
      </c>
      <c r="C64" s="76">
        <f t="shared" si="4"/>
        <v>7.500000000000001E-8</v>
      </c>
      <c r="D64" s="76"/>
      <c r="E64" s="76" t="s">
        <v>931</v>
      </c>
      <c r="F64" s="76" t="s">
        <v>168</v>
      </c>
      <c r="G64" s="76" t="s">
        <v>169</v>
      </c>
      <c r="H64" s="76" t="s">
        <v>170</v>
      </c>
      <c r="I64" s="76">
        <v>0</v>
      </c>
      <c r="J64" s="76">
        <f t="shared" si="3"/>
        <v>1.5000000000000002E-8</v>
      </c>
      <c r="K64" s="76"/>
      <c r="L64" s="76"/>
      <c r="M64" s="76" t="s">
        <v>163</v>
      </c>
      <c r="N64" s="76"/>
      <c r="O64" s="76"/>
      <c r="P64" s="76" t="s">
        <v>171</v>
      </c>
    </row>
    <row r="65" spans="2:16" ht="12.75" customHeight="1" x14ac:dyDescent="0.2">
      <c r="B65" s="76" t="s">
        <v>167</v>
      </c>
      <c r="C65" s="76">
        <f t="shared" si="4"/>
        <v>7.500000000000001E-8</v>
      </c>
      <c r="D65" s="76"/>
      <c r="E65" s="76" t="s">
        <v>932</v>
      </c>
      <c r="F65" s="76" t="s">
        <v>168</v>
      </c>
      <c r="G65" s="76" t="s">
        <v>169</v>
      </c>
      <c r="H65" s="76" t="s">
        <v>170</v>
      </c>
      <c r="I65" s="76">
        <v>0</v>
      </c>
      <c r="J65" s="76">
        <f t="shared" si="3"/>
        <v>1.5000000000000002E-8</v>
      </c>
      <c r="K65" s="76"/>
      <c r="L65" s="76"/>
      <c r="M65" s="76" t="s">
        <v>163</v>
      </c>
      <c r="N65" s="76"/>
      <c r="O65" s="76"/>
      <c r="P65" s="76" t="s">
        <v>171</v>
      </c>
    </row>
    <row r="66" spans="2:16" ht="12.75" customHeight="1" x14ac:dyDescent="0.2">
      <c r="B66" s="76" t="s">
        <v>167</v>
      </c>
      <c r="C66" s="76">
        <f t="shared" si="4"/>
        <v>7.500000000000001E-8</v>
      </c>
      <c r="D66" s="76"/>
      <c r="E66" s="76" t="s">
        <v>933</v>
      </c>
      <c r="F66" s="76" t="s">
        <v>168</v>
      </c>
      <c r="G66" s="76" t="s">
        <v>169</v>
      </c>
      <c r="H66" s="76" t="s">
        <v>170</v>
      </c>
      <c r="I66" s="76">
        <v>0</v>
      </c>
      <c r="J66" s="76">
        <f t="shared" si="3"/>
        <v>1.5000000000000002E-8</v>
      </c>
      <c r="K66" s="76"/>
      <c r="L66" s="76"/>
      <c r="M66" s="76" t="s">
        <v>163</v>
      </c>
      <c r="N66" s="76"/>
      <c r="O66" s="76"/>
      <c r="P66" s="76" t="s">
        <v>171</v>
      </c>
    </row>
    <row r="67" spans="2:16" ht="12.75" customHeight="1" x14ac:dyDescent="0.2">
      <c r="B67" s="76" t="s">
        <v>167</v>
      </c>
      <c r="C67" s="76">
        <f t="shared" si="4"/>
        <v>7.500000000000001E-8</v>
      </c>
      <c r="D67" s="76"/>
      <c r="E67" s="76" t="s">
        <v>934</v>
      </c>
      <c r="F67" s="76" t="s">
        <v>168</v>
      </c>
      <c r="G67" s="76" t="s">
        <v>169</v>
      </c>
      <c r="H67" s="76" t="s">
        <v>170</v>
      </c>
      <c r="I67" s="76">
        <v>0</v>
      </c>
      <c r="J67" s="76">
        <f t="shared" ref="J67:J86" si="5">C67*0.2</f>
        <v>1.5000000000000002E-8</v>
      </c>
      <c r="K67" s="76"/>
      <c r="L67" s="76"/>
      <c r="M67" s="76" t="s">
        <v>163</v>
      </c>
      <c r="N67" s="76"/>
      <c r="O67" s="76"/>
      <c r="P67" s="76" t="s">
        <v>171</v>
      </c>
    </row>
    <row r="68" spans="2:16" ht="12.75" customHeight="1" x14ac:dyDescent="0.2">
      <c r="B68" s="76" t="s">
        <v>167</v>
      </c>
      <c r="C68" s="76">
        <f t="shared" si="4"/>
        <v>7.500000000000001E-8</v>
      </c>
      <c r="D68" s="76"/>
      <c r="E68" s="76" t="s">
        <v>935</v>
      </c>
      <c r="F68" s="76" t="s">
        <v>168</v>
      </c>
      <c r="G68" s="76" t="s">
        <v>169</v>
      </c>
      <c r="H68" s="76" t="s">
        <v>170</v>
      </c>
      <c r="I68" s="76">
        <v>0</v>
      </c>
      <c r="J68" s="76">
        <f t="shared" si="5"/>
        <v>1.5000000000000002E-8</v>
      </c>
      <c r="K68" s="76"/>
      <c r="L68" s="76"/>
      <c r="M68" s="76" t="s">
        <v>163</v>
      </c>
      <c r="N68" s="76"/>
      <c r="O68" s="76"/>
      <c r="P68" s="76" t="s">
        <v>171</v>
      </c>
    </row>
    <row r="69" spans="2:16" ht="12.75" customHeight="1" x14ac:dyDescent="0.2">
      <c r="B69" s="76" t="s">
        <v>167</v>
      </c>
      <c r="C69" s="76">
        <f t="shared" si="4"/>
        <v>7.500000000000001E-8</v>
      </c>
      <c r="D69" s="76"/>
      <c r="E69" s="76" t="s">
        <v>936</v>
      </c>
      <c r="F69" s="76" t="s">
        <v>168</v>
      </c>
      <c r="G69" s="76" t="s">
        <v>169</v>
      </c>
      <c r="H69" s="76" t="s">
        <v>170</v>
      </c>
      <c r="I69" s="76">
        <v>0</v>
      </c>
      <c r="J69" s="76">
        <f t="shared" si="5"/>
        <v>1.5000000000000002E-8</v>
      </c>
      <c r="K69" s="76"/>
      <c r="L69" s="76"/>
      <c r="M69" s="76" t="s">
        <v>163</v>
      </c>
      <c r="N69" s="76"/>
      <c r="O69" s="76"/>
      <c r="P69" s="76" t="s">
        <v>171</v>
      </c>
    </row>
    <row r="70" spans="2:16" ht="12.75" customHeight="1" x14ac:dyDescent="0.2">
      <c r="B70" s="76" t="s">
        <v>167</v>
      </c>
      <c r="C70" s="76">
        <f t="shared" si="4"/>
        <v>7.500000000000001E-8</v>
      </c>
      <c r="D70" s="76"/>
      <c r="E70" s="76" t="s">
        <v>937</v>
      </c>
      <c r="F70" s="76" t="s">
        <v>168</v>
      </c>
      <c r="G70" s="76" t="s">
        <v>169</v>
      </c>
      <c r="H70" s="76" t="s">
        <v>170</v>
      </c>
      <c r="I70" s="76">
        <v>0</v>
      </c>
      <c r="J70" s="76">
        <f t="shared" si="5"/>
        <v>1.5000000000000002E-8</v>
      </c>
      <c r="K70" s="76"/>
      <c r="L70" s="76"/>
      <c r="M70" s="76" t="s">
        <v>163</v>
      </c>
      <c r="N70" s="76"/>
      <c r="O70" s="76"/>
      <c r="P70" s="76" t="s">
        <v>171</v>
      </c>
    </row>
    <row r="71" spans="2:16" ht="12.75" customHeight="1" x14ac:dyDescent="0.2">
      <c r="B71" s="76" t="s">
        <v>167</v>
      </c>
      <c r="C71" s="76">
        <f t="shared" ref="C71:C86" si="6">75*ns</f>
        <v>7.500000000000001E-8</v>
      </c>
      <c r="D71" s="76"/>
      <c r="E71" s="76" t="s">
        <v>938</v>
      </c>
      <c r="F71" s="76" t="s">
        <v>168</v>
      </c>
      <c r="G71" s="76" t="s">
        <v>169</v>
      </c>
      <c r="H71" s="76" t="s">
        <v>170</v>
      </c>
      <c r="I71" s="76">
        <v>0</v>
      </c>
      <c r="J71" s="76">
        <f t="shared" si="5"/>
        <v>1.5000000000000002E-8</v>
      </c>
      <c r="K71" s="76"/>
      <c r="L71" s="76"/>
      <c r="M71" s="76" t="s">
        <v>163</v>
      </c>
      <c r="N71" s="76"/>
      <c r="O71" s="76"/>
      <c r="P71" s="76" t="s">
        <v>171</v>
      </c>
    </row>
    <row r="72" spans="2:16" ht="12.75" customHeight="1" x14ac:dyDescent="0.2">
      <c r="B72" s="76" t="s">
        <v>167</v>
      </c>
      <c r="C72" s="76">
        <f t="shared" si="6"/>
        <v>7.500000000000001E-8</v>
      </c>
      <c r="D72" s="76"/>
      <c r="E72" s="76" t="s">
        <v>939</v>
      </c>
      <c r="F72" s="76" t="s">
        <v>168</v>
      </c>
      <c r="G72" s="76" t="s">
        <v>169</v>
      </c>
      <c r="H72" s="76" t="s">
        <v>170</v>
      </c>
      <c r="I72" s="76">
        <v>0</v>
      </c>
      <c r="J72" s="76">
        <f t="shared" si="5"/>
        <v>1.5000000000000002E-8</v>
      </c>
      <c r="K72" s="76"/>
      <c r="L72" s="76"/>
      <c r="M72" s="76" t="s">
        <v>163</v>
      </c>
      <c r="N72" s="76"/>
      <c r="O72" s="76"/>
      <c r="P72" s="76" t="s">
        <v>171</v>
      </c>
    </row>
    <row r="73" spans="2:16" ht="12.75" customHeight="1" x14ac:dyDescent="0.2">
      <c r="B73" s="76" t="s">
        <v>167</v>
      </c>
      <c r="C73" s="76">
        <f t="shared" si="6"/>
        <v>7.500000000000001E-8</v>
      </c>
      <c r="D73" s="76"/>
      <c r="E73" s="76" t="s">
        <v>940</v>
      </c>
      <c r="F73" s="76" t="s">
        <v>168</v>
      </c>
      <c r="G73" s="76" t="s">
        <v>169</v>
      </c>
      <c r="H73" s="76" t="s">
        <v>170</v>
      </c>
      <c r="I73" s="76">
        <v>0</v>
      </c>
      <c r="J73" s="76">
        <f t="shared" si="5"/>
        <v>1.5000000000000002E-8</v>
      </c>
      <c r="K73" s="76"/>
      <c r="L73" s="76"/>
      <c r="M73" s="76" t="s">
        <v>163</v>
      </c>
      <c r="N73" s="76"/>
      <c r="O73" s="76"/>
      <c r="P73" s="76" t="s">
        <v>171</v>
      </c>
    </row>
    <row r="74" spans="2:16" ht="12.75" customHeight="1" x14ac:dyDescent="0.2">
      <c r="B74" s="76" t="s">
        <v>167</v>
      </c>
      <c r="C74" s="76">
        <f t="shared" si="6"/>
        <v>7.500000000000001E-8</v>
      </c>
      <c r="D74" s="76"/>
      <c r="E74" s="76" t="s">
        <v>941</v>
      </c>
      <c r="F74" s="76" t="s">
        <v>168</v>
      </c>
      <c r="G74" s="76" t="s">
        <v>169</v>
      </c>
      <c r="H74" s="76" t="s">
        <v>170</v>
      </c>
      <c r="I74" s="76">
        <v>0</v>
      </c>
      <c r="J74" s="76">
        <f t="shared" si="5"/>
        <v>1.5000000000000002E-8</v>
      </c>
      <c r="K74" s="76"/>
      <c r="L74" s="76"/>
      <c r="M74" s="76" t="s">
        <v>163</v>
      </c>
      <c r="N74" s="76"/>
      <c r="O74" s="76"/>
      <c r="P74" s="76" t="s">
        <v>171</v>
      </c>
    </row>
    <row r="75" spans="2:16" ht="12.75" customHeight="1" x14ac:dyDescent="0.2">
      <c r="B75" s="76" t="s">
        <v>167</v>
      </c>
      <c r="C75" s="76">
        <f t="shared" si="6"/>
        <v>7.500000000000001E-8</v>
      </c>
      <c r="D75" s="76"/>
      <c r="E75" s="76" t="s">
        <v>942</v>
      </c>
      <c r="F75" s="76" t="s">
        <v>168</v>
      </c>
      <c r="G75" s="76" t="s">
        <v>169</v>
      </c>
      <c r="H75" s="76" t="s">
        <v>170</v>
      </c>
      <c r="I75" s="76">
        <v>0</v>
      </c>
      <c r="J75" s="76">
        <f t="shared" si="5"/>
        <v>1.5000000000000002E-8</v>
      </c>
      <c r="K75" s="76"/>
      <c r="L75" s="76"/>
      <c r="M75" s="76" t="s">
        <v>163</v>
      </c>
      <c r="N75" s="76"/>
      <c r="O75" s="76"/>
      <c r="P75" s="76" t="s">
        <v>171</v>
      </c>
    </row>
    <row r="76" spans="2:16" ht="12.75" customHeight="1" x14ac:dyDescent="0.2">
      <c r="B76" s="76" t="s">
        <v>167</v>
      </c>
      <c r="C76" s="76">
        <f t="shared" si="6"/>
        <v>7.500000000000001E-8</v>
      </c>
      <c r="D76" s="76"/>
      <c r="E76" s="76" t="s">
        <v>943</v>
      </c>
      <c r="F76" s="76" t="s">
        <v>168</v>
      </c>
      <c r="G76" s="76" t="s">
        <v>169</v>
      </c>
      <c r="H76" s="76" t="s">
        <v>170</v>
      </c>
      <c r="I76" s="76">
        <v>0</v>
      </c>
      <c r="J76" s="76">
        <f t="shared" si="5"/>
        <v>1.5000000000000002E-8</v>
      </c>
      <c r="K76" s="76"/>
      <c r="L76" s="76"/>
      <c r="M76" s="76" t="s">
        <v>163</v>
      </c>
      <c r="N76" s="76"/>
      <c r="O76" s="76"/>
      <c r="P76" s="76" t="s">
        <v>171</v>
      </c>
    </row>
    <row r="77" spans="2:16" ht="12.75" customHeight="1" x14ac:dyDescent="0.2">
      <c r="B77" s="76" t="s">
        <v>167</v>
      </c>
      <c r="C77" s="76">
        <f t="shared" si="6"/>
        <v>7.500000000000001E-8</v>
      </c>
      <c r="D77" s="76"/>
      <c r="E77" s="76" t="s">
        <v>944</v>
      </c>
      <c r="F77" s="76" t="s">
        <v>168</v>
      </c>
      <c r="G77" s="76" t="s">
        <v>169</v>
      </c>
      <c r="H77" s="76" t="s">
        <v>170</v>
      </c>
      <c r="I77" s="76">
        <v>0</v>
      </c>
      <c r="J77" s="76">
        <f t="shared" si="5"/>
        <v>1.5000000000000002E-8</v>
      </c>
      <c r="K77" s="76"/>
      <c r="L77" s="76"/>
      <c r="M77" s="76" t="s">
        <v>163</v>
      </c>
      <c r="N77" s="76"/>
      <c r="O77" s="76"/>
      <c r="P77" s="76" t="s">
        <v>171</v>
      </c>
    </row>
    <row r="78" spans="2:16" ht="12.75" customHeight="1" x14ac:dyDescent="0.2">
      <c r="B78" s="76" t="s">
        <v>167</v>
      </c>
      <c r="C78" s="76">
        <f t="shared" si="6"/>
        <v>7.500000000000001E-8</v>
      </c>
      <c r="D78" s="76"/>
      <c r="E78" s="76" t="s">
        <v>945</v>
      </c>
      <c r="F78" s="76" t="s">
        <v>168</v>
      </c>
      <c r="G78" s="76" t="s">
        <v>169</v>
      </c>
      <c r="H78" s="76" t="s">
        <v>170</v>
      </c>
      <c r="I78" s="76">
        <v>0</v>
      </c>
      <c r="J78" s="76">
        <f t="shared" si="5"/>
        <v>1.5000000000000002E-8</v>
      </c>
      <c r="K78" s="76"/>
      <c r="L78" s="76"/>
      <c r="M78" s="76" t="s">
        <v>163</v>
      </c>
      <c r="N78" s="76"/>
      <c r="O78" s="76"/>
      <c r="P78" s="76" t="s">
        <v>171</v>
      </c>
    </row>
    <row r="79" spans="2:16" ht="12.75" customHeight="1" x14ac:dyDescent="0.2">
      <c r="B79" s="76" t="s">
        <v>167</v>
      </c>
      <c r="C79" s="76">
        <f t="shared" si="6"/>
        <v>7.500000000000001E-8</v>
      </c>
      <c r="D79" s="76"/>
      <c r="E79" s="76" t="s">
        <v>946</v>
      </c>
      <c r="F79" s="76" t="s">
        <v>168</v>
      </c>
      <c r="G79" s="76" t="s">
        <v>169</v>
      </c>
      <c r="H79" s="76" t="s">
        <v>170</v>
      </c>
      <c r="I79" s="76">
        <v>0</v>
      </c>
      <c r="J79" s="76">
        <f t="shared" si="5"/>
        <v>1.5000000000000002E-8</v>
      </c>
      <c r="K79" s="76"/>
      <c r="L79" s="76"/>
      <c r="M79" s="76" t="s">
        <v>163</v>
      </c>
      <c r="N79" s="76"/>
      <c r="O79" s="76"/>
      <c r="P79" s="76" t="s">
        <v>171</v>
      </c>
    </row>
    <row r="80" spans="2:16" ht="12.75" customHeight="1" x14ac:dyDescent="0.2">
      <c r="B80" s="76" t="s">
        <v>167</v>
      </c>
      <c r="C80" s="76">
        <f t="shared" si="6"/>
        <v>7.500000000000001E-8</v>
      </c>
      <c r="D80" s="76"/>
      <c r="E80" s="76" t="s">
        <v>97</v>
      </c>
      <c r="F80" s="76" t="s">
        <v>168</v>
      </c>
      <c r="G80" s="76" t="s">
        <v>169</v>
      </c>
      <c r="H80" s="76" t="s">
        <v>170</v>
      </c>
      <c r="I80" s="76">
        <v>0</v>
      </c>
      <c r="J80" s="76">
        <f t="shared" si="5"/>
        <v>1.5000000000000002E-8</v>
      </c>
      <c r="K80" s="76"/>
      <c r="L80" s="76"/>
      <c r="M80" s="76" t="s">
        <v>163</v>
      </c>
      <c r="N80" s="76"/>
      <c r="O80" s="76"/>
      <c r="P80" s="76" t="s">
        <v>171</v>
      </c>
    </row>
    <row r="81" spans="2:16" ht="12.75" customHeight="1" x14ac:dyDescent="0.2">
      <c r="B81" s="76" t="s">
        <v>167</v>
      </c>
      <c r="C81" s="76">
        <f t="shared" si="6"/>
        <v>7.500000000000001E-8</v>
      </c>
      <c r="D81" s="76"/>
      <c r="E81" s="76" t="s">
        <v>98</v>
      </c>
      <c r="F81" s="76" t="s">
        <v>168</v>
      </c>
      <c r="G81" s="76" t="s">
        <v>169</v>
      </c>
      <c r="H81" s="76" t="s">
        <v>170</v>
      </c>
      <c r="I81" s="76">
        <v>0</v>
      </c>
      <c r="J81" s="76">
        <f t="shared" si="5"/>
        <v>1.5000000000000002E-8</v>
      </c>
      <c r="K81" s="76"/>
      <c r="L81" s="76"/>
      <c r="M81" s="76" t="s">
        <v>163</v>
      </c>
      <c r="N81" s="76"/>
      <c r="O81" s="76"/>
      <c r="P81" s="76" t="s">
        <v>171</v>
      </c>
    </row>
    <row r="82" spans="2:16" ht="12.75" customHeight="1" x14ac:dyDescent="0.2">
      <c r="B82" s="76" t="s">
        <v>167</v>
      </c>
      <c r="C82" s="76">
        <f>75*ns</f>
        <v>7.500000000000001E-8</v>
      </c>
      <c r="D82" s="76"/>
      <c r="E82" s="76" t="s">
        <v>103</v>
      </c>
      <c r="F82" s="76" t="s">
        <v>168</v>
      </c>
      <c r="G82" s="76" t="s">
        <v>169</v>
      </c>
      <c r="H82" s="76" t="s">
        <v>170</v>
      </c>
      <c r="I82" s="76">
        <v>0</v>
      </c>
      <c r="J82" s="76">
        <f>C82*0.2</f>
        <v>1.5000000000000002E-8</v>
      </c>
      <c r="K82" s="76"/>
      <c r="L82" s="76"/>
      <c r="M82" s="76" t="s">
        <v>163</v>
      </c>
      <c r="N82" s="76"/>
      <c r="O82" s="76"/>
      <c r="P82" s="76" t="s">
        <v>171</v>
      </c>
    </row>
    <row r="83" spans="2:16" ht="12.75" customHeight="1" x14ac:dyDescent="0.2">
      <c r="B83" s="76" t="s">
        <v>167</v>
      </c>
      <c r="C83" s="76">
        <f>75*ns</f>
        <v>7.500000000000001E-8</v>
      </c>
      <c r="D83" s="76"/>
      <c r="E83" s="76" t="s">
        <v>109</v>
      </c>
      <c r="F83" s="76" t="s">
        <v>168</v>
      </c>
      <c r="G83" s="76" t="s">
        <v>169</v>
      </c>
      <c r="H83" s="76" t="s">
        <v>170</v>
      </c>
      <c r="I83" s="76">
        <v>0</v>
      </c>
      <c r="J83" s="76">
        <f>C83*0.2</f>
        <v>1.5000000000000002E-8</v>
      </c>
      <c r="K83" s="76"/>
      <c r="L83" s="76">
        <v>0</v>
      </c>
      <c r="M83" s="76" t="s">
        <v>172</v>
      </c>
      <c r="N83" s="76">
        <f>C83*0.9</f>
        <v>6.7500000000000015E-8</v>
      </c>
      <c r="O83" s="76"/>
      <c r="P83" s="76" t="s">
        <v>171</v>
      </c>
    </row>
    <row r="84" spans="2:16" ht="12.75" customHeight="1" x14ac:dyDescent="0.2">
      <c r="B84" s="76" t="s">
        <v>167</v>
      </c>
      <c r="C84" s="76">
        <f>75*ns</f>
        <v>7.500000000000001E-8</v>
      </c>
      <c r="D84" s="76"/>
      <c r="E84" s="76" t="s">
        <v>111</v>
      </c>
      <c r="F84" s="76" t="s">
        <v>168</v>
      </c>
      <c r="G84" s="76" t="s">
        <v>169</v>
      </c>
      <c r="H84" s="76" t="s">
        <v>170</v>
      </c>
      <c r="I84" s="76">
        <v>0</v>
      </c>
      <c r="J84" s="76">
        <v>0</v>
      </c>
      <c r="K84" s="76"/>
      <c r="L84" s="76">
        <v>0</v>
      </c>
      <c r="M84" s="76" t="s">
        <v>172</v>
      </c>
      <c r="N84" s="76">
        <f>C84*0.9</f>
        <v>6.7500000000000015E-8</v>
      </c>
      <c r="O84" s="76"/>
      <c r="P84" s="76" t="s">
        <v>171</v>
      </c>
    </row>
    <row r="85" spans="2:16" ht="12.75" customHeight="1" x14ac:dyDescent="0.2">
      <c r="B85" s="76" t="s">
        <v>167</v>
      </c>
      <c r="C85" s="76">
        <f t="shared" si="6"/>
        <v>7.500000000000001E-8</v>
      </c>
      <c r="D85" s="76"/>
      <c r="E85" s="76" t="s">
        <v>120</v>
      </c>
      <c r="F85" s="76" t="s">
        <v>168</v>
      </c>
      <c r="G85" s="76" t="s">
        <v>169</v>
      </c>
      <c r="H85" s="76" t="s">
        <v>170</v>
      </c>
      <c r="I85" s="76">
        <v>0</v>
      </c>
      <c r="J85" s="76">
        <f t="shared" si="5"/>
        <v>1.5000000000000002E-8</v>
      </c>
      <c r="K85" s="76"/>
      <c r="L85" s="76">
        <v>0</v>
      </c>
      <c r="M85" s="76" t="s">
        <v>172</v>
      </c>
      <c r="N85" s="76">
        <f>C85*0.9</f>
        <v>6.7500000000000015E-8</v>
      </c>
      <c r="O85" s="76"/>
      <c r="P85" s="76" t="s">
        <v>171</v>
      </c>
    </row>
    <row r="86" spans="2:16" ht="12.75" customHeight="1" x14ac:dyDescent="0.2">
      <c r="B86" s="76" t="s">
        <v>167</v>
      </c>
      <c r="C86" s="76">
        <f t="shared" si="6"/>
        <v>7.500000000000001E-8</v>
      </c>
      <c r="D86" s="76"/>
      <c r="E86" s="76" t="s">
        <v>121</v>
      </c>
      <c r="F86" s="76" t="s">
        <v>168</v>
      </c>
      <c r="G86" s="76" t="s">
        <v>169</v>
      </c>
      <c r="H86" s="76" t="s">
        <v>170</v>
      </c>
      <c r="I86" s="76">
        <v>0</v>
      </c>
      <c r="J86" s="76">
        <f t="shared" si="5"/>
        <v>1.5000000000000002E-8</v>
      </c>
      <c r="K86" s="76"/>
      <c r="L86" s="76">
        <v>0</v>
      </c>
      <c r="M86" s="76" t="s">
        <v>172</v>
      </c>
      <c r="N86" s="76">
        <f>C86*0.9</f>
        <v>6.7500000000000015E-8</v>
      </c>
      <c r="O86" s="76"/>
      <c r="P86" s="76" t="s">
        <v>171</v>
      </c>
    </row>
  </sheetData>
  <autoFilter ref="E6:E7"/>
  <dataValidations disablePrompts="1" count="1">
    <dataValidation type="list" allowBlank="1" showInputMessage="1" showErrorMessage="1" sqref="C3">
      <formula1>"Normal,Extended,Quad"</formula1>
    </dataValidation>
  </dataValidations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outlinePr summaryBelow="0" summaryRight="0"/>
  </sheetPr>
  <dimension ref="A1:P166"/>
  <sheetViews>
    <sheetView showGridLines="0" zoomScaleNormal="100" workbookViewId="0">
      <pane ySplit="6" topLeftCell="A7" activePane="bottomLeft" state="frozen"/>
      <selection pane="bottomLeft" activeCell="N153" sqref="N153"/>
    </sheetView>
  </sheetViews>
  <sheetFormatPr defaultRowHeight="12.75" x14ac:dyDescent="0.2"/>
  <cols>
    <col min="1" max="1" width="9.140625" style="75"/>
    <col min="2" max="3" width="13.42578125" style="75" customWidth="1"/>
    <col min="4" max="4" width="6.28515625" style="75" customWidth="1"/>
    <col min="5" max="5" width="13.42578125" style="75" customWidth="1"/>
    <col min="6" max="6" width="9.28515625" style="75" bestFit="1" customWidth="1"/>
    <col min="7" max="8" width="9.140625" style="75"/>
    <col min="9" max="12" width="13.42578125" style="75" customWidth="1"/>
    <col min="13" max="13" width="9.140625" style="75"/>
    <col min="14" max="15" width="13.42578125" style="75" customWidth="1"/>
    <col min="16" max="16" width="42.85546875" style="75" customWidth="1"/>
    <col min="17" max="16384" width="9.140625" style="75"/>
  </cols>
  <sheetData>
    <row r="1" spans="1:16" ht="25.5" customHeight="1" x14ac:dyDescent="0.2">
      <c r="A1" s="75" t="s">
        <v>61</v>
      </c>
      <c r="B1" s="75" t="s">
        <v>146</v>
      </c>
    </row>
    <row r="3" spans="1:16" x14ac:dyDescent="0.2">
      <c r="B3" s="1" t="s">
        <v>147</v>
      </c>
      <c r="C3" s="2" t="s">
        <v>237</v>
      </c>
      <c r="E3" s="1" t="s">
        <v>148</v>
      </c>
      <c r="F3" s="2">
        <f>1*us</f>
        <v>9.9999999999999995E-7</v>
      </c>
      <c r="H3" s="1" t="s">
        <v>149</v>
      </c>
      <c r="I3" s="2">
        <f>1*us</f>
        <v>9.9999999999999995E-7</v>
      </c>
    </row>
    <row r="5" spans="1:16" x14ac:dyDescent="0.2">
      <c r="C5" s="75" t="s">
        <v>150</v>
      </c>
      <c r="E5" s="75" t="s">
        <v>151</v>
      </c>
      <c r="G5" s="75" t="s">
        <v>152</v>
      </c>
      <c r="I5" s="75" t="s">
        <v>153</v>
      </c>
      <c r="M5" s="75" t="s">
        <v>154</v>
      </c>
    </row>
    <row r="6" spans="1:16" x14ac:dyDescent="0.2">
      <c r="B6" s="75" t="s">
        <v>155</v>
      </c>
      <c r="C6" s="75" t="s">
        <v>156</v>
      </c>
      <c r="D6" s="75" t="s">
        <v>157</v>
      </c>
      <c r="E6" s="75" t="s">
        <v>20</v>
      </c>
      <c r="F6" s="75" t="s">
        <v>158</v>
      </c>
      <c r="G6" s="75" t="s">
        <v>159</v>
      </c>
      <c r="H6" s="75" t="s">
        <v>160</v>
      </c>
      <c r="I6" s="75" t="s">
        <v>161</v>
      </c>
      <c r="J6" s="75" t="s">
        <v>152</v>
      </c>
      <c r="K6" s="75" t="s">
        <v>162</v>
      </c>
      <c r="L6" s="75" t="s">
        <v>163</v>
      </c>
      <c r="M6" s="75" t="s">
        <v>164</v>
      </c>
      <c r="N6" s="75" t="s">
        <v>165</v>
      </c>
      <c r="O6" s="75" t="s">
        <v>166</v>
      </c>
      <c r="P6" s="75" t="s">
        <v>4</v>
      </c>
    </row>
    <row r="7" spans="1:16" ht="19.149999999999999" customHeight="1" x14ac:dyDescent="0.2">
      <c r="B7" s="76" t="s">
        <v>547</v>
      </c>
      <c r="C7" s="76">
        <f t="shared" ref="C7:C38" si="0">80*ns</f>
        <v>8.0000000000000002E-8</v>
      </c>
      <c r="D7" s="76">
        <v>1</v>
      </c>
      <c r="E7" s="76" t="s">
        <v>912</v>
      </c>
      <c r="F7" s="76" t="s">
        <v>168</v>
      </c>
      <c r="G7" s="76" t="s">
        <v>169</v>
      </c>
      <c r="H7" s="76" t="s">
        <v>516</v>
      </c>
      <c r="I7" s="76">
        <v>0</v>
      </c>
      <c r="J7" s="76">
        <f>0.25*C7</f>
        <v>2E-8</v>
      </c>
      <c r="K7" s="76">
        <f>0.75*C7</f>
        <v>6.0000000000000008E-8</v>
      </c>
      <c r="L7" s="76">
        <f t="shared" ref="L7:L38" si="1">C7</f>
        <v>8.0000000000000002E-8</v>
      </c>
      <c r="M7" s="76" t="s">
        <v>163</v>
      </c>
      <c r="N7" s="76"/>
      <c r="O7" s="76" t="s">
        <v>535</v>
      </c>
      <c r="P7" s="76" t="s">
        <v>537</v>
      </c>
    </row>
    <row r="8" spans="1:16" ht="12.75" customHeight="1" x14ac:dyDescent="0.2">
      <c r="B8" s="76" t="s">
        <v>547</v>
      </c>
      <c r="C8" s="76">
        <f t="shared" si="0"/>
        <v>8.0000000000000002E-8</v>
      </c>
      <c r="D8" s="76">
        <v>1</v>
      </c>
      <c r="E8" s="76" t="s">
        <v>96</v>
      </c>
      <c r="F8" s="76" t="s">
        <v>168</v>
      </c>
      <c r="G8" s="76" t="s">
        <v>169</v>
      </c>
      <c r="H8" s="76" t="s">
        <v>516</v>
      </c>
      <c r="I8" s="76">
        <v>0</v>
      </c>
      <c r="J8" s="76">
        <f>0.25*C8</f>
        <v>2E-8</v>
      </c>
      <c r="K8" s="76">
        <f>0.75*C8</f>
        <v>6.0000000000000008E-8</v>
      </c>
      <c r="L8" s="76">
        <f t="shared" si="1"/>
        <v>8.0000000000000002E-8</v>
      </c>
      <c r="M8" s="76" t="s">
        <v>163</v>
      </c>
      <c r="N8" s="76"/>
      <c r="O8" s="76" t="s">
        <v>535</v>
      </c>
      <c r="P8" s="76" t="s">
        <v>537</v>
      </c>
    </row>
    <row r="9" spans="1:16" ht="12.75" customHeight="1" x14ac:dyDescent="0.2">
      <c r="B9" s="76" t="s">
        <v>547</v>
      </c>
      <c r="C9" s="76">
        <f t="shared" si="0"/>
        <v>8.0000000000000002E-8</v>
      </c>
      <c r="D9" s="76">
        <v>1</v>
      </c>
      <c r="E9" s="76" t="s">
        <v>137</v>
      </c>
      <c r="F9" s="76" t="s">
        <v>168</v>
      </c>
      <c r="G9" s="76" t="s">
        <v>169</v>
      </c>
      <c r="H9" s="76" t="s">
        <v>170</v>
      </c>
      <c r="I9" s="76">
        <v>0</v>
      </c>
      <c r="J9" s="76">
        <f t="shared" ref="J9:J26" si="2">0*C9</f>
        <v>0</v>
      </c>
      <c r="K9" s="76" t="s">
        <v>535</v>
      </c>
      <c r="L9" s="76">
        <f t="shared" si="1"/>
        <v>8.0000000000000002E-8</v>
      </c>
      <c r="M9" s="76" t="s">
        <v>172</v>
      </c>
      <c r="N9" s="76">
        <f>1.8*C9</f>
        <v>1.4400000000000002E-7</v>
      </c>
      <c r="O9" s="76">
        <f t="shared" ref="O9:O24" si="3">0.5*C9</f>
        <v>4.0000000000000001E-8</v>
      </c>
      <c r="P9" s="76" t="s">
        <v>536</v>
      </c>
    </row>
    <row r="10" spans="1:16" ht="12.75" customHeight="1" x14ac:dyDescent="0.2">
      <c r="B10" s="76" t="s">
        <v>547</v>
      </c>
      <c r="C10" s="76">
        <f t="shared" si="0"/>
        <v>8.0000000000000002E-8</v>
      </c>
      <c r="D10" s="76">
        <v>1</v>
      </c>
      <c r="E10" s="76" t="s">
        <v>127</v>
      </c>
      <c r="F10" s="76" t="s">
        <v>168</v>
      </c>
      <c r="G10" s="76" t="s">
        <v>169</v>
      </c>
      <c r="H10" s="76" t="s">
        <v>170</v>
      </c>
      <c r="I10" s="76">
        <v>0</v>
      </c>
      <c r="J10" s="76">
        <f t="shared" si="2"/>
        <v>0</v>
      </c>
      <c r="K10" s="76" t="s">
        <v>535</v>
      </c>
      <c r="L10" s="76">
        <f t="shared" si="1"/>
        <v>8.0000000000000002E-8</v>
      </c>
      <c r="M10" s="76" t="s">
        <v>172</v>
      </c>
      <c r="N10" s="76">
        <f t="shared" ref="N10:N15" si="4">0.25*C10</f>
        <v>2E-8</v>
      </c>
      <c r="O10" s="76">
        <f t="shared" si="3"/>
        <v>4.0000000000000001E-8</v>
      </c>
      <c r="P10" s="76" t="s">
        <v>536</v>
      </c>
    </row>
    <row r="11" spans="1:16" ht="12.75" customHeight="1" x14ac:dyDescent="0.2">
      <c r="B11" s="76" t="s">
        <v>547</v>
      </c>
      <c r="C11" s="76">
        <f t="shared" si="0"/>
        <v>8.0000000000000002E-8</v>
      </c>
      <c r="D11" s="76">
        <v>1</v>
      </c>
      <c r="E11" s="76" t="s">
        <v>126</v>
      </c>
      <c r="F11" s="76" t="s">
        <v>168</v>
      </c>
      <c r="G11" s="76" t="s">
        <v>169</v>
      </c>
      <c r="H11" s="76" t="s">
        <v>170</v>
      </c>
      <c r="I11" s="76">
        <v>0</v>
      </c>
      <c r="J11" s="76">
        <f t="shared" si="2"/>
        <v>0</v>
      </c>
      <c r="K11" s="76" t="s">
        <v>535</v>
      </c>
      <c r="L11" s="76">
        <f t="shared" si="1"/>
        <v>8.0000000000000002E-8</v>
      </c>
      <c r="M11" s="76" t="s">
        <v>172</v>
      </c>
      <c r="N11" s="76">
        <f t="shared" si="4"/>
        <v>2E-8</v>
      </c>
      <c r="O11" s="76">
        <f t="shared" si="3"/>
        <v>4.0000000000000001E-8</v>
      </c>
      <c r="P11" s="76" t="s">
        <v>536</v>
      </c>
    </row>
    <row r="12" spans="1:16" ht="12.75" customHeight="1" x14ac:dyDescent="0.2">
      <c r="B12" s="76" t="s">
        <v>547</v>
      </c>
      <c r="C12" s="76">
        <f t="shared" si="0"/>
        <v>8.0000000000000002E-8</v>
      </c>
      <c r="D12" s="76">
        <v>1</v>
      </c>
      <c r="E12" s="76" t="s">
        <v>125</v>
      </c>
      <c r="F12" s="76" t="s">
        <v>168</v>
      </c>
      <c r="G12" s="76" t="s">
        <v>169</v>
      </c>
      <c r="H12" s="76" t="s">
        <v>170</v>
      </c>
      <c r="I12" s="76">
        <v>0</v>
      </c>
      <c r="J12" s="76">
        <f t="shared" si="2"/>
        <v>0</v>
      </c>
      <c r="K12" s="76" t="s">
        <v>535</v>
      </c>
      <c r="L12" s="76">
        <f t="shared" si="1"/>
        <v>8.0000000000000002E-8</v>
      </c>
      <c r="M12" s="76" t="s">
        <v>172</v>
      </c>
      <c r="N12" s="76">
        <f t="shared" si="4"/>
        <v>2E-8</v>
      </c>
      <c r="O12" s="76">
        <f t="shared" si="3"/>
        <v>4.0000000000000001E-8</v>
      </c>
      <c r="P12" s="76" t="s">
        <v>536</v>
      </c>
    </row>
    <row r="13" spans="1:16" ht="12.75" customHeight="1" x14ac:dyDescent="0.2">
      <c r="B13" s="76" t="s">
        <v>547</v>
      </c>
      <c r="C13" s="76">
        <f t="shared" si="0"/>
        <v>8.0000000000000002E-8</v>
      </c>
      <c r="D13" s="76">
        <v>1</v>
      </c>
      <c r="E13" s="76" t="s">
        <v>124</v>
      </c>
      <c r="F13" s="76" t="s">
        <v>168</v>
      </c>
      <c r="G13" s="76" t="s">
        <v>169</v>
      </c>
      <c r="H13" s="76" t="s">
        <v>170</v>
      </c>
      <c r="I13" s="76">
        <v>0</v>
      </c>
      <c r="J13" s="76">
        <f t="shared" si="2"/>
        <v>0</v>
      </c>
      <c r="K13" s="76" t="s">
        <v>535</v>
      </c>
      <c r="L13" s="76">
        <f t="shared" si="1"/>
        <v>8.0000000000000002E-8</v>
      </c>
      <c r="M13" s="76" t="s">
        <v>172</v>
      </c>
      <c r="N13" s="76">
        <f t="shared" si="4"/>
        <v>2E-8</v>
      </c>
      <c r="O13" s="76">
        <f t="shared" si="3"/>
        <v>4.0000000000000001E-8</v>
      </c>
      <c r="P13" s="76" t="s">
        <v>536</v>
      </c>
    </row>
    <row r="14" spans="1:16" ht="12.75" customHeight="1" x14ac:dyDescent="0.2">
      <c r="B14" s="76" t="s">
        <v>547</v>
      </c>
      <c r="C14" s="76">
        <f t="shared" si="0"/>
        <v>8.0000000000000002E-8</v>
      </c>
      <c r="D14" s="76">
        <v>1</v>
      </c>
      <c r="E14" s="76" t="s">
        <v>123</v>
      </c>
      <c r="F14" s="76" t="s">
        <v>168</v>
      </c>
      <c r="G14" s="76" t="s">
        <v>169</v>
      </c>
      <c r="H14" s="76" t="s">
        <v>170</v>
      </c>
      <c r="I14" s="76">
        <v>0</v>
      </c>
      <c r="J14" s="76">
        <f t="shared" si="2"/>
        <v>0</v>
      </c>
      <c r="K14" s="76" t="s">
        <v>535</v>
      </c>
      <c r="L14" s="76">
        <f t="shared" si="1"/>
        <v>8.0000000000000002E-8</v>
      </c>
      <c r="M14" s="76" t="s">
        <v>172</v>
      </c>
      <c r="N14" s="76">
        <f t="shared" si="4"/>
        <v>2E-8</v>
      </c>
      <c r="O14" s="76">
        <f t="shared" si="3"/>
        <v>4.0000000000000001E-8</v>
      </c>
      <c r="P14" s="76" t="s">
        <v>536</v>
      </c>
    </row>
    <row r="15" spans="1:16" ht="12.75" customHeight="1" x14ac:dyDescent="0.2">
      <c r="B15" s="76" t="s">
        <v>547</v>
      </c>
      <c r="C15" s="76">
        <f t="shared" si="0"/>
        <v>8.0000000000000002E-8</v>
      </c>
      <c r="D15" s="76">
        <v>1</v>
      </c>
      <c r="E15" s="76" t="s">
        <v>122</v>
      </c>
      <c r="F15" s="76" t="s">
        <v>168</v>
      </c>
      <c r="G15" s="76" t="s">
        <v>169</v>
      </c>
      <c r="H15" s="76" t="s">
        <v>170</v>
      </c>
      <c r="I15" s="76">
        <v>0</v>
      </c>
      <c r="J15" s="76">
        <f t="shared" si="2"/>
        <v>0</v>
      </c>
      <c r="K15" s="76" t="s">
        <v>535</v>
      </c>
      <c r="L15" s="76">
        <f t="shared" si="1"/>
        <v>8.0000000000000002E-8</v>
      </c>
      <c r="M15" s="76" t="s">
        <v>172</v>
      </c>
      <c r="N15" s="76">
        <f t="shared" si="4"/>
        <v>2E-8</v>
      </c>
      <c r="O15" s="76">
        <f t="shared" si="3"/>
        <v>4.0000000000000001E-8</v>
      </c>
      <c r="P15" s="76" t="s">
        <v>536</v>
      </c>
    </row>
    <row r="16" spans="1:16" ht="12.75" customHeight="1" x14ac:dyDescent="0.2">
      <c r="B16" s="76" t="s">
        <v>547</v>
      </c>
      <c r="C16" s="76">
        <f t="shared" si="0"/>
        <v>8.0000000000000002E-8</v>
      </c>
      <c r="D16" s="76">
        <v>1</v>
      </c>
      <c r="E16" s="76" t="s">
        <v>136</v>
      </c>
      <c r="F16" s="76" t="s">
        <v>168</v>
      </c>
      <c r="G16" s="76" t="s">
        <v>169</v>
      </c>
      <c r="H16" s="76" t="s">
        <v>170</v>
      </c>
      <c r="I16" s="76">
        <v>0</v>
      </c>
      <c r="J16" s="76">
        <f t="shared" si="2"/>
        <v>0</v>
      </c>
      <c r="K16" s="76" t="s">
        <v>535</v>
      </c>
      <c r="L16" s="76">
        <f t="shared" si="1"/>
        <v>8.0000000000000002E-8</v>
      </c>
      <c r="M16" s="76" t="s">
        <v>172</v>
      </c>
      <c r="N16" s="76">
        <f t="shared" ref="N16:N22" si="5">1.8*C16</f>
        <v>1.4400000000000002E-7</v>
      </c>
      <c r="O16" s="76">
        <f t="shared" si="3"/>
        <v>4.0000000000000001E-8</v>
      </c>
      <c r="P16" s="76" t="s">
        <v>536</v>
      </c>
    </row>
    <row r="17" spans="2:16" ht="12.75" customHeight="1" x14ac:dyDescent="0.2">
      <c r="B17" s="76" t="s">
        <v>547</v>
      </c>
      <c r="C17" s="76">
        <f t="shared" si="0"/>
        <v>8.0000000000000002E-8</v>
      </c>
      <c r="D17" s="76">
        <v>1</v>
      </c>
      <c r="E17" s="76" t="s">
        <v>135</v>
      </c>
      <c r="F17" s="76" t="s">
        <v>168</v>
      </c>
      <c r="G17" s="76" t="s">
        <v>169</v>
      </c>
      <c r="H17" s="76" t="s">
        <v>170</v>
      </c>
      <c r="I17" s="76">
        <v>0</v>
      </c>
      <c r="J17" s="76">
        <f t="shared" si="2"/>
        <v>0</v>
      </c>
      <c r="K17" s="76" t="s">
        <v>535</v>
      </c>
      <c r="L17" s="76">
        <f t="shared" si="1"/>
        <v>8.0000000000000002E-8</v>
      </c>
      <c r="M17" s="76" t="s">
        <v>172</v>
      </c>
      <c r="N17" s="76">
        <f t="shared" si="5"/>
        <v>1.4400000000000002E-7</v>
      </c>
      <c r="O17" s="76">
        <f t="shared" si="3"/>
        <v>4.0000000000000001E-8</v>
      </c>
      <c r="P17" s="76" t="s">
        <v>536</v>
      </c>
    </row>
    <row r="18" spans="2:16" ht="12.75" customHeight="1" x14ac:dyDescent="0.2">
      <c r="B18" s="76" t="s">
        <v>547</v>
      </c>
      <c r="C18" s="76">
        <f t="shared" si="0"/>
        <v>8.0000000000000002E-8</v>
      </c>
      <c r="D18" s="76">
        <v>1</v>
      </c>
      <c r="E18" s="76" t="s">
        <v>134</v>
      </c>
      <c r="F18" s="76" t="s">
        <v>168</v>
      </c>
      <c r="G18" s="76" t="s">
        <v>169</v>
      </c>
      <c r="H18" s="76" t="s">
        <v>170</v>
      </c>
      <c r="I18" s="76">
        <v>0</v>
      </c>
      <c r="J18" s="76">
        <f t="shared" si="2"/>
        <v>0</v>
      </c>
      <c r="K18" s="76" t="s">
        <v>535</v>
      </c>
      <c r="L18" s="76">
        <f t="shared" si="1"/>
        <v>8.0000000000000002E-8</v>
      </c>
      <c r="M18" s="76" t="s">
        <v>172</v>
      </c>
      <c r="N18" s="76">
        <f t="shared" si="5"/>
        <v>1.4400000000000002E-7</v>
      </c>
      <c r="O18" s="76">
        <f t="shared" si="3"/>
        <v>4.0000000000000001E-8</v>
      </c>
      <c r="P18" s="76" t="s">
        <v>536</v>
      </c>
    </row>
    <row r="19" spans="2:16" ht="12.75" customHeight="1" x14ac:dyDescent="0.2">
      <c r="B19" s="76" t="s">
        <v>547</v>
      </c>
      <c r="C19" s="76">
        <f t="shared" si="0"/>
        <v>8.0000000000000002E-8</v>
      </c>
      <c r="D19" s="76">
        <v>1</v>
      </c>
      <c r="E19" s="76" t="s">
        <v>133</v>
      </c>
      <c r="F19" s="76" t="s">
        <v>168</v>
      </c>
      <c r="G19" s="76" t="s">
        <v>169</v>
      </c>
      <c r="H19" s="76" t="s">
        <v>170</v>
      </c>
      <c r="I19" s="76">
        <v>0</v>
      </c>
      <c r="J19" s="76">
        <f t="shared" si="2"/>
        <v>0</v>
      </c>
      <c r="K19" s="76" t="s">
        <v>535</v>
      </c>
      <c r="L19" s="76">
        <f t="shared" si="1"/>
        <v>8.0000000000000002E-8</v>
      </c>
      <c r="M19" s="76" t="s">
        <v>172</v>
      </c>
      <c r="N19" s="76">
        <f t="shared" si="5"/>
        <v>1.4400000000000002E-7</v>
      </c>
      <c r="O19" s="76">
        <f t="shared" si="3"/>
        <v>4.0000000000000001E-8</v>
      </c>
      <c r="P19" s="76" t="s">
        <v>536</v>
      </c>
    </row>
    <row r="20" spans="2:16" ht="12.75" customHeight="1" x14ac:dyDescent="0.2">
      <c r="B20" s="76" t="s">
        <v>547</v>
      </c>
      <c r="C20" s="76">
        <f t="shared" si="0"/>
        <v>8.0000000000000002E-8</v>
      </c>
      <c r="D20" s="76">
        <v>1</v>
      </c>
      <c r="E20" s="76" t="s">
        <v>132</v>
      </c>
      <c r="F20" s="76" t="s">
        <v>168</v>
      </c>
      <c r="G20" s="76" t="s">
        <v>169</v>
      </c>
      <c r="H20" s="76" t="s">
        <v>170</v>
      </c>
      <c r="I20" s="76">
        <v>0</v>
      </c>
      <c r="J20" s="76">
        <f t="shared" si="2"/>
        <v>0</v>
      </c>
      <c r="K20" s="76" t="s">
        <v>535</v>
      </c>
      <c r="L20" s="76">
        <f t="shared" si="1"/>
        <v>8.0000000000000002E-8</v>
      </c>
      <c r="M20" s="76" t="s">
        <v>172</v>
      </c>
      <c r="N20" s="76">
        <f t="shared" si="5"/>
        <v>1.4400000000000002E-7</v>
      </c>
      <c r="O20" s="76">
        <f t="shared" si="3"/>
        <v>4.0000000000000001E-8</v>
      </c>
      <c r="P20" s="76" t="s">
        <v>536</v>
      </c>
    </row>
    <row r="21" spans="2:16" ht="12.75" customHeight="1" x14ac:dyDescent="0.2">
      <c r="B21" s="76" t="s">
        <v>547</v>
      </c>
      <c r="C21" s="76">
        <f t="shared" si="0"/>
        <v>8.0000000000000002E-8</v>
      </c>
      <c r="D21" s="76">
        <v>1</v>
      </c>
      <c r="E21" s="76" t="s">
        <v>131</v>
      </c>
      <c r="F21" s="76" t="s">
        <v>168</v>
      </c>
      <c r="G21" s="76" t="s">
        <v>169</v>
      </c>
      <c r="H21" s="76" t="s">
        <v>170</v>
      </c>
      <c r="I21" s="76">
        <v>0</v>
      </c>
      <c r="J21" s="76">
        <f t="shared" si="2"/>
        <v>0</v>
      </c>
      <c r="K21" s="76" t="s">
        <v>535</v>
      </c>
      <c r="L21" s="76">
        <f t="shared" si="1"/>
        <v>8.0000000000000002E-8</v>
      </c>
      <c r="M21" s="76" t="s">
        <v>172</v>
      </c>
      <c r="N21" s="76">
        <f t="shared" si="5"/>
        <v>1.4400000000000002E-7</v>
      </c>
      <c r="O21" s="76">
        <f t="shared" si="3"/>
        <v>4.0000000000000001E-8</v>
      </c>
      <c r="P21" s="76" t="s">
        <v>536</v>
      </c>
    </row>
    <row r="22" spans="2:16" ht="12.75" customHeight="1" x14ac:dyDescent="0.2">
      <c r="B22" s="76" t="s">
        <v>547</v>
      </c>
      <c r="C22" s="76">
        <f t="shared" si="0"/>
        <v>8.0000000000000002E-8</v>
      </c>
      <c r="D22" s="76">
        <v>1</v>
      </c>
      <c r="E22" s="76" t="s">
        <v>130</v>
      </c>
      <c r="F22" s="76" t="s">
        <v>168</v>
      </c>
      <c r="G22" s="76" t="s">
        <v>169</v>
      </c>
      <c r="H22" s="76" t="s">
        <v>170</v>
      </c>
      <c r="I22" s="76">
        <v>0</v>
      </c>
      <c r="J22" s="76">
        <f t="shared" si="2"/>
        <v>0</v>
      </c>
      <c r="K22" s="76" t="s">
        <v>535</v>
      </c>
      <c r="L22" s="76">
        <f t="shared" si="1"/>
        <v>8.0000000000000002E-8</v>
      </c>
      <c r="M22" s="76" t="s">
        <v>172</v>
      </c>
      <c r="N22" s="76">
        <f t="shared" si="5"/>
        <v>1.4400000000000002E-7</v>
      </c>
      <c r="O22" s="76">
        <f t="shared" si="3"/>
        <v>4.0000000000000001E-8</v>
      </c>
      <c r="P22" s="76" t="s">
        <v>536</v>
      </c>
    </row>
    <row r="23" spans="2:16" ht="12.75" customHeight="1" x14ac:dyDescent="0.2">
      <c r="B23" s="76" t="s">
        <v>547</v>
      </c>
      <c r="C23" s="76">
        <f t="shared" si="0"/>
        <v>8.0000000000000002E-8</v>
      </c>
      <c r="D23" s="76">
        <v>1</v>
      </c>
      <c r="E23" s="76" t="s">
        <v>129</v>
      </c>
      <c r="F23" s="76" t="s">
        <v>168</v>
      </c>
      <c r="G23" s="76" t="s">
        <v>169</v>
      </c>
      <c r="H23" s="76" t="s">
        <v>170</v>
      </c>
      <c r="I23" s="76">
        <v>0</v>
      </c>
      <c r="J23" s="76">
        <f t="shared" si="2"/>
        <v>0</v>
      </c>
      <c r="K23" s="76" t="s">
        <v>535</v>
      </c>
      <c r="L23" s="76">
        <f t="shared" si="1"/>
        <v>8.0000000000000002E-8</v>
      </c>
      <c r="M23" s="76" t="s">
        <v>172</v>
      </c>
      <c r="N23" s="76">
        <f>0.1*C23</f>
        <v>8.0000000000000005E-9</v>
      </c>
      <c r="O23" s="76">
        <f t="shared" si="3"/>
        <v>4.0000000000000001E-8</v>
      </c>
      <c r="P23" s="76" t="s">
        <v>536</v>
      </c>
    </row>
    <row r="24" spans="2:16" ht="12.75" customHeight="1" x14ac:dyDescent="0.2">
      <c r="B24" s="76" t="s">
        <v>547</v>
      </c>
      <c r="C24" s="76">
        <f t="shared" si="0"/>
        <v>8.0000000000000002E-8</v>
      </c>
      <c r="D24" s="76">
        <v>1</v>
      </c>
      <c r="E24" s="76" t="s">
        <v>128</v>
      </c>
      <c r="F24" s="76" t="s">
        <v>168</v>
      </c>
      <c r="G24" s="76" t="s">
        <v>169</v>
      </c>
      <c r="H24" s="76" t="s">
        <v>170</v>
      </c>
      <c r="I24" s="76">
        <v>0</v>
      </c>
      <c r="J24" s="76">
        <f t="shared" si="2"/>
        <v>0</v>
      </c>
      <c r="K24" s="76" t="s">
        <v>535</v>
      </c>
      <c r="L24" s="76">
        <f t="shared" si="1"/>
        <v>8.0000000000000002E-8</v>
      </c>
      <c r="M24" s="76" t="s">
        <v>172</v>
      </c>
      <c r="N24" s="76">
        <f>0.1*C24</f>
        <v>8.0000000000000005E-9</v>
      </c>
      <c r="O24" s="76">
        <f t="shared" si="3"/>
        <v>4.0000000000000001E-8</v>
      </c>
      <c r="P24" s="76" t="s">
        <v>536</v>
      </c>
    </row>
    <row r="25" spans="2:16" ht="12.75" customHeight="1" x14ac:dyDescent="0.2">
      <c r="B25" s="76" t="s">
        <v>547</v>
      </c>
      <c r="C25" s="76">
        <f t="shared" si="0"/>
        <v>8.0000000000000002E-8</v>
      </c>
      <c r="D25" s="76">
        <v>1</v>
      </c>
      <c r="E25" s="76" t="s">
        <v>98</v>
      </c>
      <c r="F25" s="76" t="s">
        <v>168</v>
      </c>
      <c r="G25" s="76" t="s">
        <v>169</v>
      </c>
      <c r="H25" s="76" t="s">
        <v>170</v>
      </c>
      <c r="I25" s="76">
        <v>0</v>
      </c>
      <c r="J25" s="76">
        <f t="shared" si="2"/>
        <v>0</v>
      </c>
      <c r="K25" s="76" t="s">
        <v>535</v>
      </c>
      <c r="L25" s="76">
        <f t="shared" si="1"/>
        <v>8.0000000000000002E-8</v>
      </c>
      <c r="M25" s="76" t="s">
        <v>163</v>
      </c>
      <c r="N25" s="76"/>
      <c r="O25" s="76" t="s">
        <v>535</v>
      </c>
      <c r="P25" s="76" t="s">
        <v>536</v>
      </c>
    </row>
    <row r="26" spans="2:16" ht="12.75" customHeight="1" x14ac:dyDescent="0.2">
      <c r="B26" s="76" t="s">
        <v>547</v>
      </c>
      <c r="C26" s="76">
        <f t="shared" si="0"/>
        <v>8.0000000000000002E-8</v>
      </c>
      <c r="D26" s="76">
        <v>1</v>
      </c>
      <c r="E26" s="76" t="s">
        <v>99</v>
      </c>
      <c r="F26" s="76" t="s">
        <v>168</v>
      </c>
      <c r="G26" s="76" t="s">
        <v>169</v>
      </c>
      <c r="H26" s="76" t="s">
        <v>170</v>
      </c>
      <c r="I26" s="76">
        <v>0</v>
      </c>
      <c r="J26" s="76">
        <f t="shared" si="2"/>
        <v>0</v>
      </c>
      <c r="K26" s="76" t="s">
        <v>535</v>
      </c>
      <c r="L26" s="76">
        <f t="shared" si="1"/>
        <v>8.0000000000000002E-8</v>
      </c>
      <c r="M26" s="76" t="s">
        <v>172</v>
      </c>
      <c r="N26" s="76">
        <f>0.1*C26</f>
        <v>8.0000000000000005E-9</v>
      </c>
      <c r="O26" s="76">
        <f>0.5*C26</f>
        <v>4.0000000000000001E-8</v>
      </c>
      <c r="P26" s="76" t="s">
        <v>536</v>
      </c>
    </row>
    <row r="27" spans="2:16" ht="12.75" customHeight="1" x14ac:dyDescent="0.2">
      <c r="B27" s="76" t="s">
        <v>547</v>
      </c>
      <c r="C27" s="76">
        <f t="shared" si="0"/>
        <v>8.0000000000000002E-8</v>
      </c>
      <c r="D27" s="76">
        <v>1</v>
      </c>
      <c r="E27" s="76" t="s">
        <v>898</v>
      </c>
      <c r="F27" s="76" t="s">
        <v>168</v>
      </c>
      <c r="G27" s="76" t="s">
        <v>169</v>
      </c>
      <c r="H27" s="76" t="s">
        <v>516</v>
      </c>
      <c r="I27" s="76">
        <v>0</v>
      </c>
      <c r="J27" s="76">
        <f>0.25*C27</f>
        <v>2E-8</v>
      </c>
      <c r="K27" s="76">
        <f>0.75*C27</f>
        <v>6.0000000000000008E-8</v>
      </c>
      <c r="L27" s="76">
        <f t="shared" si="1"/>
        <v>8.0000000000000002E-8</v>
      </c>
      <c r="M27" s="76" t="s">
        <v>163</v>
      </c>
      <c r="N27" s="76"/>
      <c r="O27" s="76" t="s">
        <v>535</v>
      </c>
      <c r="P27" s="76" t="s">
        <v>537</v>
      </c>
    </row>
    <row r="28" spans="2:16" ht="12.75" customHeight="1" x14ac:dyDescent="0.2">
      <c r="B28" s="76" t="s">
        <v>547</v>
      </c>
      <c r="C28" s="76">
        <f t="shared" si="0"/>
        <v>8.0000000000000002E-8</v>
      </c>
      <c r="D28" s="76">
        <v>1</v>
      </c>
      <c r="E28" s="76" t="s">
        <v>899</v>
      </c>
      <c r="F28" s="76" t="s">
        <v>168</v>
      </c>
      <c r="G28" s="76" t="s">
        <v>169</v>
      </c>
      <c r="H28" s="76" t="s">
        <v>516</v>
      </c>
      <c r="I28" s="76">
        <v>0</v>
      </c>
      <c r="J28" s="76">
        <f>0.25*C28</f>
        <v>2E-8</v>
      </c>
      <c r="K28" s="76">
        <f>0.75*C28</f>
        <v>6.0000000000000008E-8</v>
      </c>
      <c r="L28" s="76">
        <f t="shared" si="1"/>
        <v>8.0000000000000002E-8</v>
      </c>
      <c r="M28" s="76" t="s">
        <v>163</v>
      </c>
      <c r="N28" s="76"/>
      <c r="O28" s="76" t="s">
        <v>535</v>
      </c>
      <c r="P28" s="76" t="s">
        <v>537</v>
      </c>
    </row>
    <row r="29" spans="2:16" ht="12.75" customHeight="1" x14ac:dyDescent="0.2">
      <c r="B29" s="76" t="s">
        <v>547</v>
      </c>
      <c r="C29" s="76">
        <f t="shared" si="0"/>
        <v>8.0000000000000002E-8</v>
      </c>
      <c r="D29" s="76">
        <v>1</v>
      </c>
      <c r="E29" s="76" t="s">
        <v>900</v>
      </c>
      <c r="F29" s="76" t="s">
        <v>168</v>
      </c>
      <c r="G29" s="76" t="s">
        <v>169</v>
      </c>
      <c r="H29" s="76" t="s">
        <v>170</v>
      </c>
      <c r="I29" s="76">
        <v>0</v>
      </c>
      <c r="J29" s="76">
        <f t="shared" ref="J29:J77" si="6">0*C29</f>
        <v>0</v>
      </c>
      <c r="K29" s="76" t="s">
        <v>535</v>
      </c>
      <c r="L29" s="76">
        <f t="shared" si="1"/>
        <v>8.0000000000000002E-8</v>
      </c>
      <c r="M29" s="76" t="s">
        <v>163</v>
      </c>
      <c r="N29" s="76"/>
      <c r="O29" s="76" t="s">
        <v>535</v>
      </c>
      <c r="P29" s="76" t="s">
        <v>536</v>
      </c>
    </row>
    <row r="30" spans="2:16" ht="12.75" customHeight="1" x14ac:dyDescent="0.2">
      <c r="B30" s="76" t="s">
        <v>547</v>
      </c>
      <c r="C30" s="76">
        <f t="shared" si="0"/>
        <v>8.0000000000000002E-8</v>
      </c>
      <c r="D30" s="76">
        <v>1</v>
      </c>
      <c r="E30" s="76" t="s">
        <v>901</v>
      </c>
      <c r="F30" s="76" t="s">
        <v>168</v>
      </c>
      <c r="G30" s="76" t="s">
        <v>169</v>
      </c>
      <c r="H30" s="76" t="s">
        <v>170</v>
      </c>
      <c r="I30" s="76">
        <v>0</v>
      </c>
      <c r="J30" s="76">
        <f t="shared" si="6"/>
        <v>0</v>
      </c>
      <c r="K30" s="76" t="s">
        <v>535</v>
      </c>
      <c r="L30" s="76">
        <f t="shared" si="1"/>
        <v>8.0000000000000002E-8</v>
      </c>
      <c r="M30" s="76" t="s">
        <v>163</v>
      </c>
      <c r="N30" s="76"/>
      <c r="O30" s="76" t="s">
        <v>535</v>
      </c>
      <c r="P30" s="76" t="s">
        <v>536</v>
      </c>
    </row>
    <row r="31" spans="2:16" ht="12.75" customHeight="1" x14ac:dyDescent="0.2">
      <c r="B31" s="76" t="s">
        <v>547</v>
      </c>
      <c r="C31" s="76">
        <f t="shared" si="0"/>
        <v>8.0000000000000002E-8</v>
      </c>
      <c r="D31" s="76">
        <v>1</v>
      </c>
      <c r="E31" s="76" t="s">
        <v>902</v>
      </c>
      <c r="F31" s="76" t="s">
        <v>168</v>
      </c>
      <c r="G31" s="76" t="s">
        <v>169</v>
      </c>
      <c r="H31" s="76" t="s">
        <v>170</v>
      </c>
      <c r="I31" s="76">
        <v>0</v>
      </c>
      <c r="J31" s="76">
        <f t="shared" si="6"/>
        <v>0</v>
      </c>
      <c r="K31" s="76" t="s">
        <v>535</v>
      </c>
      <c r="L31" s="76">
        <f t="shared" si="1"/>
        <v>8.0000000000000002E-8</v>
      </c>
      <c r="M31" s="76" t="s">
        <v>163</v>
      </c>
      <c r="N31" s="76"/>
      <c r="O31" s="76" t="s">
        <v>535</v>
      </c>
      <c r="P31" s="76" t="s">
        <v>536</v>
      </c>
    </row>
    <row r="32" spans="2:16" ht="12.75" customHeight="1" x14ac:dyDescent="0.2">
      <c r="B32" s="76" t="s">
        <v>547</v>
      </c>
      <c r="C32" s="76">
        <f t="shared" si="0"/>
        <v>8.0000000000000002E-8</v>
      </c>
      <c r="D32" s="76">
        <v>1</v>
      </c>
      <c r="E32" s="76" t="s">
        <v>903</v>
      </c>
      <c r="F32" s="76" t="s">
        <v>168</v>
      </c>
      <c r="G32" s="76" t="s">
        <v>169</v>
      </c>
      <c r="H32" s="76" t="s">
        <v>170</v>
      </c>
      <c r="I32" s="76">
        <v>0</v>
      </c>
      <c r="J32" s="76">
        <f t="shared" si="6"/>
        <v>0</v>
      </c>
      <c r="K32" s="76" t="s">
        <v>535</v>
      </c>
      <c r="L32" s="76">
        <f t="shared" si="1"/>
        <v>8.0000000000000002E-8</v>
      </c>
      <c r="M32" s="76" t="s">
        <v>163</v>
      </c>
      <c r="N32" s="76"/>
      <c r="O32" s="76" t="s">
        <v>535</v>
      </c>
      <c r="P32" s="76" t="s">
        <v>536</v>
      </c>
    </row>
    <row r="33" spans="2:16" ht="12.75" customHeight="1" x14ac:dyDescent="0.2">
      <c r="B33" s="76" t="s">
        <v>547</v>
      </c>
      <c r="C33" s="76">
        <f t="shared" si="0"/>
        <v>8.0000000000000002E-8</v>
      </c>
      <c r="D33" s="76">
        <v>1</v>
      </c>
      <c r="E33" s="76" t="s">
        <v>904</v>
      </c>
      <c r="F33" s="76" t="s">
        <v>168</v>
      </c>
      <c r="G33" s="76" t="s">
        <v>169</v>
      </c>
      <c r="H33" s="76" t="s">
        <v>170</v>
      </c>
      <c r="I33" s="76">
        <v>0</v>
      </c>
      <c r="J33" s="76">
        <f t="shared" si="6"/>
        <v>0</v>
      </c>
      <c r="K33" s="76" t="s">
        <v>535</v>
      </c>
      <c r="L33" s="76">
        <f t="shared" si="1"/>
        <v>8.0000000000000002E-8</v>
      </c>
      <c r="M33" s="76" t="s">
        <v>163</v>
      </c>
      <c r="N33" s="76"/>
      <c r="O33" s="76" t="s">
        <v>535</v>
      </c>
      <c r="P33" s="76" t="s">
        <v>536</v>
      </c>
    </row>
    <row r="34" spans="2:16" ht="12.75" customHeight="1" x14ac:dyDescent="0.2">
      <c r="B34" s="76" t="s">
        <v>547</v>
      </c>
      <c r="C34" s="76">
        <f t="shared" si="0"/>
        <v>8.0000000000000002E-8</v>
      </c>
      <c r="D34" s="76">
        <v>1</v>
      </c>
      <c r="E34" s="76" t="s">
        <v>905</v>
      </c>
      <c r="F34" s="76" t="s">
        <v>168</v>
      </c>
      <c r="G34" s="76" t="s">
        <v>169</v>
      </c>
      <c r="H34" s="76" t="s">
        <v>170</v>
      </c>
      <c r="I34" s="76">
        <v>0</v>
      </c>
      <c r="J34" s="76">
        <f t="shared" si="6"/>
        <v>0</v>
      </c>
      <c r="K34" s="76" t="s">
        <v>535</v>
      </c>
      <c r="L34" s="76">
        <f t="shared" si="1"/>
        <v>8.0000000000000002E-8</v>
      </c>
      <c r="M34" s="76" t="s">
        <v>163</v>
      </c>
      <c r="N34" s="76"/>
      <c r="O34" s="76" t="s">
        <v>535</v>
      </c>
      <c r="P34" s="76" t="s">
        <v>536</v>
      </c>
    </row>
    <row r="35" spans="2:16" ht="12.75" customHeight="1" x14ac:dyDescent="0.2">
      <c r="B35" s="76" t="s">
        <v>547</v>
      </c>
      <c r="C35" s="76">
        <f t="shared" si="0"/>
        <v>8.0000000000000002E-8</v>
      </c>
      <c r="D35" s="76">
        <v>1</v>
      </c>
      <c r="E35" s="76" t="s">
        <v>906</v>
      </c>
      <c r="F35" s="76" t="s">
        <v>168</v>
      </c>
      <c r="G35" s="76" t="s">
        <v>169</v>
      </c>
      <c r="H35" s="76" t="s">
        <v>170</v>
      </c>
      <c r="I35" s="76">
        <v>0</v>
      </c>
      <c r="J35" s="76">
        <f t="shared" si="6"/>
        <v>0</v>
      </c>
      <c r="K35" s="76" t="s">
        <v>535</v>
      </c>
      <c r="L35" s="76">
        <f t="shared" si="1"/>
        <v>8.0000000000000002E-8</v>
      </c>
      <c r="M35" s="76" t="s">
        <v>163</v>
      </c>
      <c r="N35" s="76"/>
      <c r="O35" s="76" t="s">
        <v>535</v>
      </c>
      <c r="P35" s="76" t="s">
        <v>536</v>
      </c>
    </row>
    <row r="36" spans="2:16" ht="12.75" customHeight="1" x14ac:dyDescent="0.2">
      <c r="B36" s="76" t="s">
        <v>547</v>
      </c>
      <c r="C36" s="76">
        <f t="shared" si="0"/>
        <v>8.0000000000000002E-8</v>
      </c>
      <c r="D36" s="76">
        <v>1</v>
      </c>
      <c r="E36" s="76" t="s">
        <v>907</v>
      </c>
      <c r="F36" s="76" t="s">
        <v>168</v>
      </c>
      <c r="G36" s="76" t="s">
        <v>169</v>
      </c>
      <c r="H36" s="76" t="s">
        <v>170</v>
      </c>
      <c r="I36" s="76">
        <v>0</v>
      </c>
      <c r="J36" s="76">
        <f t="shared" si="6"/>
        <v>0</v>
      </c>
      <c r="K36" s="76" t="s">
        <v>535</v>
      </c>
      <c r="L36" s="76">
        <f t="shared" si="1"/>
        <v>8.0000000000000002E-8</v>
      </c>
      <c r="M36" s="76" t="s">
        <v>163</v>
      </c>
      <c r="N36" s="76"/>
      <c r="O36" s="76" t="s">
        <v>535</v>
      </c>
      <c r="P36" s="76" t="s">
        <v>536</v>
      </c>
    </row>
    <row r="37" spans="2:16" ht="12.75" customHeight="1" x14ac:dyDescent="0.2">
      <c r="B37" s="76" t="s">
        <v>547</v>
      </c>
      <c r="C37" s="76">
        <f t="shared" si="0"/>
        <v>8.0000000000000002E-8</v>
      </c>
      <c r="D37" s="76">
        <v>1</v>
      </c>
      <c r="E37" s="76" t="s">
        <v>911</v>
      </c>
      <c r="F37" s="76" t="s">
        <v>168</v>
      </c>
      <c r="G37" s="76" t="s">
        <v>169</v>
      </c>
      <c r="H37" s="76" t="s">
        <v>170</v>
      </c>
      <c r="I37" s="76">
        <v>0</v>
      </c>
      <c r="J37" s="76">
        <f t="shared" si="6"/>
        <v>0</v>
      </c>
      <c r="K37" s="76" t="s">
        <v>535</v>
      </c>
      <c r="L37" s="76">
        <f t="shared" si="1"/>
        <v>8.0000000000000002E-8</v>
      </c>
      <c r="M37" s="76" t="s">
        <v>172</v>
      </c>
      <c r="N37" s="76">
        <f>0.1*C37</f>
        <v>8.0000000000000005E-9</v>
      </c>
      <c r="O37" s="76">
        <f>0.5*C37</f>
        <v>4.0000000000000001E-8</v>
      </c>
      <c r="P37" s="76" t="s">
        <v>536</v>
      </c>
    </row>
    <row r="38" spans="2:16" ht="12.75" customHeight="1" x14ac:dyDescent="0.2">
      <c r="B38" s="76" t="s">
        <v>547</v>
      </c>
      <c r="C38" s="76">
        <f t="shared" si="0"/>
        <v>8.0000000000000002E-8</v>
      </c>
      <c r="D38" s="76">
        <v>1</v>
      </c>
      <c r="E38" s="76" t="s">
        <v>908</v>
      </c>
      <c r="F38" s="76" t="s">
        <v>168</v>
      </c>
      <c r="G38" s="76" t="s">
        <v>169</v>
      </c>
      <c r="H38" s="76" t="s">
        <v>170</v>
      </c>
      <c r="I38" s="76">
        <v>0</v>
      </c>
      <c r="J38" s="76">
        <f t="shared" si="6"/>
        <v>0</v>
      </c>
      <c r="K38" s="76" t="s">
        <v>535</v>
      </c>
      <c r="L38" s="76">
        <f t="shared" si="1"/>
        <v>8.0000000000000002E-8</v>
      </c>
      <c r="M38" s="76" t="s">
        <v>163</v>
      </c>
      <c r="N38" s="76"/>
      <c r="O38" s="76" t="s">
        <v>535</v>
      </c>
      <c r="P38" s="76" t="s">
        <v>536</v>
      </c>
    </row>
    <row r="39" spans="2:16" ht="12.75" customHeight="1" x14ac:dyDescent="0.2">
      <c r="B39" s="76" t="s">
        <v>547</v>
      </c>
      <c r="C39" s="76">
        <f t="shared" ref="C39:C70" si="7">80*ns</f>
        <v>8.0000000000000002E-8</v>
      </c>
      <c r="D39" s="76">
        <v>1</v>
      </c>
      <c r="E39" s="76" t="s">
        <v>944</v>
      </c>
      <c r="F39" s="76" t="s">
        <v>168</v>
      </c>
      <c r="G39" s="76" t="s">
        <v>169</v>
      </c>
      <c r="H39" s="76" t="s">
        <v>170</v>
      </c>
      <c r="I39" s="76">
        <v>0</v>
      </c>
      <c r="J39" s="76">
        <f t="shared" si="6"/>
        <v>0</v>
      </c>
      <c r="K39" s="76" t="s">
        <v>535</v>
      </c>
      <c r="L39" s="76">
        <f t="shared" ref="L39:L70" si="8">C39</f>
        <v>8.0000000000000002E-8</v>
      </c>
      <c r="M39" s="76" t="s">
        <v>163</v>
      </c>
      <c r="N39" s="76"/>
      <c r="O39" s="76" t="s">
        <v>535</v>
      </c>
      <c r="P39" s="76" t="s">
        <v>536</v>
      </c>
    </row>
    <row r="40" spans="2:16" ht="12.75" customHeight="1" x14ac:dyDescent="0.2">
      <c r="B40" s="76" t="s">
        <v>547</v>
      </c>
      <c r="C40" s="76">
        <f t="shared" si="7"/>
        <v>8.0000000000000002E-8</v>
      </c>
      <c r="D40" s="76">
        <v>1</v>
      </c>
      <c r="E40" s="76" t="s">
        <v>934</v>
      </c>
      <c r="F40" s="76" t="s">
        <v>168</v>
      </c>
      <c r="G40" s="76" t="s">
        <v>169</v>
      </c>
      <c r="H40" s="76" t="s">
        <v>170</v>
      </c>
      <c r="I40" s="76">
        <v>0</v>
      </c>
      <c r="J40" s="76">
        <f t="shared" si="6"/>
        <v>0</v>
      </c>
      <c r="K40" s="76" t="s">
        <v>535</v>
      </c>
      <c r="L40" s="76">
        <f t="shared" si="8"/>
        <v>8.0000000000000002E-8</v>
      </c>
      <c r="M40" s="76" t="s">
        <v>163</v>
      </c>
      <c r="N40" s="76"/>
      <c r="O40" s="76" t="s">
        <v>535</v>
      </c>
      <c r="P40" s="76" t="s">
        <v>536</v>
      </c>
    </row>
    <row r="41" spans="2:16" ht="12.75" customHeight="1" x14ac:dyDescent="0.2">
      <c r="B41" s="76" t="s">
        <v>547</v>
      </c>
      <c r="C41" s="76">
        <f t="shared" si="7"/>
        <v>8.0000000000000002E-8</v>
      </c>
      <c r="D41" s="76">
        <v>1</v>
      </c>
      <c r="E41" s="76" t="s">
        <v>933</v>
      </c>
      <c r="F41" s="76" t="s">
        <v>168</v>
      </c>
      <c r="G41" s="76" t="s">
        <v>169</v>
      </c>
      <c r="H41" s="76" t="s">
        <v>170</v>
      </c>
      <c r="I41" s="76">
        <v>0</v>
      </c>
      <c r="J41" s="76">
        <f t="shared" si="6"/>
        <v>0</v>
      </c>
      <c r="K41" s="76" t="s">
        <v>535</v>
      </c>
      <c r="L41" s="76">
        <f t="shared" si="8"/>
        <v>8.0000000000000002E-8</v>
      </c>
      <c r="M41" s="76" t="s">
        <v>163</v>
      </c>
      <c r="N41" s="76"/>
      <c r="O41" s="76" t="s">
        <v>535</v>
      </c>
      <c r="P41" s="76" t="s">
        <v>536</v>
      </c>
    </row>
    <row r="42" spans="2:16" ht="12.75" customHeight="1" x14ac:dyDescent="0.2">
      <c r="B42" s="76" t="s">
        <v>547</v>
      </c>
      <c r="C42" s="76">
        <f t="shared" si="7"/>
        <v>8.0000000000000002E-8</v>
      </c>
      <c r="D42" s="76">
        <v>1</v>
      </c>
      <c r="E42" s="76" t="s">
        <v>932</v>
      </c>
      <c r="F42" s="76" t="s">
        <v>168</v>
      </c>
      <c r="G42" s="76" t="s">
        <v>169</v>
      </c>
      <c r="H42" s="76" t="s">
        <v>170</v>
      </c>
      <c r="I42" s="76">
        <v>0</v>
      </c>
      <c r="J42" s="76">
        <f t="shared" si="6"/>
        <v>0</v>
      </c>
      <c r="K42" s="76" t="s">
        <v>535</v>
      </c>
      <c r="L42" s="76">
        <f t="shared" si="8"/>
        <v>8.0000000000000002E-8</v>
      </c>
      <c r="M42" s="76" t="s">
        <v>163</v>
      </c>
      <c r="N42" s="76"/>
      <c r="O42" s="76" t="s">
        <v>535</v>
      </c>
      <c r="P42" s="76" t="s">
        <v>536</v>
      </c>
    </row>
    <row r="43" spans="2:16" ht="12.75" customHeight="1" x14ac:dyDescent="0.2">
      <c r="B43" s="76" t="s">
        <v>547</v>
      </c>
      <c r="C43" s="76">
        <f t="shared" si="7"/>
        <v>8.0000000000000002E-8</v>
      </c>
      <c r="D43" s="76">
        <v>1</v>
      </c>
      <c r="E43" s="76" t="s">
        <v>931</v>
      </c>
      <c r="F43" s="76" t="s">
        <v>168</v>
      </c>
      <c r="G43" s="76" t="s">
        <v>169</v>
      </c>
      <c r="H43" s="76" t="s">
        <v>170</v>
      </c>
      <c r="I43" s="76">
        <v>0</v>
      </c>
      <c r="J43" s="76">
        <f t="shared" si="6"/>
        <v>0</v>
      </c>
      <c r="K43" s="76" t="s">
        <v>535</v>
      </c>
      <c r="L43" s="76">
        <f t="shared" si="8"/>
        <v>8.0000000000000002E-8</v>
      </c>
      <c r="M43" s="76" t="s">
        <v>163</v>
      </c>
      <c r="N43" s="76"/>
      <c r="O43" s="76" t="s">
        <v>535</v>
      </c>
      <c r="P43" s="76" t="s">
        <v>536</v>
      </c>
    </row>
    <row r="44" spans="2:16" ht="12.75" customHeight="1" x14ac:dyDescent="0.2">
      <c r="B44" s="76" t="s">
        <v>547</v>
      </c>
      <c r="C44" s="76">
        <f t="shared" si="7"/>
        <v>8.0000000000000002E-8</v>
      </c>
      <c r="D44" s="76">
        <v>1</v>
      </c>
      <c r="E44" s="76" t="s">
        <v>930</v>
      </c>
      <c r="F44" s="76" t="s">
        <v>168</v>
      </c>
      <c r="G44" s="76" t="s">
        <v>169</v>
      </c>
      <c r="H44" s="76" t="s">
        <v>170</v>
      </c>
      <c r="I44" s="76">
        <v>0</v>
      </c>
      <c r="J44" s="76">
        <f t="shared" si="6"/>
        <v>0</v>
      </c>
      <c r="K44" s="76" t="s">
        <v>535</v>
      </c>
      <c r="L44" s="76">
        <f t="shared" si="8"/>
        <v>8.0000000000000002E-8</v>
      </c>
      <c r="M44" s="76" t="s">
        <v>163</v>
      </c>
      <c r="N44" s="76"/>
      <c r="O44" s="76" t="s">
        <v>535</v>
      </c>
      <c r="P44" s="76" t="s">
        <v>536</v>
      </c>
    </row>
    <row r="45" spans="2:16" ht="12.75" customHeight="1" x14ac:dyDescent="0.2">
      <c r="B45" s="76" t="s">
        <v>547</v>
      </c>
      <c r="C45" s="76">
        <f t="shared" si="7"/>
        <v>8.0000000000000002E-8</v>
      </c>
      <c r="D45" s="76">
        <v>1</v>
      </c>
      <c r="E45" s="76" t="s">
        <v>929</v>
      </c>
      <c r="F45" s="76" t="s">
        <v>168</v>
      </c>
      <c r="G45" s="76" t="s">
        <v>169</v>
      </c>
      <c r="H45" s="76" t="s">
        <v>170</v>
      </c>
      <c r="I45" s="76">
        <v>0</v>
      </c>
      <c r="J45" s="76">
        <f t="shared" si="6"/>
        <v>0</v>
      </c>
      <c r="K45" s="76" t="s">
        <v>535</v>
      </c>
      <c r="L45" s="76">
        <f t="shared" si="8"/>
        <v>8.0000000000000002E-8</v>
      </c>
      <c r="M45" s="76" t="s">
        <v>163</v>
      </c>
      <c r="N45" s="76"/>
      <c r="O45" s="76" t="s">
        <v>535</v>
      </c>
      <c r="P45" s="76" t="s">
        <v>536</v>
      </c>
    </row>
    <row r="46" spans="2:16" ht="12.75" customHeight="1" x14ac:dyDescent="0.2">
      <c r="B46" s="76" t="s">
        <v>547</v>
      </c>
      <c r="C46" s="76">
        <f t="shared" si="7"/>
        <v>8.0000000000000002E-8</v>
      </c>
      <c r="D46" s="76">
        <v>1</v>
      </c>
      <c r="E46" s="76" t="s">
        <v>928</v>
      </c>
      <c r="F46" s="76" t="s">
        <v>168</v>
      </c>
      <c r="G46" s="76" t="s">
        <v>169</v>
      </c>
      <c r="H46" s="76" t="s">
        <v>170</v>
      </c>
      <c r="I46" s="76">
        <v>0</v>
      </c>
      <c r="J46" s="76">
        <f t="shared" si="6"/>
        <v>0</v>
      </c>
      <c r="K46" s="76" t="s">
        <v>535</v>
      </c>
      <c r="L46" s="76">
        <f t="shared" si="8"/>
        <v>8.0000000000000002E-8</v>
      </c>
      <c r="M46" s="76" t="s">
        <v>163</v>
      </c>
      <c r="N46" s="76"/>
      <c r="O46" s="76" t="s">
        <v>535</v>
      </c>
      <c r="P46" s="76" t="s">
        <v>536</v>
      </c>
    </row>
    <row r="47" spans="2:16" ht="12.75" customHeight="1" x14ac:dyDescent="0.2">
      <c r="B47" s="76" t="s">
        <v>547</v>
      </c>
      <c r="C47" s="76">
        <f t="shared" si="7"/>
        <v>8.0000000000000002E-8</v>
      </c>
      <c r="D47" s="76">
        <v>1</v>
      </c>
      <c r="E47" s="76" t="s">
        <v>927</v>
      </c>
      <c r="F47" s="76" t="s">
        <v>168</v>
      </c>
      <c r="G47" s="76" t="s">
        <v>169</v>
      </c>
      <c r="H47" s="76" t="s">
        <v>170</v>
      </c>
      <c r="I47" s="76">
        <v>0</v>
      </c>
      <c r="J47" s="76">
        <f t="shared" si="6"/>
        <v>0</v>
      </c>
      <c r="K47" s="76" t="s">
        <v>535</v>
      </c>
      <c r="L47" s="76">
        <f t="shared" si="8"/>
        <v>8.0000000000000002E-8</v>
      </c>
      <c r="M47" s="76" t="s">
        <v>163</v>
      </c>
      <c r="N47" s="76"/>
      <c r="O47" s="76" t="s">
        <v>535</v>
      </c>
      <c r="P47" s="76" t="s">
        <v>536</v>
      </c>
    </row>
    <row r="48" spans="2:16" ht="12.75" customHeight="1" x14ac:dyDescent="0.2">
      <c r="B48" s="76" t="s">
        <v>547</v>
      </c>
      <c r="C48" s="76">
        <f t="shared" si="7"/>
        <v>8.0000000000000002E-8</v>
      </c>
      <c r="D48" s="76">
        <v>1</v>
      </c>
      <c r="E48" s="76" t="s">
        <v>926</v>
      </c>
      <c r="F48" s="76" t="s">
        <v>168</v>
      </c>
      <c r="G48" s="76" t="s">
        <v>169</v>
      </c>
      <c r="H48" s="76" t="s">
        <v>170</v>
      </c>
      <c r="I48" s="76">
        <v>0</v>
      </c>
      <c r="J48" s="76">
        <f t="shared" si="6"/>
        <v>0</v>
      </c>
      <c r="K48" s="76" t="s">
        <v>535</v>
      </c>
      <c r="L48" s="76">
        <f t="shared" si="8"/>
        <v>8.0000000000000002E-8</v>
      </c>
      <c r="M48" s="76" t="s">
        <v>163</v>
      </c>
      <c r="N48" s="76"/>
      <c r="O48" s="76" t="s">
        <v>535</v>
      </c>
      <c r="P48" s="76" t="s">
        <v>536</v>
      </c>
    </row>
    <row r="49" spans="2:16" ht="12.75" customHeight="1" x14ac:dyDescent="0.2">
      <c r="B49" s="76" t="s">
        <v>547</v>
      </c>
      <c r="C49" s="76">
        <f t="shared" si="7"/>
        <v>8.0000000000000002E-8</v>
      </c>
      <c r="D49" s="76">
        <v>1</v>
      </c>
      <c r="E49" s="76" t="s">
        <v>925</v>
      </c>
      <c r="F49" s="76" t="s">
        <v>168</v>
      </c>
      <c r="G49" s="76" t="s">
        <v>169</v>
      </c>
      <c r="H49" s="76" t="s">
        <v>170</v>
      </c>
      <c r="I49" s="76">
        <v>0</v>
      </c>
      <c r="J49" s="76">
        <f t="shared" si="6"/>
        <v>0</v>
      </c>
      <c r="K49" s="76" t="s">
        <v>535</v>
      </c>
      <c r="L49" s="76">
        <f t="shared" si="8"/>
        <v>8.0000000000000002E-8</v>
      </c>
      <c r="M49" s="76" t="s">
        <v>163</v>
      </c>
      <c r="N49" s="76"/>
      <c r="O49" s="76" t="s">
        <v>535</v>
      </c>
      <c r="P49" s="76" t="s">
        <v>536</v>
      </c>
    </row>
    <row r="50" spans="2:16" ht="12.75" customHeight="1" x14ac:dyDescent="0.2">
      <c r="B50" s="76" t="s">
        <v>547</v>
      </c>
      <c r="C50" s="76">
        <f t="shared" si="7"/>
        <v>8.0000000000000002E-8</v>
      </c>
      <c r="D50" s="76">
        <v>1</v>
      </c>
      <c r="E50" s="76" t="s">
        <v>943</v>
      </c>
      <c r="F50" s="76" t="s">
        <v>168</v>
      </c>
      <c r="G50" s="76" t="s">
        <v>169</v>
      </c>
      <c r="H50" s="76" t="s">
        <v>170</v>
      </c>
      <c r="I50" s="76">
        <v>0</v>
      </c>
      <c r="J50" s="76">
        <f t="shared" si="6"/>
        <v>0</v>
      </c>
      <c r="K50" s="76" t="s">
        <v>535</v>
      </c>
      <c r="L50" s="76">
        <f t="shared" si="8"/>
        <v>8.0000000000000002E-8</v>
      </c>
      <c r="M50" s="76" t="s">
        <v>163</v>
      </c>
      <c r="N50" s="76"/>
      <c r="O50" s="76" t="s">
        <v>535</v>
      </c>
      <c r="P50" s="76" t="s">
        <v>536</v>
      </c>
    </row>
    <row r="51" spans="2:16" ht="12.75" customHeight="1" x14ac:dyDescent="0.2">
      <c r="B51" s="76" t="s">
        <v>547</v>
      </c>
      <c r="C51" s="76">
        <f t="shared" si="7"/>
        <v>8.0000000000000002E-8</v>
      </c>
      <c r="D51" s="76">
        <v>1</v>
      </c>
      <c r="E51" s="76" t="s">
        <v>924</v>
      </c>
      <c r="F51" s="76" t="s">
        <v>168</v>
      </c>
      <c r="G51" s="76" t="s">
        <v>169</v>
      </c>
      <c r="H51" s="76" t="s">
        <v>170</v>
      </c>
      <c r="I51" s="76">
        <v>0</v>
      </c>
      <c r="J51" s="76">
        <f t="shared" si="6"/>
        <v>0</v>
      </c>
      <c r="K51" s="76" t="s">
        <v>535</v>
      </c>
      <c r="L51" s="76">
        <f t="shared" si="8"/>
        <v>8.0000000000000002E-8</v>
      </c>
      <c r="M51" s="76" t="s">
        <v>163</v>
      </c>
      <c r="N51" s="76"/>
      <c r="O51" s="76" t="s">
        <v>535</v>
      </c>
      <c r="P51" s="76" t="s">
        <v>536</v>
      </c>
    </row>
    <row r="52" spans="2:16" ht="12.75" customHeight="1" x14ac:dyDescent="0.2">
      <c r="B52" s="76" t="s">
        <v>547</v>
      </c>
      <c r="C52" s="76">
        <f t="shared" si="7"/>
        <v>8.0000000000000002E-8</v>
      </c>
      <c r="D52" s="76">
        <v>1</v>
      </c>
      <c r="E52" s="76" t="s">
        <v>923</v>
      </c>
      <c r="F52" s="76" t="s">
        <v>168</v>
      </c>
      <c r="G52" s="76" t="s">
        <v>169</v>
      </c>
      <c r="H52" s="76" t="s">
        <v>170</v>
      </c>
      <c r="I52" s="76">
        <v>0</v>
      </c>
      <c r="J52" s="76">
        <f t="shared" si="6"/>
        <v>0</v>
      </c>
      <c r="K52" s="76" t="s">
        <v>535</v>
      </c>
      <c r="L52" s="76">
        <f t="shared" si="8"/>
        <v>8.0000000000000002E-8</v>
      </c>
      <c r="M52" s="76" t="s">
        <v>163</v>
      </c>
      <c r="N52" s="76"/>
      <c r="O52" s="76" t="s">
        <v>535</v>
      </c>
      <c r="P52" s="76" t="s">
        <v>536</v>
      </c>
    </row>
    <row r="53" spans="2:16" ht="12.75" customHeight="1" x14ac:dyDescent="0.2">
      <c r="B53" s="76" t="s">
        <v>547</v>
      </c>
      <c r="C53" s="76">
        <f t="shared" si="7"/>
        <v>8.0000000000000002E-8</v>
      </c>
      <c r="D53" s="76">
        <v>1</v>
      </c>
      <c r="E53" s="76" t="s">
        <v>922</v>
      </c>
      <c r="F53" s="76" t="s">
        <v>168</v>
      </c>
      <c r="G53" s="76" t="s">
        <v>169</v>
      </c>
      <c r="H53" s="76" t="s">
        <v>170</v>
      </c>
      <c r="I53" s="76">
        <v>0</v>
      </c>
      <c r="J53" s="76">
        <f t="shared" si="6"/>
        <v>0</v>
      </c>
      <c r="K53" s="76" t="s">
        <v>535</v>
      </c>
      <c r="L53" s="76">
        <f t="shared" si="8"/>
        <v>8.0000000000000002E-8</v>
      </c>
      <c r="M53" s="76" t="s">
        <v>163</v>
      </c>
      <c r="N53" s="76"/>
      <c r="O53" s="76" t="s">
        <v>535</v>
      </c>
      <c r="P53" s="76" t="s">
        <v>536</v>
      </c>
    </row>
    <row r="54" spans="2:16" ht="12.75" customHeight="1" x14ac:dyDescent="0.2">
      <c r="B54" s="76" t="s">
        <v>547</v>
      </c>
      <c r="C54" s="76">
        <f t="shared" si="7"/>
        <v>8.0000000000000002E-8</v>
      </c>
      <c r="D54" s="76">
        <v>1</v>
      </c>
      <c r="E54" s="76" t="s">
        <v>921</v>
      </c>
      <c r="F54" s="76" t="s">
        <v>168</v>
      </c>
      <c r="G54" s="76" t="s">
        <v>169</v>
      </c>
      <c r="H54" s="76" t="s">
        <v>170</v>
      </c>
      <c r="I54" s="76">
        <v>0</v>
      </c>
      <c r="J54" s="76">
        <f t="shared" si="6"/>
        <v>0</v>
      </c>
      <c r="K54" s="76" t="s">
        <v>535</v>
      </c>
      <c r="L54" s="76">
        <f t="shared" si="8"/>
        <v>8.0000000000000002E-8</v>
      </c>
      <c r="M54" s="76" t="s">
        <v>163</v>
      </c>
      <c r="N54" s="76"/>
      <c r="O54" s="76" t="s">
        <v>535</v>
      </c>
      <c r="P54" s="76" t="s">
        <v>536</v>
      </c>
    </row>
    <row r="55" spans="2:16" ht="12.75" customHeight="1" x14ac:dyDescent="0.2">
      <c r="B55" s="76" t="s">
        <v>547</v>
      </c>
      <c r="C55" s="76">
        <f t="shared" si="7"/>
        <v>8.0000000000000002E-8</v>
      </c>
      <c r="D55" s="76">
        <v>1</v>
      </c>
      <c r="E55" s="76" t="s">
        <v>920</v>
      </c>
      <c r="F55" s="76" t="s">
        <v>168</v>
      </c>
      <c r="G55" s="76" t="s">
        <v>169</v>
      </c>
      <c r="H55" s="76" t="s">
        <v>170</v>
      </c>
      <c r="I55" s="76">
        <v>0</v>
      </c>
      <c r="J55" s="76">
        <f t="shared" si="6"/>
        <v>0</v>
      </c>
      <c r="K55" s="76" t="s">
        <v>535</v>
      </c>
      <c r="L55" s="76">
        <f t="shared" si="8"/>
        <v>8.0000000000000002E-8</v>
      </c>
      <c r="M55" s="76" t="s">
        <v>163</v>
      </c>
      <c r="N55" s="76"/>
      <c r="O55" s="76" t="s">
        <v>535</v>
      </c>
      <c r="P55" s="76" t="s">
        <v>536</v>
      </c>
    </row>
    <row r="56" spans="2:16" ht="12.75" customHeight="1" x14ac:dyDescent="0.2">
      <c r="B56" s="76" t="s">
        <v>547</v>
      </c>
      <c r="C56" s="76">
        <f t="shared" si="7"/>
        <v>8.0000000000000002E-8</v>
      </c>
      <c r="D56" s="76">
        <v>1</v>
      </c>
      <c r="E56" s="76" t="s">
        <v>919</v>
      </c>
      <c r="F56" s="76" t="s">
        <v>168</v>
      </c>
      <c r="G56" s="76" t="s">
        <v>169</v>
      </c>
      <c r="H56" s="76" t="s">
        <v>170</v>
      </c>
      <c r="I56" s="76">
        <v>0</v>
      </c>
      <c r="J56" s="76">
        <f t="shared" si="6"/>
        <v>0</v>
      </c>
      <c r="K56" s="76" t="s">
        <v>535</v>
      </c>
      <c r="L56" s="76">
        <f t="shared" si="8"/>
        <v>8.0000000000000002E-8</v>
      </c>
      <c r="M56" s="76" t="s">
        <v>163</v>
      </c>
      <c r="N56" s="76"/>
      <c r="O56" s="76" t="s">
        <v>535</v>
      </c>
      <c r="P56" s="76" t="s">
        <v>536</v>
      </c>
    </row>
    <row r="57" spans="2:16" ht="12.75" customHeight="1" x14ac:dyDescent="0.2">
      <c r="B57" s="76" t="s">
        <v>547</v>
      </c>
      <c r="C57" s="76">
        <f t="shared" si="7"/>
        <v>8.0000000000000002E-8</v>
      </c>
      <c r="D57" s="76">
        <v>1</v>
      </c>
      <c r="E57" s="76" t="s">
        <v>918</v>
      </c>
      <c r="F57" s="76" t="s">
        <v>168</v>
      </c>
      <c r="G57" s="76" t="s">
        <v>169</v>
      </c>
      <c r="H57" s="76" t="s">
        <v>170</v>
      </c>
      <c r="I57" s="76">
        <v>0</v>
      </c>
      <c r="J57" s="76">
        <f t="shared" si="6"/>
        <v>0</v>
      </c>
      <c r="K57" s="76" t="s">
        <v>535</v>
      </c>
      <c r="L57" s="76">
        <f t="shared" si="8"/>
        <v>8.0000000000000002E-8</v>
      </c>
      <c r="M57" s="76" t="s">
        <v>163</v>
      </c>
      <c r="N57" s="76"/>
      <c r="O57" s="76" t="s">
        <v>535</v>
      </c>
      <c r="P57" s="76" t="s">
        <v>536</v>
      </c>
    </row>
    <row r="58" spans="2:16" ht="12.75" customHeight="1" x14ac:dyDescent="0.2">
      <c r="B58" s="76" t="s">
        <v>547</v>
      </c>
      <c r="C58" s="76">
        <f t="shared" si="7"/>
        <v>8.0000000000000002E-8</v>
      </c>
      <c r="D58" s="76">
        <v>1</v>
      </c>
      <c r="E58" s="76" t="s">
        <v>917</v>
      </c>
      <c r="F58" s="76" t="s">
        <v>168</v>
      </c>
      <c r="G58" s="76" t="s">
        <v>169</v>
      </c>
      <c r="H58" s="76" t="s">
        <v>170</v>
      </c>
      <c r="I58" s="76">
        <v>0</v>
      </c>
      <c r="J58" s="76">
        <f t="shared" si="6"/>
        <v>0</v>
      </c>
      <c r="K58" s="76" t="s">
        <v>535</v>
      </c>
      <c r="L58" s="76">
        <f t="shared" si="8"/>
        <v>8.0000000000000002E-8</v>
      </c>
      <c r="M58" s="76" t="s">
        <v>163</v>
      </c>
      <c r="N58" s="76"/>
      <c r="O58" s="76" t="s">
        <v>535</v>
      </c>
      <c r="P58" s="76" t="s">
        <v>536</v>
      </c>
    </row>
    <row r="59" spans="2:16" ht="12.75" customHeight="1" x14ac:dyDescent="0.2">
      <c r="B59" s="76" t="s">
        <v>547</v>
      </c>
      <c r="C59" s="76">
        <f t="shared" si="7"/>
        <v>8.0000000000000002E-8</v>
      </c>
      <c r="D59" s="76">
        <v>1</v>
      </c>
      <c r="E59" s="76" t="s">
        <v>916</v>
      </c>
      <c r="F59" s="76" t="s">
        <v>168</v>
      </c>
      <c r="G59" s="76" t="s">
        <v>169</v>
      </c>
      <c r="H59" s="76" t="s">
        <v>170</v>
      </c>
      <c r="I59" s="76">
        <v>0</v>
      </c>
      <c r="J59" s="76">
        <f t="shared" si="6"/>
        <v>0</v>
      </c>
      <c r="K59" s="76" t="s">
        <v>535</v>
      </c>
      <c r="L59" s="76">
        <f t="shared" si="8"/>
        <v>8.0000000000000002E-8</v>
      </c>
      <c r="M59" s="76" t="s">
        <v>163</v>
      </c>
      <c r="N59" s="76"/>
      <c r="O59" s="76" t="s">
        <v>535</v>
      </c>
      <c r="P59" s="76" t="s">
        <v>536</v>
      </c>
    </row>
    <row r="60" spans="2:16" ht="12.75" customHeight="1" x14ac:dyDescent="0.2">
      <c r="B60" s="76" t="s">
        <v>547</v>
      </c>
      <c r="C60" s="76">
        <f t="shared" si="7"/>
        <v>8.0000000000000002E-8</v>
      </c>
      <c r="D60" s="76">
        <v>1</v>
      </c>
      <c r="E60" s="76" t="s">
        <v>915</v>
      </c>
      <c r="F60" s="76" t="s">
        <v>168</v>
      </c>
      <c r="G60" s="76" t="s">
        <v>169</v>
      </c>
      <c r="H60" s="76" t="s">
        <v>170</v>
      </c>
      <c r="I60" s="76">
        <v>0</v>
      </c>
      <c r="J60" s="76">
        <f t="shared" si="6"/>
        <v>0</v>
      </c>
      <c r="K60" s="76" t="s">
        <v>535</v>
      </c>
      <c r="L60" s="76">
        <f t="shared" si="8"/>
        <v>8.0000000000000002E-8</v>
      </c>
      <c r="M60" s="76" t="s">
        <v>163</v>
      </c>
      <c r="N60" s="76"/>
      <c r="O60" s="76" t="s">
        <v>535</v>
      </c>
      <c r="P60" s="76" t="s">
        <v>536</v>
      </c>
    </row>
    <row r="61" spans="2:16" ht="12.75" customHeight="1" x14ac:dyDescent="0.2">
      <c r="B61" s="76" t="s">
        <v>547</v>
      </c>
      <c r="C61" s="76">
        <f t="shared" si="7"/>
        <v>8.0000000000000002E-8</v>
      </c>
      <c r="D61" s="76">
        <v>1</v>
      </c>
      <c r="E61" s="76" t="s">
        <v>942</v>
      </c>
      <c r="F61" s="76" t="s">
        <v>168</v>
      </c>
      <c r="G61" s="76" t="s">
        <v>169</v>
      </c>
      <c r="H61" s="76" t="s">
        <v>170</v>
      </c>
      <c r="I61" s="76">
        <v>0</v>
      </c>
      <c r="J61" s="76">
        <f t="shared" si="6"/>
        <v>0</v>
      </c>
      <c r="K61" s="76" t="s">
        <v>535</v>
      </c>
      <c r="L61" s="76">
        <f t="shared" si="8"/>
        <v>8.0000000000000002E-8</v>
      </c>
      <c r="M61" s="76" t="s">
        <v>163</v>
      </c>
      <c r="N61" s="76"/>
      <c r="O61" s="76" t="s">
        <v>535</v>
      </c>
      <c r="P61" s="76" t="s">
        <v>536</v>
      </c>
    </row>
    <row r="62" spans="2:16" ht="12.75" customHeight="1" x14ac:dyDescent="0.2">
      <c r="B62" s="76" t="s">
        <v>547</v>
      </c>
      <c r="C62" s="76">
        <f t="shared" si="7"/>
        <v>8.0000000000000002E-8</v>
      </c>
      <c r="D62" s="76">
        <v>1</v>
      </c>
      <c r="E62" s="76" t="s">
        <v>914</v>
      </c>
      <c r="F62" s="76" t="s">
        <v>168</v>
      </c>
      <c r="G62" s="76" t="s">
        <v>169</v>
      </c>
      <c r="H62" s="76" t="s">
        <v>170</v>
      </c>
      <c r="I62" s="76">
        <v>0</v>
      </c>
      <c r="J62" s="76">
        <f t="shared" si="6"/>
        <v>0</v>
      </c>
      <c r="K62" s="76" t="s">
        <v>535</v>
      </c>
      <c r="L62" s="76">
        <f t="shared" si="8"/>
        <v>8.0000000000000002E-8</v>
      </c>
      <c r="M62" s="76" t="s">
        <v>163</v>
      </c>
      <c r="N62" s="76"/>
      <c r="O62" s="76" t="s">
        <v>535</v>
      </c>
      <c r="P62" s="76" t="s">
        <v>536</v>
      </c>
    </row>
    <row r="63" spans="2:16" ht="12.75" customHeight="1" x14ac:dyDescent="0.2">
      <c r="B63" s="76" t="s">
        <v>547</v>
      </c>
      <c r="C63" s="76">
        <f t="shared" si="7"/>
        <v>8.0000000000000002E-8</v>
      </c>
      <c r="D63" s="76">
        <v>1</v>
      </c>
      <c r="E63" s="76" t="s">
        <v>913</v>
      </c>
      <c r="F63" s="76" t="s">
        <v>168</v>
      </c>
      <c r="G63" s="76" t="s">
        <v>169</v>
      </c>
      <c r="H63" s="76" t="s">
        <v>170</v>
      </c>
      <c r="I63" s="76">
        <v>0</v>
      </c>
      <c r="J63" s="76">
        <f t="shared" si="6"/>
        <v>0</v>
      </c>
      <c r="K63" s="76" t="s">
        <v>535</v>
      </c>
      <c r="L63" s="76">
        <f t="shared" si="8"/>
        <v>8.0000000000000002E-8</v>
      </c>
      <c r="M63" s="76" t="s">
        <v>163</v>
      </c>
      <c r="N63" s="76"/>
      <c r="O63" s="76" t="s">
        <v>535</v>
      </c>
      <c r="P63" s="76" t="s">
        <v>536</v>
      </c>
    </row>
    <row r="64" spans="2:16" ht="12.75" customHeight="1" x14ac:dyDescent="0.2">
      <c r="B64" s="76" t="s">
        <v>547</v>
      </c>
      <c r="C64" s="76">
        <f t="shared" si="7"/>
        <v>8.0000000000000002E-8</v>
      </c>
      <c r="D64" s="76">
        <v>1</v>
      </c>
      <c r="E64" s="76" t="s">
        <v>941</v>
      </c>
      <c r="F64" s="76" t="s">
        <v>168</v>
      </c>
      <c r="G64" s="76" t="s">
        <v>169</v>
      </c>
      <c r="H64" s="76" t="s">
        <v>170</v>
      </c>
      <c r="I64" s="76">
        <v>0</v>
      </c>
      <c r="J64" s="76">
        <f t="shared" si="6"/>
        <v>0</v>
      </c>
      <c r="K64" s="76" t="s">
        <v>535</v>
      </c>
      <c r="L64" s="76">
        <f t="shared" si="8"/>
        <v>8.0000000000000002E-8</v>
      </c>
      <c r="M64" s="76" t="s">
        <v>163</v>
      </c>
      <c r="N64" s="76"/>
      <c r="O64" s="76" t="s">
        <v>535</v>
      </c>
      <c r="P64" s="76" t="s">
        <v>536</v>
      </c>
    </row>
    <row r="65" spans="2:16" ht="12.75" customHeight="1" x14ac:dyDescent="0.2">
      <c r="B65" s="76" t="s">
        <v>547</v>
      </c>
      <c r="C65" s="76">
        <f t="shared" si="7"/>
        <v>8.0000000000000002E-8</v>
      </c>
      <c r="D65" s="76">
        <v>1</v>
      </c>
      <c r="E65" s="76" t="s">
        <v>940</v>
      </c>
      <c r="F65" s="76" t="s">
        <v>168</v>
      </c>
      <c r="G65" s="76" t="s">
        <v>169</v>
      </c>
      <c r="H65" s="76" t="s">
        <v>170</v>
      </c>
      <c r="I65" s="76">
        <v>0</v>
      </c>
      <c r="J65" s="76">
        <f t="shared" si="6"/>
        <v>0</v>
      </c>
      <c r="K65" s="76" t="s">
        <v>535</v>
      </c>
      <c r="L65" s="76">
        <f t="shared" si="8"/>
        <v>8.0000000000000002E-8</v>
      </c>
      <c r="M65" s="76" t="s">
        <v>163</v>
      </c>
      <c r="N65" s="76"/>
      <c r="O65" s="76" t="s">
        <v>535</v>
      </c>
      <c r="P65" s="76" t="s">
        <v>536</v>
      </c>
    </row>
    <row r="66" spans="2:16" ht="12.75" customHeight="1" x14ac:dyDescent="0.2">
      <c r="B66" s="76" t="s">
        <v>547</v>
      </c>
      <c r="C66" s="76">
        <f t="shared" si="7"/>
        <v>8.0000000000000002E-8</v>
      </c>
      <c r="D66" s="76">
        <v>1</v>
      </c>
      <c r="E66" s="76" t="s">
        <v>939</v>
      </c>
      <c r="F66" s="76" t="s">
        <v>168</v>
      </c>
      <c r="G66" s="76" t="s">
        <v>169</v>
      </c>
      <c r="H66" s="76" t="s">
        <v>170</v>
      </c>
      <c r="I66" s="76">
        <v>0</v>
      </c>
      <c r="J66" s="76">
        <f t="shared" si="6"/>
        <v>0</v>
      </c>
      <c r="K66" s="76" t="s">
        <v>535</v>
      </c>
      <c r="L66" s="76">
        <f t="shared" si="8"/>
        <v>8.0000000000000002E-8</v>
      </c>
      <c r="M66" s="76" t="s">
        <v>163</v>
      </c>
      <c r="N66" s="76"/>
      <c r="O66" s="76" t="s">
        <v>535</v>
      </c>
      <c r="P66" s="76" t="s">
        <v>536</v>
      </c>
    </row>
    <row r="67" spans="2:16" ht="12.75" customHeight="1" x14ac:dyDescent="0.2">
      <c r="B67" s="76" t="s">
        <v>547</v>
      </c>
      <c r="C67" s="76">
        <f t="shared" si="7"/>
        <v>8.0000000000000002E-8</v>
      </c>
      <c r="D67" s="76">
        <v>1</v>
      </c>
      <c r="E67" s="76" t="s">
        <v>938</v>
      </c>
      <c r="F67" s="76" t="s">
        <v>168</v>
      </c>
      <c r="G67" s="76" t="s">
        <v>169</v>
      </c>
      <c r="H67" s="76" t="s">
        <v>170</v>
      </c>
      <c r="I67" s="76">
        <v>0</v>
      </c>
      <c r="J67" s="76">
        <f t="shared" si="6"/>
        <v>0</v>
      </c>
      <c r="K67" s="76" t="s">
        <v>535</v>
      </c>
      <c r="L67" s="76">
        <f t="shared" si="8"/>
        <v>8.0000000000000002E-8</v>
      </c>
      <c r="M67" s="76" t="s">
        <v>163</v>
      </c>
      <c r="N67" s="76"/>
      <c r="O67" s="76" t="s">
        <v>535</v>
      </c>
      <c r="P67" s="76" t="s">
        <v>536</v>
      </c>
    </row>
    <row r="68" spans="2:16" ht="12.75" customHeight="1" x14ac:dyDescent="0.2">
      <c r="B68" s="76" t="s">
        <v>547</v>
      </c>
      <c r="C68" s="76">
        <f t="shared" si="7"/>
        <v>8.0000000000000002E-8</v>
      </c>
      <c r="D68" s="76">
        <v>1</v>
      </c>
      <c r="E68" s="76" t="s">
        <v>937</v>
      </c>
      <c r="F68" s="76" t="s">
        <v>168</v>
      </c>
      <c r="G68" s="76" t="s">
        <v>169</v>
      </c>
      <c r="H68" s="76" t="s">
        <v>170</v>
      </c>
      <c r="I68" s="76">
        <v>0</v>
      </c>
      <c r="J68" s="76">
        <f t="shared" si="6"/>
        <v>0</v>
      </c>
      <c r="K68" s="76" t="s">
        <v>535</v>
      </c>
      <c r="L68" s="76">
        <f t="shared" si="8"/>
        <v>8.0000000000000002E-8</v>
      </c>
      <c r="M68" s="76" t="s">
        <v>163</v>
      </c>
      <c r="N68" s="76"/>
      <c r="O68" s="76" t="s">
        <v>535</v>
      </c>
      <c r="P68" s="76" t="s">
        <v>536</v>
      </c>
    </row>
    <row r="69" spans="2:16" ht="12.75" customHeight="1" x14ac:dyDescent="0.2">
      <c r="B69" s="76" t="s">
        <v>547</v>
      </c>
      <c r="C69" s="76">
        <f t="shared" si="7"/>
        <v>8.0000000000000002E-8</v>
      </c>
      <c r="D69" s="76">
        <v>1</v>
      </c>
      <c r="E69" s="76" t="s">
        <v>936</v>
      </c>
      <c r="F69" s="76" t="s">
        <v>168</v>
      </c>
      <c r="G69" s="76" t="s">
        <v>169</v>
      </c>
      <c r="H69" s="76" t="s">
        <v>170</v>
      </c>
      <c r="I69" s="76">
        <v>0</v>
      </c>
      <c r="J69" s="76">
        <f t="shared" si="6"/>
        <v>0</v>
      </c>
      <c r="K69" s="76" t="s">
        <v>535</v>
      </c>
      <c r="L69" s="76">
        <f t="shared" si="8"/>
        <v>8.0000000000000002E-8</v>
      </c>
      <c r="M69" s="76" t="s">
        <v>163</v>
      </c>
      <c r="N69" s="76"/>
      <c r="O69" s="76" t="s">
        <v>535</v>
      </c>
      <c r="P69" s="76" t="s">
        <v>536</v>
      </c>
    </row>
    <row r="70" spans="2:16" ht="12.75" customHeight="1" x14ac:dyDescent="0.2">
      <c r="B70" s="76" t="s">
        <v>547</v>
      </c>
      <c r="C70" s="76">
        <f t="shared" si="7"/>
        <v>8.0000000000000002E-8</v>
      </c>
      <c r="D70" s="76">
        <v>1</v>
      </c>
      <c r="E70" s="76" t="s">
        <v>935</v>
      </c>
      <c r="F70" s="76" t="s">
        <v>168</v>
      </c>
      <c r="G70" s="76" t="s">
        <v>169</v>
      </c>
      <c r="H70" s="76" t="s">
        <v>170</v>
      </c>
      <c r="I70" s="76">
        <v>0</v>
      </c>
      <c r="J70" s="76">
        <f t="shared" si="6"/>
        <v>0</v>
      </c>
      <c r="K70" s="76" t="s">
        <v>535</v>
      </c>
      <c r="L70" s="76">
        <f t="shared" si="8"/>
        <v>8.0000000000000002E-8</v>
      </c>
      <c r="M70" s="76" t="s">
        <v>163</v>
      </c>
      <c r="N70" s="76"/>
      <c r="O70" s="76" t="s">
        <v>535</v>
      </c>
      <c r="P70" s="76" t="s">
        <v>536</v>
      </c>
    </row>
    <row r="71" spans="2:16" ht="12.75" customHeight="1" x14ac:dyDescent="0.2">
      <c r="B71" s="76" t="s">
        <v>547</v>
      </c>
      <c r="C71" s="76">
        <f t="shared" ref="C71:C86" si="9">80*ns</f>
        <v>8.0000000000000002E-8</v>
      </c>
      <c r="D71" s="76">
        <v>1</v>
      </c>
      <c r="E71" s="76" t="s">
        <v>945</v>
      </c>
      <c r="F71" s="76" t="s">
        <v>168</v>
      </c>
      <c r="G71" s="76" t="s">
        <v>169</v>
      </c>
      <c r="H71" s="76" t="s">
        <v>170</v>
      </c>
      <c r="I71" s="76">
        <v>0</v>
      </c>
      <c r="J71" s="76">
        <f t="shared" si="6"/>
        <v>0</v>
      </c>
      <c r="K71" s="76" t="s">
        <v>535</v>
      </c>
      <c r="L71" s="76">
        <f t="shared" ref="L71:L105" si="10">C71</f>
        <v>8.0000000000000002E-8</v>
      </c>
      <c r="M71" s="76" t="s">
        <v>163</v>
      </c>
      <c r="N71" s="76"/>
      <c r="O71" s="76" t="s">
        <v>535</v>
      </c>
      <c r="P71" s="76" t="s">
        <v>536</v>
      </c>
    </row>
    <row r="72" spans="2:16" ht="12.75" customHeight="1" x14ac:dyDescent="0.2">
      <c r="B72" s="76" t="s">
        <v>547</v>
      </c>
      <c r="C72" s="76">
        <f t="shared" si="9"/>
        <v>8.0000000000000002E-8</v>
      </c>
      <c r="D72" s="76">
        <v>1</v>
      </c>
      <c r="E72" s="76" t="s">
        <v>946</v>
      </c>
      <c r="F72" s="76" t="s">
        <v>168</v>
      </c>
      <c r="G72" s="76" t="s">
        <v>169</v>
      </c>
      <c r="H72" s="76" t="s">
        <v>170</v>
      </c>
      <c r="I72" s="76">
        <v>0</v>
      </c>
      <c r="J72" s="76">
        <f t="shared" si="6"/>
        <v>0</v>
      </c>
      <c r="K72" s="76" t="s">
        <v>535</v>
      </c>
      <c r="L72" s="76">
        <f t="shared" si="10"/>
        <v>8.0000000000000002E-8</v>
      </c>
      <c r="M72" s="76" t="s">
        <v>163</v>
      </c>
      <c r="N72" s="76"/>
      <c r="O72" s="76" t="s">
        <v>535</v>
      </c>
      <c r="P72" s="76" t="s">
        <v>536</v>
      </c>
    </row>
    <row r="73" spans="2:16" ht="12.75" customHeight="1" x14ac:dyDescent="0.2">
      <c r="B73" s="76" t="s">
        <v>547</v>
      </c>
      <c r="C73" s="76">
        <f t="shared" si="9"/>
        <v>8.0000000000000002E-8</v>
      </c>
      <c r="D73" s="76">
        <v>1</v>
      </c>
      <c r="E73" s="76" t="s">
        <v>103</v>
      </c>
      <c r="F73" s="76" t="s">
        <v>168</v>
      </c>
      <c r="G73" s="76" t="s">
        <v>169</v>
      </c>
      <c r="H73" s="76" t="s">
        <v>170</v>
      </c>
      <c r="I73" s="76">
        <f t="shared" ref="I73:I74" si="11">0*C73</f>
        <v>0</v>
      </c>
      <c r="J73" s="76">
        <f t="shared" si="6"/>
        <v>0</v>
      </c>
      <c r="K73" s="76" t="s">
        <v>535</v>
      </c>
      <c r="L73" s="76">
        <f t="shared" ref="L73:L74" si="12">1*C73</f>
        <v>8.0000000000000002E-8</v>
      </c>
      <c r="M73" s="76" t="s">
        <v>163</v>
      </c>
      <c r="N73" s="76"/>
      <c r="O73" s="76" t="s">
        <v>535</v>
      </c>
      <c r="P73" s="76" t="s">
        <v>536</v>
      </c>
    </row>
    <row r="74" spans="2:16" ht="12.75" customHeight="1" x14ac:dyDescent="0.2">
      <c r="B74" s="76" t="s">
        <v>547</v>
      </c>
      <c r="C74" s="76">
        <f t="shared" si="9"/>
        <v>8.0000000000000002E-8</v>
      </c>
      <c r="D74" s="76">
        <v>1</v>
      </c>
      <c r="E74" s="76" t="s">
        <v>111</v>
      </c>
      <c r="F74" s="76" t="s">
        <v>168</v>
      </c>
      <c r="G74" s="76" t="s">
        <v>169</v>
      </c>
      <c r="H74" s="76" t="s">
        <v>170</v>
      </c>
      <c r="I74" s="76">
        <f t="shared" si="11"/>
        <v>0</v>
      </c>
      <c r="J74" s="76">
        <f t="shared" si="6"/>
        <v>0</v>
      </c>
      <c r="K74" s="76" t="s">
        <v>535</v>
      </c>
      <c r="L74" s="76">
        <f t="shared" si="12"/>
        <v>8.0000000000000002E-8</v>
      </c>
      <c r="M74" s="76" t="s">
        <v>172</v>
      </c>
      <c r="N74" s="76">
        <f>0.95*C74</f>
        <v>7.5999999999999992E-8</v>
      </c>
      <c r="O74" s="76" t="s">
        <v>535</v>
      </c>
      <c r="P74" s="76" t="s">
        <v>536</v>
      </c>
    </row>
    <row r="75" spans="2:16" ht="12.75" customHeight="1" x14ac:dyDescent="0.2">
      <c r="B75" s="76" t="s">
        <v>547</v>
      </c>
      <c r="C75" s="76">
        <f t="shared" si="9"/>
        <v>8.0000000000000002E-8</v>
      </c>
      <c r="D75" s="76">
        <v>1</v>
      </c>
      <c r="E75" s="76" t="s">
        <v>120</v>
      </c>
      <c r="F75" s="76" t="s">
        <v>168</v>
      </c>
      <c r="G75" s="76" t="s">
        <v>169</v>
      </c>
      <c r="H75" s="76" t="s">
        <v>170</v>
      </c>
      <c r="I75" s="76">
        <v>0</v>
      </c>
      <c r="J75" s="76">
        <f t="shared" si="6"/>
        <v>0</v>
      </c>
      <c r="K75" s="76" t="s">
        <v>535</v>
      </c>
      <c r="L75" s="76">
        <f t="shared" si="10"/>
        <v>8.0000000000000002E-8</v>
      </c>
      <c r="M75" s="76" t="s">
        <v>172</v>
      </c>
      <c r="N75" s="76">
        <f>0.1*C75</f>
        <v>8.0000000000000005E-9</v>
      </c>
      <c r="O75" s="76">
        <f>0.5*C75</f>
        <v>4.0000000000000001E-8</v>
      </c>
      <c r="P75" s="76" t="s">
        <v>536</v>
      </c>
    </row>
    <row r="76" spans="2:16" ht="12.75" customHeight="1" x14ac:dyDescent="0.2">
      <c r="B76" s="76" t="s">
        <v>547</v>
      </c>
      <c r="C76" s="76">
        <f t="shared" si="9"/>
        <v>8.0000000000000002E-8</v>
      </c>
      <c r="D76" s="76">
        <v>1</v>
      </c>
      <c r="E76" s="76" t="s">
        <v>121</v>
      </c>
      <c r="F76" s="76" t="s">
        <v>168</v>
      </c>
      <c r="G76" s="76" t="s">
        <v>169</v>
      </c>
      <c r="H76" s="76" t="s">
        <v>170</v>
      </c>
      <c r="I76" s="76">
        <v>0</v>
      </c>
      <c r="J76" s="76">
        <f t="shared" si="6"/>
        <v>0</v>
      </c>
      <c r="K76" s="76" t="s">
        <v>535</v>
      </c>
      <c r="L76" s="76">
        <f t="shared" si="10"/>
        <v>8.0000000000000002E-8</v>
      </c>
      <c r="M76" s="76" t="s">
        <v>172</v>
      </c>
      <c r="N76" s="76">
        <f>0.1*C76</f>
        <v>8.0000000000000005E-9</v>
      </c>
      <c r="O76" s="76">
        <f>0.5*C76</f>
        <v>4.0000000000000001E-8</v>
      </c>
      <c r="P76" s="76" t="s">
        <v>536</v>
      </c>
    </row>
    <row r="77" spans="2:16" ht="12.75" customHeight="1" x14ac:dyDescent="0.2">
      <c r="B77" s="76" t="s">
        <v>547</v>
      </c>
      <c r="C77" s="76">
        <f t="shared" si="9"/>
        <v>8.0000000000000002E-8</v>
      </c>
      <c r="D77" s="76">
        <v>1</v>
      </c>
      <c r="E77" s="76" t="s">
        <v>97</v>
      </c>
      <c r="F77" s="76" t="s">
        <v>168</v>
      </c>
      <c r="G77" s="76" t="s">
        <v>169</v>
      </c>
      <c r="H77" s="76" t="s">
        <v>170</v>
      </c>
      <c r="I77" s="76">
        <v>0</v>
      </c>
      <c r="J77" s="76">
        <f t="shared" si="6"/>
        <v>0</v>
      </c>
      <c r="K77" s="76" t="s">
        <v>535</v>
      </c>
      <c r="L77" s="76">
        <f t="shared" si="10"/>
        <v>8.0000000000000002E-8</v>
      </c>
      <c r="M77" s="76" t="s">
        <v>163</v>
      </c>
      <c r="N77" s="76"/>
      <c r="O77" s="76" t="s">
        <v>535</v>
      </c>
      <c r="P77" s="76" t="s">
        <v>536</v>
      </c>
    </row>
    <row r="78" spans="2:16" ht="12.75" customHeight="1" x14ac:dyDescent="0.2">
      <c r="B78" s="76" t="s">
        <v>547</v>
      </c>
      <c r="C78" s="76">
        <f t="shared" si="9"/>
        <v>8.0000000000000002E-8</v>
      </c>
      <c r="D78" s="76">
        <v>1</v>
      </c>
      <c r="E78" s="76" t="s">
        <v>909</v>
      </c>
      <c r="F78" s="76" t="s">
        <v>168</v>
      </c>
      <c r="G78" s="76" t="s">
        <v>169</v>
      </c>
      <c r="H78" s="76" t="s">
        <v>516</v>
      </c>
      <c r="I78" s="76">
        <v>0</v>
      </c>
      <c r="J78" s="76">
        <f>0.25*C78</f>
        <v>2E-8</v>
      </c>
      <c r="K78" s="76">
        <f>0.75*C78</f>
        <v>6.0000000000000008E-8</v>
      </c>
      <c r="L78" s="76">
        <f t="shared" si="10"/>
        <v>8.0000000000000002E-8</v>
      </c>
      <c r="M78" s="76" t="s">
        <v>163</v>
      </c>
      <c r="N78" s="76"/>
      <c r="O78" s="76" t="s">
        <v>535</v>
      </c>
      <c r="P78" s="76" t="s">
        <v>537</v>
      </c>
    </row>
    <row r="79" spans="2:16" ht="12.75" customHeight="1" x14ac:dyDescent="0.2">
      <c r="B79" s="76" t="s">
        <v>547</v>
      </c>
      <c r="C79" s="76">
        <f t="shared" si="9"/>
        <v>8.0000000000000002E-8</v>
      </c>
      <c r="D79" s="76">
        <v>1</v>
      </c>
      <c r="E79" s="76" t="s">
        <v>910</v>
      </c>
      <c r="F79" s="76" t="s">
        <v>168</v>
      </c>
      <c r="G79" s="76" t="s">
        <v>169</v>
      </c>
      <c r="H79" s="76" t="s">
        <v>170</v>
      </c>
      <c r="I79" s="76">
        <v>0</v>
      </c>
      <c r="J79" s="76">
        <f>0*C79</f>
        <v>0</v>
      </c>
      <c r="K79" s="76" t="s">
        <v>535</v>
      </c>
      <c r="L79" s="76">
        <f t="shared" si="10"/>
        <v>8.0000000000000002E-8</v>
      </c>
      <c r="M79" s="76" t="s">
        <v>163</v>
      </c>
      <c r="N79" s="76"/>
      <c r="O79" s="76" t="s">
        <v>535</v>
      </c>
      <c r="P79" s="76" t="s">
        <v>536</v>
      </c>
    </row>
    <row r="80" spans="2:16" ht="12.75" customHeight="1" x14ac:dyDescent="0.2">
      <c r="B80" s="76" t="s">
        <v>547</v>
      </c>
      <c r="C80" s="76">
        <f t="shared" si="9"/>
        <v>8.0000000000000002E-8</v>
      </c>
      <c r="D80" s="76">
        <v>1</v>
      </c>
      <c r="E80" s="76" t="s">
        <v>893</v>
      </c>
      <c r="F80" s="76" t="s">
        <v>168</v>
      </c>
      <c r="G80" s="76" t="s">
        <v>169</v>
      </c>
      <c r="H80" s="76" t="s">
        <v>516</v>
      </c>
      <c r="I80" s="76">
        <v>0</v>
      </c>
      <c r="J80" s="76">
        <f>0.25*C80</f>
        <v>2E-8</v>
      </c>
      <c r="K80" s="76">
        <f>0.75*C80</f>
        <v>6.0000000000000008E-8</v>
      </c>
      <c r="L80" s="76">
        <f t="shared" si="10"/>
        <v>8.0000000000000002E-8</v>
      </c>
      <c r="M80" s="76" t="s">
        <v>163</v>
      </c>
      <c r="N80" s="76"/>
      <c r="O80" s="76" t="s">
        <v>535</v>
      </c>
      <c r="P80" s="76" t="s">
        <v>537</v>
      </c>
    </row>
    <row r="81" spans="2:16" ht="12.75" customHeight="1" x14ac:dyDescent="0.2">
      <c r="B81" s="76" t="s">
        <v>547</v>
      </c>
      <c r="C81" s="76">
        <f t="shared" si="9"/>
        <v>8.0000000000000002E-8</v>
      </c>
      <c r="D81" s="76">
        <v>1</v>
      </c>
      <c r="E81" s="76" t="s">
        <v>894</v>
      </c>
      <c r="F81" s="76" t="s">
        <v>168</v>
      </c>
      <c r="G81" s="76" t="s">
        <v>169</v>
      </c>
      <c r="H81" s="76" t="s">
        <v>170</v>
      </c>
      <c r="I81" s="76">
        <v>0</v>
      </c>
      <c r="J81" s="76">
        <f>0*C81</f>
        <v>0</v>
      </c>
      <c r="K81" s="76" t="s">
        <v>535</v>
      </c>
      <c r="L81" s="76">
        <f t="shared" si="10"/>
        <v>8.0000000000000002E-8</v>
      </c>
      <c r="M81" s="76" t="s">
        <v>163</v>
      </c>
      <c r="N81" s="76"/>
      <c r="O81" s="76" t="s">
        <v>535</v>
      </c>
      <c r="P81" s="76" t="s">
        <v>536</v>
      </c>
    </row>
    <row r="82" spans="2:16" ht="12.75" customHeight="1" x14ac:dyDescent="0.2">
      <c r="B82" s="76" t="s">
        <v>547</v>
      </c>
      <c r="C82" s="76">
        <f t="shared" si="9"/>
        <v>8.0000000000000002E-8</v>
      </c>
      <c r="D82" s="76">
        <v>1</v>
      </c>
      <c r="E82" s="76" t="s">
        <v>895</v>
      </c>
      <c r="F82" s="76" t="s">
        <v>168</v>
      </c>
      <c r="G82" s="76" t="s">
        <v>169</v>
      </c>
      <c r="H82" s="76" t="s">
        <v>170</v>
      </c>
      <c r="I82" s="76">
        <v>0</v>
      </c>
      <c r="J82" s="76">
        <f>0*C82</f>
        <v>0</v>
      </c>
      <c r="K82" s="76" t="s">
        <v>535</v>
      </c>
      <c r="L82" s="76">
        <f t="shared" si="10"/>
        <v>8.0000000000000002E-8</v>
      </c>
      <c r="M82" s="76" t="s">
        <v>172</v>
      </c>
      <c r="N82" s="76">
        <f>0.1*C82</f>
        <v>8.0000000000000005E-9</v>
      </c>
      <c r="O82" s="76">
        <f>0.5*C82</f>
        <v>4.0000000000000001E-8</v>
      </c>
      <c r="P82" s="76" t="s">
        <v>536</v>
      </c>
    </row>
    <row r="83" spans="2:16" ht="12.75" customHeight="1" x14ac:dyDescent="0.2">
      <c r="B83" s="76" t="s">
        <v>547</v>
      </c>
      <c r="C83" s="76">
        <f t="shared" si="9"/>
        <v>8.0000000000000002E-8</v>
      </c>
      <c r="D83" s="76">
        <v>1</v>
      </c>
      <c r="E83" s="76" t="s">
        <v>896</v>
      </c>
      <c r="F83" s="76" t="s">
        <v>168</v>
      </c>
      <c r="G83" s="76" t="s">
        <v>169</v>
      </c>
      <c r="H83" s="76" t="s">
        <v>170</v>
      </c>
      <c r="I83" s="76">
        <v>0</v>
      </c>
      <c r="J83" s="76">
        <f>0*C83</f>
        <v>0</v>
      </c>
      <c r="K83" s="76" t="s">
        <v>535</v>
      </c>
      <c r="L83" s="76">
        <f t="shared" si="10"/>
        <v>8.0000000000000002E-8</v>
      </c>
      <c r="M83" s="76" t="s">
        <v>163</v>
      </c>
      <c r="N83" s="76"/>
      <c r="O83" s="76" t="s">
        <v>535</v>
      </c>
      <c r="P83" s="76" t="s">
        <v>536</v>
      </c>
    </row>
    <row r="84" spans="2:16" ht="12.75" customHeight="1" x14ac:dyDescent="0.2">
      <c r="B84" s="76" t="s">
        <v>547</v>
      </c>
      <c r="C84" s="76">
        <f t="shared" si="9"/>
        <v>8.0000000000000002E-8</v>
      </c>
      <c r="D84" s="76">
        <v>1</v>
      </c>
      <c r="E84" s="76" t="s">
        <v>897</v>
      </c>
      <c r="F84" s="76" t="s">
        <v>168</v>
      </c>
      <c r="G84" s="76" t="s">
        <v>169</v>
      </c>
      <c r="H84" s="76" t="s">
        <v>170</v>
      </c>
      <c r="I84" s="76">
        <v>0</v>
      </c>
      <c r="J84" s="76">
        <f>0*C84</f>
        <v>0</v>
      </c>
      <c r="K84" s="76" t="s">
        <v>535</v>
      </c>
      <c r="L84" s="76">
        <f t="shared" si="10"/>
        <v>8.0000000000000002E-8</v>
      </c>
      <c r="M84" s="76" t="s">
        <v>163</v>
      </c>
      <c r="N84" s="76"/>
      <c r="O84" s="76" t="s">
        <v>535</v>
      </c>
      <c r="P84" s="76" t="s">
        <v>536</v>
      </c>
    </row>
    <row r="85" spans="2:16" ht="12.75" customHeight="1" x14ac:dyDescent="0.2">
      <c r="B85" s="76" t="s">
        <v>547</v>
      </c>
      <c r="C85" s="76">
        <f t="shared" si="9"/>
        <v>8.0000000000000002E-8</v>
      </c>
      <c r="D85" s="76">
        <v>1</v>
      </c>
      <c r="E85" s="76" t="s">
        <v>95</v>
      </c>
      <c r="F85" s="76" t="s">
        <v>168</v>
      </c>
      <c r="G85" s="76" t="s">
        <v>169</v>
      </c>
      <c r="H85" s="76" t="s">
        <v>515</v>
      </c>
      <c r="I85" s="76">
        <v>0</v>
      </c>
      <c r="J85" s="76">
        <f>0.25*C85</f>
        <v>2E-8</v>
      </c>
      <c r="K85" s="76">
        <f>0.75*C85</f>
        <v>6.0000000000000008E-8</v>
      </c>
      <c r="L85" s="76">
        <f>C85</f>
        <v>8.0000000000000002E-8</v>
      </c>
      <c r="M85" s="76" t="s">
        <v>163</v>
      </c>
      <c r="N85" s="76"/>
      <c r="O85" s="76"/>
      <c r="P85" s="76" t="s">
        <v>536</v>
      </c>
    </row>
    <row r="86" spans="2:16" ht="12.75" customHeight="1" x14ac:dyDescent="0.2">
      <c r="B86" s="76" t="s">
        <v>547</v>
      </c>
      <c r="C86" s="76">
        <f t="shared" si="9"/>
        <v>8.0000000000000002E-8</v>
      </c>
      <c r="D86" s="76">
        <v>1</v>
      </c>
      <c r="E86" s="76" t="s">
        <v>109</v>
      </c>
      <c r="F86" s="76" t="s">
        <v>168</v>
      </c>
      <c r="G86" s="76" t="s">
        <v>169</v>
      </c>
      <c r="H86" s="76" t="s">
        <v>170</v>
      </c>
      <c r="I86" s="76">
        <f t="shared" ref="I86" si="13">0*C86</f>
        <v>0</v>
      </c>
      <c r="J86" s="76">
        <f t="shared" ref="J86" si="14">0*C86</f>
        <v>0</v>
      </c>
      <c r="K86" s="76" t="s">
        <v>535</v>
      </c>
      <c r="L86" s="76">
        <f t="shared" ref="L86" si="15">1*C86</f>
        <v>8.0000000000000002E-8</v>
      </c>
      <c r="M86" s="76" t="s">
        <v>172</v>
      </c>
      <c r="N86" s="76">
        <f>0.95*C86</f>
        <v>7.5999999999999992E-8</v>
      </c>
      <c r="O86" s="76" t="s">
        <v>535</v>
      </c>
      <c r="P86" s="76" t="s">
        <v>536</v>
      </c>
    </row>
    <row r="87" spans="2:16" ht="19.149999999999999" customHeight="1" x14ac:dyDescent="0.2">
      <c r="B87" s="76" t="s">
        <v>548</v>
      </c>
      <c r="C87" s="76">
        <f>C7</f>
        <v>8.0000000000000002E-8</v>
      </c>
      <c r="D87" s="76">
        <v>1</v>
      </c>
      <c r="E87" s="76" t="s">
        <v>912</v>
      </c>
      <c r="F87" s="76" t="s">
        <v>168</v>
      </c>
      <c r="G87" s="76" t="s">
        <v>169</v>
      </c>
      <c r="H87" s="76" t="s">
        <v>516</v>
      </c>
      <c r="I87" s="76">
        <v>0</v>
      </c>
      <c r="J87" s="76">
        <f>0.25*C87</f>
        <v>2E-8</v>
      </c>
      <c r="K87" s="76">
        <f>0.75*C87</f>
        <v>6.0000000000000008E-8</v>
      </c>
      <c r="L87" s="76">
        <f t="shared" si="10"/>
        <v>8.0000000000000002E-8</v>
      </c>
      <c r="M87" s="76" t="s">
        <v>163</v>
      </c>
      <c r="N87" s="76"/>
      <c r="O87" s="76" t="s">
        <v>535</v>
      </c>
      <c r="P87" s="76" t="s">
        <v>549</v>
      </c>
    </row>
    <row r="88" spans="2:16" ht="12.75" customHeight="1" x14ac:dyDescent="0.2">
      <c r="B88" s="76" t="s">
        <v>548</v>
      </c>
      <c r="C88" s="76">
        <f>C7</f>
        <v>8.0000000000000002E-8</v>
      </c>
      <c r="D88" s="76">
        <v>1</v>
      </c>
      <c r="E88" s="76" t="s">
        <v>96</v>
      </c>
      <c r="F88" s="76" t="s">
        <v>168</v>
      </c>
      <c r="G88" s="76" t="s">
        <v>169</v>
      </c>
      <c r="H88" s="76" t="s">
        <v>516</v>
      </c>
      <c r="I88" s="76">
        <v>0</v>
      </c>
      <c r="J88" s="76">
        <f>0.25*C88</f>
        <v>2E-8</v>
      </c>
      <c r="K88" s="76">
        <f>0.75*C88</f>
        <v>6.0000000000000008E-8</v>
      </c>
      <c r="L88" s="76">
        <f t="shared" si="10"/>
        <v>8.0000000000000002E-8</v>
      </c>
      <c r="M88" s="76" t="s">
        <v>163</v>
      </c>
      <c r="N88" s="76"/>
      <c r="O88" s="76" t="s">
        <v>535</v>
      </c>
      <c r="P88" s="76" t="s">
        <v>549</v>
      </c>
    </row>
    <row r="89" spans="2:16" ht="12.75" customHeight="1" x14ac:dyDescent="0.2">
      <c r="B89" s="76" t="s">
        <v>548</v>
      </c>
      <c r="C89" s="76">
        <f>C7</f>
        <v>8.0000000000000002E-8</v>
      </c>
      <c r="D89" s="76">
        <v>1</v>
      </c>
      <c r="E89" s="76" t="s">
        <v>137</v>
      </c>
      <c r="F89" s="76" t="s">
        <v>168</v>
      </c>
      <c r="G89" s="76" t="s">
        <v>169</v>
      </c>
      <c r="H89" s="76" t="s">
        <v>170</v>
      </c>
      <c r="I89" s="76">
        <v>0</v>
      </c>
      <c r="J89" s="76">
        <v>0</v>
      </c>
      <c r="K89" s="76" t="s">
        <v>535</v>
      </c>
      <c r="L89" s="76">
        <f t="shared" si="10"/>
        <v>8.0000000000000002E-8</v>
      </c>
      <c r="M89" s="76" t="s">
        <v>172</v>
      </c>
      <c r="N89" s="76">
        <f>1.8*C89</f>
        <v>1.4400000000000002E-7</v>
      </c>
      <c r="O89" s="76" t="s">
        <v>535</v>
      </c>
      <c r="P89" s="76" t="s">
        <v>550</v>
      </c>
    </row>
    <row r="90" spans="2:16" ht="12.75" customHeight="1" x14ac:dyDescent="0.2">
      <c r="B90" s="76" t="s">
        <v>548</v>
      </c>
      <c r="C90" s="76">
        <f>C7</f>
        <v>8.0000000000000002E-8</v>
      </c>
      <c r="D90" s="76">
        <v>1</v>
      </c>
      <c r="E90" s="76" t="s">
        <v>127</v>
      </c>
      <c r="F90" s="76" t="s">
        <v>168</v>
      </c>
      <c r="G90" s="76" t="s">
        <v>169</v>
      </c>
      <c r="H90" s="76" t="s">
        <v>170</v>
      </c>
      <c r="I90" s="76">
        <v>0</v>
      </c>
      <c r="J90" s="76">
        <v>0</v>
      </c>
      <c r="K90" s="76" t="s">
        <v>535</v>
      </c>
      <c r="L90" s="76">
        <f t="shared" si="10"/>
        <v>8.0000000000000002E-8</v>
      </c>
      <c r="M90" s="76" t="s">
        <v>172</v>
      </c>
      <c r="N90" s="76">
        <f t="shared" ref="N90:N95" si="16">0.25*C90</f>
        <v>2E-8</v>
      </c>
      <c r="O90" s="76" t="s">
        <v>535</v>
      </c>
      <c r="P90" s="76" t="s">
        <v>550</v>
      </c>
    </row>
    <row r="91" spans="2:16" ht="12.75" customHeight="1" x14ac:dyDescent="0.2">
      <c r="B91" s="76" t="s">
        <v>548</v>
      </c>
      <c r="C91" s="76">
        <f>C7</f>
        <v>8.0000000000000002E-8</v>
      </c>
      <c r="D91" s="76">
        <v>1</v>
      </c>
      <c r="E91" s="76" t="s">
        <v>126</v>
      </c>
      <c r="F91" s="76" t="s">
        <v>168</v>
      </c>
      <c r="G91" s="76" t="s">
        <v>169</v>
      </c>
      <c r="H91" s="76" t="s">
        <v>170</v>
      </c>
      <c r="I91" s="76">
        <v>0</v>
      </c>
      <c r="J91" s="76">
        <v>0</v>
      </c>
      <c r="K91" s="76" t="s">
        <v>535</v>
      </c>
      <c r="L91" s="76">
        <f t="shared" si="10"/>
        <v>8.0000000000000002E-8</v>
      </c>
      <c r="M91" s="76" t="s">
        <v>172</v>
      </c>
      <c r="N91" s="76">
        <f t="shared" si="16"/>
        <v>2E-8</v>
      </c>
      <c r="O91" s="76" t="s">
        <v>535</v>
      </c>
      <c r="P91" s="76" t="s">
        <v>550</v>
      </c>
    </row>
    <row r="92" spans="2:16" ht="12.75" customHeight="1" x14ac:dyDescent="0.2">
      <c r="B92" s="76" t="s">
        <v>548</v>
      </c>
      <c r="C92" s="76">
        <f>C7</f>
        <v>8.0000000000000002E-8</v>
      </c>
      <c r="D92" s="76">
        <v>1</v>
      </c>
      <c r="E92" s="76" t="s">
        <v>125</v>
      </c>
      <c r="F92" s="76" t="s">
        <v>168</v>
      </c>
      <c r="G92" s="76" t="s">
        <v>169</v>
      </c>
      <c r="H92" s="76" t="s">
        <v>170</v>
      </c>
      <c r="I92" s="76">
        <v>0</v>
      </c>
      <c r="J92" s="76">
        <v>0</v>
      </c>
      <c r="K92" s="76" t="s">
        <v>535</v>
      </c>
      <c r="L92" s="76">
        <f t="shared" si="10"/>
        <v>8.0000000000000002E-8</v>
      </c>
      <c r="M92" s="76" t="s">
        <v>172</v>
      </c>
      <c r="N92" s="76">
        <f t="shared" si="16"/>
        <v>2E-8</v>
      </c>
      <c r="O92" s="76" t="s">
        <v>535</v>
      </c>
      <c r="P92" s="76" t="s">
        <v>550</v>
      </c>
    </row>
    <row r="93" spans="2:16" ht="12.75" customHeight="1" x14ac:dyDescent="0.2">
      <c r="B93" s="76" t="s">
        <v>548</v>
      </c>
      <c r="C93" s="76">
        <f>C7</f>
        <v>8.0000000000000002E-8</v>
      </c>
      <c r="D93" s="76">
        <v>1</v>
      </c>
      <c r="E93" s="76" t="s">
        <v>124</v>
      </c>
      <c r="F93" s="76" t="s">
        <v>168</v>
      </c>
      <c r="G93" s="76" t="s">
        <v>169</v>
      </c>
      <c r="H93" s="76" t="s">
        <v>170</v>
      </c>
      <c r="I93" s="76">
        <v>0</v>
      </c>
      <c r="J93" s="76">
        <v>0</v>
      </c>
      <c r="K93" s="76" t="s">
        <v>535</v>
      </c>
      <c r="L93" s="76">
        <f t="shared" si="10"/>
        <v>8.0000000000000002E-8</v>
      </c>
      <c r="M93" s="76" t="s">
        <v>172</v>
      </c>
      <c r="N93" s="76">
        <f t="shared" si="16"/>
        <v>2E-8</v>
      </c>
      <c r="O93" s="76" t="s">
        <v>535</v>
      </c>
      <c r="P93" s="76" t="s">
        <v>550</v>
      </c>
    </row>
    <row r="94" spans="2:16" ht="12.75" customHeight="1" x14ac:dyDescent="0.2">
      <c r="B94" s="76" t="s">
        <v>548</v>
      </c>
      <c r="C94" s="76">
        <f>C7</f>
        <v>8.0000000000000002E-8</v>
      </c>
      <c r="D94" s="76">
        <v>1</v>
      </c>
      <c r="E94" s="76" t="s">
        <v>123</v>
      </c>
      <c r="F94" s="76" t="s">
        <v>168</v>
      </c>
      <c r="G94" s="76" t="s">
        <v>169</v>
      </c>
      <c r="H94" s="76" t="s">
        <v>170</v>
      </c>
      <c r="I94" s="76">
        <v>0</v>
      </c>
      <c r="J94" s="76">
        <v>0</v>
      </c>
      <c r="K94" s="76" t="s">
        <v>535</v>
      </c>
      <c r="L94" s="76">
        <f t="shared" si="10"/>
        <v>8.0000000000000002E-8</v>
      </c>
      <c r="M94" s="76" t="s">
        <v>172</v>
      </c>
      <c r="N94" s="76">
        <f t="shared" si="16"/>
        <v>2E-8</v>
      </c>
      <c r="O94" s="76" t="s">
        <v>535</v>
      </c>
      <c r="P94" s="76" t="s">
        <v>550</v>
      </c>
    </row>
    <row r="95" spans="2:16" ht="12.75" customHeight="1" x14ac:dyDescent="0.2">
      <c r="B95" s="76" t="s">
        <v>548</v>
      </c>
      <c r="C95" s="76">
        <f>C7</f>
        <v>8.0000000000000002E-8</v>
      </c>
      <c r="D95" s="76">
        <v>1</v>
      </c>
      <c r="E95" s="76" t="s">
        <v>122</v>
      </c>
      <c r="F95" s="76" t="s">
        <v>168</v>
      </c>
      <c r="G95" s="76" t="s">
        <v>169</v>
      </c>
      <c r="H95" s="76" t="s">
        <v>170</v>
      </c>
      <c r="I95" s="76">
        <v>0</v>
      </c>
      <c r="J95" s="76">
        <v>0</v>
      </c>
      <c r="K95" s="76" t="s">
        <v>535</v>
      </c>
      <c r="L95" s="76">
        <f t="shared" si="10"/>
        <v>8.0000000000000002E-8</v>
      </c>
      <c r="M95" s="76" t="s">
        <v>172</v>
      </c>
      <c r="N95" s="76">
        <f t="shared" si="16"/>
        <v>2E-8</v>
      </c>
      <c r="O95" s="76" t="s">
        <v>535</v>
      </c>
      <c r="P95" s="76" t="s">
        <v>550</v>
      </c>
    </row>
    <row r="96" spans="2:16" ht="12.75" customHeight="1" x14ac:dyDescent="0.2">
      <c r="B96" s="76" t="s">
        <v>548</v>
      </c>
      <c r="C96" s="76">
        <f>C7</f>
        <v>8.0000000000000002E-8</v>
      </c>
      <c r="D96" s="76">
        <v>1</v>
      </c>
      <c r="E96" s="76" t="s">
        <v>136</v>
      </c>
      <c r="F96" s="76" t="s">
        <v>168</v>
      </c>
      <c r="G96" s="76" t="s">
        <v>169</v>
      </c>
      <c r="H96" s="76" t="s">
        <v>170</v>
      </c>
      <c r="I96" s="76">
        <v>0</v>
      </c>
      <c r="J96" s="76">
        <v>0</v>
      </c>
      <c r="K96" s="76" t="s">
        <v>535</v>
      </c>
      <c r="L96" s="76">
        <f t="shared" si="10"/>
        <v>8.0000000000000002E-8</v>
      </c>
      <c r="M96" s="76" t="s">
        <v>172</v>
      </c>
      <c r="N96" s="76">
        <f t="shared" ref="N96:N102" si="17">1.8*C96</f>
        <v>1.4400000000000002E-7</v>
      </c>
      <c r="O96" s="76" t="s">
        <v>535</v>
      </c>
      <c r="P96" s="76" t="s">
        <v>550</v>
      </c>
    </row>
    <row r="97" spans="2:16" ht="12.75" customHeight="1" x14ac:dyDescent="0.2">
      <c r="B97" s="76" t="s">
        <v>548</v>
      </c>
      <c r="C97" s="76">
        <f>C7</f>
        <v>8.0000000000000002E-8</v>
      </c>
      <c r="D97" s="76">
        <v>1</v>
      </c>
      <c r="E97" s="76" t="s">
        <v>135</v>
      </c>
      <c r="F97" s="76" t="s">
        <v>168</v>
      </c>
      <c r="G97" s="76" t="s">
        <v>169</v>
      </c>
      <c r="H97" s="76" t="s">
        <v>170</v>
      </c>
      <c r="I97" s="76">
        <v>0</v>
      </c>
      <c r="J97" s="76">
        <v>0</v>
      </c>
      <c r="K97" s="76" t="s">
        <v>535</v>
      </c>
      <c r="L97" s="76">
        <f t="shared" si="10"/>
        <v>8.0000000000000002E-8</v>
      </c>
      <c r="M97" s="76" t="s">
        <v>172</v>
      </c>
      <c r="N97" s="76">
        <f t="shared" si="17"/>
        <v>1.4400000000000002E-7</v>
      </c>
      <c r="O97" s="76" t="s">
        <v>535</v>
      </c>
      <c r="P97" s="76" t="s">
        <v>550</v>
      </c>
    </row>
    <row r="98" spans="2:16" ht="12.75" customHeight="1" x14ac:dyDescent="0.2">
      <c r="B98" s="76" t="s">
        <v>548</v>
      </c>
      <c r="C98" s="76">
        <f>C7</f>
        <v>8.0000000000000002E-8</v>
      </c>
      <c r="D98" s="76">
        <v>1</v>
      </c>
      <c r="E98" s="76" t="s">
        <v>134</v>
      </c>
      <c r="F98" s="76" t="s">
        <v>168</v>
      </c>
      <c r="G98" s="76" t="s">
        <v>169</v>
      </c>
      <c r="H98" s="76" t="s">
        <v>170</v>
      </c>
      <c r="I98" s="76">
        <v>0</v>
      </c>
      <c r="J98" s="76">
        <v>0</v>
      </c>
      <c r="K98" s="76" t="s">
        <v>535</v>
      </c>
      <c r="L98" s="76">
        <f t="shared" si="10"/>
        <v>8.0000000000000002E-8</v>
      </c>
      <c r="M98" s="76" t="s">
        <v>172</v>
      </c>
      <c r="N98" s="76">
        <f t="shared" si="17"/>
        <v>1.4400000000000002E-7</v>
      </c>
      <c r="O98" s="76" t="s">
        <v>535</v>
      </c>
      <c r="P98" s="76" t="s">
        <v>550</v>
      </c>
    </row>
    <row r="99" spans="2:16" ht="12.75" customHeight="1" x14ac:dyDescent="0.2">
      <c r="B99" s="76" t="s">
        <v>548</v>
      </c>
      <c r="C99" s="76">
        <f>C7</f>
        <v>8.0000000000000002E-8</v>
      </c>
      <c r="D99" s="76">
        <v>1</v>
      </c>
      <c r="E99" s="76" t="s">
        <v>133</v>
      </c>
      <c r="F99" s="76" t="s">
        <v>168</v>
      </c>
      <c r="G99" s="76" t="s">
        <v>169</v>
      </c>
      <c r="H99" s="76" t="s">
        <v>170</v>
      </c>
      <c r="I99" s="76">
        <v>0</v>
      </c>
      <c r="J99" s="76">
        <v>0</v>
      </c>
      <c r="K99" s="76" t="s">
        <v>535</v>
      </c>
      <c r="L99" s="76">
        <f t="shared" si="10"/>
        <v>8.0000000000000002E-8</v>
      </c>
      <c r="M99" s="76" t="s">
        <v>172</v>
      </c>
      <c r="N99" s="76">
        <f t="shared" si="17"/>
        <v>1.4400000000000002E-7</v>
      </c>
      <c r="O99" s="76" t="s">
        <v>535</v>
      </c>
      <c r="P99" s="76" t="s">
        <v>550</v>
      </c>
    </row>
    <row r="100" spans="2:16" ht="12.75" customHeight="1" x14ac:dyDescent="0.2">
      <c r="B100" s="76" t="s">
        <v>548</v>
      </c>
      <c r="C100" s="76">
        <f>C7</f>
        <v>8.0000000000000002E-8</v>
      </c>
      <c r="D100" s="76">
        <v>1</v>
      </c>
      <c r="E100" s="76" t="s">
        <v>132</v>
      </c>
      <c r="F100" s="76" t="s">
        <v>168</v>
      </c>
      <c r="G100" s="76" t="s">
        <v>169</v>
      </c>
      <c r="H100" s="76" t="s">
        <v>170</v>
      </c>
      <c r="I100" s="76">
        <v>0</v>
      </c>
      <c r="J100" s="76">
        <v>0</v>
      </c>
      <c r="K100" s="76" t="s">
        <v>535</v>
      </c>
      <c r="L100" s="76">
        <f t="shared" si="10"/>
        <v>8.0000000000000002E-8</v>
      </c>
      <c r="M100" s="76" t="s">
        <v>172</v>
      </c>
      <c r="N100" s="76">
        <f t="shared" si="17"/>
        <v>1.4400000000000002E-7</v>
      </c>
      <c r="O100" s="76" t="s">
        <v>535</v>
      </c>
      <c r="P100" s="76" t="s">
        <v>550</v>
      </c>
    </row>
    <row r="101" spans="2:16" ht="12.75" customHeight="1" x14ac:dyDescent="0.2">
      <c r="B101" s="76" t="s">
        <v>548</v>
      </c>
      <c r="C101" s="76">
        <f>C7</f>
        <v>8.0000000000000002E-8</v>
      </c>
      <c r="D101" s="76">
        <v>1</v>
      </c>
      <c r="E101" s="76" t="s">
        <v>131</v>
      </c>
      <c r="F101" s="76" t="s">
        <v>168</v>
      </c>
      <c r="G101" s="76" t="s">
        <v>169</v>
      </c>
      <c r="H101" s="76" t="s">
        <v>170</v>
      </c>
      <c r="I101" s="76">
        <v>0</v>
      </c>
      <c r="J101" s="76">
        <v>0</v>
      </c>
      <c r="K101" s="76" t="s">
        <v>535</v>
      </c>
      <c r="L101" s="76">
        <f t="shared" si="10"/>
        <v>8.0000000000000002E-8</v>
      </c>
      <c r="M101" s="76" t="s">
        <v>172</v>
      </c>
      <c r="N101" s="76">
        <f t="shared" si="17"/>
        <v>1.4400000000000002E-7</v>
      </c>
      <c r="O101" s="76" t="s">
        <v>535</v>
      </c>
      <c r="P101" s="76" t="s">
        <v>550</v>
      </c>
    </row>
    <row r="102" spans="2:16" ht="12.75" customHeight="1" x14ac:dyDescent="0.2">
      <c r="B102" s="76" t="s">
        <v>548</v>
      </c>
      <c r="C102" s="76">
        <f>C7</f>
        <v>8.0000000000000002E-8</v>
      </c>
      <c r="D102" s="76">
        <v>1</v>
      </c>
      <c r="E102" s="76" t="s">
        <v>130</v>
      </c>
      <c r="F102" s="76" t="s">
        <v>168</v>
      </c>
      <c r="G102" s="76" t="s">
        <v>169</v>
      </c>
      <c r="H102" s="76" t="s">
        <v>170</v>
      </c>
      <c r="I102" s="76">
        <v>0</v>
      </c>
      <c r="J102" s="76">
        <v>0</v>
      </c>
      <c r="K102" s="76" t="s">
        <v>535</v>
      </c>
      <c r="L102" s="76">
        <f t="shared" si="10"/>
        <v>8.0000000000000002E-8</v>
      </c>
      <c r="M102" s="76" t="s">
        <v>172</v>
      </c>
      <c r="N102" s="76">
        <f t="shared" si="17"/>
        <v>1.4400000000000002E-7</v>
      </c>
      <c r="O102" s="76" t="s">
        <v>535</v>
      </c>
      <c r="P102" s="76" t="s">
        <v>550</v>
      </c>
    </row>
    <row r="103" spans="2:16" ht="12.75" customHeight="1" x14ac:dyDescent="0.2">
      <c r="B103" s="76" t="s">
        <v>548</v>
      </c>
      <c r="C103" s="76">
        <f>C7</f>
        <v>8.0000000000000002E-8</v>
      </c>
      <c r="D103" s="76">
        <v>1</v>
      </c>
      <c r="E103" s="76" t="s">
        <v>129</v>
      </c>
      <c r="F103" s="76" t="s">
        <v>168</v>
      </c>
      <c r="G103" s="76" t="s">
        <v>169</v>
      </c>
      <c r="H103" s="76" t="s">
        <v>170</v>
      </c>
      <c r="I103" s="76">
        <v>0</v>
      </c>
      <c r="J103" s="76">
        <v>0</v>
      </c>
      <c r="K103" s="76" t="s">
        <v>535</v>
      </c>
      <c r="L103" s="76">
        <f t="shared" si="10"/>
        <v>8.0000000000000002E-8</v>
      </c>
      <c r="M103" s="76" t="s">
        <v>172</v>
      </c>
      <c r="N103" s="76">
        <f>0.1*C22</f>
        <v>8.0000000000000005E-9</v>
      </c>
      <c r="O103" s="76" t="s">
        <v>535</v>
      </c>
      <c r="P103" s="76" t="s">
        <v>550</v>
      </c>
    </row>
    <row r="104" spans="2:16" ht="12.75" customHeight="1" x14ac:dyDescent="0.2">
      <c r="B104" s="76" t="s">
        <v>548</v>
      </c>
      <c r="C104" s="76">
        <f>C7</f>
        <v>8.0000000000000002E-8</v>
      </c>
      <c r="D104" s="76">
        <v>1</v>
      </c>
      <c r="E104" s="76" t="s">
        <v>128</v>
      </c>
      <c r="F104" s="76" t="s">
        <v>168</v>
      </c>
      <c r="G104" s="76" t="s">
        <v>169</v>
      </c>
      <c r="H104" s="76" t="s">
        <v>170</v>
      </c>
      <c r="I104" s="76">
        <v>0</v>
      </c>
      <c r="J104" s="76">
        <v>0</v>
      </c>
      <c r="K104" s="76" t="s">
        <v>535</v>
      </c>
      <c r="L104" s="76">
        <f t="shared" si="10"/>
        <v>8.0000000000000002E-8</v>
      </c>
      <c r="M104" s="76" t="s">
        <v>172</v>
      </c>
      <c r="N104" s="76">
        <f>0.1*C23</f>
        <v>8.0000000000000005E-9</v>
      </c>
      <c r="O104" s="76" t="s">
        <v>535</v>
      </c>
      <c r="P104" s="76" t="s">
        <v>550</v>
      </c>
    </row>
    <row r="105" spans="2:16" ht="12.75" customHeight="1" x14ac:dyDescent="0.2">
      <c r="B105" s="76" t="s">
        <v>548</v>
      </c>
      <c r="C105" s="76">
        <f>C7</f>
        <v>8.0000000000000002E-8</v>
      </c>
      <c r="D105" s="76">
        <v>1</v>
      </c>
      <c r="E105" s="76" t="s">
        <v>98</v>
      </c>
      <c r="F105" s="76" t="s">
        <v>168</v>
      </c>
      <c r="G105" s="76" t="s">
        <v>169</v>
      </c>
      <c r="H105" s="76" t="s">
        <v>170</v>
      </c>
      <c r="I105" s="76">
        <v>0</v>
      </c>
      <c r="J105" s="76">
        <v>0</v>
      </c>
      <c r="K105" s="76" t="s">
        <v>535</v>
      </c>
      <c r="L105" s="76">
        <f t="shared" si="10"/>
        <v>8.0000000000000002E-8</v>
      </c>
      <c r="M105" s="76" t="s">
        <v>163</v>
      </c>
      <c r="N105" s="76"/>
      <c r="O105" s="76" t="s">
        <v>535</v>
      </c>
      <c r="P105" s="76" t="s">
        <v>550</v>
      </c>
    </row>
    <row r="106" spans="2:16" ht="12.75" customHeight="1" x14ac:dyDescent="0.2">
      <c r="B106" s="76" t="s">
        <v>548</v>
      </c>
      <c r="C106" s="76">
        <f>C7</f>
        <v>8.0000000000000002E-8</v>
      </c>
      <c r="D106" s="76">
        <v>1</v>
      </c>
      <c r="E106" s="76" t="s">
        <v>99</v>
      </c>
      <c r="F106" s="76" t="s">
        <v>168</v>
      </c>
      <c r="G106" s="76" t="s">
        <v>169</v>
      </c>
      <c r="H106" s="76" t="s">
        <v>170</v>
      </c>
      <c r="I106" s="76">
        <v>0</v>
      </c>
      <c r="J106" s="76">
        <v>0</v>
      </c>
      <c r="K106" s="76" t="s">
        <v>535</v>
      </c>
      <c r="L106" s="76">
        <f t="shared" ref="L106:L137" si="18">C106</f>
        <v>8.0000000000000002E-8</v>
      </c>
      <c r="M106" s="76" t="s">
        <v>172</v>
      </c>
      <c r="N106" s="76">
        <f>0.1*C106</f>
        <v>8.0000000000000005E-9</v>
      </c>
      <c r="O106" s="76" t="s">
        <v>535</v>
      </c>
      <c r="P106" s="76" t="s">
        <v>550</v>
      </c>
    </row>
    <row r="107" spans="2:16" ht="12.75" customHeight="1" x14ac:dyDescent="0.2">
      <c r="B107" s="76" t="s">
        <v>548</v>
      </c>
      <c r="C107" s="76">
        <f>C7</f>
        <v>8.0000000000000002E-8</v>
      </c>
      <c r="D107" s="76">
        <v>1</v>
      </c>
      <c r="E107" s="76" t="s">
        <v>898</v>
      </c>
      <c r="F107" s="76" t="s">
        <v>168</v>
      </c>
      <c r="G107" s="76" t="s">
        <v>169</v>
      </c>
      <c r="H107" s="76" t="s">
        <v>516</v>
      </c>
      <c r="I107" s="76">
        <v>0</v>
      </c>
      <c r="J107" s="76">
        <f>0.25*C107</f>
        <v>2E-8</v>
      </c>
      <c r="K107" s="76">
        <f>0.75*C107</f>
        <v>6.0000000000000008E-8</v>
      </c>
      <c r="L107" s="76">
        <f t="shared" si="18"/>
        <v>8.0000000000000002E-8</v>
      </c>
      <c r="M107" s="76" t="s">
        <v>163</v>
      </c>
      <c r="N107" s="76"/>
      <c r="O107" s="76" t="s">
        <v>535</v>
      </c>
      <c r="P107" s="76" t="s">
        <v>549</v>
      </c>
    </row>
    <row r="108" spans="2:16" ht="12.75" customHeight="1" x14ac:dyDescent="0.2">
      <c r="B108" s="76" t="s">
        <v>548</v>
      </c>
      <c r="C108" s="76">
        <f>C7</f>
        <v>8.0000000000000002E-8</v>
      </c>
      <c r="D108" s="76">
        <v>1</v>
      </c>
      <c r="E108" s="76" t="s">
        <v>899</v>
      </c>
      <c r="F108" s="76" t="s">
        <v>168</v>
      </c>
      <c r="G108" s="76" t="s">
        <v>169</v>
      </c>
      <c r="H108" s="76" t="s">
        <v>516</v>
      </c>
      <c r="I108" s="76">
        <v>0</v>
      </c>
      <c r="J108" s="76">
        <f>0.25*C108</f>
        <v>2E-8</v>
      </c>
      <c r="K108" s="76">
        <f>0.75*C108</f>
        <v>6.0000000000000008E-8</v>
      </c>
      <c r="L108" s="76">
        <f t="shared" si="18"/>
        <v>8.0000000000000002E-8</v>
      </c>
      <c r="M108" s="76" t="s">
        <v>163</v>
      </c>
      <c r="N108" s="76"/>
      <c r="O108" s="76" t="s">
        <v>535</v>
      </c>
      <c r="P108" s="76" t="s">
        <v>549</v>
      </c>
    </row>
    <row r="109" spans="2:16" ht="12.75" customHeight="1" x14ac:dyDescent="0.2">
      <c r="B109" s="76" t="s">
        <v>548</v>
      </c>
      <c r="C109" s="76">
        <f>C7</f>
        <v>8.0000000000000002E-8</v>
      </c>
      <c r="D109" s="76">
        <v>1</v>
      </c>
      <c r="E109" s="76" t="s">
        <v>900</v>
      </c>
      <c r="F109" s="76" t="s">
        <v>168</v>
      </c>
      <c r="G109" s="76" t="s">
        <v>169</v>
      </c>
      <c r="H109" s="76" t="s">
        <v>170</v>
      </c>
      <c r="I109" s="76">
        <v>0</v>
      </c>
      <c r="J109" s="76">
        <v>0</v>
      </c>
      <c r="K109" s="76" t="s">
        <v>535</v>
      </c>
      <c r="L109" s="76">
        <f t="shared" si="18"/>
        <v>8.0000000000000002E-8</v>
      </c>
      <c r="M109" s="76" t="s">
        <v>163</v>
      </c>
      <c r="N109" s="76"/>
      <c r="O109" s="76" t="s">
        <v>535</v>
      </c>
      <c r="P109" s="76" t="s">
        <v>550</v>
      </c>
    </row>
    <row r="110" spans="2:16" ht="12.75" customHeight="1" x14ac:dyDescent="0.2">
      <c r="B110" s="76" t="s">
        <v>548</v>
      </c>
      <c r="C110" s="76">
        <f>C7</f>
        <v>8.0000000000000002E-8</v>
      </c>
      <c r="D110" s="76">
        <v>1</v>
      </c>
      <c r="E110" s="76" t="s">
        <v>901</v>
      </c>
      <c r="F110" s="76" t="s">
        <v>168</v>
      </c>
      <c r="G110" s="76" t="s">
        <v>169</v>
      </c>
      <c r="H110" s="76" t="s">
        <v>170</v>
      </c>
      <c r="I110" s="76">
        <v>0</v>
      </c>
      <c r="J110" s="76">
        <v>0</v>
      </c>
      <c r="K110" s="76" t="s">
        <v>535</v>
      </c>
      <c r="L110" s="76">
        <f t="shared" si="18"/>
        <v>8.0000000000000002E-8</v>
      </c>
      <c r="M110" s="76" t="s">
        <v>163</v>
      </c>
      <c r="N110" s="76"/>
      <c r="O110" s="76" t="s">
        <v>535</v>
      </c>
      <c r="P110" s="76" t="s">
        <v>550</v>
      </c>
    </row>
    <row r="111" spans="2:16" ht="12.75" customHeight="1" x14ac:dyDescent="0.2">
      <c r="B111" s="76" t="s">
        <v>548</v>
      </c>
      <c r="C111" s="76">
        <f>C7</f>
        <v>8.0000000000000002E-8</v>
      </c>
      <c r="D111" s="76">
        <v>1</v>
      </c>
      <c r="E111" s="76" t="s">
        <v>902</v>
      </c>
      <c r="F111" s="76" t="s">
        <v>168</v>
      </c>
      <c r="G111" s="76" t="s">
        <v>169</v>
      </c>
      <c r="H111" s="76" t="s">
        <v>170</v>
      </c>
      <c r="I111" s="76">
        <v>0</v>
      </c>
      <c r="J111" s="76">
        <v>0</v>
      </c>
      <c r="K111" s="76" t="s">
        <v>535</v>
      </c>
      <c r="L111" s="76">
        <f t="shared" si="18"/>
        <v>8.0000000000000002E-8</v>
      </c>
      <c r="M111" s="76" t="s">
        <v>163</v>
      </c>
      <c r="N111" s="76"/>
      <c r="O111" s="76" t="s">
        <v>535</v>
      </c>
      <c r="P111" s="76" t="s">
        <v>550</v>
      </c>
    </row>
    <row r="112" spans="2:16" ht="12.75" customHeight="1" x14ac:dyDescent="0.2">
      <c r="B112" s="76" t="s">
        <v>548</v>
      </c>
      <c r="C112" s="76">
        <f>C7</f>
        <v>8.0000000000000002E-8</v>
      </c>
      <c r="D112" s="76">
        <v>1</v>
      </c>
      <c r="E112" s="76" t="s">
        <v>903</v>
      </c>
      <c r="F112" s="76" t="s">
        <v>168</v>
      </c>
      <c r="G112" s="76" t="s">
        <v>169</v>
      </c>
      <c r="H112" s="76" t="s">
        <v>170</v>
      </c>
      <c r="I112" s="76">
        <v>0</v>
      </c>
      <c r="J112" s="76">
        <v>0</v>
      </c>
      <c r="K112" s="76" t="s">
        <v>535</v>
      </c>
      <c r="L112" s="76">
        <f t="shared" si="18"/>
        <v>8.0000000000000002E-8</v>
      </c>
      <c r="M112" s="76" t="s">
        <v>163</v>
      </c>
      <c r="N112" s="76"/>
      <c r="O112" s="76" t="s">
        <v>535</v>
      </c>
      <c r="P112" s="76" t="s">
        <v>550</v>
      </c>
    </row>
    <row r="113" spans="2:16" ht="12.75" customHeight="1" x14ac:dyDescent="0.2">
      <c r="B113" s="76" t="s">
        <v>548</v>
      </c>
      <c r="C113" s="76">
        <f>C7</f>
        <v>8.0000000000000002E-8</v>
      </c>
      <c r="D113" s="76">
        <v>1</v>
      </c>
      <c r="E113" s="76" t="s">
        <v>904</v>
      </c>
      <c r="F113" s="76" t="s">
        <v>168</v>
      </c>
      <c r="G113" s="76" t="s">
        <v>169</v>
      </c>
      <c r="H113" s="76" t="s">
        <v>170</v>
      </c>
      <c r="I113" s="76">
        <v>0</v>
      </c>
      <c r="J113" s="76">
        <v>0</v>
      </c>
      <c r="K113" s="76" t="s">
        <v>535</v>
      </c>
      <c r="L113" s="76">
        <f t="shared" si="18"/>
        <v>8.0000000000000002E-8</v>
      </c>
      <c r="M113" s="76" t="s">
        <v>163</v>
      </c>
      <c r="N113" s="76"/>
      <c r="O113" s="76" t="s">
        <v>535</v>
      </c>
      <c r="P113" s="76" t="s">
        <v>550</v>
      </c>
    </row>
    <row r="114" spans="2:16" ht="12.75" customHeight="1" x14ac:dyDescent="0.2">
      <c r="B114" s="76" t="s">
        <v>548</v>
      </c>
      <c r="C114" s="76">
        <f>C7</f>
        <v>8.0000000000000002E-8</v>
      </c>
      <c r="D114" s="76">
        <v>1</v>
      </c>
      <c r="E114" s="76" t="s">
        <v>905</v>
      </c>
      <c r="F114" s="76" t="s">
        <v>168</v>
      </c>
      <c r="G114" s="76" t="s">
        <v>169</v>
      </c>
      <c r="H114" s="76" t="s">
        <v>170</v>
      </c>
      <c r="I114" s="76">
        <v>0</v>
      </c>
      <c r="J114" s="76">
        <v>0</v>
      </c>
      <c r="K114" s="76" t="s">
        <v>535</v>
      </c>
      <c r="L114" s="76">
        <f t="shared" si="18"/>
        <v>8.0000000000000002E-8</v>
      </c>
      <c r="M114" s="76" t="s">
        <v>163</v>
      </c>
      <c r="N114" s="76"/>
      <c r="O114" s="76" t="s">
        <v>535</v>
      </c>
      <c r="P114" s="76" t="s">
        <v>550</v>
      </c>
    </row>
    <row r="115" spans="2:16" ht="12.75" customHeight="1" x14ac:dyDescent="0.2">
      <c r="B115" s="76" t="s">
        <v>548</v>
      </c>
      <c r="C115" s="76">
        <f>C7</f>
        <v>8.0000000000000002E-8</v>
      </c>
      <c r="D115" s="76">
        <v>1</v>
      </c>
      <c r="E115" s="76" t="s">
        <v>906</v>
      </c>
      <c r="F115" s="76" t="s">
        <v>168</v>
      </c>
      <c r="G115" s="76" t="s">
        <v>169</v>
      </c>
      <c r="H115" s="76" t="s">
        <v>170</v>
      </c>
      <c r="I115" s="76">
        <v>0</v>
      </c>
      <c r="J115" s="76">
        <v>0</v>
      </c>
      <c r="K115" s="76" t="s">
        <v>535</v>
      </c>
      <c r="L115" s="76">
        <f t="shared" si="18"/>
        <v>8.0000000000000002E-8</v>
      </c>
      <c r="M115" s="76" t="s">
        <v>163</v>
      </c>
      <c r="N115" s="76"/>
      <c r="O115" s="76" t="s">
        <v>535</v>
      </c>
      <c r="P115" s="76" t="s">
        <v>550</v>
      </c>
    </row>
    <row r="116" spans="2:16" ht="12.75" customHeight="1" x14ac:dyDescent="0.2">
      <c r="B116" s="76" t="s">
        <v>548</v>
      </c>
      <c r="C116" s="76">
        <f>C7</f>
        <v>8.0000000000000002E-8</v>
      </c>
      <c r="D116" s="76">
        <v>1</v>
      </c>
      <c r="E116" s="76" t="s">
        <v>907</v>
      </c>
      <c r="F116" s="76" t="s">
        <v>168</v>
      </c>
      <c r="G116" s="76" t="s">
        <v>169</v>
      </c>
      <c r="H116" s="76" t="s">
        <v>170</v>
      </c>
      <c r="I116" s="76">
        <v>0</v>
      </c>
      <c r="J116" s="76">
        <v>0</v>
      </c>
      <c r="K116" s="76" t="s">
        <v>535</v>
      </c>
      <c r="L116" s="76">
        <f t="shared" si="18"/>
        <v>8.0000000000000002E-8</v>
      </c>
      <c r="M116" s="76" t="s">
        <v>163</v>
      </c>
      <c r="N116" s="76"/>
      <c r="O116" s="76" t="s">
        <v>535</v>
      </c>
      <c r="P116" s="76" t="s">
        <v>550</v>
      </c>
    </row>
    <row r="117" spans="2:16" ht="12.75" customHeight="1" x14ac:dyDescent="0.2">
      <c r="B117" s="76" t="s">
        <v>548</v>
      </c>
      <c r="C117" s="76">
        <f>C7</f>
        <v>8.0000000000000002E-8</v>
      </c>
      <c r="D117" s="76">
        <v>1</v>
      </c>
      <c r="E117" s="76" t="s">
        <v>911</v>
      </c>
      <c r="F117" s="76" t="s">
        <v>168</v>
      </c>
      <c r="G117" s="76" t="s">
        <v>169</v>
      </c>
      <c r="H117" s="76" t="s">
        <v>170</v>
      </c>
      <c r="I117" s="76">
        <v>0</v>
      </c>
      <c r="J117" s="76">
        <v>0</v>
      </c>
      <c r="K117" s="76" t="s">
        <v>535</v>
      </c>
      <c r="L117" s="76">
        <f t="shared" si="18"/>
        <v>8.0000000000000002E-8</v>
      </c>
      <c r="M117" s="76" t="s">
        <v>172</v>
      </c>
      <c r="N117" s="76">
        <f>0.1*C117</f>
        <v>8.0000000000000005E-9</v>
      </c>
      <c r="O117" s="76" t="s">
        <v>535</v>
      </c>
      <c r="P117" s="76" t="s">
        <v>550</v>
      </c>
    </row>
    <row r="118" spans="2:16" ht="12.75" customHeight="1" x14ac:dyDescent="0.2">
      <c r="B118" s="76" t="s">
        <v>548</v>
      </c>
      <c r="C118" s="76">
        <f>C7</f>
        <v>8.0000000000000002E-8</v>
      </c>
      <c r="D118" s="76">
        <v>1</v>
      </c>
      <c r="E118" s="76" t="s">
        <v>908</v>
      </c>
      <c r="F118" s="76" t="s">
        <v>168</v>
      </c>
      <c r="G118" s="76" t="s">
        <v>169</v>
      </c>
      <c r="H118" s="76" t="s">
        <v>170</v>
      </c>
      <c r="I118" s="76">
        <v>0</v>
      </c>
      <c r="J118" s="76">
        <v>0</v>
      </c>
      <c r="K118" s="76" t="s">
        <v>535</v>
      </c>
      <c r="L118" s="76">
        <f t="shared" si="18"/>
        <v>8.0000000000000002E-8</v>
      </c>
      <c r="M118" s="76" t="s">
        <v>163</v>
      </c>
      <c r="N118" s="76"/>
      <c r="O118" s="76" t="s">
        <v>535</v>
      </c>
      <c r="P118" s="76" t="s">
        <v>550</v>
      </c>
    </row>
    <row r="119" spans="2:16" ht="12.75" customHeight="1" x14ac:dyDescent="0.2">
      <c r="B119" s="76" t="s">
        <v>548</v>
      </c>
      <c r="C119" s="76">
        <f>C7</f>
        <v>8.0000000000000002E-8</v>
      </c>
      <c r="D119" s="76">
        <v>1</v>
      </c>
      <c r="E119" s="76" t="s">
        <v>944</v>
      </c>
      <c r="F119" s="76" t="s">
        <v>168</v>
      </c>
      <c r="G119" s="76" t="s">
        <v>169</v>
      </c>
      <c r="H119" s="76" t="s">
        <v>170</v>
      </c>
      <c r="I119" s="76">
        <v>0</v>
      </c>
      <c r="J119" s="76">
        <v>0</v>
      </c>
      <c r="K119" s="76" t="s">
        <v>535</v>
      </c>
      <c r="L119" s="76">
        <f t="shared" si="18"/>
        <v>8.0000000000000002E-8</v>
      </c>
      <c r="M119" s="76" t="s">
        <v>163</v>
      </c>
      <c r="N119" s="76"/>
      <c r="O119" s="76" t="s">
        <v>535</v>
      </c>
      <c r="P119" s="76" t="s">
        <v>550</v>
      </c>
    </row>
    <row r="120" spans="2:16" ht="12.75" customHeight="1" x14ac:dyDescent="0.2">
      <c r="B120" s="76" t="s">
        <v>548</v>
      </c>
      <c r="C120" s="76">
        <f>C7</f>
        <v>8.0000000000000002E-8</v>
      </c>
      <c r="D120" s="76">
        <v>1</v>
      </c>
      <c r="E120" s="76" t="s">
        <v>934</v>
      </c>
      <c r="F120" s="76" t="s">
        <v>168</v>
      </c>
      <c r="G120" s="76" t="s">
        <v>169</v>
      </c>
      <c r="H120" s="76" t="s">
        <v>170</v>
      </c>
      <c r="I120" s="76">
        <v>0</v>
      </c>
      <c r="J120" s="76">
        <v>0</v>
      </c>
      <c r="K120" s="76" t="s">
        <v>535</v>
      </c>
      <c r="L120" s="76">
        <f t="shared" si="18"/>
        <v>8.0000000000000002E-8</v>
      </c>
      <c r="M120" s="76" t="s">
        <v>163</v>
      </c>
      <c r="N120" s="76"/>
      <c r="O120" s="76" t="s">
        <v>535</v>
      </c>
      <c r="P120" s="76" t="s">
        <v>550</v>
      </c>
    </row>
    <row r="121" spans="2:16" ht="12.75" customHeight="1" x14ac:dyDescent="0.2">
      <c r="B121" s="76" t="s">
        <v>548</v>
      </c>
      <c r="C121" s="76">
        <f>C7</f>
        <v>8.0000000000000002E-8</v>
      </c>
      <c r="D121" s="76">
        <v>1</v>
      </c>
      <c r="E121" s="76" t="s">
        <v>933</v>
      </c>
      <c r="F121" s="76" t="s">
        <v>168</v>
      </c>
      <c r="G121" s="76" t="s">
        <v>169</v>
      </c>
      <c r="H121" s="76" t="s">
        <v>170</v>
      </c>
      <c r="I121" s="76">
        <v>0</v>
      </c>
      <c r="J121" s="76">
        <v>0</v>
      </c>
      <c r="K121" s="76" t="s">
        <v>535</v>
      </c>
      <c r="L121" s="76">
        <f t="shared" si="18"/>
        <v>8.0000000000000002E-8</v>
      </c>
      <c r="M121" s="76" t="s">
        <v>163</v>
      </c>
      <c r="N121" s="76"/>
      <c r="O121" s="76" t="s">
        <v>535</v>
      </c>
      <c r="P121" s="76" t="s">
        <v>550</v>
      </c>
    </row>
    <row r="122" spans="2:16" ht="12.75" customHeight="1" x14ac:dyDescent="0.2">
      <c r="B122" s="76" t="s">
        <v>548</v>
      </c>
      <c r="C122" s="76">
        <f>C7</f>
        <v>8.0000000000000002E-8</v>
      </c>
      <c r="D122" s="76">
        <v>1</v>
      </c>
      <c r="E122" s="76" t="s">
        <v>932</v>
      </c>
      <c r="F122" s="76" t="s">
        <v>168</v>
      </c>
      <c r="G122" s="76" t="s">
        <v>169</v>
      </c>
      <c r="H122" s="76" t="s">
        <v>170</v>
      </c>
      <c r="I122" s="76">
        <v>0</v>
      </c>
      <c r="J122" s="76">
        <v>0</v>
      </c>
      <c r="K122" s="76" t="s">
        <v>535</v>
      </c>
      <c r="L122" s="76">
        <f t="shared" si="18"/>
        <v>8.0000000000000002E-8</v>
      </c>
      <c r="M122" s="76" t="s">
        <v>163</v>
      </c>
      <c r="N122" s="76"/>
      <c r="O122" s="76" t="s">
        <v>535</v>
      </c>
      <c r="P122" s="76" t="s">
        <v>550</v>
      </c>
    </row>
    <row r="123" spans="2:16" ht="12.75" customHeight="1" x14ac:dyDescent="0.2">
      <c r="B123" s="76" t="s">
        <v>548</v>
      </c>
      <c r="C123" s="76">
        <f>C7</f>
        <v>8.0000000000000002E-8</v>
      </c>
      <c r="D123" s="76">
        <v>1</v>
      </c>
      <c r="E123" s="76" t="s">
        <v>931</v>
      </c>
      <c r="F123" s="76" t="s">
        <v>168</v>
      </c>
      <c r="G123" s="76" t="s">
        <v>169</v>
      </c>
      <c r="H123" s="76" t="s">
        <v>170</v>
      </c>
      <c r="I123" s="76">
        <v>0</v>
      </c>
      <c r="J123" s="76">
        <v>0</v>
      </c>
      <c r="K123" s="76" t="s">
        <v>535</v>
      </c>
      <c r="L123" s="76">
        <f t="shared" si="18"/>
        <v>8.0000000000000002E-8</v>
      </c>
      <c r="M123" s="76" t="s">
        <v>163</v>
      </c>
      <c r="N123" s="76"/>
      <c r="O123" s="76" t="s">
        <v>535</v>
      </c>
      <c r="P123" s="76" t="s">
        <v>550</v>
      </c>
    </row>
    <row r="124" spans="2:16" ht="12.75" customHeight="1" x14ac:dyDescent="0.2">
      <c r="B124" s="76" t="s">
        <v>548</v>
      </c>
      <c r="C124" s="76">
        <f>C7</f>
        <v>8.0000000000000002E-8</v>
      </c>
      <c r="D124" s="76">
        <v>1</v>
      </c>
      <c r="E124" s="76" t="s">
        <v>930</v>
      </c>
      <c r="F124" s="76" t="s">
        <v>168</v>
      </c>
      <c r="G124" s="76" t="s">
        <v>169</v>
      </c>
      <c r="H124" s="76" t="s">
        <v>170</v>
      </c>
      <c r="I124" s="76">
        <v>0</v>
      </c>
      <c r="J124" s="76">
        <v>0</v>
      </c>
      <c r="K124" s="76" t="s">
        <v>535</v>
      </c>
      <c r="L124" s="76">
        <f t="shared" si="18"/>
        <v>8.0000000000000002E-8</v>
      </c>
      <c r="M124" s="76" t="s">
        <v>163</v>
      </c>
      <c r="N124" s="76"/>
      <c r="O124" s="76" t="s">
        <v>535</v>
      </c>
      <c r="P124" s="76" t="s">
        <v>550</v>
      </c>
    </row>
    <row r="125" spans="2:16" ht="12.75" customHeight="1" x14ac:dyDescent="0.2">
      <c r="B125" s="76" t="s">
        <v>548</v>
      </c>
      <c r="C125" s="76">
        <f>C7</f>
        <v>8.0000000000000002E-8</v>
      </c>
      <c r="D125" s="76">
        <v>1</v>
      </c>
      <c r="E125" s="76" t="s">
        <v>929</v>
      </c>
      <c r="F125" s="76" t="s">
        <v>168</v>
      </c>
      <c r="G125" s="76" t="s">
        <v>169</v>
      </c>
      <c r="H125" s="76" t="s">
        <v>170</v>
      </c>
      <c r="I125" s="76">
        <v>0</v>
      </c>
      <c r="J125" s="76">
        <v>0</v>
      </c>
      <c r="K125" s="76" t="s">
        <v>535</v>
      </c>
      <c r="L125" s="76">
        <f t="shared" si="18"/>
        <v>8.0000000000000002E-8</v>
      </c>
      <c r="M125" s="76" t="s">
        <v>163</v>
      </c>
      <c r="N125" s="76"/>
      <c r="O125" s="76" t="s">
        <v>535</v>
      </c>
      <c r="P125" s="76" t="s">
        <v>550</v>
      </c>
    </row>
    <row r="126" spans="2:16" ht="12.75" customHeight="1" x14ac:dyDescent="0.2">
      <c r="B126" s="76" t="s">
        <v>548</v>
      </c>
      <c r="C126" s="76">
        <f>C7</f>
        <v>8.0000000000000002E-8</v>
      </c>
      <c r="D126" s="76">
        <v>1</v>
      </c>
      <c r="E126" s="76" t="s">
        <v>928</v>
      </c>
      <c r="F126" s="76" t="s">
        <v>168</v>
      </c>
      <c r="G126" s="76" t="s">
        <v>169</v>
      </c>
      <c r="H126" s="76" t="s">
        <v>170</v>
      </c>
      <c r="I126" s="76">
        <v>0</v>
      </c>
      <c r="J126" s="76">
        <v>0</v>
      </c>
      <c r="K126" s="76" t="s">
        <v>535</v>
      </c>
      <c r="L126" s="76">
        <f t="shared" si="18"/>
        <v>8.0000000000000002E-8</v>
      </c>
      <c r="M126" s="76" t="s">
        <v>163</v>
      </c>
      <c r="N126" s="76"/>
      <c r="O126" s="76" t="s">
        <v>535</v>
      </c>
      <c r="P126" s="76" t="s">
        <v>550</v>
      </c>
    </row>
    <row r="127" spans="2:16" ht="12.75" customHeight="1" x14ac:dyDescent="0.2">
      <c r="B127" s="76" t="s">
        <v>548</v>
      </c>
      <c r="C127" s="76">
        <f>C7</f>
        <v>8.0000000000000002E-8</v>
      </c>
      <c r="D127" s="76">
        <v>1</v>
      </c>
      <c r="E127" s="76" t="s">
        <v>927</v>
      </c>
      <c r="F127" s="76" t="s">
        <v>168</v>
      </c>
      <c r="G127" s="76" t="s">
        <v>169</v>
      </c>
      <c r="H127" s="76" t="s">
        <v>170</v>
      </c>
      <c r="I127" s="76">
        <v>0</v>
      </c>
      <c r="J127" s="76">
        <v>0</v>
      </c>
      <c r="K127" s="76" t="s">
        <v>535</v>
      </c>
      <c r="L127" s="76">
        <f t="shared" si="18"/>
        <v>8.0000000000000002E-8</v>
      </c>
      <c r="M127" s="76" t="s">
        <v>163</v>
      </c>
      <c r="N127" s="76"/>
      <c r="O127" s="76" t="s">
        <v>535</v>
      </c>
      <c r="P127" s="76" t="s">
        <v>550</v>
      </c>
    </row>
    <row r="128" spans="2:16" ht="12.75" customHeight="1" x14ac:dyDescent="0.2">
      <c r="B128" s="76" t="s">
        <v>548</v>
      </c>
      <c r="C128" s="76">
        <f>C7</f>
        <v>8.0000000000000002E-8</v>
      </c>
      <c r="D128" s="76">
        <v>1</v>
      </c>
      <c r="E128" s="76" t="s">
        <v>926</v>
      </c>
      <c r="F128" s="76" t="s">
        <v>168</v>
      </c>
      <c r="G128" s="76" t="s">
        <v>169</v>
      </c>
      <c r="H128" s="76" t="s">
        <v>170</v>
      </c>
      <c r="I128" s="76">
        <v>0</v>
      </c>
      <c r="J128" s="76">
        <v>0</v>
      </c>
      <c r="K128" s="76" t="s">
        <v>535</v>
      </c>
      <c r="L128" s="76">
        <f t="shared" si="18"/>
        <v>8.0000000000000002E-8</v>
      </c>
      <c r="M128" s="76" t="s">
        <v>163</v>
      </c>
      <c r="N128" s="76"/>
      <c r="O128" s="76" t="s">
        <v>535</v>
      </c>
      <c r="P128" s="76" t="s">
        <v>550</v>
      </c>
    </row>
    <row r="129" spans="2:16" ht="12.75" customHeight="1" x14ac:dyDescent="0.2">
      <c r="B129" s="76" t="s">
        <v>548</v>
      </c>
      <c r="C129" s="76">
        <f>C7</f>
        <v>8.0000000000000002E-8</v>
      </c>
      <c r="D129" s="76">
        <v>1</v>
      </c>
      <c r="E129" s="76" t="s">
        <v>925</v>
      </c>
      <c r="F129" s="76" t="s">
        <v>168</v>
      </c>
      <c r="G129" s="76" t="s">
        <v>169</v>
      </c>
      <c r="H129" s="76" t="s">
        <v>170</v>
      </c>
      <c r="I129" s="76">
        <v>0</v>
      </c>
      <c r="J129" s="76">
        <v>0</v>
      </c>
      <c r="K129" s="76" t="s">
        <v>535</v>
      </c>
      <c r="L129" s="76">
        <f t="shared" si="18"/>
        <v>8.0000000000000002E-8</v>
      </c>
      <c r="M129" s="76" t="s">
        <v>163</v>
      </c>
      <c r="N129" s="76"/>
      <c r="O129" s="76" t="s">
        <v>535</v>
      </c>
      <c r="P129" s="76" t="s">
        <v>550</v>
      </c>
    </row>
    <row r="130" spans="2:16" ht="12.75" customHeight="1" x14ac:dyDescent="0.2">
      <c r="B130" s="76" t="s">
        <v>548</v>
      </c>
      <c r="C130" s="76">
        <f>C7</f>
        <v>8.0000000000000002E-8</v>
      </c>
      <c r="D130" s="76">
        <v>1</v>
      </c>
      <c r="E130" s="76" t="s">
        <v>943</v>
      </c>
      <c r="F130" s="76" t="s">
        <v>168</v>
      </c>
      <c r="G130" s="76" t="s">
        <v>169</v>
      </c>
      <c r="H130" s="76" t="s">
        <v>170</v>
      </c>
      <c r="I130" s="76">
        <v>0</v>
      </c>
      <c r="J130" s="76">
        <v>0</v>
      </c>
      <c r="K130" s="76" t="s">
        <v>535</v>
      </c>
      <c r="L130" s="76">
        <f t="shared" si="18"/>
        <v>8.0000000000000002E-8</v>
      </c>
      <c r="M130" s="76" t="s">
        <v>163</v>
      </c>
      <c r="N130" s="76"/>
      <c r="O130" s="76" t="s">
        <v>535</v>
      </c>
      <c r="P130" s="76" t="s">
        <v>550</v>
      </c>
    </row>
    <row r="131" spans="2:16" ht="12.75" customHeight="1" x14ac:dyDescent="0.2">
      <c r="B131" s="76" t="s">
        <v>548</v>
      </c>
      <c r="C131" s="76">
        <f>C7</f>
        <v>8.0000000000000002E-8</v>
      </c>
      <c r="D131" s="76">
        <v>1</v>
      </c>
      <c r="E131" s="76" t="s">
        <v>924</v>
      </c>
      <c r="F131" s="76" t="s">
        <v>168</v>
      </c>
      <c r="G131" s="76" t="s">
        <v>169</v>
      </c>
      <c r="H131" s="76" t="s">
        <v>170</v>
      </c>
      <c r="I131" s="76">
        <v>0</v>
      </c>
      <c r="J131" s="76">
        <v>0</v>
      </c>
      <c r="K131" s="76" t="s">
        <v>535</v>
      </c>
      <c r="L131" s="76">
        <f t="shared" si="18"/>
        <v>8.0000000000000002E-8</v>
      </c>
      <c r="M131" s="76" t="s">
        <v>163</v>
      </c>
      <c r="N131" s="76"/>
      <c r="O131" s="76" t="s">
        <v>535</v>
      </c>
      <c r="P131" s="76" t="s">
        <v>550</v>
      </c>
    </row>
    <row r="132" spans="2:16" ht="12.75" customHeight="1" x14ac:dyDescent="0.2">
      <c r="B132" s="76" t="s">
        <v>548</v>
      </c>
      <c r="C132" s="76">
        <f>C7</f>
        <v>8.0000000000000002E-8</v>
      </c>
      <c r="D132" s="76">
        <v>1</v>
      </c>
      <c r="E132" s="76" t="s">
        <v>923</v>
      </c>
      <c r="F132" s="76" t="s">
        <v>168</v>
      </c>
      <c r="G132" s="76" t="s">
        <v>169</v>
      </c>
      <c r="H132" s="76" t="s">
        <v>170</v>
      </c>
      <c r="I132" s="76">
        <v>0</v>
      </c>
      <c r="J132" s="76">
        <v>0</v>
      </c>
      <c r="K132" s="76" t="s">
        <v>535</v>
      </c>
      <c r="L132" s="76">
        <f t="shared" si="18"/>
        <v>8.0000000000000002E-8</v>
      </c>
      <c r="M132" s="76" t="s">
        <v>163</v>
      </c>
      <c r="N132" s="76"/>
      <c r="O132" s="76" t="s">
        <v>535</v>
      </c>
      <c r="P132" s="76" t="s">
        <v>550</v>
      </c>
    </row>
    <row r="133" spans="2:16" ht="12.75" customHeight="1" x14ac:dyDescent="0.2">
      <c r="B133" s="76" t="s">
        <v>548</v>
      </c>
      <c r="C133" s="76">
        <f>C7</f>
        <v>8.0000000000000002E-8</v>
      </c>
      <c r="D133" s="76">
        <v>1</v>
      </c>
      <c r="E133" s="76" t="s">
        <v>922</v>
      </c>
      <c r="F133" s="76" t="s">
        <v>168</v>
      </c>
      <c r="G133" s="76" t="s">
        <v>169</v>
      </c>
      <c r="H133" s="76" t="s">
        <v>170</v>
      </c>
      <c r="I133" s="76">
        <v>0</v>
      </c>
      <c r="J133" s="76">
        <v>0</v>
      </c>
      <c r="K133" s="76" t="s">
        <v>535</v>
      </c>
      <c r="L133" s="76">
        <f t="shared" si="18"/>
        <v>8.0000000000000002E-8</v>
      </c>
      <c r="M133" s="76" t="s">
        <v>163</v>
      </c>
      <c r="N133" s="76"/>
      <c r="O133" s="76" t="s">
        <v>535</v>
      </c>
      <c r="P133" s="76" t="s">
        <v>550</v>
      </c>
    </row>
    <row r="134" spans="2:16" ht="12.75" customHeight="1" x14ac:dyDescent="0.2">
      <c r="B134" s="76" t="s">
        <v>548</v>
      </c>
      <c r="C134" s="76">
        <f>C7</f>
        <v>8.0000000000000002E-8</v>
      </c>
      <c r="D134" s="76">
        <v>1</v>
      </c>
      <c r="E134" s="76" t="s">
        <v>921</v>
      </c>
      <c r="F134" s="76" t="s">
        <v>168</v>
      </c>
      <c r="G134" s="76" t="s">
        <v>169</v>
      </c>
      <c r="H134" s="76" t="s">
        <v>170</v>
      </c>
      <c r="I134" s="76">
        <v>0</v>
      </c>
      <c r="J134" s="76">
        <v>0</v>
      </c>
      <c r="K134" s="76" t="s">
        <v>535</v>
      </c>
      <c r="L134" s="76">
        <f t="shared" si="18"/>
        <v>8.0000000000000002E-8</v>
      </c>
      <c r="M134" s="76" t="s">
        <v>163</v>
      </c>
      <c r="N134" s="76"/>
      <c r="O134" s="76" t="s">
        <v>535</v>
      </c>
      <c r="P134" s="76" t="s">
        <v>550</v>
      </c>
    </row>
    <row r="135" spans="2:16" ht="12.75" customHeight="1" x14ac:dyDescent="0.2">
      <c r="B135" s="76" t="s">
        <v>548</v>
      </c>
      <c r="C135" s="76">
        <f>C7</f>
        <v>8.0000000000000002E-8</v>
      </c>
      <c r="D135" s="76">
        <v>1</v>
      </c>
      <c r="E135" s="76" t="s">
        <v>920</v>
      </c>
      <c r="F135" s="76" t="s">
        <v>168</v>
      </c>
      <c r="G135" s="76" t="s">
        <v>169</v>
      </c>
      <c r="H135" s="76" t="s">
        <v>170</v>
      </c>
      <c r="I135" s="76">
        <v>0</v>
      </c>
      <c r="J135" s="76">
        <v>0</v>
      </c>
      <c r="K135" s="76" t="s">
        <v>535</v>
      </c>
      <c r="L135" s="76">
        <f t="shared" si="18"/>
        <v>8.0000000000000002E-8</v>
      </c>
      <c r="M135" s="76" t="s">
        <v>163</v>
      </c>
      <c r="N135" s="76"/>
      <c r="O135" s="76" t="s">
        <v>535</v>
      </c>
      <c r="P135" s="76" t="s">
        <v>550</v>
      </c>
    </row>
    <row r="136" spans="2:16" ht="12.75" customHeight="1" x14ac:dyDescent="0.2">
      <c r="B136" s="76" t="s">
        <v>548</v>
      </c>
      <c r="C136" s="76">
        <f>C7</f>
        <v>8.0000000000000002E-8</v>
      </c>
      <c r="D136" s="76">
        <v>1</v>
      </c>
      <c r="E136" s="76" t="s">
        <v>919</v>
      </c>
      <c r="F136" s="76" t="s">
        <v>168</v>
      </c>
      <c r="G136" s="76" t="s">
        <v>169</v>
      </c>
      <c r="H136" s="76" t="s">
        <v>170</v>
      </c>
      <c r="I136" s="76">
        <v>0</v>
      </c>
      <c r="J136" s="76">
        <v>0</v>
      </c>
      <c r="K136" s="76" t="s">
        <v>535</v>
      </c>
      <c r="L136" s="76">
        <f t="shared" si="18"/>
        <v>8.0000000000000002E-8</v>
      </c>
      <c r="M136" s="76" t="s">
        <v>163</v>
      </c>
      <c r="N136" s="76"/>
      <c r="O136" s="76" t="s">
        <v>535</v>
      </c>
      <c r="P136" s="76" t="s">
        <v>550</v>
      </c>
    </row>
    <row r="137" spans="2:16" ht="12.75" customHeight="1" x14ac:dyDescent="0.2">
      <c r="B137" s="76" t="s">
        <v>548</v>
      </c>
      <c r="C137" s="76">
        <f>C7</f>
        <v>8.0000000000000002E-8</v>
      </c>
      <c r="D137" s="76">
        <v>1</v>
      </c>
      <c r="E137" s="76" t="s">
        <v>918</v>
      </c>
      <c r="F137" s="76" t="s">
        <v>168</v>
      </c>
      <c r="G137" s="76" t="s">
        <v>169</v>
      </c>
      <c r="H137" s="76" t="s">
        <v>170</v>
      </c>
      <c r="I137" s="76">
        <v>0</v>
      </c>
      <c r="J137" s="76">
        <v>0</v>
      </c>
      <c r="K137" s="76" t="s">
        <v>535</v>
      </c>
      <c r="L137" s="76">
        <f t="shared" si="18"/>
        <v>8.0000000000000002E-8</v>
      </c>
      <c r="M137" s="76" t="s">
        <v>163</v>
      </c>
      <c r="N137" s="76"/>
      <c r="O137" s="76" t="s">
        <v>535</v>
      </c>
      <c r="P137" s="76" t="s">
        <v>550</v>
      </c>
    </row>
    <row r="138" spans="2:16" ht="12.75" customHeight="1" x14ac:dyDescent="0.2">
      <c r="B138" s="76" t="s">
        <v>548</v>
      </c>
      <c r="C138" s="76">
        <f>C7</f>
        <v>8.0000000000000002E-8</v>
      </c>
      <c r="D138" s="76">
        <v>1</v>
      </c>
      <c r="E138" s="76" t="s">
        <v>917</v>
      </c>
      <c r="F138" s="76" t="s">
        <v>168</v>
      </c>
      <c r="G138" s="76" t="s">
        <v>169</v>
      </c>
      <c r="H138" s="76" t="s">
        <v>170</v>
      </c>
      <c r="I138" s="76">
        <v>0</v>
      </c>
      <c r="J138" s="76">
        <v>0</v>
      </c>
      <c r="K138" s="76" t="s">
        <v>535</v>
      </c>
      <c r="L138" s="76">
        <f t="shared" ref="L138:L164" si="19">C138</f>
        <v>8.0000000000000002E-8</v>
      </c>
      <c r="M138" s="76" t="s">
        <v>163</v>
      </c>
      <c r="N138" s="76"/>
      <c r="O138" s="76" t="s">
        <v>535</v>
      </c>
      <c r="P138" s="76" t="s">
        <v>550</v>
      </c>
    </row>
    <row r="139" spans="2:16" ht="12.75" customHeight="1" x14ac:dyDescent="0.2">
      <c r="B139" s="76" t="s">
        <v>548</v>
      </c>
      <c r="C139" s="76">
        <f>C7</f>
        <v>8.0000000000000002E-8</v>
      </c>
      <c r="D139" s="76">
        <v>1</v>
      </c>
      <c r="E139" s="76" t="s">
        <v>916</v>
      </c>
      <c r="F139" s="76" t="s">
        <v>168</v>
      </c>
      <c r="G139" s="76" t="s">
        <v>169</v>
      </c>
      <c r="H139" s="76" t="s">
        <v>170</v>
      </c>
      <c r="I139" s="76">
        <v>0</v>
      </c>
      <c r="J139" s="76">
        <v>0</v>
      </c>
      <c r="K139" s="76" t="s">
        <v>535</v>
      </c>
      <c r="L139" s="76">
        <f t="shared" si="19"/>
        <v>8.0000000000000002E-8</v>
      </c>
      <c r="M139" s="76" t="s">
        <v>163</v>
      </c>
      <c r="N139" s="76"/>
      <c r="O139" s="76" t="s">
        <v>535</v>
      </c>
      <c r="P139" s="76" t="s">
        <v>550</v>
      </c>
    </row>
    <row r="140" spans="2:16" ht="12.75" customHeight="1" x14ac:dyDescent="0.2">
      <c r="B140" s="76" t="s">
        <v>548</v>
      </c>
      <c r="C140" s="76">
        <f>C7</f>
        <v>8.0000000000000002E-8</v>
      </c>
      <c r="D140" s="76">
        <v>1</v>
      </c>
      <c r="E140" s="76" t="s">
        <v>915</v>
      </c>
      <c r="F140" s="76" t="s">
        <v>168</v>
      </c>
      <c r="G140" s="76" t="s">
        <v>169</v>
      </c>
      <c r="H140" s="76" t="s">
        <v>170</v>
      </c>
      <c r="I140" s="76">
        <v>0</v>
      </c>
      <c r="J140" s="76">
        <v>0</v>
      </c>
      <c r="K140" s="76" t="s">
        <v>535</v>
      </c>
      <c r="L140" s="76">
        <f t="shared" si="19"/>
        <v>8.0000000000000002E-8</v>
      </c>
      <c r="M140" s="76" t="s">
        <v>163</v>
      </c>
      <c r="N140" s="76"/>
      <c r="O140" s="76" t="s">
        <v>535</v>
      </c>
      <c r="P140" s="76" t="s">
        <v>550</v>
      </c>
    </row>
    <row r="141" spans="2:16" ht="12.75" customHeight="1" x14ac:dyDescent="0.2">
      <c r="B141" s="76" t="s">
        <v>548</v>
      </c>
      <c r="C141" s="76">
        <f>C7</f>
        <v>8.0000000000000002E-8</v>
      </c>
      <c r="D141" s="76">
        <v>1</v>
      </c>
      <c r="E141" s="76" t="s">
        <v>942</v>
      </c>
      <c r="F141" s="76" t="s">
        <v>168</v>
      </c>
      <c r="G141" s="76" t="s">
        <v>169</v>
      </c>
      <c r="H141" s="76" t="s">
        <v>170</v>
      </c>
      <c r="I141" s="76">
        <v>0</v>
      </c>
      <c r="J141" s="76">
        <v>0</v>
      </c>
      <c r="K141" s="76" t="s">
        <v>535</v>
      </c>
      <c r="L141" s="76">
        <f t="shared" si="19"/>
        <v>8.0000000000000002E-8</v>
      </c>
      <c r="M141" s="76" t="s">
        <v>163</v>
      </c>
      <c r="N141" s="76"/>
      <c r="O141" s="76" t="s">
        <v>535</v>
      </c>
      <c r="P141" s="76" t="s">
        <v>550</v>
      </c>
    </row>
    <row r="142" spans="2:16" ht="12.75" customHeight="1" x14ac:dyDescent="0.2">
      <c r="B142" s="76" t="s">
        <v>548</v>
      </c>
      <c r="C142" s="76">
        <f>C7</f>
        <v>8.0000000000000002E-8</v>
      </c>
      <c r="D142" s="76">
        <v>1</v>
      </c>
      <c r="E142" s="76" t="s">
        <v>914</v>
      </c>
      <c r="F142" s="76" t="s">
        <v>168</v>
      </c>
      <c r="G142" s="76" t="s">
        <v>169</v>
      </c>
      <c r="H142" s="76" t="s">
        <v>170</v>
      </c>
      <c r="I142" s="76">
        <v>0</v>
      </c>
      <c r="J142" s="76">
        <v>0</v>
      </c>
      <c r="K142" s="76" t="s">
        <v>535</v>
      </c>
      <c r="L142" s="76">
        <f t="shared" si="19"/>
        <v>8.0000000000000002E-8</v>
      </c>
      <c r="M142" s="76" t="s">
        <v>163</v>
      </c>
      <c r="N142" s="76"/>
      <c r="O142" s="76" t="s">
        <v>535</v>
      </c>
      <c r="P142" s="76" t="s">
        <v>550</v>
      </c>
    </row>
    <row r="143" spans="2:16" ht="12.75" customHeight="1" x14ac:dyDescent="0.2">
      <c r="B143" s="76" t="s">
        <v>548</v>
      </c>
      <c r="C143" s="76">
        <f>C7</f>
        <v>8.0000000000000002E-8</v>
      </c>
      <c r="D143" s="76">
        <v>1</v>
      </c>
      <c r="E143" s="76" t="s">
        <v>913</v>
      </c>
      <c r="F143" s="76" t="s">
        <v>168</v>
      </c>
      <c r="G143" s="76" t="s">
        <v>169</v>
      </c>
      <c r="H143" s="76" t="s">
        <v>170</v>
      </c>
      <c r="I143" s="76">
        <v>0</v>
      </c>
      <c r="J143" s="76">
        <v>0</v>
      </c>
      <c r="K143" s="76" t="s">
        <v>535</v>
      </c>
      <c r="L143" s="76">
        <f t="shared" si="19"/>
        <v>8.0000000000000002E-8</v>
      </c>
      <c r="M143" s="76" t="s">
        <v>163</v>
      </c>
      <c r="N143" s="76"/>
      <c r="O143" s="76" t="s">
        <v>535</v>
      </c>
      <c r="P143" s="76" t="s">
        <v>550</v>
      </c>
    </row>
    <row r="144" spans="2:16" ht="12.75" customHeight="1" x14ac:dyDescent="0.2">
      <c r="B144" s="76" t="s">
        <v>548</v>
      </c>
      <c r="C144" s="76">
        <f>C7</f>
        <v>8.0000000000000002E-8</v>
      </c>
      <c r="D144" s="76">
        <v>1</v>
      </c>
      <c r="E144" s="76" t="s">
        <v>941</v>
      </c>
      <c r="F144" s="76" t="s">
        <v>168</v>
      </c>
      <c r="G144" s="76" t="s">
        <v>169</v>
      </c>
      <c r="H144" s="76" t="s">
        <v>170</v>
      </c>
      <c r="I144" s="76">
        <v>0</v>
      </c>
      <c r="J144" s="76">
        <v>0</v>
      </c>
      <c r="K144" s="76" t="s">
        <v>535</v>
      </c>
      <c r="L144" s="76">
        <f t="shared" si="19"/>
        <v>8.0000000000000002E-8</v>
      </c>
      <c r="M144" s="76" t="s">
        <v>163</v>
      </c>
      <c r="N144" s="76"/>
      <c r="O144" s="76" t="s">
        <v>535</v>
      </c>
      <c r="P144" s="76" t="s">
        <v>550</v>
      </c>
    </row>
    <row r="145" spans="2:16" ht="12.75" customHeight="1" x14ac:dyDescent="0.2">
      <c r="B145" s="76" t="s">
        <v>548</v>
      </c>
      <c r="C145" s="76">
        <f>C7</f>
        <v>8.0000000000000002E-8</v>
      </c>
      <c r="D145" s="76">
        <v>1</v>
      </c>
      <c r="E145" s="76" t="s">
        <v>940</v>
      </c>
      <c r="F145" s="76" t="s">
        <v>168</v>
      </c>
      <c r="G145" s="76" t="s">
        <v>169</v>
      </c>
      <c r="H145" s="76" t="s">
        <v>170</v>
      </c>
      <c r="I145" s="76">
        <v>0</v>
      </c>
      <c r="J145" s="76">
        <v>0</v>
      </c>
      <c r="K145" s="76" t="s">
        <v>535</v>
      </c>
      <c r="L145" s="76">
        <f t="shared" si="19"/>
        <v>8.0000000000000002E-8</v>
      </c>
      <c r="M145" s="76" t="s">
        <v>163</v>
      </c>
      <c r="N145" s="76"/>
      <c r="O145" s="76" t="s">
        <v>535</v>
      </c>
      <c r="P145" s="76" t="s">
        <v>550</v>
      </c>
    </row>
    <row r="146" spans="2:16" ht="12.75" customHeight="1" x14ac:dyDescent="0.2">
      <c r="B146" s="76" t="s">
        <v>548</v>
      </c>
      <c r="C146" s="76">
        <f>C7</f>
        <v>8.0000000000000002E-8</v>
      </c>
      <c r="D146" s="76">
        <v>1</v>
      </c>
      <c r="E146" s="76" t="s">
        <v>939</v>
      </c>
      <c r="F146" s="76" t="s">
        <v>168</v>
      </c>
      <c r="G146" s="76" t="s">
        <v>169</v>
      </c>
      <c r="H146" s="76" t="s">
        <v>170</v>
      </c>
      <c r="I146" s="76">
        <v>0</v>
      </c>
      <c r="J146" s="76">
        <v>0</v>
      </c>
      <c r="K146" s="76" t="s">
        <v>535</v>
      </c>
      <c r="L146" s="76">
        <f t="shared" si="19"/>
        <v>8.0000000000000002E-8</v>
      </c>
      <c r="M146" s="76" t="s">
        <v>163</v>
      </c>
      <c r="N146" s="76"/>
      <c r="O146" s="76" t="s">
        <v>535</v>
      </c>
      <c r="P146" s="76" t="s">
        <v>550</v>
      </c>
    </row>
    <row r="147" spans="2:16" ht="12.75" customHeight="1" x14ac:dyDescent="0.2">
      <c r="B147" s="76" t="s">
        <v>548</v>
      </c>
      <c r="C147" s="76">
        <f>C7</f>
        <v>8.0000000000000002E-8</v>
      </c>
      <c r="D147" s="76">
        <v>1</v>
      </c>
      <c r="E147" s="76" t="s">
        <v>938</v>
      </c>
      <c r="F147" s="76" t="s">
        <v>168</v>
      </c>
      <c r="G147" s="76" t="s">
        <v>169</v>
      </c>
      <c r="H147" s="76" t="s">
        <v>170</v>
      </c>
      <c r="I147" s="76">
        <v>0</v>
      </c>
      <c r="J147" s="76">
        <v>0</v>
      </c>
      <c r="K147" s="76" t="s">
        <v>535</v>
      </c>
      <c r="L147" s="76">
        <f t="shared" si="19"/>
        <v>8.0000000000000002E-8</v>
      </c>
      <c r="M147" s="76" t="s">
        <v>163</v>
      </c>
      <c r="N147" s="76"/>
      <c r="O147" s="76" t="s">
        <v>535</v>
      </c>
      <c r="P147" s="76" t="s">
        <v>550</v>
      </c>
    </row>
    <row r="148" spans="2:16" ht="12.75" customHeight="1" x14ac:dyDescent="0.2">
      <c r="B148" s="76" t="s">
        <v>548</v>
      </c>
      <c r="C148" s="76">
        <f>C7</f>
        <v>8.0000000000000002E-8</v>
      </c>
      <c r="D148" s="76">
        <v>1</v>
      </c>
      <c r="E148" s="76" t="s">
        <v>937</v>
      </c>
      <c r="F148" s="76" t="s">
        <v>168</v>
      </c>
      <c r="G148" s="76" t="s">
        <v>169</v>
      </c>
      <c r="H148" s="76" t="s">
        <v>170</v>
      </c>
      <c r="I148" s="76">
        <v>0</v>
      </c>
      <c r="J148" s="76">
        <v>0</v>
      </c>
      <c r="K148" s="76" t="s">
        <v>535</v>
      </c>
      <c r="L148" s="76">
        <f t="shared" si="19"/>
        <v>8.0000000000000002E-8</v>
      </c>
      <c r="M148" s="76" t="s">
        <v>163</v>
      </c>
      <c r="N148" s="76"/>
      <c r="O148" s="76" t="s">
        <v>535</v>
      </c>
      <c r="P148" s="76" t="s">
        <v>550</v>
      </c>
    </row>
    <row r="149" spans="2:16" ht="12.75" customHeight="1" x14ac:dyDescent="0.2">
      <c r="B149" s="76" t="s">
        <v>548</v>
      </c>
      <c r="C149" s="76">
        <f>C7</f>
        <v>8.0000000000000002E-8</v>
      </c>
      <c r="D149" s="76">
        <v>1</v>
      </c>
      <c r="E149" s="76" t="s">
        <v>936</v>
      </c>
      <c r="F149" s="76" t="s">
        <v>168</v>
      </c>
      <c r="G149" s="76" t="s">
        <v>169</v>
      </c>
      <c r="H149" s="76" t="s">
        <v>170</v>
      </c>
      <c r="I149" s="76">
        <v>0</v>
      </c>
      <c r="J149" s="76">
        <v>0</v>
      </c>
      <c r="K149" s="76" t="s">
        <v>535</v>
      </c>
      <c r="L149" s="76">
        <f t="shared" si="19"/>
        <v>8.0000000000000002E-8</v>
      </c>
      <c r="M149" s="76" t="s">
        <v>163</v>
      </c>
      <c r="N149" s="76"/>
      <c r="O149" s="76" t="s">
        <v>535</v>
      </c>
      <c r="P149" s="76" t="s">
        <v>550</v>
      </c>
    </row>
    <row r="150" spans="2:16" ht="12.75" customHeight="1" x14ac:dyDescent="0.2">
      <c r="B150" s="76" t="s">
        <v>548</v>
      </c>
      <c r="C150" s="76">
        <f>C7</f>
        <v>8.0000000000000002E-8</v>
      </c>
      <c r="D150" s="76">
        <v>1</v>
      </c>
      <c r="E150" s="76" t="s">
        <v>935</v>
      </c>
      <c r="F150" s="76" t="s">
        <v>168</v>
      </c>
      <c r="G150" s="76" t="s">
        <v>169</v>
      </c>
      <c r="H150" s="76" t="s">
        <v>170</v>
      </c>
      <c r="I150" s="76">
        <v>0</v>
      </c>
      <c r="J150" s="76">
        <v>0</v>
      </c>
      <c r="K150" s="76" t="s">
        <v>535</v>
      </c>
      <c r="L150" s="76">
        <f t="shared" si="19"/>
        <v>8.0000000000000002E-8</v>
      </c>
      <c r="M150" s="76" t="s">
        <v>163</v>
      </c>
      <c r="N150" s="76"/>
      <c r="O150" s="76" t="s">
        <v>535</v>
      </c>
      <c r="P150" s="76" t="s">
        <v>550</v>
      </c>
    </row>
    <row r="151" spans="2:16" ht="12.75" customHeight="1" x14ac:dyDescent="0.2">
      <c r="B151" s="76" t="s">
        <v>548</v>
      </c>
      <c r="C151" s="76">
        <f>C7</f>
        <v>8.0000000000000002E-8</v>
      </c>
      <c r="D151" s="76">
        <v>1</v>
      </c>
      <c r="E151" s="76" t="s">
        <v>945</v>
      </c>
      <c r="F151" s="76" t="s">
        <v>168</v>
      </c>
      <c r="G151" s="76" t="s">
        <v>169</v>
      </c>
      <c r="H151" s="76" t="s">
        <v>170</v>
      </c>
      <c r="I151" s="76">
        <v>0</v>
      </c>
      <c r="J151" s="76">
        <v>0</v>
      </c>
      <c r="K151" s="76" t="s">
        <v>535</v>
      </c>
      <c r="L151" s="76">
        <f t="shared" si="19"/>
        <v>8.0000000000000002E-8</v>
      </c>
      <c r="M151" s="76" t="s">
        <v>163</v>
      </c>
      <c r="N151" s="76"/>
      <c r="O151" s="76" t="s">
        <v>535</v>
      </c>
      <c r="P151" s="76" t="s">
        <v>550</v>
      </c>
    </row>
    <row r="152" spans="2:16" ht="12.75" customHeight="1" x14ac:dyDescent="0.2">
      <c r="B152" s="76" t="s">
        <v>548</v>
      </c>
      <c r="C152" s="76">
        <f>C7</f>
        <v>8.0000000000000002E-8</v>
      </c>
      <c r="D152" s="76">
        <v>1</v>
      </c>
      <c r="E152" s="76" t="s">
        <v>946</v>
      </c>
      <c r="F152" s="76" t="s">
        <v>168</v>
      </c>
      <c r="G152" s="76" t="s">
        <v>169</v>
      </c>
      <c r="H152" s="76" t="s">
        <v>170</v>
      </c>
      <c r="I152" s="76">
        <v>0</v>
      </c>
      <c r="J152" s="76">
        <v>0</v>
      </c>
      <c r="K152" s="76" t="s">
        <v>535</v>
      </c>
      <c r="L152" s="76">
        <f t="shared" si="19"/>
        <v>8.0000000000000002E-8</v>
      </c>
      <c r="M152" s="76" t="s">
        <v>163</v>
      </c>
      <c r="N152" s="76"/>
      <c r="O152" s="76" t="s">
        <v>535</v>
      </c>
      <c r="P152" s="76" t="s">
        <v>550</v>
      </c>
    </row>
    <row r="153" spans="2:16" ht="12.75" customHeight="1" x14ac:dyDescent="0.2">
      <c r="B153" s="76" t="s">
        <v>548</v>
      </c>
      <c r="C153" s="76">
        <f>C7</f>
        <v>8.0000000000000002E-8</v>
      </c>
      <c r="D153" s="76">
        <v>1</v>
      </c>
      <c r="E153" s="76" t="s">
        <v>103</v>
      </c>
      <c r="F153" s="76" t="s">
        <v>168</v>
      </c>
      <c r="G153" s="76" t="s">
        <v>169</v>
      </c>
      <c r="H153" s="76" t="s">
        <v>170</v>
      </c>
      <c r="I153" s="76">
        <f t="shared" ref="I153:I154" si="20">0*C153</f>
        <v>0</v>
      </c>
      <c r="J153" s="76">
        <f t="shared" ref="J153:J154" si="21">0*C153</f>
        <v>0</v>
      </c>
      <c r="K153" s="76" t="s">
        <v>535</v>
      </c>
      <c r="L153" s="76">
        <f t="shared" ref="L153:L154" si="22">1*C153</f>
        <v>8.0000000000000002E-8</v>
      </c>
      <c r="M153" s="76" t="s">
        <v>163</v>
      </c>
      <c r="N153" s="76"/>
      <c r="O153" s="76" t="s">
        <v>535</v>
      </c>
      <c r="P153" s="76" t="s">
        <v>550</v>
      </c>
    </row>
    <row r="154" spans="2:16" ht="12.75" customHeight="1" x14ac:dyDescent="0.2">
      <c r="B154" s="76" t="s">
        <v>548</v>
      </c>
      <c r="C154" s="76">
        <f>C7</f>
        <v>8.0000000000000002E-8</v>
      </c>
      <c r="D154" s="76">
        <v>1</v>
      </c>
      <c r="E154" s="76" t="s">
        <v>111</v>
      </c>
      <c r="F154" s="76" t="s">
        <v>168</v>
      </c>
      <c r="G154" s="76" t="s">
        <v>169</v>
      </c>
      <c r="H154" s="76" t="s">
        <v>170</v>
      </c>
      <c r="I154" s="76">
        <f t="shared" si="20"/>
        <v>0</v>
      </c>
      <c r="J154" s="76">
        <f t="shared" si="21"/>
        <v>0</v>
      </c>
      <c r="K154" s="76" t="s">
        <v>535</v>
      </c>
      <c r="L154" s="76">
        <f t="shared" si="22"/>
        <v>8.0000000000000002E-8</v>
      </c>
      <c r="M154" s="76" t="s">
        <v>172</v>
      </c>
      <c r="N154" s="76">
        <f>0.95*C154</f>
        <v>7.5999999999999992E-8</v>
      </c>
      <c r="O154" s="76" t="s">
        <v>535</v>
      </c>
      <c r="P154" s="76" t="s">
        <v>550</v>
      </c>
    </row>
    <row r="155" spans="2:16" ht="12.75" customHeight="1" x14ac:dyDescent="0.2">
      <c r="B155" s="76" t="s">
        <v>548</v>
      </c>
      <c r="C155" s="76">
        <f>C7</f>
        <v>8.0000000000000002E-8</v>
      </c>
      <c r="D155" s="76">
        <v>1</v>
      </c>
      <c r="E155" s="76" t="s">
        <v>120</v>
      </c>
      <c r="F155" s="76" t="s">
        <v>168</v>
      </c>
      <c r="G155" s="76" t="s">
        <v>169</v>
      </c>
      <c r="H155" s="76" t="s">
        <v>170</v>
      </c>
      <c r="I155" s="76">
        <v>0</v>
      </c>
      <c r="J155" s="76">
        <v>0</v>
      </c>
      <c r="K155" s="76" t="s">
        <v>535</v>
      </c>
      <c r="L155" s="76">
        <f t="shared" si="19"/>
        <v>8.0000000000000002E-8</v>
      </c>
      <c r="M155" s="76" t="s">
        <v>172</v>
      </c>
      <c r="N155" s="76">
        <f>0.1*C155</f>
        <v>8.0000000000000005E-9</v>
      </c>
      <c r="O155" s="76" t="s">
        <v>535</v>
      </c>
      <c r="P155" s="76" t="s">
        <v>550</v>
      </c>
    </row>
    <row r="156" spans="2:16" ht="12.75" customHeight="1" x14ac:dyDescent="0.2">
      <c r="B156" s="76" t="s">
        <v>548</v>
      </c>
      <c r="C156" s="76">
        <f>C7</f>
        <v>8.0000000000000002E-8</v>
      </c>
      <c r="D156" s="76">
        <v>1</v>
      </c>
      <c r="E156" s="76" t="s">
        <v>121</v>
      </c>
      <c r="F156" s="76" t="s">
        <v>168</v>
      </c>
      <c r="G156" s="76" t="s">
        <v>169</v>
      </c>
      <c r="H156" s="76" t="s">
        <v>170</v>
      </c>
      <c r="I156" s="76">
        <v>0</v>
      </c>
      <c r="J156" s="76">
        <v>0</v>
      </c>
      <c r="K156" s="76" t="s">
        <v>535</v>
      </c>
      <c r="L156" s="76">
        <f t="shared" si="19"/>
        <v>8.0000000000000002E-8</v>
      </c>
      <c r="M156" s="76" t="s">
        <v>172</v>
      </c>
      <c r="N156" s="76">
        <f>0.1*C156</f>
        <v>8.0000000000000005E-9</v>
      </c>
      <c r="O156" s="76" t="s">
        <v>535</v>
      </c>
      <c r="P156" s="76" t="s">
        <v>550</v>
      </c>
    </row>
    <row r="157" spans="2:16" ht="12.75" customHeight="1" x14ac:dyDescent="0.2">
      <c r="B157" s="76" t="s">
        <v>548</v>
      </c>
      <c r="C157" s="76">
        <f>C7</f>
        <v>8.0000000000000002E-8</v>
      </c>
      <c r="D157" s="76">
        <v>1</v>
      </c>
      <c r="E157" s="76" t="s">
        <v>97</v>
      </c>
      <c r="F157" s="76" t="s">
        <v>168</v>
      </c>
      <c r="G157" s="76" t="s">
        <v>169</v>
      </c>
      <c r="H157" s="76" t="s">
        <v>170</v>
      </c>
      <c r="I157" s="76">
        <v>0</v>
      </c>
      <c r="J157" s="76">
        <v>0</v>
      </c>
      <c r="K157" s="76" t="s">
        <v>535</v>
      </c>
      <c r="L157" s="76">
        <f t="shared" si="19"/>
        <v>8.0000000000000002E-8</v>
      </c>
      <c r="M157" s="76" t="s">
        <v>163</v>
      </c>
      <c r="N157" s="76"/>
      <c r="O157" s="76" t="s">
        <v>535</v>
      </c>
      <c r="P157" s="76" t="s">
        <v>550</v>
      </c>
    </row>
    <row r="158" spans="2:16" ht="12.75" customHeight="1" x14ac:dyDescent="0.2">
      <c r="B158" s="76" t="s">
        <v>548</v>
      </c>
      <c r="C158" s="76">
        <f>C7</f>
        <v>8.0000000000000002E-8</v>
      </c>
      <c r="D158" s="76">
        <v>1</v>
      </c>
      <c r="E158" s="76" t="s">
        <v>909</v>
      </c>
      <c r="F158" s="76" t="s">
        <v>168</v>
      </c>
      <c r="G158" s="76" t="s">
        <v>169</v>
      </c>
      <c r="H158" s="76" t="s">
        <v>516</v>
      </c>
      <c r="I158" s="76">
        <v>0</v>
      </c>
      <c r="J158" s="76">
        <f>0.25*C158</f>
        <v>2E-8</v>
      </c>
      <c r="K158" s="76">
        <f>0.75*C158</f>
        <v>6.0000000000000008E-8</v>
      </c>
      <c r="L158" s="76">
        <f t="shared" si="19"/>
        <v>8.0000000000000002E-8</v>
      </c>
      <c r="M158" s="76" t="s">
        <v>163</v>
      </c>
      <c r="N158" s="76"/>
      <c r="O158" s="76" t="s">
        <v>535</v>
      </c>
      <c r="P158" s="76" t="s">
        <v>549</v>
      </c>
    </row>
    <row r="159" spans="2:16" ht="12.75" customHeight="1" x14ac:dyDescent="0.2">
      <c r="B159" s="76" t="s">
        <v>548</v>
      </c>
      <c r="C159" s="76">
        <f>C7</f>
        <v>8.0000000000000002E-8</v>
      </c>
      <c r="D159" s="76">
        <v>1</v>
      </c>
      <c r="E159" s="76" t="s">
        <v>910</v>
      </c>
      <c r="F159" s="76" t="s">
        <v>168</v>
      </c>
      <c r="G159" s="76" t="s">
        <v>169</v>
      </c>
      <c r="H159" s="76" t="s">
        <v>170</v>
      </c>
      <c r="I159" s="76">
        <v>0</v>
      </c>
      <c r="J159" s="76">
        <v>0</v>
      </c>
      <c r="K159" s="76" t="s">
        <v>535</v>
      </c>
      <c r="L159" s="76">
        <f t="shared" si="19"/>
        <v>8.0000000000000002E-8</v>
      </c>
      <c r="M159" s="76" t="s">
        <v>163</v>
      </c>
      <c r="N159" s="76"/>
      <c r="O159" s="76" t="s">
        <v>535</v>
      </c>
      <c r="P159" s="76" t="s">
        <v>550</v>
      </c>
    </row>
    <row r="160" spans="2:16" ht="12.75" customHeight="1" x14ac:dyDescent="0.2">
      <c r="B160" s="76" t="s">
        <v>548</v>
      </c>
      <c r="C160" s="76">
        <f>C7</f>
        <v>8.0000000000000002E-8</v>
      </c>
      <c r="D160" s="76">
        <v>1</v>
      </c>
      <c r="E160" s="76" t="s">
        <v>893</v>
      </c>
      <c r="F160" s="76" t="s">
        <v>168</v>
      </c>
      <c r="G160" s="76" t="s">
        <v>169</v>
      </c>
      <c r="H160" s="76" t="s">
        <v>516</v>
      </c>
      <c r="I160" s="76">
        <v>0</v>
      </c>
      <c r="J160" s="76">
        <f>C160*0.25</f>
        <v>2E-8</v>
      </c>
      <c r="K160" s="76">
        <f>C160*0.75</f>
        <v>6.0000000000000008E-8</v>
      </c>
      <c r="L160" s="76">
        <f t="shared" si="19"/>
        <v>8.0000000000000002E-8</v>
      </c>
      <c r="M160" s="76" t="s">
        <v>163</v>
      </c>
      <c r="N160" s="76"/>
      <c r="O160" s="76" t="s">
        <v>535</v>
      </c>
      <c r="P160" s="76" t="s">
        <v>549</v>
      </c>
    </row>
    <row r="161" spans="2:16" ht="12.75" customHeight="1" x14ac:dyDescent="0.2">
      <c r="B161" s="76" t="s">
        <v>548</v>
      </c>
      <c r="C161" s="76">
        <f>C7</f>
        <v>8.0000000000000002E-8</v>
      </c>
      <c r="D161" s="76">
        <v>1</v>
      </c>
      <c r="E161" s="76" t="s">
        <v>894</v>
      </c>
      <c r="F161" s="76" t="s">
        <v>168</v>
      </c>
      <c r="G161" s="76" t="s">
        <v>169</v>
      </c>
      <c r="H161" s="76" t="s">
        <v>170</v>
      </c>
      <c r="I161" s="76">
        <v>0</v>
      </c>
      <c r="J161" s="76">
        <v>0</v>
      </c>
      <c r="K161" s="76" t="s">
        <v>535</v>
      </c>
      <c r="L161" s="76">
        <f t="shared" si="19"/>
        <v>8.0000000000000002E-8</v>
      </c>
      <c r="M161" s="76" t="s">
        <v>163</v>
      </c>
      <c r="N161" s="76"/>
      <c r="O161" s="76" t="s">
        <v>535</v>
      </c>
      <c r="P161" s="76" t="s">
        <v>550</v>
      </c>
    </row>
    <row r="162" spans="2:16" ht="12.75" customHeight="1" x14ac:dyDescent="0.2">
      <c r="B162" s="76" t="s">
        <v>548</v>
      </c>
      <c r="C162" s="76">
        <f>C7</f>
        <v>8.0000000000000002E-8</v>
      </c>
      <c r="D162" s="76">
        <v>1</v>
      </c>
      <c r="E162" s="76" t="s">
        <v>895</v>
      </c>
      <c r="F162" s="76" t="s">
        <v>168</v>
      </c>
      <c r="G162" s="76" t="s">
        <v>169</v>
      </c>
      <c r="H162" s="76" t="s">
        <v>170</v>
      </c>
      <c r="I162" s="76">
        <v>0</v>
      </c>
      <c r="J162" s="76">
        <v>0</v>
      </c>
      <c r="K162" s="76" t="s">
        <v>535</v>
      </c>
      <c r="L162" s="76">
        <f t="shared" si="19"/>
        <v>8.0000000000000002E-8</v>
      </c>
      <c r="M162" s="76" t="s">
        <v>172</v>
      </c>
      <c r="N162" s="76">
        <f>0.1*C162</f>
        <v>8.0000000000000005E-9</v>
      </c>
      <c r="O162" s="76" t="s">
        <v>535</v>
      </c>
      <c r="P162" s="76" t="s">
        <v>550</v>
      </c>
    </row>
    <row r="163" spans="2:16" ht="12.75" customHeight="1" x14ac:dyDescent="0.2">
      <c r="B163" s="76" t="s">
        <v>548</v>
      </c>
      <c r="C163" s="76">
        <f>C7</f>
        <v>8.0000000000000002E-8</v>
      </c>
      <c r="D163" s="76">
        <v>1</v>
      </c>
      <c r="E163" s="76" t="s">
        <v>896</v>
      </c>
      <c r="F163" s="76" t="s">
        <v>168</v>
      </c>
      <c r="G163" s="76" t="s">
        <v>169</v>
      </c>
      <c r="H163" s="76" t="s">
        <v>170</v>
      </c>
      <c r="I163" s="76">
        <v>0</v>
      </c>
      <c r="J163" s="76">
        <v>0</v>
      </c>
      <c r="K163" s="76" t="s">
        <v>535</v>
      </c>
      <c r="L163" s="76">
        <f t="shared" si="19"/>
        <v>8.0000000000000002E-8</v>
      </c>
      <c r="M163" s="76" t="s">
        <v>163</v>
      </c>
      <c r="N163" s="76"/>
      <c r="O163" s="76" t="s">
        <v>535</v>
      </c>
      <c r="P163" s="76" t="s">
        <v>550</v>
      </c>
    </row>
    <row r="164" spans="2:16" ht="12.75" customHeight="1" x14ac:dyDescent="0.2">
      <c r="B164" s="76" t="s">
        <v>548</v>
      </c>
      <c r="C164" s="76">
        <f>C7</f>
        <v>8.0000000000000002E-8</v>
      </c>
      <c r="D164" s="76">
        <v>1</v>
      </c>
      <c r="E164" s="76" t="s">
        <v>897</v>
      </c>
      <c r="F164" s="76" t="s">
        <v>168</v>
      </c>
      <c r="G164" s="76" t="s">
        <v>169</v>
      </c>
      <c r="H164" s="76" t="s">
        <v>170</v>
      </c>
      <c r="I164" s="76">
        <v>0</v>
      </c>
      <c r="J164" s="76">
        <v>0</v>
      </c>
      <c r="K164" s="76" t="s">
        <v>535</v>
      </c>
      <c r="L164" s="76">
        <f t="shared" si="19"/>
        <v>8.0000000000000002E-8</v>
      </c>
      <c r="M164" s="76" t="s">
        <v>163</v>
      </c>
      <c r="N164" s="76"/>
      <c r="O164" s="76" t="s">
        <v>535</v>
      </c>
      <c r="P164" s="76" t="s">
        <v>550</v>
      </c>
    </row>
    <row r="165" spans="2:16" ht="12.75" customHeight="1" x14ac:dyDescent="0.2">
      <c r="B165" s="76" t="s">
        <v>548</v>
      </c>
      <c r="C165" s="76">
        <f>C7</f>
        <v>8.0000000000000002E-8</v>
      </c>
      <c r="D165" s="76">
        <v>1</v>
      </c>
      <c r="E165" s="76" t="s">
        <v>95</v>
      </c>
      <c r="F165" s="76" t="s">
        <v>168</v>
      </c>
      <c r="G165" s="76" t="s">
        <v>169</v>
      </c>
      <c r="H165" s="76" t="s">
        <v>515</v>
      </c>
      <c r="I165" s="76">
        <v>0</v>
      </c>
      <c r="J165" s="76">
        <f>0.25*C165</f>
        <v>2E-8</v>
      </c>
      <c r="K165" s="76">
        <f>0.75*C165</f>
        <v>6.0000000000000008E-8</v>
      </c>
      <c r="L165" s="76">
        <f>C165</f>
        <v>8.0000000000000002E-8</v>
      </c>
      <c r="M165" s="76" t="s">
        <v>163</v>
      </c>
      <c r="N165" s="76"/>
      <c r="O165" s="76"/>
      <c r="P165" s="76" t="s">
        <v>550</v>
      </c>
    </row>
    <row r="166" spans="2:16" ht="12.75" customHeight="1" x14ac:dyDescent="0.2">
      <c r="B166" s="76" t="s">
        <v>548</v>
      </c>
      <c r="C166" s="76">
        <f>C7</f>
        <v>8.0000000000000002E-8</v>
      </c>
      <c r="D166" s="76">
        <v>1</v>
      </c>
      <c r="E166" s="76" t="s">
        <v>109</v>
      </c>
      <c r="F166" s="76" t="s">
        <v>168</v>
      </c>
      <c r="G166" s="76" t="s">
        <v>169</v>
      </c>
      <c r="H166" s="76" t="s">
        <v>170</v>
      </c>
      <c r="I166" s="76">
        <f t="shared" ref="I166" si="23">0*C166</f>
        <v>0</v>
      </c>
      <c r="J166" s="76">
        <f t="shared" ref="J166" si="24">0*C166</f>
        <v>0</v>
      </c>
      <c r="K166" s="76" t="s">
        <v>535</v>
      </c>
      <c r="L166" s="76">
        <f t="shared" ref="L166" si="25">1*C166</f>
        <v>8.0000000000000002E-8</v>
      </c>
      <c r="M166" s="76" t="s">
        <v>172</v>
      </c>
      <c r="N166" s="76">
        <f>0.95*C166</f>
        <v>7.5999999999999992E-8</v>
      </c>
      <c r="O166" s="76" t="s">
        <v>535</v>
      </c>
      <c r="P166" s="76" t="s">
        <v>536</v>
      </c>
    </row>
  </sheetData>
  <autoFilter ref="E6:E7"/>
  <dataValidations count="1">
    <dataValidation type="list" allowBlank="1" showInputMessage="1" showErrorMessage="1" sqref="C3">
      <formula1>"Normal,Extended,Quad"</formula1>
    </dataValidation>
  </dataValidations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outlinePr summaryBelow="0" summaryRight="0"/>
  </sheetPr>
  <dimension ref="A1:P168"/>
  <sheetViews>
    <sheetView showGridLines="0" zoomScaleNormal="100" workbookViewId="0">
      <pane ySplit="6" topLeftCell="A7" activePane="bottomLeft" state="frozen"/>
      <selection pane="bottomLeft" activeCell="N153" sqref="N153"/>
    </sheetView>
  </sheetViews>
  <sheetFormatPr defaultRowHeight="12.75" x14ac:dyDescent="0.2"/>
  <cols>
    <col min="1" max="1" width="9.140625" style="75"/>
    <col min="2" max="3" width="13.42578125" style="75" customWidth="1"/>
    <col min="4" max="4" width="6.28515625" style="75" customWidth="1"/>
    <col min="5" max="5" width="13.42578125" style="75" customWidth="1"/>
    <col min="6" max="6" width="9.28515625" style="75" bestFit="1" customWidth="1"/>
    <col min="7" max="8" width="9.140625" style="75"/>
    <col min="9" max="12" width="13.42578125" style="75" customWidth="1"/>
    <col min="13" max="13" width="9.140625" style="75"/>
    <col min="14" max="15" width="13.42578125" style="75" customWidth="1"/>
    <col min="16" max="16" width="42.85546875" style="75" customWidth="1"/>
    <col min="17" max="16384" width="9.140625" style="75"/>
  </cols>
  <sheetData>
    <row r="1" spans="1:16" ht="25.5" customHeight="1" x14ac:dyDescent="0.2">
      <c r="A1" s="75" t="s">
        <v>61</v>
      </c>
      <c r="B1" s="75" t="s">
        <v>146</v>
      </c>
    </row>
    <row r="3" spans="1:16" x14ac:dyDescent="0.2">
      <c r="B3" s="1" t="s">
        <v>147</v>
      </c>
      <c r="C3" s="2" t="s">
        <v>237</v>
      </c>
      <c r="E3" s="1" t="s">
        <v>148</v>
      </c>
      <c r="F3" s="2">
        <f>1*us</f>
        <v>9.9999999999999995E-7</v>
      </c>
      <c r="H3" s="1" t="s">
        <v>149</v>
      </c>
      <c r="I3" s="2">
        <f>1*us</f>
        <v>9.9999999999999995E-7</v>
      </c>
    </row>
    <row r="5" spans="1:16" x14ac:dyDescent="0.2">
      <c r="C5" s="75" t="s">
        <v>150</v>
      </c>
      <c r="E5" s="75" t="s">
        <v>151</v>
      </c>
      <c r="G5" s="75" t="s">
        <v>152</v>
      </c>
      <c r="I5" s="75" t="s">
        <v>153</v>
      </c>
      <c r="M5" s="75" t="s">
        <v>154</v>
      </c>
    </row>
    <row r="6" spans="1:16" x14ac:dyDescent="0.2">
      <c r="B6" s="75" t="s">
        <v>155</v>
      </c>
      <c r="C6" s="75" t="s">
        <v>156</v>
      </c>
      <c r="D6" s="75" t="s">
        <v>157</v>
      </c>
      <c r="E6" s="75" t="s">
        <v>20</v>
      </c>
      <c r="F6" s="75" t="s">
        <v>158</v>
      </c>
      <c r="G6" s="75" t="s">
        <v>159</v>
      </c>
      <c r="H6" s="75" t="s">
        <v>160</v>
      </c>
      <c r="I6" s="75" t="s">
        <v>161</v>
      </c>
      <c r="J6" s="75" t="s">
        <v>152</v>
      </c>
      <c r="K6" s="75" t="s">
        <v>162</v>
      </c>
      <c r="L6" s="75" t="s">
        <v>163</v>
      </c>
      <c r="M6" s="75" t="s">
        <v>164</v>
      </c>
      <c r="N6" s="75" t="s">
        <v>165</v>
      </c>
      <c r="O6" s="75" t="s">
        <v>166</v>
      </c>
      <c r="P6" s="75" t="s">
        <v>4</v>
      </c>
    </row>
    <row r="7" spans="1:16" ht="19.149999999999999" customHeight="1" x14ac:dyDescent="0.2">
      <c r="B7" s="76" t="s">
        <v>547</v>
      </c>
      <c r="C7" s="76">
        <f t="shared" ref="C7:C38" si="0">50*ns</f>
        <v>5.0000000000000004E-8</v>
      </c>
      <c r="D7" s="76">
        <v>1</v>
      </c>
      <c r="E7" s="76" t="s">
        <v>912</v>
      </c>
      <c r="F7" s="76" t="s">
        <v>168</v>
      </c>
      <c r="G7" s="76" t="s">
        <v>169</v>
      </c>
      <c r="H7" s="76" t="s">
        <v>516</v>
      </c>
      <c r="I7" s="76">
        <v>0</v>
      </c>
      <c r="J7" s="76">
        <f>0.25*C7</f>
        <v>1.2500000000000001E-8</v>
      </c>
      <c r="K7" s="76">
        <f>0.75*C7</f>
        <v>3.7500000000000005E-8</v>
      </c>
      <c r="L7" s="76">
        <f t="shared" ref="L7:L38" si="1">C7</f>
        <v>5.0000000000000004E-8</v>
      </c>
      <c r="M7" s="76" t="s">
        <v>163</v>
      </c>
      <c r="N7" s="76"/>
      <c r="O7" s="76" t="s">
        <v>535</v>
      </c>
      <c r="P7" s="76" t="s">
        <v>537</v>
      </c>
    </row>
    <row r="8" spans="1:16" ht="12.75" customHeight="1" x14ac:dyDescent="0.2">
      <c r="B8" s="76" t="s">
        <v>547</v>
      </c>
      <c r="C8" s="76">
        <f t="shared" si="0"/>
        <v>5.0000000000000004E-8</v>
      </c>
      <c r="D8" s="76">
        <v>1</v>
      </c>
      <c r="E8" s="76" t="s">
        <v>96</v>
      </c>
      <c r="F8" s="76" t="s">
        <v>168</v>
      </c>
      <c r="G8" s="76" t="s">
        <v>169</v>
      </c>
      <c r="H8" s="76" t="s">
        <v>516</v>
      </c>
      <c r="I8" s="76">
        <v>0</v>
      </c>
      <c r="J8" s="76">
        <f>0.25*C8</f>
        <v>1.2500000000000001E-8</v>
      </c>
      <c r="K8" s="76">
        <f>0.75*C8</f>
        <v>3.7500000000000005E-8</v>
      </c>
      <c r="L8" s="76">
        <f t="shared" si="1"/>
        <v>5.0000000000000004E-8</v>
      </c>
      <c r="M8" s="76" t="s">
        <v>163</v>
      </c>
      <c r="N8" s="76"/>
      <c r="O8" s="76" t="s">
        <v>535</v>
      </c>
      <c r="P8" s="76" t="s">
        <v>537</v>
      </c>
    </row>
    <row r="9" spans="1:16" ht="12.75" customHeight="1" x14ac:dyDescent="0.2">
      <c r="B9" s="76" t="s">
        <v>547</v>
      </c>
      <c r="C9" s="76">
        <f t="shared" si="0"/>
        <v>5.0000000000000004E-8</v>
      </c>
      <c r="D9" s="76">
        <v>1</v>
      </c>
      <c r="E9" s="76" t="s">
        <v>137</v>
      </c>
      <c r="F9" s="76" t="s">
        <v>168</v>
      </c>
      <c r="G9" s="76" t="s">
        <v>169</v>
      </c>
      <c r="H9" s="76" t="s">
        <v>170</v>
      </c>
      <c r="I9" s="76">
        <v>0</v>
      </c>
      <c r="J9" s="76">
        <f t="shared" ref="J9:J26" si="2">0*C9</f>
        <v>0</v>
      </c>
      <c r="K9" s="76" t="s">
        <v>535</v>
      </c>
      <c r="L9" s="76">
        <f t="shared" si="1"/>
        <v>5.0000000000000004E-8</v>
      </c>
      <c r="M9" s="76" t="s">
        <v>172</v>
      </c>
      <c r="N9" s="76">
        <f>1.1*C9</f>
        <v>5.5000000000000009E-8</v>
      </c>
      <c r="O9" s="76">
        <f t="shared" ref="O9:O24" si="3">0.5*C9</f>
        <v>2.5000000000000002E-8</v>
      </c>
      <c r="P9" s="76" t="s">
        <v>536</v>
      </c>
    </row>
    <row r="10" spans="1:16" ht="12.75" customHeight="1" x14ac:dyDescent="0.2">
      <c r="B10" s="76" t="s">
        <v>547</v>
      </c>
      <c r="C10" s="76">
        <f t="shared" si="0"/>
        <v>5.0000000000000004E-8</v>
      </c>
      <c r="D10" s="76">
        <v>1</v>
      </c>
      <c r="E10" s="76" t="s">
        <v>127</v>
      </c>
      <c r="F10" s="76" t="s">
        <v>168</v>
      </c>
      <c r="G10" s="76" t="s">
        <v>169</v>
      </c>
      <c r="H10" s="76" t="s">
        <v>170</v>
      </c>
      <c r="I10" s="76">
        <v>0</v>
      </c>
      <c r="J10" s="76">
        <f t="shared" si="2"/>
        <v>0</v>
      </c>
      <c r="K10" s="76" t="s">
        <v>535</v>
      </c>
      <c r="L10" s="76">
        <f t="shared" si="1"/>
        <v>5.0000000000000004E-8</v>
      </c>
      <c r="M10" s="76" t="s">
        <v>172</v>
      </c>
      <c r="N10" s="76">
        <f t="shared" ref="N10:N15" si="4">0.6*C10</f>
        <v>3.0000000000000004E-8</v>
      </c>
      <c r="O10" s="76">
        <f t="shared" si="3"/>
        <v>2.5000000000000002E-8</v>
      </c>
      <c r="P10" s="76" t="s">
        <v>536</v>
      </c>
    </row>
    <row r="11" spans="1:16" ht="12.75" customHeight="1" x14ac:dyDescent="0.2">
      <c r="B11" s="76" t="s">
        <v>547</v>
      </c>
      <c r="C11" s="76">
        <f t="shared" si="0"/>
        <v>5.0000000000000004E-8</v>
      </c>
      <c r="D11" s="76">
        <v>1</v>
      </c>
      <c r="E11" s="76" t="s">
        <v>126</v>
      </c>
      <c r="F11" s="76" t="s">
        <v>168</v>
      </c>
      <c r="G11" s="76" t="s">
        <v>169</v>
      </c>
      <c r="H11" s="76" t="s">
        <v>170</v>
      </c>
      <c r="I11" s="76">
        <v>0</v>
      </c>
      <c r="J11" s="76">
        <f t="shared" si="2"/>
        <v>0</v>
      </c>
      <c r="K11" s="76" t="s">
        <v>535</v>
      </c>
      <c r="L11" s="76">
        <f t="shared" si="1"/>
        <v>5.0000000000000004E-8</v>
      </c>
      <c r="M11" s="76" t="s">
        <v>172</v>
      </c>
      <c r="N11" s="76">
        <f t="shared" si="4"/>
        <v>3.0000000000000004E-8</v>
      </c>
      <c r="O11" s="76">
        <f t="shared" si="3"/>
        <v>2.5000000000000002E-8</v>
      </c>
      <c r="P11" s="76" t="s">
        <v>536</v>
      </c>
    </row>
    <row r="12" spans="1:16" ht="12.75" customHeight="1" x14ac:dyDescent="0.2">
      <c r="B12" s="76" t="s">
        <v>547</v>
      </c>
      <c r="C12" s="76">
        <f t="shared" si="0"/>
        <v>5.0000000000000004E-8</v>
      </c>
      <c r="D12" s="76">
        <v>1</v>
      </c>
      <c r="E12" s="76" t="s">
        <v>125</v>
      </c>
      <c r="F12" s="76" t="s">
        <v>168</v>
      </c>
      <c r="G12" s="76" t="s">
        <v>169</v>
      </c>
      <c r="H12" s="76" t="s">
        <v>170</v>
      </c>
      <c r="I12" s="76">
        <v>0</v>
      </c>
      <c r="J12" s="76">
        <f t="shared" si="2"/>
        <v>0</v>
      </c>
      <c r="K12" s="76" t="s">
        <v>535</v>
      </c>
      <c r="L12" s="76">
        <f t="shared" si="1"/>
        <v>5.0000000000000004E-8</v>
      </c>
      <c r="M12" s="76" t="s">
        <v>172</v>
      </c>
      <c r="N12" s="76">
        <f t="shared" si="4"/>
        <v>3.0000000000000004E-8</v>
      </c>
      <c r="O12" s="76">
        <f t="shared" si="3"/>
        <v>2.5000000000000002E-8</v>
      </c>
      <c r="P12" s="76" t="s">
        <v>536</v>
      </c>
    </row>
    <row r="13" spans="1:16" ht="12.75" customHeight="1" x14ac:dyDescent="0.2">
      <c r="B13" s="76" t="s">
        <v>547</v>
      </c>
      <c r="C13" s="76">
        <f t="shared" si="0"/>
        <v>5.0000000000000004E-8</v>
      </c>
      <c r="D13" s="76">
        <v>1</v>
      </c>
      <c r="E13" s="76" t="s">
        <v>124</v>
      </c>
      <c r="F13" s="76" t="s">
        <v>168</v>
      </c>
      <c r="G13" s="76" t="s">
        <v>169</v>
      </c>
      <c r="H13" s="76" t="s">
        <v>170</v>
      </c>
      <c r="I13" s="76">
        <v>0</v>
      </c>
      <c r="J13" s="76">
        <f t="shared" si="2"/>
        <v>0</v>
      </c>
      <c r="K13" s="76" t="s">
        <v>535</v>
      </c>
      <c r="L13" s="76">
        <f t="shared" si="1"/>
        <v>5.0000000000000004E-8</v>
      </c>
      <c r="M13" s="76" t="s">
        <v>172</v>
      </c>
      <c r="N13" s="76">
        <f t="shared" si="4"/>
        <v>3.0000000000000004E-8</v>
      </c>
      <c r="O13" s="76">
        <f t="shared" si="3"/>
        <v>2.5000000000000002E-8</v>
      </c>
      <c r="P13" s="76" t="s">
        <v>536</v>
      </c>
    </row>
    <row r="14" spans="1:16" ht="12.75" customHeight="1" x14ac:dyDescent="0.2">
      <c r="B14" s="76" t="s">
        <v>547</v>
      </c>
      <c r="C14" s="76">
        <f t="shared" si="0"/>
        <v>5.0000000000000004E-8</v>
      </c>
      <c r="D14" s="76">
        <v>1</v>
      </c>
      <c r="E14" s="76" t="s">
        <v>123</v>
      </c>
      <c r="F14" s="76" t="s">
        <v>168</v>
      </c>
      <c r="G14" s="76" t="s">
        <v>169</v>
      </c>
      <c r="H14" s="76" t="s">
        <v>170</v>
      </c>
      <c r="I14" s="76">
        <v>0</v>
      </c>
      <c r="J14" s="76">
        <f t="shared" si="2"/>
        <v>0</v>
      </c>
      <c r="K14" s="76" t="s">
        <v>535</v>
      </c>
      <c r="L14" s="76">
        <f t="shared" si="1"/>
        <v>5.0000000000000004E-8</v>
      </c>
      <c r="M14" s="76" t="s">
        <v>172</v>
      </c>
      <c r="N14" s="76">
        <f t="shared" si="4"/>
        <v>3.0000000000000004E-8</v>
      </c>
      <c r="O14" s="76">
        <f t="shared" si="3"/>
        <v>2.5000000000000002E-8</v>
      </c>
      <c r="P14" s="76" t="s">
        <v>536</v>
      </c>
    </row>
    <row r="15" spans="1:16" ht="12.75" customHeight="1" x14ac:dyDescent="0.2">
      <c r="B15" s="76" t="s">
        <v>547</v>
      </c>
      <c r="C15" s="76">
        <f t="shared" si="0"/>
        <v>5.0000000000000004E-8</v>
      </c>
      <c r="D15" s="76">
        <v>1</v>
      </c>
      <c r="E15" s="76" t="s">
        <v>122</v>
      </c>
      <c r="F15" s="76" t="s">
        <v>168</v>
      </c>
      <c r="G15" s="76" t="s">
        <v>169</v>
      </c>
      <c r="H15" s="76" t="s">
        <v>170</v>
      </c>
      <c r="I15" s="76">
        <v>0</v>
      </c>
      <c r="J15" s="76">
        <f t="shared" si="2"/>
        <v>0</v>
      </c>
      <c r="K15" s="76" t="s">
        <v>535</v>
      </c>
      <c r="L15" s="76">
        <f t="shared" si="1"/>
        <v>5.0000000000000004E-8</v>
      </c>
      <c r="M15" s="76" t="s">
        <v>172</v>
      </c>
      <c r="N15" s="76">
        <f t="shared" si="4"/>
        <v>3.0000000000000004E-8</v>
      </c>
      <c r="O15" s="76">
        <f t="shared" si="3"/>
        <v>2.5000000000000002E-8</v>
      </c>
      <c r="P15" s="76" t="s">
        <v>536</v>
      </c>
    </row>
    <row r="16" spans="1:16" ht="12.75" customHeight="1" x14ac:dyDescent="0.2">
      <c r="B16" s="76" t="s">
        <v>547</v>
      </c>
      <c r="C16" s="76">
        <f t="shared" si="0"/>
        <v>5.0000000000000004E-8</v>
      </c>
      <c r="D16" s="76">
        <v>1</v>
      </c>
      <c r="E16" s="76" t="s">
        <v>136</v>
      </c>
      <c r="F16" s="76" t="s">
        <v>168</v>
      </c>
      <c r="G16" s="76" t="s">
        <v>169</v>
      </c>
      <c r="H16" s="76" t="s">
        <v>170</v>
      </c>
      <c r="I16" s="76">
        <v>0</v>
      </c>
      <c r="J16" s="76">
        <f t="shared" si="2"/>
        <v>0</v>
      </c>
      <c r="K16" s="76" t="s">
        <v>535</v>
      </c>
      <c r="L16" s="76">
        <f t="shared" si="1"/>
        <v>5.0000000000000004E-8</v>
      </c>
      <c r="M16" s="76" t="s">
        <v>172</v>
      </c>
      <c r="N16" s="76">
        <f t="shared" ref="N16:N22" si="5">1.1*C16</f>
        <v>5.5000000000000009E-8</v>
      </c>
      <c r="O16" s="76">
        <f t="shared" si="3"/>
        <v>2.5000000000000002E-8</v>
      </c>
      <c r="P16" s="76" t="s">
        <v>536</v>
      </c>
    </row>
    <row r="17" spans="2:16" ht="12.75" customHeight="1" x14ac:dyDescent="0.2">
      <c r="B17" s="76" t="s">
        <v>547</v>
      </c>
      <c r="C17" s="76">
        <f t="shared" si="0"/>
        <v>5.0000000000000004E-8</v>
      </c>
      <c r="D17" s="76">
        <v>1</v>
      </c>
      <c r="E17" s="76" t="s">
        <v>135</v>
      </c>
      <c r="F17" s="76" t="s">
        <v>168</v>
      </c>
      <c r="G17" s="76" t="s">
        <v>169</v>
      </c>
      <c r="H17" s="76" t="s">
        <v>170</v>
      </c>
      <c r="I17" s="76">
        <v>0</v>
      </c>
      <c r="J17" s="76">
        <f t="shared" si="2"/>
        <v>0</v>
      </c>
      <c r="K17" s="76" t="s">
        <v>535</v>
      </c>
      <c r="L17" s="76">
        <f t="shared" si="1"/>
        <v>5.0000000000000004E-8</v>
      </c>
      <c r="M17" s="76" t="s">
        <v>172</v>
      </c>
      <c r="N17" s="76">
        <f t="shared" si="5"/>
        <v>5.5000000000000009E-8</v>
      </c>
      <c r="O17" s="76">
        <f t="shared" si="3"/>
        <v>2.5000000000000002E-8</v>
      </c>
      <c r="P17" s="76" t="s">
        <v>536</v>
      </c>
    </row>
    <row r="18" spans="2:16" ht="12.75" customHeight="1" x14ac:dyDescent="0.2">
      <c r="B18" s="76" t="s">
        <v>547</v>
      </c>
      <c r="C18" s="76">
        <f t="shared" si="0"/>
        <v>5.0000000000000004E-8</v>
      </c>
      <c r="D18" s="76">
        <v>1</v>
      </c>
      <c r="E18" s="76" t="s">
        <v>134</v>
      </c>
      <c r="F18" s="76" t="s">
        <v>168</v>
      </c>
      <c r="G18" s="76" t="s">
        <v>169</v>
      </c>
      <c r="H18" s="76" t="s">
        <v>170</v>
      </c>
      <c r="I18" s="76">
        <v>0</v>
      </c>
      <c r="J18" s="76">
        <f t="shared" si="2"/>
        <v>0</v>
      </c>
      <c r="K18" s="76" t="s">
        <v>535</v>
      </c>
      <c r="L18" s="76">
        <f t="shared" si="1"/>
        <v>5.0000000000000004E-8</v>
      </c>
      <c r="M18" s="76" t="s">
        <v>172</v>
      </c>
      <c r="N18" s="76">
        <f t="shared" si="5"/>
        <v>5.5000000000000009E-8</v>
      </c>
      <c r="O18" s="76">
        <f t="shared" si="3"/>
        <v>2.5000000000000002E-8</v>
      </c>
      <c r="P18" s="76" t="s">
        <v>536</v>
      </c>
    </row>
    <row r="19" spans="2:16" ht="12.75" customHeight="1" x14ac:dyDescent="0.2">
      <c r="B19" s="76" t="s">
        <v>547</v>
      </c>
      <c r="C19" s="76">
        <f t="shared" si="0"/>
        <v>5.0000000000000004E-8</v>
      </c>
      <c r="D19" s="76">
        <v>1</v>
      </c>
      <c r="E19" s="76" t="s">
        <v>133</v>
      </c>
      <c r="F19" s="76" t="s">
        <v>168</v>
      </c>
      <c r="G19" s="76" t="s">
        <v>169</v>
      </c>
      <c r="H19" s="76" t="s">
        <v>170</v>
      </c>
      <c r="I19" s="76">
        <v>0</v>
      </c>
      <c r="J19" s="76">
        <f t="shared" si="2"/>
        <v>0</v>
      </c>
      <c r="K19" s="76" t="s">
        <v>535</v>
      </c>
      <c r="L19" s="76">
        <f t="shared" si="1"/>
        <v>5.0000000000000004E-8</v>
      </c>
      <c r="M19" s="76" t="s">
        <v>172</v>
      </c>
      <c r="N19" s="76">
        <f t="shared" si="5"/>
        <v>5.5000000000000009E-8</v>
      </c>
      <c r="O19" s="76">
        <f t="shared" si="3"/>
        <v>2.5000000000000002E-8</v>
      </c>
      <c r="P19" s="76" t="s">
        <v>536</v>
      </c>
    </row>
    <row r="20" spans="2:16" ht="12.75" customHeight="1" x14ac:dyDescent="0.2">
      <c r="B20" s="76" t="s">
        <v>547</v>
      </c>
      <c r="C20" s="76">
        <f t="shared" si="0"/>
        <v>5.0000000000000004E-8</v>
      </c>
      <c r="D20" s="76">
        <v>1</v>
      </c>
      <c r="E20" s="76" t="s">
        <v>132</v>
      </c>
      <c r="F20" s="76" t="s">
        <v>168</v>
      </c>
      <c r="G20" s="76" t="s">
        <v>169</v>
      </c>
      <c r="H20" s="76" t="s">
        <v>170</v>
      </c>
      <c r="I20" s="76">
        <v>0</v>
      </c>
      <c r="J20" s="76">
        <f t="shared" si="2"/>
        <v>0</v>
      </c>
      <c r="K20" s="76" t="s">
        <v>535</v>
      </c>
      <c r="L20" s="76">
        <f t="shared" si="1"/>
        <v>5.0000000000000004E-8</v>
      </c>
      <c r="M20" s="76" t="s">
        <v>172</v>
      </c>
      <c r="N20" s="76">
        <f t="shared" si="5"/>
        <v>5.5000000000000009E-8</v>
      </c>
      <c r="O20" s="76">
        <f t="shared" si="3"/>
        <v>2.5000000000000002E-8</v>
      </c>
      <c r="P20" s="76" t="s">
        <v>536</v>
      </c>
    </row>
    <row r="21" spans="2:16" ht="12.75" customHeight="1" x14ac:dyDescent="0.2">
      <c r="B21" s="76" t="s">
        <v>547</v>
      </c>
      <c r="C21" s="76">
        <f t="shared" si="0"/>
        <v>5.0000000000000004E-8</v>
      </c>
      <c r="D21" s="76">
        <v>1</v>
      </c>
      <c r="E21" s="76" t="s">
        <v>131</v>
      </c>
      <c r="F21" s="76" t="s">
        <v>168</v>
      </c>
      <c r="G21" s="76" t="s">
        <v>169</v>
      </c>
      <c r="H21" s="76" t="s">
        <v>170</v>
      </c>
      <c r="I21" s="76">
        <v>0</v>
      </c>
      <c r="J21" s="76">
        <f t="shared" si="2"/>
        <v>0</v>
      </c>
      <c r="K21" s="76" t="s">
        <v>535</v>
      </c>
      <c r="L21" s="76">
        <f t="shared" si="1"/>
        <v>5.0000000000000004E-8</v>
      </c>
      <c r="M21" s="76" t="s">
        <v>172</v>
      </c>
      <c r="N21" s="76">
        <f t="shared" si="5"/>
        <v>5.5000000000000009E-8</v>
      </c>
      <c r="O21" s="76">
        <f t="shared" si="3"/>
        <v>2.5000000000000002E-8</v>
      </c>
      <c r="P21" s="76" t="s">
        <v>536</v>
      </c>
    </row>
    <row r="22" spans="2:16" ht="12.75" customHeight="1" x14ac:dyDescent="0.2">
      <c r="B22" s="76" t="s">
        <v>547</v>
      </c>
      <c r="C22" s="76">
        <f t="shared" si="0"/>
        <v>5.0000000000000004E-8</v>
      </c>
      <c r="D22" s="76">
        <v>1</v>
      </c>
      <c r="E22" s="76" t="s">
        <v>130</v>
      </c>
      <c r="F22" s="76" t="s">
        <v>168</v>
      </c>
      <c r="G22" s="76" t="s">
        <v>169</v>
      </c>
      <c r="H22" s="76" t="s">
        <v>170</v>
      </c>
      <c r="I22" s="76">
        <v>0</v>
      </c>
      <c r="J22" s="76">
        <f t="shared" si="2"/>
        <v>0</v>
      </c>
      <c r="K22" s="76" t="s">
        <v>535</v>
      </c>
      <c r="L22" s="76">
        <f t="shared" si="1"/>
        <v>5.0000000000000004E-8</v>
      </c>
      <c r="M22" s="76" t="s">
        <v>172</v>
      </c>
      <c r="N22" s="76">
        <f t="shared" si="5"/>
        <v>5.5000000000000009E-8</v>
      </c>
      <c r="O22" s="76">
        <f t="shared" si="3"/>
        <v>2.5000000000000002E-8</v>
      </c>
      <c r="P22" s="76" t="s">
        <v>536</v>
      </c>
    </row>
    <row r="23" spans="2:16" ht="12.75" customHeight="1" x14ac:dyDescent="0.2">
      <c r="B23" s="76" t="s">
        <v>547</v>
      </c>
      <c r="C23" s="76">
        <f t="shared" si="0"/>
        <v>5.0000000000000004E-8</v>
      </c>
      <c r="D23" s="76">
        <v>1</v>
      </c>
      <c r="E23" s="76" t="s">
        <v>129</v>
      </c>
      <c r="F23" s="76" t="s">
        <v>168</v>
      </c>
      <c r="G23" s="76" t="s">
        <v>169</v>
      </c>
      <c r="H23" s="76" t="s">
        <v>170</v>
      </c>
      <c r="I23" s="76">
        <v>0</v>
      </c>
      <c r="J23" s="76">
        <f t="shared" si="2"/>
        <v>0</v>
      </c>
      <c r="K23" s="76" t="s">
        <v>535</v>
      </c>
      <c r="L23" s="76">
        <f t="shared" si="1"/>
        <v>5.0000000000000004E-8</v>
      </c>
      <c r="M23" s="76" t="s">
        <v>172</v>
      </c>
      <c r="N23" s="76">
        <f>0.1*C23</f>
        <v>5.0000000000000009E-9</v>
      </c>
      <c r="O23" s="76">
        <f t="shared" si="3"/>
        <v>2.5000000000000002E-8</v>
      </c>
      <c r="P23" s="76" t="s">
        <v>536</v>
      </c>
    </row>
    <row r="24" spans="2:16" ht="12.75" customHeight="1" x14ac:dyDescent="0.2">
      <c r="B24" s="76" t="s">
        <v>547</v>
      </c>
      <c r="C24" s="76">
        <f t="shared" si="0"/>
        <v>5.0000000000000004E-8</v>
      </c>
      <c r="D24" s="76">
        <v>1</v>
      </c>
      <c r="E24" s="76" t="s">
        <v>128</v>
      </c>
      <c r="F24" s="76" t="s">
        <v>168</v>
      </c>
      <c r="G24" s="76" t="s">
        <v>169</v>
      </c>
      <c r="H24" s="76" t="s">
        <v>170</v>
      </c>
      <c r="I24" s="76">
        <v>0</v>
      </c>
      <c r="J24" s="76">
        <f t="shared" si="2"/>
        <v>0</v>
      </c>
      <c r="K24" s="76" t="s">
        <v>535</v>
      </c>
      <c r="L24" s="76">
        <f t="shared" si="1"/>
        <v>5.0000000000000004E-8</v>
      </c>
      <c r="M24" s="76" t="s">
        <v>172</v>
      </c>
      <c r="N24" s="76">
        <f>0.1*C24</f>
        <v>5.0000000000000009E-9</v>
      </c>
      <c r="O24" s="76">
        <f t="shared" si="3"/>
        <v>2.5000000000000002E-8</v>
      </c>
      <c r="P24" s="76" t="s">
        <v>536</v>
      </c>
    </row>
    <row r="25" spans="2:16" ht="12.75" customHeight="1" x14ac:dyDescent="0.2">
      <c r="B25" s="76" t="s">
        <v>547</v>
      </c>
      <c r="C25" s="76">
        <f t="shared" si="0"/>
        <v>5.0000000000000004E-8</v>
      </c>
      <c r="D25" s="76">
        <v>1</v>
      </c>
      <c r="E25" s="76" t="s">
        <v>98</v>
      </c>
      <c r="F25" s="76" t="s">
        <v>168</v>
      </c>
      <c r="G25" s="76" t="s">
        <v>169</v>
      </c>
      <c r="H25" s="76" t="s">
        <v>170</v>
      </c>
      <c r="I25" s="76">
        <v>0</v>
      </c>
      <c r="J25" s="76">
        <f t="shared" si="2"/>
        <v>0</v>
      </c>
      <c r="K25" s="76" t="s">
        <v>535</v>
      </c>
      <c r="L25" s="76">
        <f t="shared" si="1"/>
        <v>5.0000000000000004E-8</v>
      </c>
      <c r="M25" s="76" t="s">
        <v>163</v>
      </c>
      <c r="N25" s="76"/>
      <c r="O25" s="76" t="s">
        <v>535</v>
      </c>
      <c r="P25" s="76" t="s">
        <v>536</v>
      </c>
    </row>
    <row r="26" spans="2:16" ht="12.75" customHeight="1" x14ac:dyDescent="0.2">
      <c r="B26" s="76" t="s">
        <v>547</v>
      </c>
      <c r="C26" s="76">
        <f t="shared" si="0"/>
        <v>5.0000000000000004E-8</v>
      </c>
      <c r="D26" s="76">
        <v>1</v>
      </c>
      <c r="E26" s="76" t="s">
        <v>99</v>
      </c>
      <c r="F26" s="76" t="s">
        <v>168</v>
      </c>
      <c r="G26" s="76" t="s">
        <v>169</v>
      </c>
      <c r="H26" s="76" t="s">
        <v>170</v>
      </c>
      <c r="I26" s="76">
        <v>0</v>
      </c>
      <c r="J26" s="76">
        <f t="shared" si="2"/>
        <v>0</v>
      </c>
      <c r="K26" s="76" t="s">
        <v>535</v>
      </c>
      <c r="L26" s="76">
        <f t="shared" si="1"/>
        <v>5.0000000000000004E-8</v>
      </c>
      <c r="M26" s="76" t="s">
        <v>172</v>
      </c>
      <c r="N26" s="76">
        <f>0.1*C26</f>
        <v>5.0000000000000009E-9</v>
      </c>
      <c r="O26" s="76">
        <f>0.5*C26</f>
        <v>2.5000000000000002E-8</v>
      </c>
      <c r="P26" s="76" t="s">
        <v>536</v>
      </c>
    </row>
    <row r="27" spans="2:16" ht="12.75" customHeight="1" x14ac:dyDescent="0.2">
      <c r="B27" s="76" t="s">
        <v>547</v>
      </c>
      <c r="C27" s="76">
        <f t="shared" si="0"/>
        <v>5.0000000000000004E-8</v>
      </c>
      <c r="D27" s="76">
        <v>1</v>
      </c>
      <c r="E27" s="76" t="s">
        <v>898</v>
      </c>
      <c r="F27" s="76" t="s">
        <v>168</v>
      </c>
      <c r="G27" s="76" t="s">
        <v>169</v>
      </c>
      <c r="H27" s="76" t="s">
        <v>516</v>
      </c>
      <c r="I27" s="76">
        <v>0</v>
      </c>
      <c r="J27" s="76">
        <f>0.25*C27</f>
        <v>1.2500000000000001E-8</v>
      </c>
      <c r="K27" s="76">
        <f>0.75*C27</f>
        <v>3.7500000000000005E-8</v>
      </c>
      <c r="L27" s="76">
        <f t="shared" si="1"/>
        <v>5.0000000000000004E-8</v>
      </c>
      <c r="M27" s="76" t="s">
        <v>163</v>
      </c>
      <c r="N27" s="76"/>
      <c r="O27" s="76" t="s">
        <v>535</v>
      </c>
      <c r="P27" s="76" t="s">
        <v>537</v>
      </c>
    </row>
    <row r="28" spans="2:16" ht="12.75" customHeight="1" x14ac:dyDescent="0.2">
      <c r="B28" s="76" t="s">
        <v>547</v>
      </c>
      <c r="C28" s="76">
        <f t="shared" si="0"/>
        <v>5.0000000000000004E-8</v>
      </c>
      <c r="D28" s="76">
        <v>1</v>
      </c>
      <c r="E28" s="76" t="s">
        <v>899</v>
      </c>
      <c r="F28" s="76" t="s">
        <v>168</v>
      </c>
      <c r="G28" s="76" t="s">
        <v>169</v>
      </c>
      <c r="H28" s="76" t="s">
        <v>516</v>
      </c>
      <c r="I28" s="76">
        <v>0</v>
      </c>
      <c r="J28" s="76">
        <f>0.25*C28</f>
        <v>1.2500000000000001E-8</v>
      </c>
      <c r="K28" s="76">
        <f>0.75*C28</f>
        <v>3.7500000000000005E-8</v>
      </c>
      <c r="L28" s="76">
        <f t="shared" si="1"/>
        <v>5.0000000000000004E-8</v>
      </c>
      <c r="M28" s="76" t="s">
        <v>163</v>
      </c>
      <c r="N28" s="76"/>
      <c r="O28" s="76" t="s">
        <v>535</v>
      </c>
      <c r="P28" s="76" t="s">
        <v>537</v>
      </c>
    </row>
    <row r="29" spans="2:16" ht="12.75" customHeight="1" x14ac:dyDescent="0.2">
      <c r="B29" s="76" t="s">
        <v>547</v>
      </c>
      <c r="C29" s="76">
        <f t="shared" si="0"/>
        <v>5.0000000000000004E-8</v>
      </c>
      <c r="D29" s="76">
        <v>1</v>
      </c>
      <c r="E29" s="76" t="s">
        <v>900</v>
      </c>
      <c r="F29" s="76" t="s">
        <v>168</v>
      </c>
      <c r="G29" s="76" t="s">
        <v>169</v>
      </c>
      <c r="H29" s="76" t="s">
        <v>170</v>
      </c>
      <c r="I29" s="76">
        <v>0</v>
      </c>
      <c r="J29" s="76">
        <f t="shared" ref="J29:J77" si="6">0*C29</f>
        <v>0</v>
      </c>
      <c r="K29" s="76" t="s">
        <v>535</v>
      </c>
      <c r="L29" s="76">
        <f t="shared" si="1"/>
        <v>5.0000000000000004E-8</v>
      </c>
      <c r="M29" s="76" t="s">
        <v>163</v>
      </c>
      <c r="N29" s="76"/>
      <c r="O29" s="76" t="s">
        <v>535</v>
      </c>
      <c r="P29" s="76" t="s">
        <v>536</v>
      </c>
    </row>
    <row r="30" spans="2:16" ht="12.75" customHeight="1" x14ac:dyDescent="0.2">
      <c r="B30" s="76" t="s">
        <v>547</v>
      </c>
      <c r="C30" s="76">
        <f t="shared" si="0"/>
        <v>5.0000000000000004E-8</v>
      </c>
      <c r="D30" s="76">
        <v>1</v>
      </c>
      <c r="E30" s="76" t="s">
        <v>901</v>
      </c>
      <c r="F30" s="76" t="s">
        <v>168</v>
      </c>
      <c r="G30" s="76" t="s">
        <v>169</v>
      </c>
      <c r="H30" s="76" t="s">
        <v>170</v>
      </c>
      <c r="I30" s="76">
        <v>0</v>
      </c>
      <c r="J30" s="76">
        <f t="shared" si="6"/>
        <v>0</v>
      </c>
      <c r="K30" s="76" t="s">
        <v>535</v>
      </c>
      <c r="L30" s="76">
        <f t="shared" si="1"/>
        <v>5.0000000000000004E-8</v>
      </c>
      <c r="M30" s="76" t="s">
        <v>163</v>
      </c>
      <c r="N30" s="76"/>
      <c r="O30" s="76" t="s">
        <v>535</v>
      </c>
      <c r="P30" s="76" t="s">
        <v>536</v>
      </c>
    </row>
    <row r="31" spans="2:16" ht="12.75" customHeight="1" x14ac:dyDescent="0.2">
      <c r="B31" s="76" t="s">
        <v>547</v>
      </c>
      <c r="C31" s="76">
        <f t="shared" si="0"/>
        <v>5.0000000000000004E-8</v>
      </c>
      <c r="D31" s="76">
        <v>1</v>
      </c>
      <c r="E31" s="76" t="s">
        <v>902</v>
      </c>
      <c r="F31" s="76" t="s">
        <v>168</v>
      </c>
      <c r="G31" s="76" t="s">
        <v>169</v>
      </c>
      <c r="H31" s="76" t="s">
        <v>170</v>
      </c>
      <c r="I31" s="76">
        <v>0</v>
      </c>
      <c r="J31" s="76">
        <f t="shared" si="6"/>
        <v>0</v>
      </c>
      <c r="K31" s="76" t="s">
        <v>535</v>
      </c>
      <c r="L31" s="76">
        <f t="shared" si="1"/>
        <v>5.0000000000000004E-8</v>
      </c>
      <c r="M31" s="76" t="s">
        <v>163</v>
      </c>
      <c r="N31" s="76"/>
      <c r="O31" s="76" t="s">
        <v>535</v>
      </c>
      <c r="P31" s="76" t="s">
        <v>536</v>
      </c>
    </row>
    <row r="32" spans="2:16" ht="12.75" customHeight="1" x14ac:dyDescent="0.2">
      <c r="B32" s="76" t="s">
        <v>547</v>
      </c>
      <c r="C32" s="76">
        <f t="shared" si="0"/>
        <v>5.0000000000000004E-8</v>
      </c>
      <c r="D32" s="76">
        <v>1</v>
      </c>
      <c r="E32" s="76" t="s">
        <v>903</v>
      </c>
      <c r="F32" s="76" t="s">
        <v>168</v>
      </c>
      <c r="G32" s="76" t="s">
        <v>169</v>
      </c>
      <c r="H32" s="76" t="s">
        <v>170</v>
      </c>
      <c r="I32" s="76">
        <v>0</v>
      </c>
      <c r="J32" s="76">
        <f t="shared" si="6"/>
        <v>0</v>
      </c>
      <c r="K32" s="76" t="s">
        <v>535</v>
      </c>
      <c r="L32" s="76">
        <f t="shared" si="1"/>
        <v>5.0000000000000004E-8</v>
      </c>
      <c r="M32" s="76" t="s">
        <v>163</v>
      </c>
      <c r="N32" s="76"/>
      <c r="O32" s="76" t="s">
        <v>535</v>
      </c>
      <c r="P32" s="76" t="s">
        <v>536</v>
      </c>
    </row>
    <row r="33" spans="2:16" ht="12.75" customHeight="1" x14ac:dyDescent="0.2">
      <c r="B33" s="76" t="s">
        <v>547</v>
      </c>
      <c r="C33" s="76">
        <f t="shared" si="0"/>
        <v>5.0000000000000004E-8</v>
      </c>
      <c r="D33" s="76">
        <v>1</v>
      </c>
      <c r="E33" s="76" t="s">
        <v>904</v>
      </c>
      <c r="F33" s="76" t="s">
        <v>168</v>
      </c>
      <c r="G33" s="76" t="s">
        <v>169</v>
      </c>
      <c r="H33" s="76" t="s">
        <v>170</v>
      </c>
      <c r="I33" s="76">
        <v>0</v>
      </c>
      <c r="J33" s="76">
        <f t="shared" si="6"/>
        <v>0</v>
      </c>
      <c r="K33" s="76" t="s">
        <v>535</v>
      </c>
      <c r="L33" s="76">
        <f t="shared" si="1"/>
        <v>5.0000000000000004E-8</v>
      </c>
      <c r="M33" s="76" t="s">
        <v>163</v>
      </c>
      <c r="N33" s="76"/>
      <c r="O33" s="76" t="s">
        <v>535</v>
      </c>
      <c r="P33" s="76" t="s">
        <v>536</v>
      </c>
    </row>
    <row r="34" spans="2:16" ht="12.75" customHeight="1" x14ac:dyDescent="0.2">
      <c r="B34" s="76" t="s">
        <v>547</v>
      </c>
      <c r="C34" s="76">
        <f t="shared" si="0"/>
        <v>5.0000000000000004E-8</v>
      </c>
      <c r="D34" s="76">
        <v>1</v>
      </c>
      <c r="E34" s="76" t="s">
        <v>905</v>
      </c>
      <c r="F34" s="76" t="s">
        <v>168</v>
      </c>
      <c r="G34" s="76" t="s">
        <v>169</v>
      </c>
      <c r="H34" s="76" t="s">
        <v>170</v>
      </c>
      <c r="I34" s="76">
        <v>0</v>
      </c>
      <c r="J34" s="76">
        <f t="shared" si="6"/>
        <v>0</v>
      </c>
      <c r="K34" s="76" t="s">
        <v>535</v>
      </c>
      <c r="L34" s="76">
        <f t="shared" si="1"/>
        <v>5.0000000000000004E-8</v>
      </c>
      <c r="M34" s="76" t="s">
        <v>163</v>
      </c>
      <c r="N34" s="76"/>
      <c r="O34" s="76" t="s">
        <v>535</v>
      </c>
      <c r="P34" s="76" t="s">
        <v>536</v>
      </c>
    </row>
    <row r="35" spans="2:16" ht="12.75" customHeight="1" x14ac:dyDescent="0.2">
      <c r="B35" s="76" t="s">
        <v>547</v>
      </c>
      <c r="C35" s="76">
        <f t="shared" si="0"/>
        <v>5.0000000000000004E-8</v>
      </c>
      <c r="D35" s="76">
        <v>1</v>
      </c>
      <c r="E35" s="76" t="s">
        <v>906</v>
      </c>
      <c r="F35" s="76" t="s">
        <v>168</v>
      </c>
      <c r="G35" s="76" t="s">
        <v>169</v>
      </c>
      <c r="H35" s="76" t="s">
        <v>170</v>
      </c>
      <c r="I35" s="76">
        <v>0</v>
      </c>
      <c r="J35" s="76">
        <f t="shared" si="6"/>
        <v>0</v>
      </c>
      <c r="K35" s="76" t="s">
        <v>535</v>
      </c>
      <c r="L35" s="76">
        <f t="shared" si="1"/>
        <v>5.0000000000000004E-8</v>
      </c>
      <c r="M35" s="76" t="s">
        <v>163</v>
      </c>
      <c r="N35" s="76"/>
      <c r="O35" s="76" t="s">
        <v>535</v>
      </c>
      <c r="P35" s="76" t="s">
        <v>536</v>
      </c>
    </row>
    <row r="36" spans="2:16" ht="12.75" customHeight="1" x14ac:dyDescent="0.2">
      <c r="B36" s="76" t="s">
        <v>547</v>
      </c>
      <c r="C36" s="76">
        <f t="shared" si="0"/>
        <v>5.0000000000000004E-8</v>
      </c>
      <c r="D36" s="76">
        <v>1</v>
      </c>
      <c r="E36" s="76" t="s">
        <v>907</v>
      </c>
      <c r="F36" s="76" t="s">
        <v>168</v>
      </c>
      <c r="G36" s="76" t="s">
        <v>169</v>
      </c>
      <c r="H36" s="76" t="s">
        <v>170</v>
      </c>
      <c r="I36" s="76">
        <v>0</v>
      </c>
      <c r="J36" s="76">
        <f t="shared" si="6"/>
        <v>0</v>
      </c>
      <c r="K36" s="76" t="s">
        <v>535</v>
      </c>
      <c r="L36" s="76">
        <f t="shared" si="1"/>
        <v>5.0000000000000004E-8</v>
      </c>
      <c r="M36" s="76" t="s">
        <v>163</v>
      </c>
      <c r="N36" s="76"/>
      <c r="O36" s="76" t="s">
        <v>535</v>
      </c>
      <c r="P36" s="76" t="s">
        <v>536</v>
      </c>
    </row>
    <row r="37" spans="2:16" ht="12.75" customHeight="1" x14ac:dyDescent="0.2">
      <c r="B37" s="76" t="s">
        <v>547</v>
      </c>
      <c r="C37" s="76">
        <f t="shared" si="0"/>
        <v>5.0000000000000004E-8</v>
      </c>
      <c r="D37" s="76">
        <v>1</v>
      </c>
      <c r="E37" s="76" t="s">
        <v>911</v>
      </c>
      <c r="F37" s="76" t="s">
        <v>168</v>
      </c>
      <c r="G37" s="76" t="s">
        <v>169</v>
      </c>
      <c r="H37" s="76" t="s">
        <v>170</v>
      </c>
      <c r="I37" s="76">
        <v>0</v>
      </c>
      <c r="J37" s="76">
        <f t="shared" si="6"/>
        <v>0</v>
      </c>
      <c r="K37" s="76" t="s">
        <v>535</v>
      </c>
      <c r="L37" s="76">
        <f t="shared" si="1"/>
        <v>5.0000000000000004E-8</v>
      </c>
      <c r="M37" s="76" t="s">
        <v>172</v>
      </c>
      <c r="N37" s="76">
        <f>0.1*C37</f>
        <v>5.0000000000000009E-9</v>
      </c>
      <c r="O37" s="76">
        <f>0.5*C37</f>
        <v>2.5000000000000002E-8</v>
      </c>
      <c r="P37" s="76" t="s">
        <v>536</v>
      </c>
    </row>
    <row r="38" spans="2:16" ht="12.75" customHeight="1" x14ac:dyDescent="0.2">
      <c r="B38" s="76" t="s">
        <v>547</v>
      </c>
      <c r="C38" s="76">
        <f t="shared" si="0"/>
        <v>5.0000000000000004E-8</v>
      </c>
      <c r="D38" s="76">
        <v>1</v>
      </c>
      <c r="E38" s="76" t="s">
        <v>908</v>
      </c>
      <c r="F38" s="76" t="s">
        <v>168</v>
      </c>
      <c r="G38" s="76" t="s">
        <v>169</v>
      </c>
      <c r="H38" s="76" t="s">
        <v>170</v>
      </c>
      <c r="I38" s="76">
        <v>0</v>
      </c>
      <c r="J38" s="76">
        <f t="shared" si="6"/>
        <v>0</v>
      </c>
      <c r="K38" s="76" t="s">
        <v>535</v>
      </c>
      <c r="L38" s="76">
        <f t="shared" si="1"/>
        <v>5.0000000000000004E-8</v>
      </c>
      <c r="M38" s="76" t="s">
        <v>163</v>
      </c>
      <c r="N38" s="76"/>
      <c r="O38" s="76" t="s">
        <v>535</v>
      </c>
      <c r="P38" s="76" t="s">
        <v>536</v>
      </c>
    </row>
    <row r="39" spans="2:16" ht="12.75" customHeight="1" x14ac:dyDescent="0.2">
      <c r="B39" s="76" t="s">
        <v>547</v>
      </c>
      <c r="C39" s="76">
        <f t="shared" ref="C39:C70" si="7">50*ns</f>
        <v>5.0000000000000004E-8</v>
      </c>
      <c r="D39" s="76">
        <v>1</v>
      </c>
      <c r="E39" s="76" t="s">
        <v>944</v>
      </c>
      <c r="F39" s="76" t="s">
        <v>168</v>
      </c>
      <c r="G39" s="76" t="s">
        <v>169</v>
      </c>
      <c r="H39" s="76" t="s">
        <v>170</v>
      </c>
      <c r="I39" s="76">
        <v>0</v>
      </c>
      <c r="J39" s="76">
        <f t="shared" si="6"/>
        <v>0</v>
      </c>
      <c r="K39" s="76" t="s">
        <v>535</v>
      </c>
      <c r="L39" s="76">
        <f t="shared" ref="L39:L70" si="8">C39</f>
        <v>5.0000000000000004E-8</v>
      </c>
      <c r="M39" s="76" t="s">
        <v>163</v>
      </c>
      <c r="N39" s="76"/>
      <c r="O39" s="76" t="s">
        <v>535</v>
      </c>
      <c r="P39" s="76" t="s">
        <v>536</v>
      </c>
    </row>
    <row r="40" spans="2:16" ht="12.75" customHeight="1" x14ac:dyDescent="0.2">
      <c r="B40" s="76" t="s">
        <v>547</v>
      </c>
      <c r="C40" s="76">
        <f t="shared" si="7"/>
        <v>5.0000000000000004E-8</v>
      </c>
      <c r="D40" s="76">
        <v>1</v>
      </c>
      <c r="E40" s="76" t="s">
        <v>934</v>
      </c>
      <c r="F40" s="76" t="s">
        <v>168</v>
      </c>
      <c r="G40" s="76" t="s">
        <v>169</v>
      </c>
      <c r="H40" s="76" t="s">
        <v>170</v>
      </c>
      <c r="I40" s="76">
        <v>0</v>
      </c>
      <c r="J40" s="76">
        <f t="shared" si="6"/>
        <v>0</v>
      </c>
      <c r="K40" s="76" t="s">
        <v>535</v>
      </c>
      <c r="L40" s="76">
        <f t="shared" si="8"/>
        <v>5.0000000000000004E-8</v>
      </c>
      <c r="M40" s="76" t="s">
        <v>163</v>
      </c>
      <c r="N40" s="76"/>
      <c r="O40" s="76" t="s">
        <v>535</v>
      </c>
      <c r="P40" s="76" t="s">
        <v>536</v>
      </c>
    </row>
    <row r="41" spans="2:16" ht="12.75" customHeight="1" x14ac:dyDescent="0.2">
      <c r="B41" s="76" t="s">
        <v>547</v>
      </c>
      <c r="C41" s="76">
        <f t="shared" si="7"/>
        <v>5.0000000000000004E-8</v>
      </c>
      <c r="D41" s="76">
        <v>1</v>
      </c>
      <c r="E41" s="76" t="s">
        <v>933</v>
      </c>
      <c r="F41" s="76" t="s">
        <v>168</v>
      </c>
      <c r="G41" s="76" t="s">
        <v>169</v>
      </c>
      <c r="H41" s="76" t="s">
        <v>170</v>
      </c>
      <c r="I41" s="76">
        <v>0</v>
      </c>
      <c r="J41" s="76">
        <f t="shared" si="6"/>
        <v>0</v>
      </c>
      <c r="K41" s="76" t="s">
        <v>535</v>
      </c>
      <c r="L41" s="76">
        <f t="shared" si="8"/>
        <v>5.0000000000000004E-8</v>
      </c>
      <c r="M41" s="76" t="s">
        <v>163</v>
      </c>
      <c r="N41" s="76"/>
      <c r="O41" s="76" t="s">
        <v>535</v>
      </c>
      <c r="P41" s="76" t="s">
        <v>536</v>
      </c>
    </row>
    <row r="42" spans="2:16" ht="12.75" customHeight="1" x14ac:dyDescent="0.2">
      <c r="B42" s="76" t="s">
        <v>547</v>
      </c>
      <c r="C42" s="76">
        <f t="shared" si="7"/>
        <v>5.0000000000000004E-8</v>
      </c>
      <c r="D42" s="76">
        <v>1</v>
      </c>
      <c r="E42" s="76" t="s">
        <v>932</v>
      </c>
      <c r="F42" s="76" t="s">
        <v>168</v>
      </c>
      <c r="G42" s="76" t="s">
        <v>169</v>
      </c>
      <c r="H42" s="76" t="s">
        <v>170</v>
      </c>
      <c r="I42" s="76">
        <v>0</v>
      </c>
      <c r="J42" s="76">
        <f t="shared" si="6"/>
        <v>0</v>
      </c>
      <c r="K42" s="76" t="s">
        <v>535</v>
      </c>
      <c r="L42" s="76">
        <f t="shared" si="8"/>
        <v>5.0000000000000004E-8</v>
      </c>
      <c r="M42" s="76" t="s">
        <v>163</v>
      </c>
      <c r="N42" s="76"/>
      <c r="O42" s="76" t="s">
        <v>535</v>
      </c>
      <c r="P42" s="76" t="s">
        <v>536</v>
      </c>
    </row>
    <row r="43" spans="2:16" ht="12.75" customHeight="1" x14ac:dyDescent="0.2">
      <c r="B43" s="76" t="s">
        <v>547</v>
      </c>
      <c r="C43" s="76">
        <f t="shared" si="7"/>
        <v>5.0000000000000004E-8</v>
      </c>
      <c r="D43" s="76">
        <v>1</v>
      </c>
      <c r="E43" s="76" t="s">
        <v>931</v>
      </c>
      <c r="F43" s="76" t="s">
        <v>168</v>
      </c>
      <c r="G43" s="76" t="s">
        <v>169</v>
      </c>
      <c r="H43" s="76" t="s">
        <v>170</v>
      </c>
      <c r="I43" s="76">
        <v>0</v>
      </c>
      <c r="J43" s="76">
        <f t="shared" si="6"/>
        <v>0</v>
      </c>
      <c r="K43" s="76" t="s">
        <v>535</v>
      </c>
      <c r="L43" s="76">
        <f t="shared" si="8"/>
        <v>5.0000000000000004E-8</v>
      </c>
      <c r="M43" s="76" t="s">
        <v>163</v>
      </c>
      <c r="N43" s="76"/>
      <c r="O43" s="76" t="s">
        <v>535</v>
      </c>
      <c r="P43" s="76" t="s">
        <v>536</v>
      </c>
    </row>
    <row r="44" spans="2:16" ht="12.75" customHeight="1" x14ac:dyDescent="0.2">
      <c r="B44" s="76" t="s">
        <v>547</v>
      </c>
      <c r="C44" s="76">
        <f t="shared" si="7"/>
        <v>5.0000000000000004E-8</v>
      </c>
      <c r="D44" s="76">
        <v>1</v>
      </c>
      <c r="E44" s="76" t="s">
        <v>930</v>
      </c>
      <c r="F44" s="76" t="s">
        <v>168</v>
      </c>
      <c r="G44" s="76" t="s">
        <v>169</v>
      </c>
      <c r="H44" s="76" t="s">
        <v>170</v>
      </c>
      <c r="I44" s="76">
        <v>0</v>
      </c>
      <c r="J44" s="76">
        <f t="shared" si="6"/>
        <v>0</v>
      </c>
      <c r="K44" s="76" t="s">
        <v>535</v>
      </c>
      <c r="L44" s="76">
        <f t="shared" si="8"/>
        <v>5.0000000000000004E-8</v>
      </c>
      <c r="M44" s="76" t="s">
        <v>163</v>
      </c>
      <c r="N44" s="76"/>
      <c r="O44" s="76" t="s">
        <v>535</v>
      </c>
      <c r="P44" s="76" t="s">
        <v>536</v>
      </c>
    </row>
    <row r="45" spans="2:16" ht="12.75" customHeight="1" x14ac:dyDescent="0.2">
      <c r="B45" s="76" t="s">
        <v>547</v>
      </c>
      <c r="C45" s="76">
        <f t="shared" si="7"/>
        <v>5.0000000000000004E-8</v>
      </c>
      <c r="D45" s="76">
        <v>1</v>
      </c>
      <c r="E45" s="76" t="s">
        <v>929</v>
      </c>
      <c r="F45" s="76" t="s">
        <v>168</v>
      </c>
      <c r="G45" s="76" t="s">
        <v>169</v>
      </c>
      <c r="H45" s="76" t="s">
        <v>170</v>
      </c>
      <c r="I45" s="76">
        <v>0</v>
      </c>
      <c r="J45" s="76">
        <f t="shared" si="6"/>
        <v>0</v>
      </c>
      <c r="K45" s="76" t="s">
        <v>535</v>
      </c>
      <c r="L45" s="76">
        <f t="shared" si="8"/>
        <v>5.0000000000000004E-8</v>
      </c>
      <c r="M45" s="76" t="s">
        <v>163</v>
      </c>
      <c r="N45" s="76"/>
      <c r="O45" s="76" t="s">
        <v>535</v>
      </c>
      <c r="P45" s="76" t="s">
        <v>536</v>
      </c>
    </row>
    <row r="46" spans="2:16" ht="12.75" customHeight="1" x14ac:dyDescent="0.2">
      <c r="B46" s="76" t="s">
        <v>547</v>
      </c>
      <c r="C46" s="76">
        <f t="shared" si="7"/>
        <v>5.0000000000000004E-8</v>
      </c>
      <c r="D46" s="76">
        <v>1</v>
      </c>
      <c r="E46" s="76" t="s">
        <v>928</v>
      </c>
      <c r="F46" s="76" t="s">
        <v>168</v>
      </c>
      <c r="G46" s="76" t="s">
        <v>169</v>
      </c>
      <c r="H46" s="76" t="s">
        <v>170</v>
      </c>
      <c r="I46" s="76">
        <v>0</v>
      </c>
      <c r="J46" s="76">
        <f t="shared" si="6"/>
        <v>0</v>
      </c>
      <c r="K46" s="76" t="s">
        <v>535</v>
      </c>
      <c r="L46" s="76">
        <f t="shared" si="8"/>
        <v>5.0000000000000004E-8</v>
      </c>
      <c r="M46" s="76" t="s">
        <v>163</v>
      </c>
      <c r="N46" s="76"/>
      <c r="O46" s="76" t="s">
        <v>535</v>
      </c>
      <c r="P46" s="76" t="s">
        <v>536</v>
      </c>
    </row>
    <row r="47" spans="2:16" ht="12.75" customHeight="1" x14ac:dyDescent="0.2">
      <c r="B47" s="76" t="s">
        <v>547</v>
      </c>
      <c r="C47" s="76">
        <f t="shared" si="7"/>
        <v>5.0000000000000004E-8</v>
      </c>
      <c r="D47" s="76">
        <v>1</v>
      </c>
      <c r="E47" s="76" t="s">
        <v>927</v>
      </c>
      <c r="F47" s="76" t="s">
        <v>168</v>
      </c>
      <c r="G47" s="76" t="s">
        <v>169</v>
      </c>
      <c r="H47" s="76" t="s">
        <v>170</v>
      </c>
      <c r="I47" s="76">
        <v>0</v>
      </c>
      <c r="J47" s="76">
        <f t="shared" si="6"/>
        <v>0</v>
      </c>
      <c r="K47" s="76" t="s">
        <v>535</v>
      </c>
      <c r="L47" s="76">
        <f t="shared" si="8"/>
        <v>5.0000000000000004E-8</v>
      </c>
      <c r="M47" s="76" t="s">
        <v>163</v>
      </c>
      <c r="N47" s="76"/>
      <c r="O47" s="76" t="s">
        <v>535</v>
      </c>
      <c r="P47" s="76" t="s">
        <v>536</v>
      </c>
    </row>
    <row r="48" spans="2:16" ht="12.75" customHeight="1" x14ac:dyDescent="0.2">
      <c r="B48" s="76" t="s">
        <v>547</v>
      </c>
      <c r="C48" s="76">
        <f t="shared" si="7"/>
        <v>5.0000000000000004E-8</v>
      </c>
      <c r="D48" s="76">
        <v>1</v>
      </c>
      <c r="E48" s="76" t="s">
        <v>926</v>
      </c>
      <c r="F48" s="76" t="s">
        <v>168</v>
      </c>
      <c r="G48" s="76" t="s">
        <v>169</v>
      </c>
      <c r="H48" s="76" t="s">
        <v>170</v>
      </c>
      <c r="I48" s="76">
        <v>0</v>
      </c>
      <c r="J48" s="76">
        <f t="shared" si="6"/>
        <v>0</v>
      </c>
      <c r="K48" s="76" t="s">
        <v>535</v>
      </c>
      <c r="L48" s="76">
        <f t="shared" si="8"/>
        <v>5.0000000000000004E-8</v>
      </c>
      <c r="M48" s="76" t="s">
        <v>163</v>
      </c>
      <c r="N48" s="76"/>
      <c r="O48" s="76" t="s">
        <v>535</v>
      </c>
      <c r="P48" s="76" t="s">
        <v>536</v>
      </c>
    </row>
    <row r="49" spans="2:16" ht="12.75" customHeight="1" x14ac:dyDescent="0.2">
      <c r="B49" s="76" t="s">
        <v>547</v>
      </c>
      <c r="C49" s="76">
        <f t="shared" si="7"/>
        <v>5.0000000000000004E-8</v>
      </c>
      <c r="D49" s="76">
        <v>1</v>
      </c>
      <c r="E49" s="76" t="s">
        <v>925</v>
      </c>
      <c r="F49" s="76" t="s">
        <v>168</v>
      </c>
      <c r="G49" s="76" t="s">
        <v>169</v>
      </c>
      <c r="H49" s="76" t="s">
        <v>170</v>
      </c>
      <c r="I49" s="76">
        <v>0</v>
      </c>
      <c r="J49" s="76">
        <f t="shared" si="6"/>
        <v>0</v>
      </c>
      <c r="K49" s="76" t="s">
        <v>535</v>
      </c>
      <c r="L49" s="76">
        <f t="shared" si="8"/>
        <v>5.0000000000000004E-8</v>
      </c>
      <c r="M49" s="76" t="s">
        <v>163</v>
      </c>
      <c r="N49" s="76"/>
      <c r="O49" s="76" t="s">
        <v>535</v>
      </c>
      <c r="P49" s="76" t="s">
        <v>536</v>
      </c>
    </row>
    <row r="50" spans="2:16" ht="12.75" customHeight="1" x14ac:dyDescent="0.2">
      <c r="B50" s="76" t="s">
        <v>547</v>
      </c>
      <c r="C50" s="76">
        <f t="shared" si="7"/>
        <v>5.0000000000000004E-8</v>
      </c>
      <c r="D50" s="76">
        <v>1</v>
      </c>
      <c r="E50" s="76" t="s">
        <v>943</v>
      </c>
      <c r="F50" s="76" t="s">
        <v>168</v>
      </c>
      <c r="G50" s="76" t="s">
        <v>169</v>
      </c>
      <c r="H50" s="76" t="s">
        <v>170</v>
      </c>
      <c r="I50" s="76">
        <v>0</v>
      </c>
      <c r="J50" s="76">
        <f t="shared" si="6"/>
        <v>0</v>
      </c>
      <c r="K50" s="76" t="s">
        <v>535</v>
      </c>
      <c r="L50" s="76">
        <f t="shared" si="8"/>
        <v>5.0000000000000004E-8</v>
      </c>
      <c r="M50" s="76" t="s">
        <v>163</v>
      </c>
      <c r="N50" s="76"/>
      <c r="O50" s="76" t="s">
        <v>535</v>
      </c>
      <c r="P50" s="76" t="s">
        <v>536</v>
      </c>
    </row>
    <row r="51" spans="2:16" ht="12.75" customHeight="1" x14ac:dyDescent="0.2">
      <c r="B51" s="76" t="s">
        <v>547</v>
      </c>
      <c r="C51" s="76">
        <f t="shared" si="7"/>
        <v>5.0000000000000004E-8</v>
      </c>
      <c r="D51" s="76">
        <v>1</v>
      </c>
      <c r="E51" s="76" t="s">
        <v>924</v>
      </c>
      <c r="F51" s="76" t="s">
        <v>168</v>
      </c>
      <c r="G51" s="76" t="s">
        <v>169</v>
      </c>
      <c r="H51" s="76" t="s">
        <v>170</v>
      </c>
      <c r="I51" s="76">
        <v>0</v>
      </c>
      <c r="J51" s="76">
        <f t="shared" si="6"/>
        <v>0</v>
      </c>
      <c r="K51" s="76" t="s">
        <v>535</v>
      </c>
      <c r="L51" s="76">
        <f t="shared" si="8"/>
        <v>5.0000000000000004E-8</v>
      </c>
      <c r="M51" s="76" t="s">
        <v>163</v>
      </c>
      <c r="N51" s="76"/>
      <c r="O51" s="76" t="s">
        <v>535</v>
      </c>
      <c r="P51" s="76" t="s">
        <v>536</v>
      </c>
    </row>
    <row r="52" spans="2:16" ht="12.75" customHeight="1" x14ac:dyDescent="0.2">
      <c r="B52" s="76" t="s">
        <v>547</v>
      </c>
      <c r="C52" s="76">
        <f t="shared" si="7"/>
        <v>5.0000000000000004E-8</v>
      </c>
      <c r="D52" s="76">
        <v>1</v>
      </c>
      <c r="E52" s="76" t="s">
        <v>923</v>
      </c>
      <c r="F52" s="76" t="s">
        <v>168</v>
      </c>
      <c r="G52" s="76" t="s">
        <v>169</v>
      </c>
      <c r="H52" s="76" t="s">
        <v>170</v>
      </c>
      <c r="I52" s="76">
        <v>0</v>
      </c>
      <c r="J52" s="76">
        <f t="shared" si="6"/>
        <v>0</v>
      </c>
      <c r="K52" s="76" t="s">
        <v>535</v>
      </c>
      <c r="L52" s="76">
        <f t="shared" si="8"/>
        <v>5.0000000000000004E-8</v>
      </c>
      <c r="M52" s="76" t="s">
        <v>163</v>
      </c>
      <c r="N52" s="76"/>
      <c r="O52" s="76" t="s">
        <v>535</v>
      </c>
      <c r="P52" s="76" t="s">
        <v>536</v>
      </c>
    </row>
    <row r="53" spans="2:16" ht="12.75" customHeight="1" x14ac:dyDescent="0.2">
      <c r="B53" s="76" t="s">
        <v>547</v>
      </c>
      <c r="C53" s="76">
        <f t="shared" si="7"/>
        <v>5.0000000000000004E-8</v>
      </c>
      <c r="D53" s="76">
        <v>1</v>
      </c>
      <c r="E53" s="76" t="s">
        <v>922</v>
      </c>
      <c r="F53" s="76" t="s">
        <v>168</v>
      </c>
      <c r="G53" s="76" t="s">
        <v>169</v>
      </c>
      <c r="H53" s="76" t="s">
        <v>170</v>
      </c>
      <c r="I53" s="76">
        <v>0</v>
      </c>
      <c r="J53" s="76">
        <f t="shared" si="6"/>
        <v>0</v>
      </c>
      <c r="K53" s="76" t="s">
        <v>535</v>
      </c>
      <c r="L53" s="76">
        <f t="shared" si="8"/>
        <v>5.0000000000000004E-8</v>
      </c>
      <c r="M53" s="76" t="s">
        <v>163</v>
      </c>
      <c r="N53" s="76"/>
      <c r="O53" s="76" t="s">
        <v>535</v>
      </c>
      <c r="P53" s="76" t="s">
        <v>536</v>
      </c>
    </row>
    <row r="54" spans="2:16" ht="12.75" customHeight="1" x14ac:dyDescent="0.2">
      <c r="B54" s="76" t="s">
        <v>547</v>
      </c>
      <c r="C54" s="76">
        <f t="shared" si="7"/>
        <v>5.0000000000000004E-8</v>
      </c>
      <c r="D54" s="76">
        <v>1</v>
      </c>
      <c r="E54" s="76" t="s">
        <v>921</v>
      </c>
      <c r="F54" s="76" t="s">
        <v>168</v>
      </c>
      <c r="G54" s="76" t="s">
        <v>169</v>
      </c>
      <c r="H54" s="76" t="s">
        <v>170</v>
      </c>
      <c r="I54" s="76">
        <v>0</v>
      </c>
      <c r="J54" s="76">
        <f t="shared" si="6"/>
        <v>0</v>
      </c>
      <c r="K54" s="76" t="s">
        <v>535</v>
      </c>
      <c r="L54" s="76">
        <f t="shared" si="8"/>
        <v>5.0000000000000004E-8</v>
      </c>
      <c r="M54" s="76" t="s">
        <v>163</v>
      </c>
      <c r="N54" s="76"/>
      <c r="O54" s="76" t="s">
        <v>535</v>
      </c>
      <c r="P54" s="76" t="s">
        <v>536</v>
      </c>
    </row>
    <row r="55" spans="2:16" ht="12.75" customHeight="1" x14ac:dyDescent="0.2">
      <c r="B55" s="76" t="s">
        <v>547</v>
      </c>
      <c r="C55" s="76">
        <f t="shared" si="7"/>
        <v>5.0000000000000004E-8</v>
      </c>
      <c r="D55" s="76">
        <v>1</v>
      </c>
      <c r="E55" s="76" t="s">
        <v>920</v>
      </c>
      <c r="F55" s="76" t="s">
        <v>168</v>
      </c>
      <c r="G55" s="76" t="s">
        <v>169</v>
      </c>
      <c r="H55" s="76" t="s">
        <v>170</v>
      </c>
      <c r="I55" s="76">
        <v>0</v>
      </c>
      <c r="J55" s="76">
        <f t="shared" si="6"/>
        <v>0</v>
      </c>
      <c r="K55" s="76" t="s">
        <v>535</v>
      </c>
      <c r="L55" s="76">
        <f t="shared" si="8"/>
        <v>5.0000000000000004E-8</v>
      </c>
      <c r="M55" s="76" t="s">
        <v>163</v>
      </c>
      <c r="N55" s="76"/>
      <c r="O55" s="76" t="s">
        <v>535</v>
      </c>
      <c r="P55" s="76" t="s">
        <v>536</v>
      </c>
    </row>
    <row r="56" spans="2:16" ht="12.75" customHeight="1" x14ac:dyDescent="0.2">
      <c r="B56" s="76" t="s">
        <v>547</v>
      </c>
      <c r="C56" s="76">
        <f t="shared" si="7"/>
        <v>5.0000000000000004E-8</v>
      </c>
      <c r="D56" s="76">
        <v>1</v>
      </c>
      <c r="E56" s="76" t="s">
        <v>919</v>
      </c>
      <c r="F56" s="76" t="s">
        <v>168</v>
      </c>
      <c r="G56" s="76" t="s">
        <v>169</v>
      </c>
      <c r="H56" s="76" t="s">
        <v>170</v>
      </c>
      <c r="I56" s="76">
        <v>0</v>
      </c>
      <c r="J56" s="76">
        <f t="shared" si="6"/>
        <v>0</v>
      </c>
      <c r="K56" s="76" t="s">
        <v>535</v>
      </c>
      <c r="L56" s="76">
        <f t="shared" si="8"/>
        <v>5.0000000000000004E-8</v>
      </c>
      <c r="M56" s="76" t="s">
        <v>163</v>
      </c>
      <c r="N56" s="76"/>
      <c r="O56" s="76" t="s">
        <v>535</v>
      </c>
      <c r="P56" s="76" t="s">
        <v>536</v>
      </c>
    </row>
    <row r="57" spans="2:16" ht="12.75" customHeight="1" x14ac:dyDescent="0.2">
      <c r="B57" s="76" t="s">
        <v>547</v>
      </c>
      <c r="C57" s="76">
        <f t="shared" si="7"/>
        <v>5.0000000000000004E-8</v>
      </c>
      <c r="D57" s="76">
        <v>1</v>
      </c>
      <c r="E57" s="76" t="s">
        <v>918</v>
      </c>
      <c r="F57" s="76" t="s">
        <v>168</v>
      </c>
      <c r="G57" s="76" t="s">
        <v>169</v>
      </c>
      <c r="H57" s="76" t="s">
        <v>170</v>
      </c>
      <c r="I57" s="76">
        <v>0</v>
      </c>
      <c r="J57" s="76">
        <f t="shared" si="6"/>
        <v>0</v>
      </c>
      <c r="K57" s="76" t="s">
        <v>535</v>
      </c>
      <c r="L57" s="76">
        <f t="shared" si="8"/>
        <v>5.0000000000000004E-8</v>
      </c>
      <c r="M57" s="76" t="s">
        <v>163</v>
      </c>
      <c r="N57" s="76"/>
      <c r="O57" s="76" t="s">
        <v>535</v>
      </c>
      <c r="P57" s="76" t="s">
        <v>536</v>
      </c>
    </row>
    <row r="58" spans="2:16" ht="12.75" customHeight="1" x14ac:dyDescent="0.2">
      <c r="B58" s="76" t="s">
        <v>547</v>
      </c>
      <c r="C58" s="76">
        <f t="shared" si="7"/>
        <v>5.0000000000000004E-8</v>
      </c>
      <c r="D58" s="76">
        <v>1</v>
      </c>
      <c r="E58" s="76" t="s">
        <v>917</v>
      </c>
      <c r="F58" s="76" t="s">
        <v>168</v>
      </c>
      <c r="G58" s="76" t="s">
        <v>169</v>
      </c>
      <c r="H58" s="76" t="s">
        <v>170</v>
      </c>
      <c r="I58" s="76">
        <v>0</v>
      </c>
      <c r="J58" s="76">
        <f t="shared" si="6"/>
        <v>0</v>
      </c>
      <c r="K58" s="76" t="s">
        <v>535</v>
      </c>
      <c r="L58" s="76">
        <f t="shared" si="8"/>
        <v>5.0000000000000004E-8</v>
      </c>
      <c r="M58" s="76" t="s">
        <v>163</v>
      </c>
      <c r="N58" s="76"/>
      <c r="O58" s="76" t="s">
        <v>535</v>
      </c>
      <c r="P58" s="76" t="s">
        <v>536</v>
      </c>
    </row>
    <row r="59" spans="2:16" ht="12.75" customHeight="1" x14ac:dyDescent="0.2">
      <c r="B59" s="76" t="s">
        <v>547</v>
      </c>
      <c r="C59" s="76">
        <f t="shared" si="7"/>
        <v>5.0000000000000004E-8</v>
      </c>
      <c r="D59" s="76">
        <v>1</v>
      </c>
      <c r="E59" s="76" t="s">
        <v>916</v>
      </c>
      <c r="F59" s="76" t="s">
        <v>168</v>
      </c>
      <c r="G59" s="76" t="s">
        <v>169</v>
      </c>
      <c r="H59" s="76" t="s">
        <v>170</v>
      </c>
      <c r="I59" s="76">
        <v>0</v>
      </c>
      <c r="J59" s="76">
        <f t="shared" si="6"/>
        <v>0</v>
      </c>
      <c r="K59" s="76" t="s">
        <v>535</v>
      </c>
      <c r="L59" s="76">
        <f t="shared" si="8"/>
        <v>5.0000000000000004E-8</v>
      </c>
      <c r="M59" s="76" t="s">
        <v>163</v>
      </c>
      <c r="N59" s="76"/>
      <c r="O59" s="76" t="s">
        <v>535</v>
      </c>
      <c r="P59" s="76" t="s">
        <v>536</v>
      </c>
    </row>
    <row r="60" spans="2:16" ht="12.75" customHeight="1" x14ac:dyDescent="0.2">
      <c r="B60" s="76" t="s">
        <v>547</v>
      </c>
      <c r="C60" s="76">
        <f t="shared" si="7"/>
        <v>5.0000000000000004E-8</v>
      </c>
      <c r="D60" s="76">
        <v>1</v>
      </c>
      <c r="E60" s="76" t="s">
        <v>915</v>
      </c>
      <c r="F60" s="76" t="s">
        <v>168</v>
      </c>
      <c r="G60" s="76" t="s">
        <v>169</v>
      </c>
      <c r="H60" s="76" t="s">
        <v>170</v>
      </c>
      <c r="I60" s="76">
        <v>0</v>
      </c>
      <c r="J60" s="76">
        <f t="shared" si="6"/>
        <v>0</v>
      </c>
      <c r="K60" s="76" t="s">
        <v>535</v>
      </c>
      <c r="L60" s="76">
        <f t="shared" si="8"/>
        <v>5.0000000000000004E-8</v>
      </c>
      <c r="M60" s="76" t="s">
        <v>163</v>
      </c>
      <c r="N60" s="76"/>
      <c r="O60" s="76" t="s">
        <v>535</v>
      </c>
      <c r="P60" s="76" t="s">
        <v>536</v>
      </c>
    </row>
    <row r="61" spans="2:16" ht="12.75" customHeight="1" x14ac:dyDescent="0.2">
      <c r="B61" s="76" t="s">
        <v>547</v>
      </c>
      <c r="C61" s="76">
        <f t="shared" si="7"/>
        <v>5.0000000000000004E-8</v>
      </c>
      <c r="D61" s="76">
        <v>1</v>
      </c>
      <c r="E61" s="76" t="s">
        <v>942</v>
      </c>
      <c r="F61" s="76" t="s">
        <v>168</v>
      </c>
      <c r="G61" s="76" t="s">
        <v>169</v>
      </c>
      <c r="H61" s="76" t="s">
        <v>170</v>
      </c>
      <c r="I61" s="76">
        <v>0</v>
      </c>
      <c r="J61" s="76">
        <f t="shared" si="6"/>
        <v>0</v>
      </c>
      <c r="K61" s="76" t="s">
        <v>535</v>
      </c>
      <c r="L61" s="76">
        <f t="shared" si="8"/>
        <v>5.0000000000000004E-8</v>
      </c>
      <c r="M61" s="76" t="s">
        <v>163</v>
      </c>
      <c r="N61" s="76"/>
      <c r="O61" s="76" t="s">
        <v>535</v>
      </c>
      <c r="P61" s="76" t="s">
        <v>536</v>
      </c>
    </row>
    <row r="62" spans="2:16" ht="12.75" customHeight="1" x14ac:dyDescent="0.2">
      <c r="B62" s="76" t="s">
        <v>547</v>
      </c>
      <c r="C62" s="76">
        <f t="shared" si="7"/>
        <v>5.0000000000000004E-8</v>
      </c>
      <c r="D62" s="76">
        <v>1</v>
      </c>
      <c r="E62" s="76" t="s">
        <v>914</v>
      </c>
      <c r="F62" s="76" t="s">
        <v>168</v>
      </c>
      <c r="G62" s="76" t="s">
        <v>169</v>
      </c>
      <c r="H62" s="76" t="s">
        <v>170</v>
      </c>
      <c r="I62" s="76">
        <v>0</v>
      </c>
      <c r="J62" s="76">
        <f t="shared" si="6"/>
        <v>0</v>
      </c>
      <c r="K62" s="76" t="s">
        <v>535</v>
      </c>
      <c r="L62" s="76">
        <f t="shared" si="8"/>
        <v>5.0000000000000004E-8</v>
      </c>
      <c r="M62" s="76" t="s">
        <v>163</v>
      </c>
      <c r="N62" s="76"/>
      <c r="O62" s="76" t="s">
        <v>535</v>
      </c>
      <c r="P62" s="76" t="s">
        <v>536</v>
      </c>
    </row>
    <row r="63" spans="2:16" ht="12.75" customHeight="1" x14ac:dyDescent="0.2">
      <c r="B63" s="76" t="s">
        <v>547</v>
      </c>
      <c r="C63" s="76">
        <f t="shared" si="7"/>
        <v>5.0000000000000004E-8</v>
      </c>
      <c r="D63" s="76">
        <v>1</v>
      </c>
      <c r="E63" s="76" t="s">
        <v>913</v>
      </c>
      <c r="F63" s="76" t="s">
        <v>168</v>
      </c>
      <c r="G63" s="76" t="s">
        <v>169</v>
      </c>
      <c r="H63" s="76" t="s">
        <v>170</v>
      </c>
      <c r="I63" s="76">
        <v>0</v>
      </c>
      <c r="J63" s="76">
        <f t="shared" si="6"/>
        <v>0</v>
      </c>
      <c r="K63" s="76" t="s">
        <v>535</v>
      </c>
      <c r="L63" s="76">
        <f t="shared" si="8"/>
        <v>5.0000000000000004E-8</v>
      </c>
      <c r="M63" s="76" t="s">
        <v>163</v>
      </c>
      <c r="N63" s="76"/>
      <c r="O63" s="76" t="s">
        <v>535</v>
      </c>
      <c r="P63" s="76" t="s">
        <v>536</v>
      </c>
    </row>
    <row r="64" spans="2:16" ht="12.75" customHeight="1" x14ac:dyDescent="0.2">
      <c r="B64" s="76" t="s">
        <v>547</v>
      </c>
      <c r="C64" s="76">
        <f t="shared" si="7"/>
        <v>5.0000000000000004E-8</v>
      </c>
      <c r="D64" s="76">
        <v>1</v>
      </c>
      <c r="E64" s="76" t="s">
        <v>941</v>
      </c>
      <c r="F64" s="76" t="s">
        <v>168</v>
      </c>
      <c r="G64" s="76" t="s">
        <v>169</v>
      </c>
      <c r="H64" s="76" t="s">
        <v>170</v>
      </c>
      <c r="I64" s="76">
        <v>0</v>
      </c>
      <c r="J64" s="76">
        <f t="shared" si="6"/>
        <v>0</v>
      </c>
      <c r="K64" s="76" t="s">
        <v>535</v>
      </c>
      <c r="L64" s="76">
        <f t="shared" si="8"/>
        <v>5.0000000000000004E-8</v>
      </c>
      <c r="M64" s="76" t="s">
        <v>163</v>
      </c>
      <c r="N64" s="76"/>
      <c r="O64" s="76" t="s">
        <v>535</v>
      </c>
      <c r="P64" s="76" t="s">
        <v>536</v>
      </c>
    </row>
    <row r="65" spans="2:16" ht="12.75" customHeight="1" x14ac:dyDescent="0.2">
      <c r="B65" s="76" t="s">
        <v>547</v>
      </c>
      <c r="C65" s="76">
        <f t="shared" si="7"/>
        <v>5.0000000000000004E-8</v>
      </c>
      <c r="D65" s="76">
        <v>1</v>
      </c>
      <c r="E65" s="76" t="s">
        <v>940</v>
      </c>
      <c r="F65" s="76" t="s">
        <v>168</v>
      </c>
      <c r="G65" s="76" t="s">
        <v>169</v>
      </c>
      <c r="H65" s="76" t="s">
        <v>170</v>
      </c>
      <c r="I65" s="76">
        <v>0</v>
      </c>
      <c r="J65" s="76">
        <f t="shared" si="6"/>
        <v>0</v>
      </c>
      <c r="K65" s="76" t="s">
        <v>535</v>
      </c>
      <c r="L65" s="76">
        <f t="shared" si="8"/>
        <v>5.0000000000000004E-8</v>
      </c>
      <c r="M65" s="76" t="s">
        <v>163</v>
      </c>
      <c r="N65" s="76"/>
      <c r="O65" s="76" t="s">
        <v>535</v>
      </c>
      <c r="P65" s="76" t="s">
        <v>536</v>
      </c>
    </row>
    <row r="66" spans="2:16" ht="12.75" customHeight="1" x14ac:dyDescent="0.2">
      <c r="B66" s="76" t="s">
        <v>547</v>
      </c>
      <c r="C66" s="76">
        <f t="shared" si="7"/>
        <v>5.0000000000000004E-8</v>
      </c>
      <c r="D66" s="76">
        <v>1</v>
      </c>
      <c r="E66" s="76" t="s">
        <v>939</v>
      </c>
      <c r="F66" s="76" t="s">
        <v>168</v>
      </c>
      <c r="G66" s="76" t="s">
        <v>169</v>
      </c>
      <c r="H66" s="76" t="s">
        <v>170</v>
      </c>
      <c r="I66" s="76">
        <v>0</v>
      </c>
      <c r="J66" s="76">
        <f t="shared" si="6"/>
        <v>0</v>
      </c>
      <c r="K66" s="76" t="s">
        <v>535</v>
      </c>
      <c r="L66" s="76">
        <f t="shared" si="8"/>
        <v>5.0000000000000004E-8</v>
      </c>
      <c r="M66" s="76" t="s">
        <v>163</v>
      </c>
      <c r="N66" s="76"/>
      <c r="O66" s="76" t="s">
        <v>535</v>
      </c>
      <c r="P66" s="76" t="s">
        <v>536</v>
      </c>
    </row>
    <row r="67" spans="2:16" ht="12.75" customHeight="1" x14ac:dyDescent="0.2">
      <c r="B67" s="76" t="s">
        <v>547</v>
      </c>
      <c r="C67" s="76">
        <f t="shared" si="7"/>
        <v>5.0000000000000004E-8</v>
      </c>
      <c r="D67" s="76">
        <v>1</v>
      </c>
      <c r="E67" s="76" t="s">
        <v>938</v>
      </c>
      <c r="F67" s="76" t="s">
        <v>168</v>
      </c>
      <c r="G67" s="76" t="s">
        <v>169</v>
      </c>
      <c r="H67" s="76" t="s">
        <v>170</v>
      </c>
      <c r="I67" s="76">
        <v>0</v>
      </c>
      <c r="J67" s="76">
        <f t="shared" si="6"/>
        <v>0</v>
      </c>
      <c r="K67" s="76" t="s">
        <v>535</v>
      </c>
      <c r="L67" s="76">
        <f t="shared" si="8"/>
        <v>5.0000000000000004E-8</v>
      </c>
      <c r="M67" s="76" t="s">
        <v>163</v>
      </c>
      <c r="N67" s="76"/>
      <c r="O67" s="76" t="s">
        <v>535</v>
      </c>
      <c r="P67" s="76" t="s">
        <v>536</v>
      </c>
    </row>
    <row r="68" spans="2:16" ht="12.75" customHeight="1" x14ac:dyDescent="0.2">
      <c r="B68" s="76" t="s">
        <v>547</v>
      </c>
      <c r="C68" s="76">
        <f t="shared" si="7"/>
        <v>5.0000000000000004E-8</v>
      </c>
      <c r="D68" s="76">
        <v>1</v>
      </c>
      <c r="E68" s="76" t="s">
        <v>937</v>
      </c>
      <c r="F68" s="76" t="s">
        <v>168</v>
      </c>
      <c r="G68" s="76" t="s">
        <v>169</v>
      </c>
      <c r="H68" s="76" t="s">
        <v>170</v>
      </c>
      <c r="I68" s="76">
        <v>0</v>
      </c>
      <c r="J68" s="76">
        <f t="shared" si="6"/>
        <v>0</v>
      </c>
      <c r="K68" s="76" t="s">
        <v>535</v>
      </c>
      <c r="L68" s="76">
        <f t="shared" si="8"/>
        <v>5.0000000000000004E-8</v>
      </c>
      <c r="M68" s="76" t="s">
        <v>163</v>
      </c>
      <c r="N68" s="76"/>
      <c r="O68" s="76" t="s">
        <v>535</v>
      </c>
      <c r="P68" s="76" t="s">
        <v>536</v>
      </c>
    </row>
    <row r="69" spans="2:16" ht="12.75" customHeight="1" x14ac:dyDescent="0.2">
      <c r="B69" s="76" t="s">
        <v>547</v>
      </c>
      <c r="C69" s="76">
        <f t="shared" si="7"/>
        <v>5.0000000000000004E-8</v>
      </c>
      <c r="D69" s="76">
        <v>1</v>
      </c>
      <c r="E69" s="76" t="s">
        <v>936</v>
      </c>
      <c r="F69" s="76" t="s">
        <v>168</v>
      </c>
      <c r="G69" s="76" t="s">
        <v>169</v>
      </c>
      <c r="H69" s="76" t="s">
        <v>170</v>
      </c>
      <c r="I69" s="76">
        <v>0</v>
      </c>
      <c r="J69" s="76">
        <f t="shared" si="6"/>
        <v>0</v>
      </c>
      <c r="K69" s="76" t="s">
        <v>535</v>
      </c>
      <c r="L69" s="76">
        <f t="shared" si="8"/>
        <v>5.0000000000000004E-8</v>
      </c>
      <c r="M69" s="76" t="s">
        <v>163</v>
      </c>
      <c r="N69" s="76"/>
      <c r="O69" s="76" t="s">
        <v>535</v>
      </c>
      <c r="P69" s="76" t="s">
        <v>536</v>
      </c>
    </row>
    <row r="70" spans="2:16" ht="12.75" customHeight="1" x14ac:dyDescent="0.2">
      <c r="B70" s="76" t="s">
        <v>547</v>
      </c>
      <c r="C70" s="76">
        <f t="shared" si="7"/>
        <v>5.0000000000000004E-8</v>
      </c>
      <c r="D70" s="76">
        <v>1</v>
      </c>
      <c r="E70" s="76" t="s">
        <v>935</v>
      </c>
      <c r="F70" s="76" t="s">
        <v>168</v>
      </c>
      <c r="G70" s="76" t="s">
        <v>169</v>
      </c>
      <c r="H70" s="76" t="s">
        <v>170</v>
      </c>
      <c r="I70" s="76">
        <v>0</v>
      </c>
      <c r="J70" s="76">
        <f t="shared" si="6"/>
        <v>0</v>
      </c>
      <c r="K70" s="76" t="s">
        <v>535</v>
      </c>
      <c r="L70" s="76">
        <f t="shared" si="8"/>
        <v>5.0000000000000004E-8</v>
      </c>
      <c r="M70" s="76" t="s">
        <v>163</v>
      </c>
      <c r="N70" s="76"/>
      <c r="O70" s="76" t="s">
        <v>535</v>
      </c>
      <c r="P70" s="76" t="s">
        <v>536</v>
      </c>
    </row>
    <row r="71" spans="2:16" ht="12.75" customHeight="1" x14ac:dyDescent="0.2">
      <c r="B71" s="76" t="s">
        <v>547</v>
      </c>
      <c r="C71" s="76">
        <f t="shared" ref="C71:C102" si="9">50*ns</f>
        <v>5.0000000000000004E-8</v>
      </c>
      <c r="D71" s="76">
        <v>1</v>
      </c>
      <c r="E71" s="76" t="s">
        <v>945</v>
      </c>
      <c r="F71" s="76" t="s">
        <v>168</v>
      </c>
      <c r="G71" s="76" t="s">
        <v>169</v>
      </c>
      <c r="H71" s="76" t="s">
        <v>170</v>
      </c>
      <c r="I71" s="76">
        <v>0</v>
      </c>
      <c r="J71" s="76">
        <f t="shared" si="6"/>
        <v>0</v>
      </c>
      <c r="K71" s="76" t="s">
        <v>535</v>
      </c>
      <c r="L71" s="76">
        <f t="shared" ref="L71:L105" si="10">C71</f>
        <v>5.0000000000000004E-8</v>
      </c>
      <c r="M71" s="76" t="s">
        <v>163</v>
      </c>
      <c r="N71" s="76"/>
      <c r="O71" s="76" t="s">
        <v>535</v>
      </c>
      <c r="P71" s="76" t="s">
        <v>536</v>
      </c>
    </row>
    <row r="72" spans="2:16" ht="12.75" customHeight="1" x14ac:dyDescent="0.2">
      <c r="B72" s="76" t="s">
        <v>547</v>
      </c>
      <c r="C72" s="76">
        <f t="shared" si="9"/>
        <v>5.0000000000000004E-8</v>
      </c>
      <c r="D72" s="76">
        <v>1</v>
      </c>
      <c r="E72" s="76" t="s">
        <v>946</v>
      </c>
      <c r="F72" s="76" t="s">
        <v>168</v>
      </c>
      <c r="G72" s="76" t="s">
        <v>169</v>
      </c>
      <c r="H72" s="76" t="s">
        <v>170</v>
      </c>
      <c r="I72" s="76">
        <v>0</v>
      </c>
      <c r="J72" s="76">
        <f t="shared" si="6"/>
        <v>0</v>
      </c>
      <c r="K72" s="76" t="s">
        <v>535</v>
      </c>
      <c r="L72" s="76">
        <f t="shared" si="10"/>
        <v>5.0000000000000004E-8</v>
      </c>
      <c r="M72" s="76" t="s">
        <v>163</v>
      </c>
      <c r="N72" s="76"/>
      <c r="O72" s="76" t="s">
        <v>535</v>
      </c>
      <c r="P72" s="76" t="s">
        <v>536</v>
      </c>
    </row>
    <row r="73" spans="2:16" ht="12.75" customHeight="1" x14ac:dyDescent="0.2">
      <c r="B73" s="76" t="s">
        <v>547</v>
      </c>
      <c r="C73" s="76">
        <f t="shared" si="9"/>
        <v>5.0000000000000004E-8</v>
      </c>
      <c r="D73" s="76">
        <v>1</v>
      </c>
      <c r="E73" s="76" t="s">
        <v>103</v>
      </c>
      <c r="F73" s="76" t="s">
        <v>168</v>
      </c>
      <c r="G73" s="76" t="s">
        <v>169</v>
      </c>
      <c r="H73" s="76" t="s">
        <v>170</v>
      </c>
      <c r="I73" s="76">
        <f t="shared" ref="I73:I74" si="11">0*C73</f>
        <v>0</v>
      </c>
      <c r="J73" s="76">
        <f t="shared" si="6"/>
        <v>0</v>
      </c>
      <c r="K73" s="76" t="s">
        <v>535</v>
      </c>
      <c r="L73" s="76">
        <f t="shared" ref="L73:L74" si="12">1*C73</f>
        <v>5.0000000000000004E-8</v>
      </c>
      <c r="M73" s="76" t="s">
        <v>163</v>
      </c>
      <c r="N73" s="76"/>
      <c r="O73" s="76" t="s">
        <v>535</v>
      </c>
      <c r="P73" s="76" t="s">
        <v>536</v>
      </c>
    </row>
    <row r="74" spans="2:16" ht="12.75" customHeight="1" x14ac:dyDescent="0.2">
      <c r="B74" s="76" t="s">
        <v>547</v>
      </c>
      <c r="C74" s="76">
        <f t="shared" si="9"/>
        <v>5.0000000000000004E-8</v>
      </c>
      <c r="D74" s="76">
        <v>1</v>
      </c>
      <c r="E74" s="76" t="s">
        <v>111</v>
      </c>
      <c r="F74" s="76" t="s">
        <v>168</v>
      </c>
      <c r="G74" s="76" t="s">
        <v>169</v>
      </c>
      <c r="H74" s="76" t="s">
        <v>170</v>
      </c>
      <c r="I74" s="76">
        <f t="shared" si="11"/>
        <v>0</v>
      </c>
      <c r="J74" s="76">
        <f t="shared" si="6"/>
        <v>0</v>
      </c>
      <c r="K74" s="76" t="s">
        <v>535</v>
      </c>
      <c r="L74" s="76">
        <f t="shared" si="12"/>
        <v>5.0000000000000004E-8</v>
      </c>
      <c r="M74" s="76" t="s">
        <v>172</v>
      </c>
      <c r="N74" s="76">
        <f>0.95*C74</f>
        <v>4.7500000000000002E-8</v>
      </c>
      <c r="O74" s="76" t="s">
        <v>535</v>
      </c>
      <c r="P74" s="76" t="s">
        <v>536</v>
      </c>
    </row>
    <row r="75" spans="2:16" ht="12.75" customHeight="1" x14ac:dyDescent="0.2">
      <c r="B75" s="76" t="s">
        <v>547</v>
      </c>
      <c r="C75" s="76">
        <f t="shared" si="9"/>
        <v>5.0000000000000004E-8</v>
      </c>
      <c r="D75" s="76">
        <v>1</v>
      </c>
      <c r="E75" s="76" t="s">
        <v>120</v>
      </c>
      <c r="F75" s="76" t="s">
        <v>168</v>
      </c>
      <c r="G75" s="76" t="s">
        <v>169</v>
      </c>
      <c r="H75" s="76" t="s">
        <v>170</v>
      </c>
      <c r="I75" s="76">
        <v>0</v>
      </c>
      <c r="J75" s="76">
        <f t="shared" si="6"/>
        <v>0</v>
      </c>
      <c r="K75" s="76" t="s">
        <v>535</v>
      </c>
      <c r="L75" s="76">
        <f t="shared" si="10"/>
        <v>5.0000000000000004E-8</v>
      </c>
      <c r="M75" s="76" t="s">
        <v>172</v>
      </c>
      <c r="N75" s="76">
        <f>0.1*C75</f>
        <v>5.0000000000000009E-9</v>
      </c>
      <c r="O75" s="76">
        <f>0.5*C75</f>
        <v>2.5000000000000002E-8</v>
      </c>
      <c r="P75" s="76" t="s">
        <v>536</v>
      </c>
    </row>
    <row r="76" spans="2:16" ht="12.75" customHeight="1" x14ac:dyDescent="0.2">
      <c r="B76" s="76" t="s">
        <v>547</v>
      </c>
      <c r="C76" s="76">
        <f t="shared" si="9"/>
        <v>5.0000000000000004E-8</v>
      </c>
      <c r="D76" s="76">
        <v>1</v>
      </c>
      <c r="E76" s="76" t="s">
        <v>121</v>
      </c>
      <c r="F76" s="76" t="s">
        <v>168</v>
      </c>
      <c r="G76" s="76" t="s">
        <v>169</v>
      </c>
      <c r="H76" s="76" t="s">
        <v>170</v>
      </c>
      <c r="I76" s="76">
        <v>0</v>
      </c>
      <c r="J76" s="76">
        <f t="shared" si="6"/>
        <v>0</v>
      </c>
      <c r="K76" s="76" t="s">
        <v>535</v>
      </c>
      <c r="L76" s="76">
        <f t="shared" si="10"/>
        <v>5.0000000000000004E-8</v>
      </c>
      <c r="M76" s="76" t="s">
        <v>172</v>
      </c>
      <c r="N76" s="76">
        <f>0.1*C76</f>
        <v>5.0000000000000009E-9</v>
      </c>
      <c r="O76" s="76">
        <f>0.5*C76</f>
        <v>2.5000000000000002E-8</v>
      </c>
      <c r="P76" s="76" t="s">
        <v>536</v>
      </c>
    </row>
    <row r="77" spans="2:16" ht="12.75" customHeight="1" x14ac:dyDescent="0.2">
      <c r="B77" s="76" t="s">
        <v>547</v>
      </c>
      <c r="C77" s="76">
        <f t="shared" si="9"/>
        <v>5.0000000000000004E-8</v>
      </c>
      <c r="D77" s="76">
        <v>1</v>
      </c>
      <c r="E77" s="76" t="s">
        <v>97</v>
      </c>
      <c r="F77" s="76" t="s">
        <v>168</v>
      </c>
      <c r="G77" s="76" t="s">
        <v>169</v>
      </c>
      <c r="H77" s="76" t="s">
        <v>170</v>
      </c>
      <c r="I77" s="76">
        <v>0</v>
      </c>
      <c r="J77" s="76">
        <f t="shared" si="6"/>
        <v>0</v>
      </c>
      <c r="K77" s="76" t="s">
        <v>535</v>
      </c>
      <c r="L77" s="76">
        <f t="shared" si="10"/>
        <v>5.0000000000000004E-8</v>
      </c>
      <c r="M77" s="76" t="s">
        <v>163</v>
      </c>
      <c r="N77" s="76"/>
      <c r="O77" s="76" t="s">
        <v>535</v>
      </c>
      <c r="P77" s="76" t="s">
        <v>536</v>
      </c>
    </row>
    <row r="78" spans="2:16" ht="12.75" customHeight="1" x14ac:dyDescent="0.2">
      <c r="B78" s="76" t="s">
        <v>547</v>
      </c>
      <c r="C78" s="76">
        <f t="shared" si="9"/>
        <v>5.0000000000000004E-8</v>
      </c>
      <c r="D78" s="76">
        <v>1</v>
      </c>
      <c r="E78" s="76" t="s">
        <v>909</v>
      </c>
      <c r="F78" s="76" t="s">
        <v>168</v>
      </c>
      <c r="G78" s="76" t="s">
        <v>169</v>
      </c>
      <c r="H78" s="76" t="s">
        <v>516</v>
      </c>
      <c r="I78" s="76">
        <v>0</v>
      </c>
      <c r="J78" s="76">
        <f>0.25*C78</f>
        <v>1.2500000000000001E-8</v>
      </c>
      <c r="K78" s="76">
        <f>0.75*C78</f>
        <v>3.7500000000000005E-8</v>
      </c>
      <c r="L78" s="76">
        <f t="shared" si="10"/>
        <v>5.0000000000000004E-8</v>
      </c>
      <c r="M78" s="76" t="s">
        <v>163</v>
      </c>
      <c r="N78" s="76"/>
      <c r="O78" s="76" t="s">
        <v>535</v>
      </c>
      <c r="P78" s="76" t="s">
        <v>537</v>
      </c>
    </row>
    <row r="79" spans="2:16" ht="12.75" customHeight="1" x14ac:dyDescent="0.2">
      <c r="B79" s="76" t="s">
        <v>547</v>
      </c>
      <c r="C79" s="76">
        <f t="shared" si="9"/>
        <v>5.0000000000000004E-8</v>
      </c>
      <c r="D79" s="76">
        <v>1</v>
      </c>
      <c r="E79" s="76" t="s">
        <v>910</v>
      </c>
      <c r="F79" s="76" t="s">
        <v>168</v>
      </c>
      <c r="G79" s="76" t="s">
        <v>169</v>
      </c>
      <c r="H79" s="76" t="s">
        <v>170</v>
      </c>
      <c r="I79" s="76">
        <v>0</v>
      </c>
      <c r="J79" s="76">
        <f>0*C79</f>
        <v>0</v>
      </c>
      <c r="K79" s="76" t="s">
        <v>535</v>
      </c>
      <c r="L79" s="76">
        <f t="shared" si="10"/>
        <v>5.0000000000000004E-8</v>
      </c>
      <c r="M79" s="76" t="s">
        <v>163</v>
      </c>
      <c r="N79" s="76"/>
      <c r="O79" s="76" t="s">
        <v>535</v>
      </c>
      <c r="P79" s="76" t="s">
        <v>536</v>
      </c>
    </row>
    <row r="80" spans="2:16" ht="12.75" customHeight="1" x14ac:dyDescent="0.2">
      <c r="B80" s="76" t="s">
        <v>547</v>
      </c>
      <c r="C80" s="76">
        <f t="shared" si="9"/>
        <v>5.0000000000000004E-8</v>
      </c>
      <c r="D80" s="76">
        <v>1</v>
      </c>
      <c r="E80" s="76" t="s">
        <v>893</v>
      </c>
      <c r="F80" s="76" t="s">
        <v>168</v>
      </c>
      <c r="G80" s="76" t="s">
        <v>169</v>
      </c>
      <c r="H80" s="76" t="s">
        <v>516</v>
      </c>
      <c r="I80" s="76">
        <v>0</v>
      </c>
      <c r="J80" s="76">
        <f>0.25*C80</f>
        <v>1.2500000000000001E-8</v>
      </c>
      <c r="K80" s="76">
        <f>0.75*C80</f>
        <v>3.7500000000000005E-8</v>
      </c>
      <c r="L80" s="76">
        <f t="shared" si="10"/>
        <v>5.0000000000000004E-8</v>
      </c>
      <c r="M80" s="76" t="s">
        <v>163</v>
      </c>
      <c r="N80" s="76"/>
      <c r="O80" s="76" t="s">
        <v>535</v>
      </c>
      <c r="P80" s="76" t="s">
        <v>537</v>
      </c>
    </row>
    <row r="81" spans="2:16" ht="12.75" customHeight="1" x14ac:dyDescent="0.2">
      <c r="B81" s="76" t="s">
        <v>547</v>
      </c>
      <c r="C81" s="76">
        <f t="shared" si="9"/>
        <v>5.0000000000000004E-8</v>
      </c>
      <c r="D81" s="76">
        <v>1</v>
      </c>
      <c r="E81" s="76" t="s">
        <v>894</v>
      </c>
      <c r="F81" s="76" t="s">
        <v>168</v>
      </c>
      <c r="G81" s="76" t="s">
        <v>169</v>
      </c>
      <c r="H81" s="76" t="s">
        <v>170</v>
      </c>
      <c r="I81" s="76">
        <v>0</v>
      </c>
      <c r="J81" s="76">
        <f>0*C81</f>
        <v>0</v>
      </c>
      <c r="K81" s="76" t="s">
        <v>535</v>
      </c>
      <c r="L81" s="76">
        <f t="shared" si="10"/>
        <v>5.0000000000000004E-8</v>
      </c>
      <c r="M81" s="76" t="s">
        <v>163</v>
      </c>
      <c r="N81" s="76"/>
      <c r="O81" s="76" t="s">
        <v>535</v>
      </c>
      <c r="P81" s="76" t="s">
        <v>536</v>
      </c>
    </row>
    <row r="82" spans="2:16" ht="12.75" customHeight="1" x14ac:dyDescent="0.2">
      <c r="B82" s="76" t="s">
        <v>547</v>
      </c>
      <c r="C82" s="76">
        <f t="shared" si="9"/>
        <v>5.0000000000000004E-8</v>
      </c>
      <c r="D82" s="76">
        <v>1</v>
      </c>
      <c r="E82" s="76" t="s">
        <v>895</v>
      </c>
      <c r="F82" s="76" t="s">
        <v>168</v>
      </c>
      <c r="G82" s="76" t="s">
        <v>169</v>
      </c>
      <c r="H82" s="76" t="s">
        <v>170</v>
      </c>
      <c r="I82" s="76">
        <v>0</v>
      </c>
      <c r="J82" s="76">
        <f>0*C82</f>
        <v>0</v>
      </c>
      <c r="K82" s="76" t="s">
        <v>535</v>
      </c>
      <c r="L82" s="76">
        <f t="shared" si="10"/>
        <v>5.0000000000000004E-8</v>
      </c>
      <c r="M82" s="76" t="s">
        <v>172</v>
      </c>
      <c r="N82" s="76">
        <f>0.1*C82</f>
        <v>5.0000000000000009E-9</v>
      </c>
      <c r="O82" s="76">
        <f>0.5*C82</f>
        <v>2.5000000000000002E-8</v>
      </c>
      <c r="P82" s="76" t="s">
        <v>536</v>
      </c>
    </row>
    <row r="83" spans="2:16" ht="12.75" customHeight="1" x14ac:dyDescent="0.2">
      <c r="B83" s="76" t="s">
        <v>547</v>
      </c>
      <c r="C83" s="76">
        <f t="shared" si="9"/>
        <v>5.0000000000000004E-8</v>
      </c>
      <c r="D83" s="76">
        <v>1</v>
      </c>
      <c r="E83" s="76" t="s">
        <v>896</v>
      </c>
      <c r="F83" s="76" t="s">
        <v>168</v>
      </c>
      <c r="G83" s="76" t="s">
        <v>169</v>
      </c>
      <c r="H83" s="76" t="s">
        <v>170</v>
      </c>
      <c r="I83" s="76">
        <v>0</v>
      </c>
      <c r="J83" s="76">
        <f>0*C83</f>
        <v>0</v>
      </c>
      <c r="K83" s="76" t="s">
        <v>535</v>
      </c>
      <c r="L83" s="76">
        <f t="shared" si="10"/>
        <v>5.0000000000000004E-8</v>
      </c>
      <c r="M83" s="76" t="s">
        <v>163</v>
      </c>
      <c r="N83" s="76"/>
      <c r="O83" s="76" t="s">
        <v>535</v>
      </c>
      <c r="P83" s="76" t="s">
        <v>536</v>
      </c>
    </row>
    <row r="84" spans="2:16" ht="12.75" customHeight="1" x14ac:dyDescent="0.2">
      <c r="B84" s="76" t="s">
        <v>547</v>
      </c>
      <c r="C84" s="76">
        <f t="shared" si="9"/>
        <v>5.0000000000000004E-8</v>
      </c>
      <c r="D84" s="76">
        <v>1</v>
      </c>
      <c r="E84" s="76" t="s">
        <v>897</v>
      </c>
      <c r="F84" s="76" t="s">
        <v>168</v>
      </c>
      <c r="G84" s="76" t="s">
        <v>169</v>
      </c>
      <c r="H84" s="76" t="s">
        <v>170</v>
      </c>
      <c r="I84" s="76">
        <v>0</v>
      </c>
      <c r="J84" s="76">
        <f>0*C84</f>
        <v>0</v>
      </c>
      <c r="K84" s="76" t="s">
        <v>535</v>
      </c>
      <c r="L84" s="76">
        <f t="shared" si="10"/>
        <v>5.0000000000000004E-8</v>
      </c>
      <c r="M84" s="76" t="s">
        <v>163</v>
      </c>
      <c r="N84" s="76"/>
      <c r="O84" s="76" t="s">
        <v>535</v>
      </c>
      <c r="P84" s="76" t="s">
        <v>536</v>
      </c>
    </row>
    <row r="85" spans="2:16" ht="12.75" customHeight="1" x14ac:dyDescent="0.2">
      <c r="B85" s="76" t="s">
        <v>547</v>
      </c>
      <c r="C85" s="76">
        <f t="shared" si="9"/>
        <v>5.0000000000000004E-8</v>
      </c>
      <c r="D85" s="76">
        <v>1</v>
      </c>
      <c r="E85" s="76" t="s">
        <v>95</v>
      </c>
      <c r="F85" s="76" t="s">
        <v>168</v>
      </c>
      <c r="G85" s="76" t="s">
        <v>169</v>
      </c>
      <c r="H85" s="76" t="s">
        <v>515</v>
      </c>
      <c r="I85" s="76">
        <v>0</v>
      </c>
      <c r="J85" s="76">
        <f>0.25*C85</f>
        <v>1.2500000000000001E-8</v>
      </c>
      <c r="K85" s="76">
        <f>0.75*C85</f>
        <v>3.7500000000000005E-8</v>
      </c>
      <c r="L85" s="76">
        <f t="shared" si="10"/>
        <v>5.0000000000000004E-8</v>
      </c>
      <c r="M85" s="76" t="s">
        <v>163</v>
      </c>
      <c r="N85" s="76"/>
      <c r="O85" s="76"/>
      <c r="P85" s="76" t="s">
        <v>536</v>
      </c>
    </row>
    <row r="86" spans="2:16" ht="12.75" customHeight="1" x14ac:dyDescent="0.2">
      <c r="B86" s="76" t="s">
        <v>547</v>
      </c>
      <c r="C86" s="76">
        <f t="shared" si="9"/>
        <v>5.0000000000000004E-8</v>
      </c>
      <c r="D86" s="76">
        <v>1</v>
      </c>
      <c r="E86" s="76" t="s">
        <v>109</v>
      </c>
      <c r="F86" s="76" t="s">
        <v>168</v>
      </c>
      <c r="G86" s="76" t="s">
        <v>169</v>
      </c>
      <c r="H86" s="76" t="s">
        <v>170</v>
      </c>
      <c r="I86" s="76">
        <f t="shared" ref="I86" si="13">0*C86</f>
        <v>0</v>
      </c>
      <c r="J86" s="76">
        <f t="shared" ref="J86" si="14">0*C86</f>
        <v>0</v>
      </c>
      <c r="K86" s="76" t="s">
        <v>535</v>
      </c>
      <c r="L86" s="76">
        <f t="shared" ref="L86" si="15">1*C86</f>
        <v>5.0000000000000004E-8</v>
      </c>
      <c r="M86" s="76" t="s">
        <v>172</v>
      </c>
      <c r="N86" s="76">
        <f>0.95*C86</f>
        <v>4.7500000000000002E-8</v>
      </c>
      <c r="O86" s="76" t="s">
        <v>535</v>
      </c>
      <c r="P86" s="76" t="s">
        <v>536</v>
      </c>
    </row>
    <row r="87" spans="2:16" ht="19.149999999999999" customHeight="1" x14ac:dyDescent="0.2">
      <c r="B87" s="76" t="s">
        <v>548</v>
      </c>
      <c r="C87" s="76">
        <f t="shared" si="9"/>
        <v>5.0000000000000004E-8</v>
      </c>
      <c r="D87" s="76">
        <v>1</v>
      </c>
      <c r="E87" s="76" t="s">
        <v>912</v>
      </c>
      <c r="F87" s="76" t="s">
        <v>168</v>
      </c>
      <c r="G87" s="76" t="s">
        <v>169</v>
      </c>
      <c r="H87" s="76" t="s">
        <v>516</v>
      </c>
      <c r="I87" s="76">
        <v>0</v>
      </c>
      <c r="J87" s="76">
        <f>0.25*C87</f>
        <v>1.2500000000000001E-8</v>
      </c>
      <c r="K87" s="76">
        <f>0.75*C87</f>
        <v>3.7500000000000005E-8</v>
      </c>
      <c r="L87" s="76">
        <f t="shared" si="10"/>
        <v>5.0000000000000004E-8</v>
      </c>
      <c r="M87" s="76" t="s">
        <v>163</v>
      </c>
      <c r="N87" s="76"/>
      <c r="O87" s="76" t="s">
        <v>535</v>
      </c>
      <c r="P87" s="76" t="s">
        <v>549</v>
      </c>
    </row>
    <row r="88" spans="2:16" ht="12.75" customHeight="1" x14ac:dyDescent="0.2">
      <c r="B88" s="76" t="s">
        <v>548</v>
      </c>
      <c r="C88" s="76">
        <f t="shared" si="9"/>
        <v>5.0000000000000004E-8</v>
      </c>
      <c r="D88" s="76">
        <v>1</v>
      </c>
      <c r="E88" s="76" t="s">
        <v>96</v>
      </c>
      <c r="F88" s="76" t="s">
        <v>168</v>
      </c>
      <c r="G88" s="76" t="s">
        <v>169</v>
      </c>
      <c r="H88" s="76" t="s">
        <v>516</v>
      </c>
      <c r="I88" s="76">
        <v>0</v>
      </c>
      <c r="J88" s="76">
        <f>0.25*C88</f>
        <v>1.2500000000000001E-8</v>
      </c>
      <c r="K88" s="76">
        <f>0.75*C88</f>
        <v>3.7500000000000005E-8</v>
      </c>
      <c r="L88" s="76">
        <f t="shared" si="10"/>
        <v>5.0000000000000004E-8</v>
      </c>
      <c r="M88" s="76" t="s">
        <v>163</v>
      </c>
      <c r="N88" s="76"/>
      <c r="O88" s="76" t="s">
        <v>535</v>
      </c>
      <c r="P88" s="76" t="s">
        <v>549</v>
      </c>
    </row>
    <row r="89" spans="2:16" ht="12.75" customHeight="1" x14ac:dyDescent="0.2">
      <c r="B89" s="76" t="s">
        <v>548</v>
      </c>
      <c r="C89" s="76">
        <f t="shared" si="9"/>
        <v>5.0000000000000004E-8</v>
      </c>
      <c r="D89" s="76">
        <v>1</v>
      </c>
      <c r="E89" s="76" t="s">
        <v>137</v>
      </c>
      <c r="F89" s="76" t="s">
        <v>168</v>
      </c>
      <c r="G89" s="76" t="s">
        <v>169</v>
      </c>
      <c r="H89" s="76" t="s">
        <v>170</v>
      </c>
      <c r="I89" s="76">
        <v>0</v>
      </c>
      <c r="J89" s="76">
        <v>0</v>
      </c>
      <c r="K89" s="76" t="s">
        <v>535</v>
      </c>
      <c r="L89" s="76">
        <f t="shared" si="10"/>
        <v>5.0000000000000004E-8</v>
      </c>
      <c r="M89" s="76" t="s">
        <v>172</v>
      </c>
      <c r="N89" s="76">
        <f>1.1*C8</f>
        <v>5.5000000000000009E-8</v>
      </c>
      <c r="O89" s="76" t="s">
        <v>535</v>
      </c>
      <c r="P89" s="76" t="s">
        <v>550</v>
      </c>
    </row>
    <row r="90" spans="2:16" ht="12.75" customHeight="1" x14ac:dyDescent="0.2">
      <c r="B90" s="76" t="s">
        <v>548</v>
      </c>
      <c r="C90" s="76">
        <f t="shared" si="9"/>
        <v>5.0000000000000004E-8</v>
      </c>
      <c r="D90" s="76">
        <v>1</v>
      </c>
      <c r="E90" s="76" t="s">
        <v>127</v>
      </c>
      <c r="F90" s="76" t="s">
        <v>168</v>
      </c>
      <c r="G90" s="76" t="s">
        <v>169</v>
      </c>
      <c r="H90" s="76" t="s">
        <v>170</v>
      </c>
      <c r="I90" s="76">
        <v>0</v>
      </c>
      <c r="J90" s="76">
        <v>0</v>
      </c>
      <c r="K90" s="76" t="s">
        <v>535</v>
      </c>
      <c r="L90" s="76">
        <f t="shared" si="10"/>
        <v>5.0000000000000004E-8</v>
      </c>
      <c r="M90" s="76" t="s">
        <v>172</v>
      </c>
      <c r="N90" s="76">
        <f t="shared" ref="N90:N95" si="16">0.6*C90</f>
        <v>3.0000000000000004E-8</v>
      </c>
      <c r="O90" s="76" t="s">
        <v>535</v>
      </c>
      <c r="P90" s="76" t="s">
        <v>550</v>
      </c>
    </row>
    <row r="91" spans="2:16" ht="12.75" customHeight="1" x14ac:dyDescent="0.2">
      <c r="B91" s="76" t="s">
        <v>548</v>
      </c>
      <c r="C91" s="76">
        <f t="shared" si="9"/>
        <v>5.0000000000000004E-8</v>
      </c>
      <c r="D91" s="76">
        <v>1</v>
      </c>
      <c r="E91" s="76" t="s">
        <v>126</v>
      </c>
      <c r="F91" s="76" t="s">
        <v>168</v>
      </c>
      <c r="G91" s="76" t="s">
        <v>169</v>
      </c>
      <c r="H91" s="76" t="s">
        <v>170</v>
      </c>
      <c r="I91" s="76">
        <v>0</v>
      </c>
      <c r="J91" s="76">
        <v>0</v>
      </c>
      <c r="K91" s="76" t="s">
        <v>535</v>
      </c>
      <c r="L91" s="76">
        <f t="shared" si="10"/>
        <v>5.0000000000000004E-8</v>
      </c>
      <c r="M91" s="76" t="s">
        <v>172</v>
      </c>
      <c r="N91" s="76">
        <f t="shared" si="16"/>
        <v>3.0000000000000004E-8</v>
      </c>
      <c r="O91" s="76" t="s">
        <v>535</v>
      </c>
      <c r="P91" s="76" t="s">
        <v>550</v>
      </c>
    </row>
    <row r="92" spans="2:16" ht="12.75" customHeight="1" x14ac:dyDescent="0.2">
      <c r="B92" s="76" t="s">
        <v>548</v>
      </c>
      <c r="C92" s="76">
        <f t="shared" si="9"/>
        <v>5.0000000000000004E-8</v>
      </c>
      <c r="D92" s="76">
        <v>1</v>
      </c>
      <c r="E92" s="76" t="s">
        <v>125</v>
      </c>
      <c r="F92" s="76" t="s">
        <v>168</v>
      </c>
      <c r="G92" s="76" t="s">
        <v>169</v>
      </c>
      <c r="H92" s="76" t="s">
        <v>170</v>
      </c>
      <c r="I92" s="76">
        <v>0</v>
      </c>
      <c r="J92" s="76">
        <v>0</v>
      </c>
      <c r="K92" s="76" t="s">
        <v>535</v>
      </c>
      <c r="L92" s="76">
        <f t="shared" si="10"/>
        <v>5.0000000000000004E-8</v>
      </c>
      <c r="M92" s="76" t="s">
        <v>172</v>
      </c>
      <c r="N92" s="76">
        <f t="shared" si="16"/>
        <v>3.0000000000000004E-8</v>
      </c>
      <c r="O92" s="76" t="s">
        <v>535</v>
      </c>
      <c r="P92" s="76" t="s">
        <v>550</v>
      </c>
    </row>
    <row r="93" spans="2:16" ht="12.75" customHeight="1" x14ac:dyDescent="0.2">
      <c r="B93" s="76" t="s">
        <v>548</v>
      </c>
      <c r="C93" s="76">
        <f t="shared" si="9"/>
        <v>5.0000000000000004E-8</v>
      </c>
      <c r="D93" s="76">
        <v>1</v>
      </c>
      <c r="E93" s="76" t="s">
        <v>124</v>
      </c>
      <c r="F93" s="76" t="s">
        <v>168</v>
      </c>
      <c r="G93" s="76" t="s">
        <v>169</v>
      </c>
      <c r="H93" s="76" t="s">
        <v>170</v>
      </c>
      <c r="I93" s="76">
        <v>0</v>
      </c>
      <c r="J93" s="76">
        <v>0</v>
      </c>
      <c r="K93" s="76" t="s">
        <v>535</v>
      </c>
      <c r="L93" s="76">
        <f t="shared" si="10"/>
        <v>5.0000000000000004E-8</v>
      </c>
      <c r="M93" s="76" t="s">
        <v>172</v>
      </c>
      <c r="N93" s="76">
        <f t="shared" si="16"/>
        <v>3.0000000000000004E-8</v>
      </c>
      <c r="O93" s="76" t="s">
        <v>535</v>
      </c>
      <c r="P93" s="76" t="s">
        <v>550</v>
      </c>
    </row>
    <row r="94" spans="2:16" ht="12.75" customHeight="1" x14ac:dyDescent="0.2">
      <c r="B94" s="76" t="s">
        <v>548</v>
      </c>
      <c r="C94" s="76">
        <f t="shared" si="9"/>
        <v>5.0000000000000004E-8</v>
      </c>
      <c r="D94" s="76">
        <v>1</v>
      </c>
      <c r="E94" s="76" t="s">
        <v>123</v>
      </c>
      <c r="F94" s="76" t="s">
        <v>168</v>
      </c>
      <c r="G94" s="76" t="s">
        <v>169</v>
      </c>
      <c r="H94" s="76" t="s">
        <v>170</v>
      </c>
      <c r="I94" s="76">
        <v>0</v>
      </c>
      <c r="J94" s="76">
        <v>0</v>
      </c>
      <c r="K94" s="76" t="s">
        <v>535</v>
      </c>
      <c r="L94" s="76">
        <f t="shared" si="10"/>
        <v>5.0000000000000004E-8</v>
      </c>
      <c r="M94" s="76" t="s">
        <v>172</v>
      </c>
      <c r="N94" s="76">
        <f t="shared" si="16"/>
        <v>3.0000000000000004E-8</v>
      </c>
      <c r="O94" s="76" t="s">
        <v>535</v>
      </c>
      <c r="P94" s="76" t="s">
        <v>550</v>
      </c>
    </row>
    <row r="95" spans="2:16" ht="12.75" customHeight="1" x14ac:dyDescent="0.2">
      <c r="B95" s="76" t="s">
        <v>548</v>
      </c>
      <c r="C95" s="76">
        <f t="shared" si="9"/>
        <v>5.0000000000000004E-8</v>
      </c>
      <c r="D95" s="76">
        <v>1</v>
      </c>
      <c r="E95" s="76" t="s">
        <v>122</v>
      </c>
      <c r="F95" s="76" t="s">
        <v>168</v>
      </c>
      <c r="G95" s="76" t="s">
        <v>169</v>
      </c>
      <c r="H95" s="76" t="s">
        <v>170</v>
      </c>
      <c r="I95" s="76">
        <v>0</v>
      </c>
      <c r="J95" s="76">
        <v>0</v>
      </c>
      <c r="K95" s="76" t="s">
        <v>535</v>
      </c>
      <c r="L95" s="76">
        <f t="shared" si="10"/>
        <v>5.0000000000000004E-8</v>
      </c>
      <c r="M95" s="76" t="s">
        <v>172</v>
      </c>
      <c r="N95" s="76">
        <f t="shared" si="16"/>
        <v>3.0000000000000004E-8</v>
      </c>
      <c r="O95" s="76" t="s">
        <v>535</v>
      </c>
      <c r="P95" s="76" t="s">
        <v>550</v>
      </c>
    </row>
    <row r="96" spans="2:16" ht="12.75" customHeight="1" x14ac:dyDescent="0.2">
      <c r="B96" s="76" t="s">
        <v>548</v>
      </c>
      <c r="C96" s="76">
        <f t="shared" si="9"/>
        <v>5.0000000000000004E-8</v>
      </c>
      <c r="D96" s="76">
        <v>1</v>
      </c>
      <c r="E96" s="76" t="s">
        <v>136</v>
      </c>
      <c r="F96" s="76" t="s">
        <v>168</v>
      </c>
      <c r="G96" s="76" t="s">
        <v>169</v>
      </c>
      <c r="H96" s="76" t="s">
        <v>170</v>
      </c>
      <c r="I96" s="76">
        <v>0</v>
      </c>
      <c r="J96" s="76">
        <v>0</v>
      </c>
      <c r="K96" s="76" t="s">
        <v>535</v>
      </c>
      <c r="L96" s="76">
        <f t="shared" si="10"/>
        <v>5.0000000000000004E-8</v>
      </c>
      <c r="M96" s="76" t="s">
        <v>172</v>
      </c>
      <c r="N96" s="76">
        <f t="shared" ref="N96:N102" si="17">1.1*C96</f>
        <v>5.5000000000000009E-8</v>
      </c>
      <c r="O96" s="76" t="s">
        <v>535</v>
      </c>
      <c r="P96" s="76" t="s">
        <v>550</v>
      </c>
    </row>
    <row r="97" spans="2:16" ht="12.75" customHeight="1" x14ac:dyDescent="0.2">
      <c r="B97" s="76" t="s">
        <v>548</v>
      </c>
      <c r="C97" s="76">
        <f t="shared" si="9"/>
        <v>5.0000000000000004E-8</v>
      </c>
      <c r="D97" s="76">
        <v>1</v>
      </c>
      <c r="E97" s="76" t="s">
        <v>135</v>
      </c>
      <c r="F97" s="76" t="s">
        <v>168</v>
      </c>
      <c r="G97" s="76" t="s">
        <v>169</v>
      </c>
      <c r="H97" s="76" t="s">
        <v>170</v>
      </c>
      <c r="I97" s="76">
        <v>0</v>
      </c>
      <c r="J97" s="76">
        <v>0</v>
      </c>
      <c r="K97" s="76" t="s">
        <v>535</v>
      </c>
      <c r="L97" s="76">
        <f t="shared" si="10"/>
        <v>5.0000000000000004E-8</v>
      </c>
      <c r="M97" s="76" t="s">
        <v>172</v>
      </c>
      <c r="N97" s="76">
        <f t="shared" si="17"/>
        <v>5.5000000000000009E-8</v>
      </c>
      <c r="O97" s="76" t="s">
        <v>535</v>
      </c>
      <c r="P97" s="76" t="s">
        <v>550</v>
      </c>
    </row>
    <row r="98" spans="2:16" ht="12.75" customHeight="1" x14ac:dyDescent="0.2">
      <c r="B98" s="76" t="s">
        <v>548</v>
      </c>
      <c r="C98" s="76">
        <f t="shared" si="9"/>
        <v>5.0000000000000004E-8</v>
      </c>
      <c r="D98" s="76">
        <v>1</v>
      </c>
      <c r="E98" s="76" t="s">
        <v>134</v>
      </c>
      <c r="F98" s="76" t="s">
        <v>168</v>
      </c>
      <c r="G98" s="76" t="s">
        <v>169</v>
      </c>
      <c r="H98" s="76" t="s">
        <v>170</v>
      </c>
      <c r="I98" s="76">
        <v>0</v>
      </c>
      <c r="J98" s="76">
        <v>0</v>
      </c>
      <c r="K98" s="76" t="s">
        <v>535</v>
      </c>
      <c r="L98" s="76">
        <f t="shared" si="10"/>
        <v>5.0000000000000004E-8</v>
      </c>
      <c r="M98" s="76" t="s">
        <v>172</v>
      </c>
      <c r="N98" s="76">
        <f t="shared" si="17"/>
        <v>5.5000000000000009E-8</v>
      </c>
      <c r="O98" s="76" t="s">
        <v>535</v>
      </c>
      <c r="P98" s="76" t="s">
        <v>550</v>
      </c>
    </row>
    <row r="99" spans="2:16" ht="12.75" customHeight="1" x14ac:dyDescent="0.2">
      <c r="B99" s="76" t="s">
        <v>548</v>
      </c>
      <c r="C99" s="76">
        <f t="shared" si="9"/>
        <v>5.0000000000000004E-8</v>
      </c>
      <c r="D99" s="76">
        <v>1</v>
      </c>
      <c r="E99" s="76" t="s">
        <v>133</v>
      </c>
      <c r="F99" s="76" t="s">
        <v>168</v>
      </c>
      <c r="G99" s="76" t="s">
        <v>169</v>
      </c>
      <c r="H99" s="76" t="s">
        <v>170</v>
      </c>
      <c r="I99" s="76">
        <v>0</v>
      </c>
      <c r="J99" s="76">
        <v>0</v>
      </c>
      <c r="K99" s="76" t="s">
        <v>535</v>
      </c>
      <c r="L99" s="76">
        <f t="shared" si="10"/>
        <v>5.0000000000000004E-8</v>
      </c>
      <c r="M99" s="76" t="s">
        <v>172</v>
      </c>
      <c r="N99" s="76">
        <f t="shared" si="17"/>
        <v>5.5000000000000009E-8</v>
      </c>
      <c r="O99" s="76" t="s">
        <v>535</v>
      </c>
      <c r="P99" s="76" t="s">
        <v>550</v>
      </c>
    </row>
    <row r="100" spans="2:16" ht="12.75" customHeight="1" x14ac:dyDescent="0.2">
      <c r="B100" s="76" t="s">
        <v>548</v>
      </c>
      <c r="C100" s="76">
        <f t="shared" si="9"/>
        <v>5.0000000000000004E-8</v>
      </c>
      <c r="D100" s="76">
        <v>1</v>
      </c>
      <c r="E100" s="76" t="s">
        <v>132</v>
      </c>
      <c r="F100" s="76" t="s">
        <v>168</v>
      </c>
      <c r="G100" s="76" t="s">
        <v>169</v>
      </c>
      <c r="H100" s="76" t="s">
        <v>170</v>
      </c>
      <c r="I100" s="76">
        <v>0</v>
      </c>
      <c r="J100" s="76">
        <v>0</v>
      </c>
      <c r="K100" s="76" t="s">
        <v>535</v>
      </c>
      <c r="L100" s="76">
        <f t="shared" si="10"/>
        <v>5.0000000000000004E-8</v>
      </c>
      <c r="M100" s="76" t="s">
        <v>172</v>
      </c>
      <c r="N100" s="76">
        <f t="shared" si="17"/>
        <v>5.5000000000000009E-8</v>
      </c>
      <c r="O100" s="76" t="s">
        <v>535</v>
      </c>
      <c r="P100" s="76" t="s">
        <v>550</v>
      </c>
    </row>
    <row r="101" spans="2:16" ht="12.75" customHeight="1" x14ac:dyDescent="0.2">
      <c r="B101" s="76" t="s">
        <v>548</v>
      </c>
      <c r="C101" s="76">
        <f t="shared" si="9"/>
        <v>5.0000000000000004E-8</v>
      </c>
      <c r="D101" s="76">
        <v>1</v>
      </c>
      <c r="E101" s="76" t="s">
        <v>131</v>
      </c>
      <c r="F101" s="76" t="s">
        <v>168</v>
      </c>
      <c r="G101" s="76" t="s">
        <v>169</v>
      </c>
      <c r="H101" s="76" t="s">
        <v>170</v>
      </c>
      <c r="I101" s="76">
        <v>0</v>
      </c>
      <c r="J101" s="76">
        <v>0</v>
      </c>
      <c r="K101" s="76" t="s">
        <v>535</v>
      </c>
      <c r="L101" s="76">
        <f t="shared" si="10"/>
        <v>5.0000000000000004E-8</v>
      </c>
      <c r="M101" s="76" t="s">
        <v>172</v>
      </c>
      <c r="N101" s="76">
        <f t="shared" si="17"/>
        <v>5.5000000000000009E-8</v>
      </c>
      <c r="O101" s="76" t="s">
        <v>535</v>
      </c>
      <c r="P101" s="76" t="s">
        <v>550</v>
      </c>
    </row>
    <row r="102" spans="2:16" ht="12.75" customHeight="1" x14ac:dyDescent="0.2">
      <c r="B102" s="76" t="s">
        <v>548</v>
      </c>
      <c r="C102" s="76">
        <f t="shared" si="9"/>
        <v>5.0000000000000004E-8</v>
      </c>
      <c r="D102" s="76">
        <v>1</v>
      </c>
      <c r="E102" s="76" t="s">
        <v>130</v>
      </c>
      <c r="F102" s="76" t="s">
        <v>168</v>
      </c>
      <c r="G102" s="76" t="s">
        <v>169</v>
      </c>
      <c r="H102" s="76" t="s">
        <v>170</v>
      </c>
      <c r="I102" s="76">
        <v>0</v>
      </c>
      <c r="J102" s="76">
        <v>0</v>
      </c>
      <c r="K102" s="76" t="s">
        <v>535</v>
      </c>
      <c r="L102" s="76">
        <f t="shared" si="10"/>
        <v>5.0000000000000004E-8</v>
      </c>
      <c r="M102" s="76" t="s">
        <v>172</v>
      </c>
      <c r="N102" s="76">
        <f t="shared" si="17"/>
        <v>5.5000000000000009E-8</v>
      </c>
      <c r="O102" s="76" t="s">
        <v>535</v>
      </c>
      <c r="P102" s="76" t="s">
        <v>550</v>
      </c>
    </row>
    <row r="103" spans="2:16" ht="12.75" customHeight="1" x14ac:dyDescent="0.2">
      <c r="B103" s="76" t="s">
        <v>548</v>
      </c>
      <c r="C103" s="76">
        <f t="shared" ref="C103:C134" si="18">50*ns</f>
        <v>5.0000000000000004E-8</v>
      </c>
      <c r="D103" s="76">
        <v>1</v>
      </c>
      <c r="E103" s="76" t="s">
        <v>129</v>
      </c>
      <c r="F103" s="76" t="s">
        <v>168</v>
      </c>
      <c r="G103" s="76" t="s">
        <v>169</v>
      </c>
      <c r="H103" s="76" t="s">
        <v>170</v>
      </c>
      <c r="I103" s="76">
        <v>0</v>
      </c>
      <c r="J103" s="76">
        <v>0</v>
      </c>
      <c r="K103" s="76" t="s">
        <v>535</v>
      </c>
      <c r="L103" s="76">
        <f t="shared" si="10"/>
        <v>5.0000000000000004E-8</v>
      </c>
      <c r="M103" s="76" t="s">
        <v>172</v>
      </c>
      <c r="N103" s="76">
        <f>0.1*C22</f>
        <v>5.0000000000000009E-9</v>
      </c>
      <c r="O103" s="76" t="s">
        <v>535</v>
      </c>
      <c r="P103" s="76" t="s">
        <v>550</v>
      </c>
    </row>
    <row r="104" spans="2:16" ht="12.75" customHeight="1" x14ac:dyDescent="0.2">
      <c r="B104" s="76" t="s">
        <v>548</v>
      </c>
      <c r="C104" s="76">
        <f t="shared" si="18"/>
        <v>5.0000000000000004E-8</v>
      </c>
      <c r="D104" s="76">
        <v>1</v>
      </c>
      <c r="E104" s="76" t="s">
        <v>128</v>
      </c>
      <c r="F104" s="76" t="s">
        <v>168</v>
      </c>
      <c r="G104" s="76" t="s">
        <v>169</v>
      </c>
      <c r="H104" s="76" t="s">
        <v>170</v>
      </c>
      <c r="I104" s="76">
        <v>0</v>
      </c>
      <c r="J104" s="76">
        <v>0</v>
      </c>
      <c r="K104" s="76" t="s">
        <v>535</v>
      </c>
      <c r="L104" s="76">
        <f t="shared" si="10"/>
        <v>5.0000000000000004E-8</v>
      </c>
      <c r="M104" s="76" t="s">
        <v>172</v>
      </c>
      <c r="N104" s="76">
        <f>0.1*C23</f>
        <v>5.0000000000000009E-9</v>
      </c>
      <c r="O104" s="76" t="s">
        <v>535</v>
      </c>
      <c r="P104" s="76" t="s">
        <v>550</v>
      </c>
    </row>
    <row r="105" spans="2:16" ht="12.75" customHeight="1" x14ac:dyDescent="0.2">
      <c r="B105" s="76" t="s">
        <v>548</v>
      </c>
      <c r="C105" s="76">
        <f t="shared" si="18"/>
        <v>5.0000000000000004E-8</v>
      </c>
      <c r="D105" s="76">
        <v>1</v>
      </c>
      <c r="E105" s="76" t="s">
        <v>98</v>
      </c>
      <c r="F105" s="76" t="s">
        <v>168</v>
      </c>
      <c r="G105" s="76" t="s">
        <v>169</v>
      </c>
      <c r="H105" s="76" t="s">
        <v>170</v>
      </c>
      <c r="I105" s="76">
        <v>0</v>
      </c>
      <c r="J105" s="76">
        <v>0</v>
      </c>
      <c r="K105" s="76" t="s">
        <v>535</v>
      </c>
      <c r="L105" s="76">
        <f t="shared" si="10"/>
        <v>5.0000000000000004E-8</v>
      </c>
      <c r="M105" s="76" t="s">
        <v>163</v>
      </c>
      <c r="N105" s="76"/>
      <c r="O105" s="76" t="s">
        <v>535</v>
      </c>
      <c r="P105" s="76" t="s">
        <v>550</v>
      </c>
    </row>
    <row r="106" spans="2:16" ht="12.75" customHeight="1" x14ac:dyDescent="0.2">
      <c r="B106" s="76" t="s">
        <v>548</v>
      </c>
      <c r="C106" s="76">
        <f t="shared" si="18"/>
        <v>5.0000000000000004E-8</v>
      </c>
      <c r="D106" s="76">
        <v>1</v>
      </c>
      <c r="E106" s="76" t="s">
        <v>99</v>
      </c>
      <c r="F106" s="76" t="s">
        <v>168</v>
      </c>
      <c r="G106" s="76" t="s">
        <v>169</v>
      </c>
      <c r="H106" s="76" t="s">
        <v>170</v>
      </c>
      <c r="I106" s="76">
        <v>0</v>
      </c>
      <c r="J106" s="76">
        <v>0</v>
      </c>
      <c r="K106" s="76" t="s">
        <v>535</v>
      </c>
      <c r="L106" s="76">
        <f t="shared" ref="L106:L137" si="19">C106</f>
        <v>5.0000000000000004E-8</v>
      </c>
      <c r="M106" s="76" t="s">
        <v>172</v>
      </c>
      <c r="N106" s="76">
        <f>0.1*C106</f>
        <v>5.0000000000000009E-9</v>
      </c>
      <c r="O106" s="76" t="s">
        <v>535</v>
      </c>
      <c r="P106" s="76" t="s">
        <v>550</v>
      </c>
    </row>
    <row r="107" spans="2:16" ht="12.75" customHeight="1" x14ac:dyDescent="0.2">
      <c r="B107" s="76" t="s">
        <v>548</v>
      </c>
      <c r="C107" s="76">
        <f t="shared" si="18"/>
        <v>5.0000000000000004E-8</v>
      </c>
      <c r="D107" s="76">
        <v>1</v>
      </c>
      <c r="E107" s="76" t="s">
        <v>898</v>
      </c>
      <c r="F107" s="76" t="s">
        <v>168</v>
      </c>
      <c r="G107" s="76" t="s">
        <v>169</v>
      </c>
      <c r="H107" s="76" t="s">
        <v>516</v>
      </c>
      <c r="I107" s="76">
        <v>0</v>
      </c>
      <c r="J107" s="76">
        <f>0.25*C107</f>
        <v>1.2500000000000001E-8</v>
      </c>
      <c r="K107" s="76">
        <f>0.75*C107</f>
        <v>3.7500000000000005E-8</v>
      </c>
      <c r="L107" s="76">
        <f t="shared" si="19"/>
        <v>5.0000000000000004E-8</v>
      </c>
      <c r="M107" s="76" t="s">
        <v>163</v>
      </c>
      <c r="N107" s="76"/>
      <c r="O107" s="76" t="s">
        <v>535</v>
      </c>
      <c r="P107" s="76" t="s">
        <v>549</v>
      </c>
    </row>
    <row r="108" spans="2:16" ht="12.75" customHeight="1" x14ac:dyDescent="0.2">
      <c r="B108" s="76" t="s">
        <v>548</v>
      </c>
      <c r="C108" s="76">
        <f t="shared" si="18"/>
        <v>5.0000000000000004E-8</v>
      </c>
      <c r="D108" s="76">
        <v>1</v>
      </c>
      <c r="E108" s="76" t="s">
        <v>899</v>
      </c>
      <c r="F108" s="76" t="s">
        <v>168</v>
      </c>
      <c r="G108" s="76" t="s">
        <v>169</v>
      </c>
      <c r="H108" s="76" t="s">
        <v>516</v>
      </c>
      <c r="I108" s="76">
        <v>0</v>
      </c>
      <c r="J108" s="76">
        <f>0.25*C108</f>
        <v>1.2500000000000001E-8</v>
      </c>
      <c r="K108" s="76">
        <f>0.75*C108</f>
        <v>3.7500000000000005E-8</v>
      </c>
      <c r="L108" s="76">
        <f t="shared" si="19"/>
        <v>5.0000000000000004E-8</v>
      </c>
      <c r="M108" s="76" t="s">
        <v>163</v>
      </c>
      <c r="N108" s="76"/>
      <c r="O108" s="76" t="s">
        <v>535</v>
      </c>
      <c r="P108" s="76" t="s">
        <v>549</v>
      </c>
    </row>
    <row r="109" spans="2:16" ht="12.75" customHeight="1" x14ac:dyDescent="0.2">
      <c r="B109" s="76" t="s">
        <v>548</v>
      </c>
      <c r="C109" s="76">
        <f t="shared" si="18"/>
        <v>5.0000000000000004E-8</v>
      </c>
      <c r="D109" s="76">
        <v>1</v>
      </c>
      <c r="E109" s="76" t="s">
        <v>900</v>
      </c>
      <c r="F109" s="76" t="s">
        <v>168</v>
      </c>
      <c r="G109" s="76" t="s">
        <v>169</v>
      </c>
      <c r="H109" s="76" t="s">
        <v>170</v>
      </c>
      <c r="I109" s="76">
        <v>0</v>
      </c>
      <c r="J109" s="76">
        <v>0</v>
      </c>
      <c r="K109" s="76" t="s">
        <v>535</v>
      </c>
      <c r="L109" s="76">
        <f t="shared" si="19"/>
        <v>5.0000000000000004E-8</v>
      </c>
      <c r="M109" s="76" t="s">
        <v>163</v>
      </c>
      <c r="N109" s="76"/>
      <c r="O109" s="76" t="s">
        <v>535</v>
      </c>
      <c r="P109" s="76" t="s">
        <v>550</v>
      </c>
    </row>
    <row r="110" spans="2:16" ht="12.75" customHeight="1" x14ac:dyDescent="0.2">
      <c r="B110" s="76" t="s">
        <v>548</v>
      </c>
      <c r="C110" s="76">
        <f t="shared" si="18"/>
        <v>5.0000000000000004E-8</v>
      </c>
      <c r="D110" s="76">
        <v>1</v>
      </c>
      <c r="E110" s="76" t="s">
        <v>901</v>
      </c>
      <c r="F110" s="76" t="s">
        <v>168</v>
      </c>
      <c r="G110" s="76" t="s">
        <v>169</v>
      </c>
      <c r="H110" s="76" t="s">
        <v>170</v>
      </c>
      <c r="I110" s="76">
        <v>0</v>
      </c>
      <c r="J110" s="76">
        <v>0</v>
      </c>
      <c r="K110" s="76" t="s">
        <v>535</v>
      </c>
      <c r="L110" s="76">
        <f t="shared" si="19"/>
        <v>5.0000000000000004E-8</v>
      </c>
      <c r="M110" s="76" t="s">
        <v>163</v>
      </c>
      <c r="N110" s="76"/>
      <c r="O110" s="76" t="s">
        <v>535</v>
      </c>
      <c r="P110" s="76" t="s">
        <v>550</v>
      </c>
    </row>
    <row r="111" spans="2:16" ht="12.75" customHeight="1" x14ac:dyDescent="0.2">
      <c r="B111" s="76" t="s">
        <v>548</v>
      </c>
      <c r="C111" s="76">
        <f t="shared" si="18"/>
        <v>5.0000000000000004E-8</v>
      </c>
      <c r="D111" s="76">
        <v>1</v>
      </c>
      <c r="E111" s="76" t="s">
        <v>902</v>
      </c>
      <c r="F111" s="76" t="s">
        <v>168</v>
      </c>
      <c r="G111" s="76" t="s">
        <v>169</v>
      </c>
      <c r="H111" s="76" t="s">
        <v>170</v>
      </c>
      <c r="I111" s="76">
        <v>0</v>
      </c>
      <c r="J111" s="76">
        <v>0</v>
      </c>
      <c r="K111" s="76" t="s">
        <v>535</v>
      </c>
      <c r="L111" s="76">
        <f t="shared" si="19"/>
        <v>5.0000000000000004E-8</v>
      </c>
      <c r="M111" s="76" t="s">
        <v>163</v>
      </c>
      <c r="N111" s="76"/>
      <c r="O111" s="76" t="s">
        <v>535</v>
      </c>
      <c r="P111" s="76" t="s">
        <v>550</v>
      </c>
    </row>
    <row r="112" spans="2:16" ht="12.75" customHeight="1" x14ac:dyDescent="0.2">
      <c r="B112" s="76" t="s">
        <v>548</v>
      </c>
      <c r="C112" s="76">
        <f t="shared" si="18"/>
        <v>5.0000000000000004E-8</v>
      </c>
      <c r="D112" s="76">
        <v>1</v>
      </c>
      <c r="E112" s="76" t="s">
        <v>903</v>
      </c>
      <c r="F112" s="76" t="s">
        <v>168</v>
      </c>
      <c r="G112" s="76" t="s">
        <v>169</v>
      </c>
      <c r="H112" s="76" t="s">
        <v>170</v>
      </c>
      <c r="I112" s="76">
        <v>0</v>
      </c>
      <c r="J112" s="76">
        <v>0</v>
      </c>
      <c r="K112" s="76" t="s">
        <v>535</v>
      </c>
      <c r="L112" s="76">
        <f t="shared" si="19"/>
        <v>5.0000000000000004E-8</v>
      </c>
      <c r="M112" s="76" t="s">
        <v>163</v>
      </c>
      <c r="N112" s="76"/>
      <c r="O112" s="76" t="s">
        <v>535</v>
      </c>
      <c r="P112" s="76" t="s">
        <v>550</v>
      </c>
    </row>
    <row r="113" spans="2:16" ht="12.75" customHeight="1" x14ac:dyDescent="0.2">
      <c r="B113" s="76" t="s">
        <v>548</v>
      </c>
      <c r="C113" s="76">
        <f t="shared" si="18"/>
        <v>5.0000000000000004E-8</v>
      </c>
      <c r="D113" s="76">
        <v>1</v>
      </c>
      <c r="E113" s="76" t="s">
        <v>904</v>
      </c>
      <c r="F113" s="76" t="s">
        <v>168</v>
      </c>
      <c r="G113" s="76" t="s">
        <v>169</v>
      </c>
      <c r="H113" s="76" t="s">
        <v>170</v>
      </c>
      <c r="I113" s="76">
        <v>0</v>
      </c>
      <c r="J113" s="76">
        <v>0</v>
      </c>
      <c r="K113" s="76" t="s">
        <v>535</v>
      </c>
      <c r="L113" s="76">
        <f t="shared" si="19"/>
        <v>5.0000000000000004E-8</v>
      </c>
      <c r="M113" s="76" t="s">
        <v>163</v>
      </c>
      <c r="N113" s="76"/>
      <c r="O113" s="76" t="s">
        <v>535</v>
      </c>
      <c r="P113" s="76" t="s">
        <v>550</v>
      </c>
    </row>
    <row r="114" spans="2:16" ht="12.75" customHeight="1" x14ac:dyDescent="0.2">
      <c r="B114" s="76" t="s">
        <v>548</v>
      </c>
      <c r="C114" s="76">
        <f t="shared" si="18"/>
        <v>5.0000000000000004E-8</v>
      </c>
      <c r="D114" s="76">
        <v>1</v>
      </c>
      <c r="E114" s="76" t="s">
        <v>905</v>
      </c>
      <c r="F114" s="76" t="s">
        <v>168</v>
      </c>
      <c r="G114" s="76" t="s">
        <v>169</v>
      </c>
      <c r="H114" s="76" t="s">
        <v>170</v>
      </c>
      <c r="I114" s="76">
        <v>0</v>
      </c>
      <c r="J114" s="76">
        <v>0</v>
      </c>
      <c r="K114" s="76" t="s">
        <v>535</v>
      </c>
      <c r="L114" s="76">
        <f t="shared" si="19"/>
        <v>5.0000000000000004E-8</v>
      </c>
      <c r="M114" s="76" t="s">
        <v>163</v>
      </c>
      <c r="N114" s="76"/>
      <c r="O114" s="76" t="s">
        <v>535</v>
      </c>
      <c r="P114" s="76" t="s">
        <v>550</v>
      </c>
    </row>
    <row r="115" spans="2:16" ht="12.75" customHeight="1" x14ac:dyDescent="0.2">
      <c r="B115" s="76" t="s">
        <v>548</v>
      </c>
      <c r="C115" s="76">
        <f t="shared" si="18"/>
        <v>5.0000000000000004E-8</v>
      </c>
      <c r="D115" s="76">
        <v>1</v>
      </c>
      <c r="E115" s="76" t="s">
        <v>906</v>
      </c>
      <c r="F115" s="76" t="s">
        <v>168</v>
      </c>
      <c r="G115" s="76" t="s">
        <v>169</v>
      </c>
      <c r="H115" s="76" t="s">
        <v>170</v>
      </c>
      <c r="I115" s="76">
        <v>0</v>
      </c>
      <c r="J115" s="76">
        <v>0</v>
      </c>
      <c r="K115" s="76" t="s">
        <v>535</v>
      </c>
      <c r="L115" s="76">
        <f t="shared" si="19"/>
        <v>5.0000000000000004E-8</v>
      </c>
      <c r="M115" s="76" t="s">
        <v>163</v>
      </c>
      <c r="N115" s="76"/>
      <c r="O115" s="76" t="s">
        <v>535</v>
      </c>
      <c r="P115" s="76" t="s">
        <v>550</v>
      </c>
    </row>
    <row r="116" spans="2:16" ht="12.75" customHeight="1" x14ac:dyDescent="0.2">
      <c r="B116" s="76" t="s">
        <v>548</v>
      </c>
      <c r="C116" s="76">
        <f t="shared" si="18"/>
        <v>5.0000000000000004E-8</v>
      </c>
      <c r="D116" s="76">
        <v>1</v>
      </c>
      <c r="E116" s="76" t="s">
        <v>907</v>
      </c>
      <c r="F116" s="76" t="s">
        <v>168</v>
      </c>
      <c r="G116" s="76" t="s">
        <v>169</v>
      </c>
      <c r="H116" s="76" t="s">
        <v>170</v>
      </c>
      <c r="I116" s="76">
        <v>0</v>
      </c>
      <c r="J116" s="76">
        <v>0</v>
      </c>
      <c r="K116" s="76" t="s">
        <v>535</v>
      </c>
      <c r="L116" s="76">
        <f t="shared" si="19"/>
        <v>5.0000000000000004E-8</v>
      </c>
      <c r="M116" s="76" t="s">
        <v>163</v>
      </c>
      <c r="N116" s="76"/>
      <c r="O116" s="76" t="s">
        <v>535</v>
      </c>
      <c r="P116" s="76" t="s">
        <v>550</v>
      </c>
    </row>
    <row r="117" spans="2:16" ht="12.75" customHeight="1" x14ac:dyDescent="0.2">
      <c r="B117" s="76" t="s">
        <v>548</v>
      </c>
      <c r="C117" s="76">
        <f t="shared" si="18"/>
        <v>5.0000000000000004E-8</v>
      </c>
      <c r="D117" s="76">
        <v>1</v>
      </c>
      <c r="E117" s="76" t="s">
        <v>911</v>
      </c>
      <c r="F117" s="76" t="s">
        <v>168</v>
      </c>
      <c r="G117" s="76" t="s">
        <v>169</v>
      </c>
      <c r="H117" s="76" t="s">
        <v>170</v>
      </c>
      <c r="I117" s="76">
        <v>0</v>
      </c>
      <c r="J117" s="76">
        <v>0</v>
      </c>
      <c r="K117" s="76" t="s">
        <v>535</v>
      </c>
      <c r="L117" s="76">
        <f t="shared" si="19"/>
        <v>5.0000000000000004E-8</v>
      </c>
      <c r="M117" s="76" t="s">
        <v>172</v>
      </c>
      <c r="N117" s="76">
        <f>0.1*C117</f>
        <v>5.0000000000000009E-9</v>
      </c>
      <c r="O117" s="76" t="s">
        <v>535</v>
      </c>
      <c r="P117" s="76" t="s">
        <v>550</v>
      </c>
    </row>
    <row r="118" spans="2:16" ht="12.75" customHeight="1" x14ac:dyDescent="0.2">
      <c r="B118" s="76" t="s">
        <v>548</v>
      </c>
      <c r="C118" s="76">
        <f t="shared" si="18"/>
        <v>5.0000000000000004E-8</v>
      </c>
      <c r="D118" s="76">
        <v>1</v>
      </c>
      <c r="E118" s="76" t="s">
        <v>908</v>
      </c>
      <c r="F118" s="76" t="s">
        <v>168</v>
      </c>
      <c r="G118" s="76" t="s">
        <v>169</v>
      </c>
      <c r="H118" s="76" t="s">
        <v>170</v>
      </c>
      <c r="I118" s="76">
        <v>0</v>
      </c>
      <c r="J118" s="76">
        <v>0</v>
      </c>
      <c r="K118" s="76" t="s">
        <v>535</v>
      </c>
      <c r="L118" s="76">
        <f t="shared" si="19"/>
        <v>5.0000000000000004E-8</v>
      </c>
      <c r="M118" s="76" t="s">
        <v>163</v>
      </c>
      <c r="N118" s="76"/>
      <c r="O118" s="76" t="s">
        <v>535</v>
      </c>
      <c r="P118" s="76" t="s">
        <v>550</v>
      </c>
    </row>
    <row r="119" spans="2:16" ht="12.75" customHeight="1" x14ac:dyDescent="0.2">
      <c r="B119" s="76" t="s">
        <v>548</v>
      </c>
      <c r="C119" s="76">
        <f t="shared" si="18"/>
        <v>5.0000000000000004E-8</v>
      </c>
      <c r="D119" s="76">
        <v>1</v>
      </c>
      <c r="E119" s="76" t="s">
        <v>944</v>
      </c>
      <c r="F119" s="76" t="s">
        <v>168</v>
      </c>
      <c r="G119" s="76" t="s">
        <v>169</v>
      </c>
      <c r="H119" s="76" t="s">
        <v>170</v>
      </c>
      <c r="I119" s="76">
        <v>0</v>
      </c>
      <c r="J119" s="76">
        <v>0</v>
      </c>
      <c r="K119" s="76" t="s">
        <v>535</v>
      </c>
      <c r="L119" s="76">
        <f t="shared" si="19"/>
        <v>5.0000000000000004E-8</v>
      </c>
      <c r="M119" s="76" t="s">
        <v>163</v>
      </c>
      <c r="N119" s="76"/>
      <c r="O119" s="76" t="s">
        <v>535</v>
      </c>
      <c r="P119" s="76" t="s">
        <v>550</v>
      </c>
    </row>
    <row r="120" spans="2:16" ht="12.75" customHeight="1" x14ac:dyDescent="0.2">
      <c r="B120" s="76" t="s">
        <v>548</v>
      </c>
      <c r="C120" s="76">
        <f t="shared" si="18"/>
        <v>5.0000000000000004E-8</v>
      </c>
      <c r="D120" s="76">
        <v>1</v>
      </c>
      <c r="E120" s="76" t="s">
        <v>934</v>
      </c>
      <c r="F120" s="76" t="s">
        <v>168</v>
      </c>
      <c r="G120" s="76" t="s">
        <v>169</v>
      </c>
      <c r="H120" s="76" t="s">
        <v>170</v>
      </c>
      <c r="I120" s="76">
        <v>0</v>
      </c>
      <c r="J120" s="76">
        <v>0</v>
      </c>
      <c r="K120" s="76" t="s">
        <v>535</v>
      </c>
      <c r="L120" s="76">
        <f t="shared" si="19"/>
        <v>5.0000000000000004E-8</v>
      </c>
      <c r="M120" s="76" t="s">
        <v>163</v>
      </c>
      <c r="N120" s="76"/>
      <c r="O120" s="76" t="s">
        <v>535</v>
      </c>
      <c r="P120" s="76" t="s">
        <v>550</v>
      </c>
    </row>
    <row r="121" spans="2:16" ht="12.75" customHeight="1" x14ac:dyDescent="0.2">
      <c r="B121" s="76" t="s">
        <v>548</v>
      </c>
      <c r="C121" s="76">
        <f t="shared" si="18"/>
        <v>5.0000000000000004E-8</v>
      </c>
      <c r="D121" s="76">
        <v>1</v>
      </c>
      <c r="E121" s="76" t="s">
        <v>933</v>
      </c>
      <c r="F121" s="76" t="s">
        <v>168</v>
      </c>
      <c r="G121" s="76" t="s">
        <v>169</v>
      </c>
      <c r="H121" s="76" t="s">
        <v>170</v>
      </c>
      <c r="I121" s="76">
        <v>0</v>
      </c>
      <c r="J121" s="76">
        <v>0</v>
      </c>
      <c r="K121" s="76" t="s">
        <v>535</v>
      </c>
      <c r="L121" s="76">
        <f t="shared" si="19"/>
        <v>5.0000000000000004E-8</v>
      </c>
      <c r="M121" s="76" t="s">
        <v>163</v>
      </c>
      <c r="N121" s="76"/>
      <c r="O121" s="76" t="s">
        <v>535</v>
      </c>
      <c r="P121" s="76" t="s">
        <v>550</v>
      </c>
    </row>
    <row r="122" spans="2:16" ht="12.75" customHeight="1" x14ac:dyDescent="0.2">
      <c r="B122" s="76" t="s">
        <v>548</v>
      </c>
      <c r="C122" s="76">
        <f t="shared" si="18"/>
        <v>5.0000000000000004E-8</v>
      </c>
      <c r="D122" s="76">
        <v>1</v>
      </c>
      <c r="E122" s="76" t="s">
        <v>932</v>
      </c>
      <c r="F122" s="76" t="s">
        <v>168</v>
      </c>
      <c r="G122" s="76" t="s">
        <v>169</v>
      </c>
      <c r="H122" s="76" t="s">
        <v>170</v>
      </c>
      <c r="I122" s="76">
        <v>0</v>
      </c>
      <c r="J122" s="76">
        <v>0</v>
      </c>
      <c r="K122" s="76" t="s">
        <v>535</v>
      </c>
      <c r="L122" s="76">
        <f t="shared" si="19"/>
        <v>5.0000000000000004E-8</v>
      </c>
      <c r="M122" s="76" t="s">
        <v>163</v>
      </c>
      <c r="N122" s="76"/>
      <c r="O122" s="76" t="s">
        <v>535</v>
      </c>
      <c r="P122" s="76" t="s">
        <v>550</v>
      </c>
    </row>
    <row r="123" spans="2:16" ht="12.75" customHeight="1" x14ac:dyDescent="0.2">
      <c r="B123" s="76" t="s">
        <v>548</v>
      </c>
      <c r="C123" s="76">
        <f t="shared" si="18"/>
        <v>5.0000000000000004E-8</v>
      </c>
      <c r="D123" s="76">
        <v>1</v>
      </c>
      <c r="E123" s="76" t="s">
        <v>931</v>
      </c>
      <c r="F123" s="76" t="s">
        <v>168</v>
      </c>
      <c r="G123" s="76" t="s">
        <v>169</v>
      </c>
      <c r="H123" s="76" t="s">
        <v>170</v>
      </c>
      <c r="I123" s="76">
        <v>0</v>
      </c>
      <c r="J123" s="76">
        <v>0</v>
      </c>
      <c r="K123" s="76" t="s">
        <v>535</v>
      </c>
      <c r="L123" s="76">
        <f t="shared" si="19"/>
        <v>5.0000000000000004E-8</v>
      </c>
      <c r="M123" s="76" t="s">
        <v>163</v>
      </c>
      <c r="N123" s="76"/>
      <c r="O123" s="76" t="s">
        <v>535</v>
      </c>
      <c r="P123" s="76" t="s">
        <v>550</v>
      </c>
    </row>
    <row r="124" spans="2:16" ht="12.75" customHeight="1" x14ac:dyDescent="0.2">
      <c r="B124" s="76" t="s">
        <v>548</v>
      </c>
      <c r="C124" s="76">
        <f t="shared" si="18"/>
        <v>5.0000000000000004E-8</v>
      </c>
      <c r="D124" s="76">
        <v>1</v>
      </c>
      <c r="E124" s="76" t="s">
        <v>930</v>
      </c>
      <c r="F124" s="76" t="s">
        <v>168</v>
      </c>
      <c r="G124" s="76" t="s">
        <v>169</v>
      </c>
      <c r="H124" s="76" t="s">
        <v>170</v>
      </c>
      <c r="I124" s="76">
        <v>0</v>
      </c>
      <c r="J124" s="76">
        <v>0</v>
      </c>
      <c r="K124" s="76" t="s">
        <v>535</v>
      </c>
      <c r="L124" s="76">
        <f t="shared" si="19"/>
        <v>5.0000000000000004E-8</v>
      </c>
      <c r="M124" s="76" t="s">
        <v>163</v>
      </c>
      <c r="N124" s="76"/>
      <c r="O124" s="76" t="s">
        <v>535</v>
      </c>
      <c r="P124" s="76" t="s">
        <v>550</v>
      </c>
    </row>
    <row r="125" spans="2:16" ht="12.75" customHeight="1" x14ac:dyDescent="0.2">
      <c r="B125" s="76" t="s">
        <v>548</v>
      </c>
      <c r="C125" s="76">
        <f t="shared" si="18"/>
        <v>5.0000000000000004E-8</v>
      </c>
      <c r="D125" s="76">
        <v>1</v>
      </c>
      <c r="E125" s="76" t="s">
        <v>929</v>
      </c>
      <c r="F125" s="76" t="s">
        <v>168</v>
      </c>
      <c r="G125" s="76" t="s">
        <v>169</v>
      </c>
      <c r="H125" s="76" t="s">
        <v>170</v>
      </c>
      <c r="I125" s="76">
        <v>0</v>
      </c>
      <c r="J125" s="76">
        <v>0</v>
      </c>
      <c r="K125" s="76" t="s">
        <v>535</v>
      </c>
      <c r="L125" s="76">
        <f t="shared" si="19"/>
        <v>5.0000000000000004E-8</v>
      </c>
      <c r="M125" s="76" t="s">
        <v>163</v>
      </c>
      <c r="N125" s="76"/>
      <c r="O125" s="76" t="s">
        <v>535</v>
      </c>
      <c r="P125" s="76" t="s">
        <v>550</v>
      </c>
    </row>
    <row r="126" spans="2:16" ht="12.75" customHeight="1" x14ac:dyDescent="0.2">
      <c r="B126" s="76" t="s">
        <v>548</v>
      </c>
      <c r="C126" s="76">
        <f t="shared" si="18"/>
        <v>5.0000000000000004E-8</v>
      </c>
      <c r="D126" s="76">
        <v>1</v>
      </c>
      <c r="E126" s="76" t="s">
        <v>928</v>
      </c>
      <c r="F126" s="76" t="s">
        <v>168</v>
      </c>
      <c r="G126" s="76" t="s">
        <v>169</v>
      </c>
      <c r="H126" s="76" t="s">
        <v>170</v>
      </c>
      <c r="I126" s="76">
        <v>0</v>
      </c>
      <c r="J126" s="76">
        <v>0</v>
      </c>
      <c r="K126" s="76" t="s">
        <v>535</v>
      </c>
      <c r="L126" s="76">
        <f t="shared" si="19"/>
        <v>5.0000000000000004E-8</v>
      </c>
      <c r="M126" s="76" t="s">
        <v>163</v>
      </c>
      <c r="N126" s="76"/>
      <c r="O126" s="76" t="s">
        <v>535</v>
      </c>
      <c r="P126" s="76" t="s">
        <v>550</v>
      </c>
    </row>
    <row r="127" spans="2:16" ht="12.75" customHeight="1" x14ac:dyDescent="0.2">
      <c r="B127" s="76" t="s">
        <v>548</v>
      </c>
      <c r="C127" s="76">
        <f t="shared" si="18"/>
        <v>5.0000000000000004E-8</v>
      </c>
      <c r="D127" s="76">
        <v>1</v>
      </c>
      <c r="E127" s="76" t="s">
        <v>927</v>
      </c>
      <c r="F127" s="76" t="s">
        <v>168</v>
      </c>
      <c r="G127" s="76" t="s">
        <v>169</v>
      </c>
      <c r="H127" s="76" t="s">
        <v>170</v>
      </c>
      <c r="I127" s="76">
        <v>0</v>
      </c>
      <c r="J127" s="76">
        <v>0</v>
      </c>
      <c r="K127" s="76" t="s">
        <v>535</v>
      </c>
      <c r="L127" s="76">
        <f t="shared" si="19"/>
        <v>5.0000000000000004E-8</v>
      </c>
      <c r="M127" s="76" t="s">
        <v>163</v>
      </c>
      <c r="N127" s="76"/>
      <c r="O127" s="76" t="s">
        <v>535</v>
      </c>
      <c r="P127" s="76" t="s">
        <v>550</v>
      </c>
    </row>
    <row r="128" spans="2:16" ht="12.75" customHeight="1" x14ac:dyDescent="0.2">
      <c r="B128" s="76" t="s">
        <v>548</v>
      </c>
      <c r="C128" s="76">
        <f t="shared" si="18"/>
        <v>5.0000000000000004E-8</v>
      </c>
      <c r="D128" s="76">
        <v>1</v>
      </c>
      <c r="E128" s="76" t="s">
        <v>926</v>
      </c>
      <c r="F128" s="76" t="s">
        <v>168</v>
      </c>
      <c r="G128" s="76" t="s">
        <v>169</v>
      </c>
      <c r="H128" s="76" t="s">
        <v>170</v>
      </c>
      <c r="I128" s="76">
        <v>0</v>
      </c>
      <c r="J128" s="76">
        <v>0</v>
      </c>
      <c r="K128" s="76" t="s">
        <v>535</v>
      </c>
      <c r="L128" s="76">
        <f t="shared" si="19"/>
        <v>5.0000000000000004E-8</v>
      </c>
      <c r="M128" s="76" t="s">
        <v>163</v>
      </c>
      <c r="N128" s="76"/>
      <c r="O128" s="76" t="s">
        <v>535</v>
      </c>
      <c r="P128" s="76" t="s">
        <v>550</v>
      </c>
    </row>
    <row r="129" spans="2:16" ht="12.75" customHeight="1" x14ac:dyDescent="0.2">
      <c r="B129" s="76" t="s">
        <v>548</v>
      </c>
      <c r="C129" s="76">
        <f t="shared" si="18"/>
        <v>5.0000000000000004E-8</v>
      </c>
      <c r="D129" s="76">
        <v>1</v>
      </c>
      <c r="E129" s="76" t="s">
        <v>925</v>
      </c>
      <c r="F129" s="76" t="s">
        <v>168</v>
      </c>
      <c r="G129" s="76" t="s">
        <v>169</v>
      </c>
      <c r="H129" s="76" t="s">
        <v>170</v>
      </c>
      <c r="I129" s="76">
        <v>0</v>
      </c>
      <c r="J129" s="76">
        <v>0</v>
      </c>
      <c r="K129" s="76" t="s">
        <v>535</v>
      </c>
      <c r="L129" s="76">
        <f t="shared" si="19"/>
        <v>5.0000000000000004E-8</v>
      </c>
      <c r="M129" s="76" t="s">
        <v>163</v>
      </c>
      <c r="N129" s="76"/>
      <c r="O129" s="76" t="s">
        <v>535</v>
      </c>
      <c r="P129" s="76" t="s">
        <v>550</v>
      </c>
    </row>
    <row r="130" spans="2:16" ht="12.75" customHeight="1" x14ac:dyDescent="0.2">
      <c r="B130" s="76" t="s">
        <v>548</v>
      </c>
      <c r="C130" s="76">
        <f t="shared" si="18"/>
        <v>5.0000000000000004E-8</v>
      </c>
      <c r="D130" s="76">
        <v>1</v>
      </c>
      <c r="E130" s="76" t="s">
        <v>943</v>
      </c>
      <c r="F130" s="76" t="s">
        <v>168</v>
      </c>
      <c r="G130" s="76" t="s">
        <v>169</v>
      </c>
      <c r="H130" s="76" t="s">
        <v>170</v>
      </c>
      <c r="I130" s="76">
        <v>0</v>
      </c>
      <c r="J130" s="76">
        <v>0</v>
      </c>
      <c r="K130" s="76" t="s">
        <v>535</v>
      </c>
      <c r="L130" s="76">
        <f t="shared" si="19"/>
        <v>5.0000000000000004E-8</v>
      </c>
      <c r="M130" s="76" t="s">
        <v>163</v>
      </c>
      <c r="N130" s="76"/>
      <c r="O130" s="76" t="s">
        <v>535</v>
      </c>
      <c r="P130" s="76" t="s">
        <v>550</v>
      </c>
    </row>
    <row r="131" spans="2:16" ht="12.75" customHeight="1" x14ac:dyDescent="0.2">
      <c r="B131" s="76" t="s">
        <v>548</v>
      </c>
      <c r="C131" s="76">
        <f t="shared" si="18"/>
        <v>5.0000000000000004E-8</v>
      </c>
      <c r="D131" s="76">
        <v>1</v>
      </c>
      <c r="E131" s="76" t="s">
        <v>924</v>
      </c>
      <c r="F131" s="76" t="s">
        <v>168</v>
      </c>
      <c r="G131" s="76" t="s">
        <v>169</v>
      </c>
      <c r="H131" s="76" t="s">
        <v>170</v>
      </c>
      <c r="I131" s="76">
        <v>0</v>
      </c>
      <c r="J131" s="76">
        <v>0</v>
      </c>
      <c r="K131" s="76" t="s">
        <v>535</v>
      </c>
      <c r="L131" s="76">
        <f t="shared" si="19"/>
        <v>5.0000000000000004E-8</v>
      </c>
      <c r="M131" s="76" t="s">
        <v>163</v>
      </c>
      <c r="N131" s="76"/>
      <c r="O131" s="76" t="s">
        <v>535</v>
      </c>
      <c r="P131" s="76" t="s">
        <v>550</v>
      </c>
    </row>
    <row r="132" spans="2:16" ht="12.75" customHeight="1" x14ac:dyDescent="0.2">
      <c r="B132" s="76" t="s">
        <v>548</v>
      </c>
      <c r="C132" s="76">
        <f t="shared" si="18"/>
        <v>5.0000000000000004E-8</v>
      </c>
      <c r="D132" s="76">
        <v>1</v>
      </c>
      <c r="E132" s="76" t="s">
        <v>923</v>
      </c>
      <c r="F132" s="76" t="s">
        <v>168</v>
      </c>
      <c r="G132" s="76" t="s">
        <v>169</v>
      </c>
      <c r="H132" s="76" t="s">
        <v>170</v>
      </c>
      <c r="I132" s="76">
        <v>0</v>
      </c>
      <c r="J132" s="76">
        <v>0</v>
      </c>
      <c r="K132" s="76" t="s">
        <v>535</v>
      </c>
      <c r="L132" s="76">
        <f t="shared" si="19"/>
        <v>5.0000000000000004E-8</v>
      </c>
      <c r="M132" s="76" t="s">
        <v>163</v>
      </c>
      <c r="N132" s="76"/>
      <c r="O132" s="76" t="s">
        <v>535</v>
      </c>
      <c r="P132" s="76" t="s">
        <v>550</v>
      </c>
    </row>
    <row r="133" spans="2:16" ht="12.75" customHeight="1" x14ac:dyDescent="0.2">
      <c r="B133" s="76" t="s">
        <v>548</v>
      </c>
      <c r="C133" s="76">
        <f t="shared" si="18"/>
        <v>5.0000000000000004E-8</v>
      </c>
      <c r="D133" s="76">
        <v>1</v>
      </c>
      <c r="E133" s="76" t="s">
        <v>922</v>
      </c>
      <c r="F133" s="76" t="s">
        <v>168</v>
      </c>
      <c r="G133" s="76" t="s">
        <v>169</v>
      </c>
      <c r="H133" s="76" t="s">
        <v>170</v>
      </c>
      <c r="I133" s="76">
        <v>0</v>
      </c>
      <c r="J133" s="76">
        <v>0</v>
      </c>
      <c r="K133" s="76" t="s">
        <v>535</v>
      </c>
      <c r="L133" s="76">
        <f t="shared" si="19"/>
        <v>5.0000000000000004E-8</v>
      </c>
      <c r="M133" s="76" t="s">
        <v>163</v>
      </c>
      <c r="N133" s="76"/>
      <c r="O133" s="76" t="s">
        <v>535</v>
      </c>
      <c r="P133" s="76" t="s">
        <v>550</v>
      </c>
    </row>
    <row r="134" spans="2:16" ht="12.75" customHeight="1" x14ac:dyDescent="0.2">
      <c r="B134" s="76" t="s">
        <v>548</v>
      </c>
      <c r="C134" s="76">
        <f t="shared" si="18"/>
        <v>5.0000000000000004E-8</v>
      </c>
      <c r="D134" s="76">
        <v>1</v>
      </c>
      <c r="E134" s="76" t="s">
        <v>921</v>
      </c>
      <c r="F134" s="76" t="s">
        <v>168</v>
      </c>
      <c r="G134" s="76" t="s">
        <v>169</v>
      </c>
      <c r="H134" s="76" t="s">
        <v>170</v>
      </c>
      <c r="I134" s="76">
        <v>0</v>
      </c>
      <c r="J134" s="76">
        <v>0</v>
      </c>
      <c r="K134" s="76" t="s">
        <v>535</v>
      </c>
      <c r="L134" s="76">
        <f t="shared" si="19"/>
        <v>5.0000000000000004E-8</v>
      </c>
      <c r="M134" s="76" t="s">
        <v>163</v>
      </c>
      <c r="N134" s="76"/>
      <c r="O134" s="76" t="s">
        <v>535</v>
      </c>
      <c r="P134" s="76" t="s">
        <v>550</v>
      </c>
    </row>
    <row r="135" spans="2:16" ht="12.75" customHeight="1" x14ac:dyDescent="0.2">
      <c r="B135" s="76" t="s">
        <v>548</v>
      </c>
      <c r="C135" s="76">
        <f t="shared" ref="C135:C166" si="20">50*ns</f>
        <v>5.0000000000000004E-8</v>
      </c>
      <c r="D135" s="76">
        <v>1</v>
      </c>
      <c r="E135" s="76" t="s">
        <v>920</v>
      </c>
      <c r="F135" s="76" t="s">
        <v>168</v>
      </c>
      <c r="G135" s="76" t="s">
        <v>169</v>
      </c>
      <c r="H135" s="76" t="s">
        <v>170</v>
      </c>
      <c r="I135" s="76">
        <v>0</v>
      </c>
      <c r="J135" s="76">
        <v>0</v>
      </c>
      <c r="K135" s="76" t="s">
        <v>535</v>
      </c>
      <c r="L135" s="76">
        <f t="shared" si="19"/>
        <v>5.0000000000000004E-8</v>
      </c>
      <c r="M135" s="76" t="s">
        <v>163</v>
      </c>
      <c r="N135" s="76"/>
      <c r="O135" s="76" t="s">
        <v>535</v>
      </c>
      <c r="P135" s="76" t="s">
        <v>550</v>
      </c>
    </row>
    <row r="136" spans="2:16" ht="12.75" customHeight="1" x14ac:dyDescent="0.2">
      <c r="B136" s="76" t="s">
        <v>548</v>
      </c>
      <c r="C136" s="76">
        <f t="shared" si="20"/>
        <v>5.0000000000000004E-8</v>
      </c>
      <c r="D136" s="76">
        <v>1</v>
      </c>
      <c r="E136" s="76" t="s">
        <v>919</v>
      </c>
      <c r="F136" s="76" t="s">
        <v>168</v>
      </c>
      <c r="G136" s="76" t="s">
        <v>169</v>
      </c>
      <c r="H136" s="76" t="s">
        <v>170</v>
      </c>
      <c r="I136" s="76">
        <v>0</v>
      </c>
      <c r="J136" s="76">
        <v>0</v>
      </c>
      <c r="K136" s="76" t="s">
        <v>535</v>
      </c>
      <c r="L136" s="76">
        <f t="shared" si="19"/>
        <v>5.0000000000000004E-8</v>
      </c>
      <c r="M136" s="76" t="s">
        <v>163</v>
      </c>
      <c r="N136" s="76"/>
      <c r="O136" s="76" t="s">
        <v>535</v>
      </c>
      <c r="P136" s="76" t="s">
        <v>550</v>
      </c>
    </row>
    <row r="137" spans="2:16" ht="12.75" customHeight="1" x14ac:dyDescent="0.2">
      <c r="B137" s="76" t="s">
        <v>548</v>
      </c>
      <c r="C137" s="76">
        <f t="shared" si="20"/>
        <v>5.0000000000000004E-8</v>
      </c>
      <c r="D137" s="76">
        <v>1</v>
      </c>
      <c r="E137" s="76" t="s">
        <v>918</v>
      </c>
      <c r="F137" s="76" t="s">
        <v>168</v>
      </c>
      <c r="G137" s="76" t="s">
        <v>169</v>
      </c>
      <c r="H137" s="76" t="s">
        <v>170</v>
      </c>
      <c r="I137" s="76">
        <v>0</v>
      </c>
      <c r="J137" s="76">
        <v>0</v>
      </c>
      <c r="K137" s="76" t="s">
        <v>535</v>
      </c>
      <c r="L137" s="76">
        <f t="shared" si="19"/>
        <v>5.0000000000000004E-8</v>
      </c>
      <c r="M137" s="76" t="s">
        <v>163</v>
      </c>
      <c r="N137" s="76"/>
      <c r="O137" s="76" t="s">
        <v>535</v>
      </c>
      <c r="P137" s="76" t="s">
        <v>550</v>
      </c>
    </row>
    <row r="138" spans="2:16" ht="12.75" customHeight="1" x14ac:dyDescent="0.2">
      <c r="B138" s="76" t="s">
        <v>548</v>
      </c>
      <c r="C138" s="76">
        <f t="shared" si="20"/>
        <v>5.0000000000000004E-8</v>
      </c>
      <c r="D138" s="76">
        <v>1</v>
      </c>
      <c r="E138" s="76" t="s">
        <v>917</v>
      </c>
      <c r="F138" s="76" t="s">
        <v>168</v>
      </c>
      <c r="G138" s="76" t="s">
        <v>169</v>
      </c>
      <c r="H138" s="76" t="s">
        <v>170</v>
      </c>
      <c r="I138" s="76">
        <v>0</v>
      </c>
      <c r="J138" s="76">
        <v>0</v>
      </c>
      <c r="K138" s="76" t="s">
        <v>535</v>
      </c>
      <c r="L138" s="76">
        <f t="shared" ref="L138:L164" si="21">C138</f>
        <v>5.0000000000000004E-8</v>
      </c>
      <c r="M138" s="76" t="s">
        <v>163</v>
      </c>
      <c r="N138" s="76"/>
      <c r="O138" s="76" t="s">
        <v>535</v>
      </c>
      <c r="P138" s="76" t="s">
        <v>550</v>
      </c>
    </row>
    <row r="139" spans="2:16" ht="12.75" customHeight="1" x14ac:dyDescent="0.2">
      <c r="B139" s="76" t="s">
        <v>548</v>
      </c>
      <c r="C139" s="76">
        <f t="shared" si="20"/>
        <v>5.0000000000000004E-8</v>
      </c>
      <c r="D139" s="76">
        <v>1</v>
      </c>
      <c r="E139" s="76" t="s">
        <v>916</v>
      </c>
      <c r="F139" s="76" t="s">
        <v>168</v>
      </c>
      <c r="G139" s="76" t="s">
        <v>169</v>
      </c>
      <c r="H139" s="76" t="s">
        <v>170</v>
      </c>
      <c r="I139" s="76">
        <v>0</v>
      </c>
      <c r="J139" s="76">
        <v>0</v>
      </c>
      <c r="K139" s="76" t="s">
        <v>535</v>
      </c>
      <c r="L139" s="76">
        <f t="shared" si="21"/>
        <v>5.0000000000000004E-8</v>
      </c>
      <c r="M139" s="76" t="s">
        <v>163</v>
      </c>
      <c r="N139" s="76"/>
      <c r="O139" s="76" t="s">
        <v>535</v>
      </c>
      <c r="P139" s="76" t="s">
        <v>550</v>
      </c>
    </row>
    <row r="140" spans="2:16" ht="12.75" customHeight="1" x14ac:dyDescent="0.2">
      <c r="B140" s="76" t="s">
        <v>548</v>
      </c>
      <c r="C140" s="76">
        <f t="shared" si="20"/>
        <v>5.0000000000000004E-8</v>
      </c>
      <c r="D140" s="76">
        <v>1</v>
      </c>
      <c r="E140" s="76" t="s">
        <v>915</v>
      </c>
      <c r="F140" s="76" t="s">
        <v>168</v>
      </c>
      <c r="G140" s="76" t="s">
        <v>169</v>
      </c>
      <c r="H140" s="76" t="s">
        <v>170</v>
      </c>
      <c r="I140" s="76">
        <v>0</v>
      </c>
      <c r="J140" s="76">
        <v>0</v>
      </c>
      <c r="K140" s="76" t="s">
        <v>535</v>
      </c>
      <c r="L140" s="76">
        <f t="shared" si="21"/>
        <v>5.0000000000000004E-8</v>
      </c>
      <c r="M140" s="76" t="s">
        <v>163</v>
      </c>
      <c r="N140" s="76"/>
      <c r="O140" s="76" t="s">
        <v>535</v>
      </c>
      <c r="P140" s="76" t="s">
        <v>550</v>
      </c>
    </row>
    <row r="141" spans="2:16" ht="12.75" customHeight="1" x14ac:dyDescent="0.2">
      <c r="B141" s="76" t="s">
        <v>548</v>
      </c>
      <c r="C141" s="76">
        <f t="shared" si="20"/>
        <v>5.0000000000000004E-8</v>
      </c>
      <c r="D141" s="76">
        <v>1</v>
      </c>
      <c r="E141" s="76" t="s">
        <v>942</v>
      </c>
      <c r="F141" s="76" t="s">
        <v>168</v>
      </c>
      <c r="G141" s="76" t="s">
        <v>169</v>
      </c>
      <c r="H141" s="76" t="s">
        <v>170</v>
      </c>
      <c r="I141" s="76">
        <v>0</v>
      </c>
      <c r="J141" s="76">
        <v>0</v>
      </c>
      <c r="K141" s="76" t="s">
        <v>535</v>
      </c>
      <c r="L141" s="76">
        <f t="shared" si="21"/>
        <v>5.0000000000000004E-8</v>
      </c>
      <c r="M141" s="76" t="s">
        <v>163</v>
      </c>
      <c r="N141" s="76"/>
      <c r="O141" s="76" t="s">
        <v>535</v>
      </c>
      <c r="P141" s="76" t="s">
        <v>550</v>
      </c>
    </row>
    <row r="142" spans="2:16" ht="12.75" customHeight="1" x14ac:dyDescent="0.2">
      <c r="B142" s="76" t="s">
        <v>548</v>
      </c>
      <c r="C142" s="76">
        <f t="shared" si="20"/>
        <v>5.0000000000000004E-8</v>
      </c>
      <c r="D142" s="76">
        <v>1</v>
      </c>
      <c r="E142" s="76" t="s">
        <v>914</v>
      </c>
      <c r="F142" s="76" t="s">
        <v>168</v>
      </c>
      <c r="G142" s="76" t="s">
        <v>169</v>
      </c>
      <c r="H142" s="76" t="s">
        <v>170</v>
      </c>
      <c r="I142" s="76">
        <v>0</v>
      </c>
      <c r="J142" s="76">
        <v>0</v>
      </c>
      <c r="K142" s="76" t="s">
        <v>535</v>
      </c>
      <c r="L142" s="76">
        <f t="shared" si="21"/>
        <v>5.0000000000000004E-8</v>
      </c>
      <c r="M142" s="76" t="s">
        <v>163</v>
      </c>
      <c r="N142" s="76"/>
      <c r="O142" s="76" t="s">
        <v>535</v>
      </c>
      <c r="P142" s="76" t="s">
        <v>550</v>
      </c>
    </row>
    <row r="143" spans="2:16" ht="12.75" customHeight="1" x14ac:dyDescent="0.2">
      <c r="B143" s="76" t="s">
        <v>548</v>
      </c>
      <c r="C143" s="76">
        <f t="shared" si="20"/>
        <v>5.0000000000000004E-8</v>
      </c>
      <c r="D143" s="76">
        <v>1</v>
      </c>
      <c r="E143" s="76" t="s">
        <v>913</v>
      </c>
      <c r="F143" s="76" t="s">
        <v>168</v>
      </c>
      <c r="G143" s="76" t="s">
        <v>169</v>
      </c>
      <c r="H143" s="76" t="s">
        <v>170</v>
      </c>
      <c r="I143" s="76">
        <v>0</v>
      </c>
      <c r="J143" s="76">
        <v>0</v>
      </c>
      <c r="K143" s="76" t="s">
        <v>535</v>
      </c>
      <c r="L143" s="76">
        <f t="shared" si="21"/>
        <v>5.0000000000000004E-8</v>
      </c>
      <c r="M143" s="76" t="s">
        <v>163</v>
      </c>
      <c r="N143" s="76"/>
      <c r="O143" s="76" t="s">
        <v>535</v>
      </c>
      <c r="P143" s="76" t="s">
        <v>550</v>
      </c>
    </row>
    <row r="144" spans="2:16" ht="12.75" customHeight="1" x14ac:dyDescent="0.2">
      <c r="B144" s="76" t="s">
        <v>548</v>
      </c>
      <c r="C144" s="76">
        <f t="shared" si="20"/>
        <v>5.0000000000000004E-8</v>
      </c>
      <c r="D144" s="76">
        <v>1</v>
      </c>
      <c r="E144" s="76" t="s">
        <v>941</v>
      </c>
      <c r="F144" s="76" t="s">
        <v>168</v>
      </c>
      <c r="G144" s="76" t="s">
        <v>169</v>
      </c>
      <c r="H144" s="76" t="s">
        <v>170</v>
      </c>
      <c r="I144" s="76">
        <v>0</v>
      </c>
      <c r="J144" s="76">
        <v>0</v>
      </c>
      <c r="K144" s="76" t="s">
        <v>535</v>
      </c>
      <c r="L144" s="76">
        <f t="shared" si="21"/>
        <v>5.0000000000000004E-8</v>
      </c>
      <c r="M144" s="76" t="s">
        <v>163</v>
      </c>
      <c r="N144" s="76"/>
      <c r="O144" s="76" t="s">
        <v>535</v>
      </c>
      <c r="P144" s="76" t="s">
        <v>550</v>
      </c>
    </row>
    <row r="145" spans="2:16" ht="12.75" customHeight="1" x14ac:dyDescent="0.2">
      <c r="B145" s="76" t="s">
        <v>548</v>
      </c>
      <c r="C145" s="76">
        <f t="shared" si="20"/>
        <v>5.0000000000000004E-8</v>
      </c>
      <c r="D145" s="76">
        <v>1</v>
      </c>
      <c r="E145" s="76" t="s">
        <v>940</v>
      </c>
      <c r="F145" s="76" t="s">
        <v>168</v>
      </c>
      <c r="G145" s="76" t="s">
        <v>169</v>
      </c>
      <c r="H145" s="76" t="s">
        <v>170</v>
      </c>
      <c r="I145" s="76">
        <v>0</v>
      </c>
      <c r="J145" s="76">
        <v>0</v>
      </c>
      <c r="K145" s="76" t="s">
        <v>535</v>
      </c>
      <c r="L145" s="76">
        <f t="shared" si="21"/>
        <v>5.0000000000000004E-8</v>
      </c>
      <c r="M145" s="76" t="s">
        <v>163</v>
      </c>
      <c r="N145" s="76"/>
      <c r="O145" s="76" t="s">
        <v>535</v>
      </c>
      <c r="P145" s="76" t="s">
        <v>550</v>
      </c>
    </row>
    <row r="146" spans="2:16" ht="12.75" customHeight="1" x14ac:dyDescent="0.2">
      <c r="B146" s="76" t="s">
        <v>548</v>
      </c>
      <c r="C146" s="76">
        <f t="shared" si="20"/>
        <v>5.0000000000000004E-8</v>
      </c>
      <c r="D146" s="76">
        <v>1</v>
      </c>
      <c r="E146" s="76" t="s">
        <v>939</v>
      </c>
      <c r="F146" s="76" t="s">
        <v>168</v>
      </c>
      <c r="G146" s="76" t="s">
        <v>169</v>
      </c>
      <c r="H146" s="76" t="s">
        <v>170</v>
      </c>
      <c r="I146" s="76">
        <v>0</v>
      </c>
      <c r="J146" s="76">
        <v>0</v>
      </c>
      <c r="K146" s="76" t="s">
        <v>535</v>
      </c>
      <c r="L146" s="76">
        <f t="shared" si="21"/>
        <v>5.0000000000000004E-8</v>
      </c>
      <c r="M146" s="76" t="s">
        <v>163</v>
      </c>
      <c r="N146" s="76"/>
      <c r="O146" s="76" t="s">
        <v>535</v>
      </c>
      <c r="P146" s="76" t="s">
        <v>550</v>
      </c>
    </row>
    <row r="147" spans="2:16" ht="12.75" customHeight="1" x14ac:dyDescent="0.2">
      <c r="B147" s="76" t="s">
        <v>548</v>
      </c>
      <c r="C147" s="76">
        <f t="shared" si="20"/>
        <v>5.0000000000000004E-8</v>
      </c>
      <c r="D147" s="76">
        <v>1</v>
      </c>
      <c r="E147" s="76" t="s">
        <v>938</v>
      </c>
      <c r="F147" s="76" t="s">
        <v>168</v>
      </c>
      <c r="G147" s="76" t="s">
        <v>169</v>
      </c>
      <c r="H147" s="76" t="s">
        <v>170</v>
      </c>
      <c r="I147" s="76">
        <v>0</v>
      </c>
      <c r="J147" s="76">
        <v>0</v>
      </c>
      <c r="K147" s="76" t="s">
        <v>535</v>
      </c>
      <c r="L147" s="76">
        <f t="shared" si="21"/>
        <v>5.0000000000000004E-8</v>
      </c>
      <c r="M147" s="76" t="s">
        <v>163</v>
      </c>
      <c r="N147" s="76"/>
      <c r="O147" s="76" t="s">
        <v>535</v>
      </c>
      <c r="P147" s="76" t="s">
        <v>550</v>
      </c>
    </row>
    <row r="148" spans="2:16" ht="12.75" customHeight="1" x14ac:dyDescent="0.2">
      <c r="B148" s="76" t="s">
        <v>548</v>
      </c>
      <c r="C148" s="76">
        <f t="shared" si="20"/>
        <v>5.0000000000000004E-8</v>
      </c>
      <c r="D148" s="76">
        <v>1</v>
      </c>
      <c r="E148" s="76" t="s">
        <v>937</v>
      </c>
      <c r="F148" s="76" t="s">
        <v>168</v>
      </c>
      <c r="G148" s="76" t="s">
        <v>169</v>
      </c>
      <c r="H148" s="76" t="s">
        <v>170</v>
      </c>
      <c r="I148" s="76">
        <v>0</v>
      </c>
      <c r="J148" s="76">
        <v>0</v>
      </c>
      <c r="K148" s="76" t="s">
        <v>535</v>
      </c>
      <c r="L148" s="76">
        <f t="shared" si="21"/>
        <v>5.0000000000000004E-8</v>
      </c>
      <c r="M148" s="76" t="s">
        <v>163</v>
      </c>
      <c r="N148" s="76"/>
      <c r="O148" s="76" t="s">
        <v>535</v>
      </c>
      <c r="P148" s="76" t="s">
        <v>550</v>
      </c>
    </row>
    <row r="149" spans="2:16" ht="12.75" customHeight="1" x14ac:dyDescent="0.2">
      <c r="B149" s="76" t="s">
        <v>548</v>
      </c>
      <c r="C149" s="76">
        <f t="shared" si="20"/>
        <v>5.0000000000000004E-8</v>
      </c>
      <c r="D149" s="76">
        <v>1</v>
      </c>
      <c r="E149" s="76" t="s">
        <v>936</v>
      </c>
      <c r="F149" s="76" t="s">
        <v>168</v>
      </c>
      <c r="G149" s="76" t="s">
        <v>169</v>
      </c>
      <c r="H149" s="76" t="s">
        <v>170</v>
      </c>
      <c r="I149" s="76">
        <v>0</v>
      </c>
      <c r="J149" s="76">
        <v>0</v>
      </c>
      <c r="K149" s="76" t="s">
        <v>535</v>
      </c>
      <c r="L149" s="76">
        <f t="shared" si="21"/>
        <v>5.0000000000000004E-8</v>
      </c>
      <c r="M149" s="76" t="s">
        <v>163</v>
      </c>
      <c r="N149" s="76"/>
      <c r="O149" s="76" t="s">
        <v>535</v>
      </c>
      <c r="P149" s="76" t="s">
        <v>550</v>
      </c>
    </row>
    <row r="150" spans="2:16" ht="12.75" customHeight="1" x14ac:dyDescent="0.2">
      <c r="B150" s="76" t="s">
        <v>548</v>
      </c>
      <c r="C150" s="76">
        <f t="shared" si="20"/>
        <v>5.0000000000000004E-8</v>
      </c>
      <c r="D150" s="76">
        <v>1</v>
      </c>
      <c r="E150" s="76" t="s">
        <v>935</v>
      </c>
      <c r="F150" s="76" t="s">
        <v>168</v>
      </c>
      <c r="G150" s="76" t="s">
        <v>169</v>
      </c>
      <c r="H150" s="76" t="s">
        <v>170</v>
      </c>
      <c r="I150" s="76">
        <v>0</v>
      </c>
      <c r="J150" s="76">
        <v>0</v>
      </c>
      <c r="K150" s="76" t="s">
        <v>535</v>
      </c>
      <c r="L150" s="76">
        <f t="shared" si="21"/>
        <v>5.0000000000000004E-8</v>
      </c>
      <c r="M150" s="76" t="s">
        <v>163</v>
      </c>
      <c r="N150" s="76"/>
      <c r="O150" s="76" t="s">
        <v>535</v>
      </c>
      <c r="P150" s="76" t="s">
        <v>550</v>
      </c>
    </row>
    <row r="151" spans="2:16" ht="12.75" customHeight="1" x14ac:dyDescent="0.2">
      <c r="B151" s="76" t="s">
        <v>548</v>
      </c>
      <c r="C151" s="76">
        <f t="shared" si="20"/>
        <v>5.0000000000000004E-8</v>
      </c>
      <c r="D151" s="76">
        <v>1</v>
      </c>
      <c r="E151" s="76" t="s">
        <v>945</v>
      </c>
      <c r="F151" s="76" t="s">
        <v>168</v>
      </c>
      <c r="G151" s="76" t="s">
        <v>169</v>
      </c>
      <c r="H151" s="76" t="s">
        <v>170</v>
      </c>
      <c r="I151" s="76">
        <v>0</v>
      </c>
      <c r="J151" s="76">
        <v>0</v>
      </c>
      <c r="K151" s="76" t="s">
        <v>535</v>
      </c>
      <c r="L151" s="76">
        <f t="shared" si="21"/>
        <v>5.0000000000000004E-8</v>
      </c>
      <c r="M151" s="76" t="s">
        <v>163</v>
      </c>
      <c r="N151" s="76"/>
      <c r="O151" s="76" t="s">
        <v>535</v>
      </c>
      <c r="P151" s="76" t="s">
        <v>550</v>
      </c>
    </row>
    <row r="152" spans="2:16" ht="12.75" customHeight="1" x14ac:dyDescent="0.2">
      <c r="B152" s="76" t="s">
        <v>548</v>
      </c>
      <c r="C152" s="76">
        <f t="shared" si="20"/>
        <v>5.0000000000000004E-8</v>
      </c>
      <c r="D152" s="76">
        <v>1</v>
      </c>
      <c r="E152" s="76" t="s">
        <v>946</v>
      </c>
      <c r="F152" s="76" t="s">
        <v>168</v>
      </c>
      <c r="G152" s="76" t="s">
        <v>169</v>
      </c>
      <c r="H152" s="76" t="s">
        <v>170</v>
      </c>
      <c r="I152" s="76">
        <v>0</v>
      </c>
      <c r="J152" s="76">
        <v>0</v>
      </c>
      <c r="K152" s="76" t="s">
        <v>535</v>
      </c>
      <c r="L152" s="76">
        <f t="shared" si="21"/>
        <v>5.0000000000000004E-8</v>
      </c>
      <c r="M152" s="76" t="s">
        <v>163</v>
      </c>
      <c r="N152" s="76"/>
      <c r="O152" s="76" t="s">
        <v>535</v>
      </c>
      <c r="P152" s="76" t="s">
        <v>550</v>
      </c>
    </row>
    <row r="153" spans="2:16" ht="12.75" customHeight="1" x14ac:dyDescent="0.2">
      <c r="B153" s="76" t="s">
        <v>548</v>
      </c>
      <c r="C153" s="76">
        <f t="shared" si="20"/>
        <v>5.0000000000000004E-8</v>
      </c>
      <c r="D153" s="76">
        <v>1</v>
      </c>
      <c r="E153" s="76" t="s">
        <v>103</v>
      </c>
      <c r="F153" s="76" t="s">
        <v>168</v>
      </c>
      <c r="G153" s="76" t="s">
        <v>169</v>
      </c>
      <c r="H153" s="76" t="s">
        <v>170</v>
      </c>
      <c r="I153" s="76">
        <f t="shared" ref="I153:I154" si="22">0*C153</f>
        <v>0</v>
      </c>
      <c r="J153" s="76">
        <f t="shared" ref="J153:J154" si="23">0*C153</f>
        <v>0</v>
      </c>
      <c r="K153" s="76" t="s">
        <v>535</v>
      </c>
      <c r="L153" s="76">
        <f t="shared" ref="L153:L154" si="24">1*C153</f>
        <v>5.0000000000000004E-8</v>
      </c>
      <c r="M153" s="76" t="s">
        <v>163</v>
      </c>
      <c r="N153" s="76"/>
      <c r="O153" s="76" t="s">
        <v>535</v>
      </c>
      <c r="P153" s="76" t="s">
        <v>550</v>
      </c>
    </row>
    <row r="154" spans="2:16" ht="12.75" customHeight="1" x14ac:dyDescent="0.2">
      <c r="B154" s="76" t="s">
        <v>548</v>
      </c>
      <c r="C154" s="76">
        <f t="shared" si="20"/>
        <v>5.0000000000000004E-8</v>
      </c>
      <c r="D154" s="76">
        <v>1</v>
      </c>
      <c r="E154" s="76" t="s">
        <v>111</v>
      </c>
      <c r="F154" s="76" t="s">
        <v>168</v>
      </c>
      <c r="G154" s="76" t="s">
        <v>169</v>
      </c>
      <c r="H154" s="76" t="s">
        <v>170</v>
      </c>
      <c r="I154" s="76">
        <f t="shared" si="22"/>
        <v>0</v>
      </c>
      <c r="J154" s="76">
        <f t="shared" si="23"/>
        <v>0</v>
      </c>
      <c r="K154" s="76" t="s">
        <v>535</v>
      </c>
      <c r="L154" s="76">
        <f t="shared" si="24"/>
        <v>5.0000000000000004E-8</v>
      </c>
      <c r="M154" s="76" t="s">
        <v>172</v>
      </c>
      <c r="N154" s="76">
        <f>0.95*C154</f>
        <v>4.7500000000000002E-8</v>
      </c>
      <c r="O154" s="76" t="s">
        <v>535</v>
      </c>
      <c r="P154" s="76" t="s">
        <v>550</v>
      </c>
    </row>
    <row r="155" spans="2:16" ht="12.75" customHeight="1" x14ac:dyDescent="0.2">
      <c r="B155" s="76" t="s">
        <v>548</v>
      </c>
      <c r="C155" s="76">
        <f t="shared" si="20"/>
        <v>5.0000000000000004E-8</v>
      </c>
      <c r="D155" s="76">
        <v>1</v>
      </c>
      <c r="E155" s="76" t="s">
        <v>120</v>
      </c>
      <c r="F155" s="76" t="s">
        <v>168</v>
      </c>
      <c r="G155" s="76" t="s">
        <v>169</v>
      </c>
      <c r="H155" s="76" t="s">
        <v>170</v>
      </c>
      <c r="I155" s="76">
        <v>0</v>
      </c>
      <c r="J155" s="76">
        <v>0</v>
      </c>
      <c r="K155" s="76" t="s">
        <v>535</v>
      </c>
      <c r="L155" s="76">
        <f t="shared" si="21"/>
        <v>5.0000000000000004E-8</v>
      </c>
      <c r="M155" s="76" t="s">
        <v>172</v>
      </c>
      <c r="N155" s="76">
        <f>0.1*C155</f>
        <v>5.0000000000000009E-9</v>
      </c>
      <c r="O155" s="76" t="s">
        <v>535</v>
      </c>
      <c r="P155" s="76" t="s">
        <v>550</v>
      </c>
    </row>
    <row r="156" spans="2:16" ht="12.75" customHeight="1" x14ac:dyDescent="0.2">
      <c r="B156" s="76" t="s">
        <v>548</v>
      </c>
      <c r="C156" s="76">
        <f t="shared" si="20"/>
        <v>5.0000000000000004E-8</v>
      </c>
      <c r="D156" s="76">
        <v>1</v>
      </c>
      <c r="E156" s="76" t="s">
        <v>121</v>
      </c>
      <c r="F156" s="76" t="s">
        <v>168</v>
      </c>
      <c r="G156" s="76" t="s">
        <v>169</v>
      </c>
      <c r="H156" s="76" t="s">
        <v>170</v>
      </c>
      <c r="I156" s="76">
        <v>0</v>
      </c>
      <c r="J156" s="76">
        <v>0</v>
      </c>
      <c r="K156" s="76" t="s">
        <v>535</v>
      </c>
      <c r="L156" s="76">
        <f t="shared" si="21"/>
        <v>5.0000000000000004E-8</v>
      </c>
      <c r="M156" s="76" t="s">
        <v>172</v>
      </c>
      <c r="N156" s="76">
        <f>0.1*C156</f>
        <v>5.0000000000000009E-9</v>
      </c>
      <c r="O156" s="76" t="s">
        <v>535</v>
      </c>
      <c r="P156" s="76" t="s">
        <v>550</v>
      </c>
    </row>
    <row r="157" spans="2:16" ht="12.75" customHeight="1" x14ac:dyDescent="0.2">
      <c r="B157" s="76" t="s">
        <v>548</v>
      </c>
      <c r="C157" s="76">
        <f t="shared" si="20"/>
        <v>5.0000000000000004E-8</v>
      </c>
      <c r="D157" s="76">
        <v>1</v>
      </c>
      <c r="E157" s="76" t="s">
        <v>97</v>
      </c>
      <c r="F157" s="76" t="s">
        <v>168</v>
      </c>
      <c r="G157" s="76" t="s">
        <v>169</v>
      </c>
      <c r="H157" s="76" t="s">
        <v>170</v>
      </c>
      <c r="I157" s="76">
        <v>0</v>
      </c>
      <c r="J157" s="76">
        <v>0</v>
      </c>
      <c r="K157" s="76" t="s">
        <v>535</v>
      </c>
      <c r="L157" s="76">
        <f t="shared" si="21"/>
        <v>5.0000000000000004E-8</v>
      </c>
      <c r="M157" s="76" t="s">
        <v>163</v>
      </c>
      <c r="N157" s="76"/>
      <c r="O157" s="76" t="s">
        <v>535</v>
      </c>
      <c r="P157" s="76" t="s">
        <v>550</v>
      </c>
    </row>
    <row r="158" spans="2:16" ht="12.75" customHeight="1" x14ac:dyDescent="0.2">
      <c r="B158" s="76" t="s">
        <v>548</v>
      </c>
      <c r="C158" s="76">
        <f t="shared" si="20"/>
        <v>5.0000000000000004E-8</v>
      </c>
      <c r="D158" s="76">
        <v>1</v>
      </c>
      <c r="E158" s="76" t="s">
        <v>909</v>
      </c>
      <c r="F158" s="76" t="s">
        <v>168</v>
      </c>
      <c r="G158" s="76" t="s">
        <v>169</v>
      </c>
      <c r="H158" s="76" t="s">
        <v>516</v>
      </c>
      <c r="I158" s="76">
        <v>0</v>
      </c>
      <c r="J158" s="76">
        <f>0.25*C158</f>
        <v>1.2500000000000001E-8</v>
      </c>
      <c r="K158" s="76">
        <f>0.75*C158</f>
        <v>3.7500000000000005E-8</v>
      </c>
      <c r="L158" s="76">
        <f t="shared" si="21"/>
        <v>5.0000000000000004E-8</v>
      </c>
      <c r="M158" s="76" t="s">
        <v>163</v>
      </c>
      <c r="N158" s="76"/>
      <c r="O158" s="76" t="s">
        <v>535</v>
      </c>
      <c r="P158" s="76" t="s">
        <v>549</v>
      </c>
    </row>
    <row r="159" spans="2:16" ht="12.75" customHeight="1" x14ac:dyDescent="0.2">
      <c r="B159" s="76" t="s">
        <v>548</v>
      </c>
      <c r="C159" s="76">
        <f t="shared" si="20"/>
        <v>5.0000000000000004E-8</v>
      </c>
      <c r="D159" s="76">
        <v>1</v>
      </c>
      <c r="E159" s="76" t="s">
        <v>910</v>
      </c>
      <c r="F159" s="76" t="s">
        <v>168</v>
      </c>
      <c r="G159" s="76" t="s">
        <v>169</v>
      </c>
      <c r="H159" s="76" t="s">
        <v>170</v>
      </c>
      <c r="I159" s="76">
        <v>0</v>
      </c>
      <c r="J159" s="76">
        <v>0</v>
      </c>
      <c r="K159" s="76" t="s">
        <v>535</v>
      </c>
      <c r="L159" s="76">
        <f t="shared" si="21"/>
        <v>5.0000000000000004E-8</v>
      </c>
      <c r="M159" s="76" t="s">
        <v>163</v>
      </c>
      <c r="N159" s="76"/>
      <c r="O159" s="76" t="s">
        <v>535</v>
      </c>
      <c r="P159" s="76" t="s">
        <v>550</v>
      </c>
    </row>
    <row r="160" spans="2:16" ht="12.75" customHeight="1" x14ac:dyDescent="0.2">
      <c r="B160" s="76" t="s">
        <v>548</v>
      </c>
      <c r="C160" s="76">
        <f t="shared" si="20"/>
        <v>5.0000000000000004E-8</v>
      </c>
      <c r="D160" s="76">
        <v>1</v>
      </c>
      <c r="E160" s="76" t="s">
        <v>893</v>
      </c>
      <c r="F160" s="76" t="s">
        <v>168</v>
      </c>
      <c r="G160" s="76" t="s">
        <v>169</v>
      </c>
      <c r="H160" s="76" t="s">
        <v>516</v>
      </c>
      <c r="I160" s="76">
        <v>0</v>
      </c>
      <c r="J160" s="76">
        <f>C160*0.25</f>
        <v>1.2500000000000001E-8</v>
      </c>
      <c r="K160" s="76">
        <f>C160*0.75</f>
        <v>3.7500000000000005E-8</v>
      </c>
      <c r="L160" s="76">
        <f t="shared" si="21"/>
        <v>5.0000000000000004E-8</v>
      </c>
      <c r="M160" s="76" t="s">
        <v>163</v>
      </c>
      <c r="N160" s="76"/>
      <c r="O160" s="76" t="s">
        <v>535</v>
      </c>
      <c r="P160" s="76" t="s">
        <v>549</v>
      </c>
    </row>
    <row r="161" spans="2:16" ht="12.75" customHeight="1" x14ac:dyDescent="0.2">
      <c r="B161" s="76" t="s">
        <v>548</v>
      </c>
      <c r="C161" s="76">
        <f t="shared" si="20"/>
        <v>5.0000000000000004E-8</v>
      </c>
      <c r="D161" s="76">
        <v>1</v>
      </c>
      <c r="E161" s="76" t="s">
        <v>894</v>
      </c>
      <c r="F161" s="76" t="s">
        <v>168</v>
      </c>
      <c r="G161" s="76" t="s">
        <v>169</v>
      </c>
      <c r="H161" s="76" t="s">
        <v>170</v>
      </c>
      <c r="I161" s="76">
        <v>0</v>
      </c>
      <c r="J161" s="76">
        <v>0</v>
      </c>
      <c r="K161" s="76" t="s">
        <v>535</v>
      </c>
      <c r="L161" s="76">
        <f t="shared" si="21"/>
        <v>5.0000000000000004E-8</v>
      </c>
      <c r="M161" s="76" t="s">
        <v>163</v>
      </c>
      <c r="N161" s="76"/>
      <c r="O161" s="76" t="s">
        <v>535</v>
      </c>
      <c r="P161" s="76" t="s">
        <v>550</v>
      </c>
    </row>
    <row r="162" spans="2:16" ht="12.75" customHeight="1" x14ac:dyDescent="0.2">
      <c r="B162" s="76" t="s">
        <v>548</v>
      </c>
      <c r="C162" s="76">
        <f t="shared" si="20"/>
        <v>5.0000000000000004E-8</v>
      </c>
      <c r="D162" s="76">
        <v>1</v>
      </c>
      <c r="E162" s="76" t="s">
        <v>895</v>
      </c>
      <c r="F162" s="76" t="s">
        <v>168</v>
      </c>
      <c r="G162" s="76" t="s">
        <v>169</v>
      </c>
      <c r="H162" s="76" t="s">
        <v>170</v>
      </c>
      <c r="I162" s="76">
        <v>0</v>
      </c>
      <c r="J162" s="76">
        <v>0</v>
      </c>
      <c r="K162" s="76" t="s">
        <v>535</v>
      </c>
      <c r="L162" s="76">
        <f t="shared" si="21"/>
        <v>5.0000000000000004E-8</v>
      </c>
      <c r="M162" s="76" t="s">
        <v>172</v>
      </c>
      <c r="N162" s="76">
        <f>0.1*C162</f>
        <v>5.0000000000000009E-9</v>
      </c>
      <c r="O162" s="76" t="s">
        <v>535</v>
      </c>
      <c r="P162" s="76" t="s">
        <v>550</v>
      </c>
    </row>
    <row r="163" spans="2:16" ht="12.75" customHeight="1" x14ac:dyDescent="0.2">
      <c r="B163" s="76" t="s">
        <v>548</v>
      </c>
      <c r="C163" s="76">
        <f t="shared" si="20"/>
        <v>5.0000000000000004E-8</v>
      </c>
      <c r="D163" s="76">
        <v>1</v>
      </c>
      <c r="E163" s="76" t="s">
        <v>896</v>
      </c>
      <c r="F163" s="76" t="s">
        <v>168</v>
      </c>
      <c r="G163" s="76" t="s">
        <v>169</v>
      </c>
      <c r="H163" s="76" t="s">
        <v>170</v>
      </c>
      <c r="I163" s="76">
        <v>0</v>
      </c>
      <c r="J163" s="76">
        <v>0</v>
      </c>
      <c r="K163" s="76" t="s">
        <v>535</v>
      </c>
      <c r="L163" s="76">
        <f t="shared" si="21"/>
        <v>5.0000000000000004E-8</v>
      </c>
      <c r="M163" s="76" t="s">
        <v>163</v>
      </c>
      <c r="N163" s="76"/>
      <c r="O163" s="76" t="s">
        <v>535</v>
      </c>
      <c r="P163" s="76" t="s">
        <v>550</v>
      </c>
    </row>
    <row r="164" spans="2:16" ht="12.75" customHeight="1" x14ac:dyDescent="0.2">
      <c r="B164" s="76" t="s">
        <v>548</v>
      </c>
      <c r="C164" s="76">
        <f t="shared" si="20"/>
        <v>5.0000000000000004E-8</v>
      </c>
      <c r="D164" s="76">
        <v>1</v>
      </c>
      <c r="E164" s="76" t="s">
        <v>897</v>
      </c>
      <c r="F164" s="76" t="s">
        <v>168</v>
      </c>
      <c r="G164" s="76" t="s">
        <v>169</v>
      </c>
      <c r="H164" s="76" t="s">
        <v>170</v>
      </c>
      <c r="I164" s="76">
        <v>0</v>
      </c>
      <c r="J164" s="76">
        <v>0</v>
      </c>
      <c r="K164" s="76" t="s">
        <v>535</v>
      </c>
      <c r="L164" s="76">
        <f t="shared" si="21"/>
        <v>5.0000000000000004E-8</v>
      </c>
      <c r="M164" s="76" t="s">
        <v>163</v>
      </c>
      <c r="N164" s="76"/>
      <c r="O164" s="76" t="s">
        <v>535</v>
      </c>
      <c r="P164" s="76" t="s">
        <v>550</v>
      </c>
    </row>
    <row r="165" spans="2:16" ht="12.75" customHeight="1" x14ac:dyDescent="0.2">
      <c r="B165" s="76" t="s">
        <v>548</v>
      </c>
      <c r="C165" s="76">
        <f t="shared" si="20"/>
        <v>5.0000000000000004E-8</v>
      </c>
      <c r="D165" s="76">
        <v>1</v>
      </c>
      <c r="E165" s="76" t="s">
        <v>95</v>
      </c>
      <c r="F165" s="76" t="s">
        <v>168</v>
      </c>
      <c r="G165" s="76" t="s">
        <v>169</v>
      </c>
      <c r="H165" s="76" t="s">
        <v>515</v>
      </c>
      <c r="I165" s="76">
        <v>0</v>
      </c>
      <c r="J165" s="76">
        <f>0.25*C165</f>
        <v>1.2500000000000001E-8</v>
      </c>
      <c r="K165" s="76">
        <f>0.75*C165</f>
        <v>3.7500000000000005E-8</v>
      </c>
      <c r="L165" s="76">
        <f>C165</f>
        <v>5.0000000000000004E-8</v>
      </c>
      <c r="M165" s="76" t="s">
        <v>163</v>
      </c>
      <c r="N165" s="76"/>
      <c r="O165" s="76"/>
      <c r="P165" s="76" t="s">
        <v>550</v>
      </c>
    </row>
    <row r="166" spans="2:16" ht="12.75" customHeight="1" x14ac:dyDescent="0.2">
      <c r="B166" s="76" t="s">
        <v>548</v>
      </c>
      <c r="C166" s="76">
        <f t="shared" si="20"/>
        <v>5.0000000000000004E-8</v>
      </c>
      <c r="D166" s="76">
        <v>1</v>
      </c>
      <c r="E166" s="76" t="s">
        <v>109</v>
      </c>
      <c r="F166" s="76" t="s">
        <v>168</v>
      </c>
      <c r="G166" s="76" t="s">
        <v>169</v>
      </c>
      <c r="H166" s="76" t="s">
        <v>170</v>
      </c>
      <c r="I166" s="76">
        <f t="shared" ref="I166" si="25">0*C166</f>
        <v>0</v>
      </c>
      <c r="J166" s="76">
        <f t="shared" ref="J166" si="26">0*C166</f>
        <v>0</v>
      </c>
      <c r="K166" s="76" t="s">
        <v>535</v>
      </c>
      <c r="L166" s="76">
        <f t="shared" ref="L166" si="27">1*C166</f>
        <v>5.0000000000000004E-8</v>
      </c>
      <c r="M166" s="76" t="s">
        <v>172</v>
      </c>
      <c r="N166" s="76">
        <f>0.95*C166</f>
        <v>4.7500000000000002E-8</v>
      </c>
      <c r="O166" s="76" t="s">
        <v>535</v>
      </c>
      <c r="P166" s="76" t="s">
        <v>536</v>
      </c>
    </row>
    <row r="167" spans="2:16" ht="19.149999999999999" customHeight="1" x14ac:dyDescent="0.2"/>
    <row r="168" spans="2:16" ht="19.149999999999999" customHeight="1" x14ac:dyDescent="0.2"/>
  </sheetData>
  <autoFilter ref="E6:E7"/>
  <dataValidations count="1">
    <dataValidation type="list" allowBlank="1" showInputMessage="1" showErrorMessage="1" sqref="C3">
      <formula1>"Normal,Extended,Quad"</formula1>
    </dataValidation>
  </dataValidations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A1:P166"/>
  <sheetViews>
    <sheetView showGridLines="0" zoomScaleNormal="100" workbookViewId="0">
      <pane ySplit="6" topLeftCell="A7" activePane="bottomLeft" state="frozen"/>
      <selection pane="bottomLeft" activeCell="A7" sqref="A7"/>
    </sheetView>
  </sheetViews>
  <sheetFormatPr defaultRowHeight="12.75" x14ac:dyDescent="0.2"/>
  <cols>
    <col min="1" max="1" width="9.140625" style="75"/>
    <col min="2" max="3" width="13.42578125" style="75" customWidth="1"/>
    <col min="4" max="4" width="6.28515625" style="75" customWidth="1"/>
    <col min="5" max="5" width="13.42578125" style="75" customWidth="1"/>
    <col min="6" max="8" width="9.140625" style="75"/>
    <col min="9" max="12" width="13.42578125" style="75" customWidth="1"/>
    <col min="13" max="13" width="9.140625" style="75"/>
    <col min="14" max="15" width="13.42578125" style="75" customWidth="1"/>
    <col min="16" max="16" width="42.85546875" style="75" customWidth="1"/>
    <col min="17" max="16384" width="9.140625" style="75"/>
  </cols>
  <sheetData>
    <row r="1" spans="1:16" ht="25.5" customHeight="1" x14ac:dyDescent="0.2">
      <c r="A1" s="75" t="s">
        <v>61</v>
      </c>
      <c r="B1" s="75" t="s">
        <v>146</v>
      </c>
    </row>
    <row r="3" spans="1:16" x14ac:dyDescent="0.2">
      <c r="B3" s="1" t="s">
        <v>147</v>
      </c>
      <c r="C3" s="2" t="s">
        <v>237</v>
      </c>
      <c r="E3" s="1" t="s">
        <v>148</v>
      </c>
      <c r="F3" s="2">
        <f>1*us</f>
        <v>9.9999999999999995E-7</v>
      </c>
      <c r="H3" s="1" t="s">
        <v>149</v>
      </c>
      <c r="I3" s="2">
        <f>1*us</f>
        <v>9.9999999999999995E-7</v>
      </c>
    </row>
    <row r="5" spans="1:16" x14ac:dyDescent="0.2">
      <c r="C5" s="75" t="s">
        <v>150</v>
      </c>
      <c r="E5" s="75" t="s">
        <v>151</v>
      </c>
      <c r="G5" s="75" t="s">
        <v>152</v>
      </c>
      <c r="I5" s="75" t="s">
        <v>153</v>
      </c>
      <c r="M5" s="75" t="s">
        <v>154</v>
      </c>
    </row>
    <row r="6" spans="1:16" x14ac:dyDescent="0.2">
      <c r="B6" s="75" t="s">
        <v>155</v>
      </c>
      <c r="C6" s="75" t="s">
        <v>156</v>
      </c>
      <c r="D6" s="75" t="s">
        <v>157</v>
      </c>
      <c r="E6" s="75" t="s">
        <v>20</v>
      </c>
      <c r="F6" s="75" t="s">
        <v>158</v>
      </c>
      <c r="G6" s="75" t="s">
        <v>159</v>
      </c>
      <c r="H6" s="75" t="s">
        <v>160</v>
      </c>
      <c r="I6" s="75" t="s">
        <v>161</v>
      </c>
      <c r="J6" s="75" t="s">
        <v>152</v>
      </c>
      <c r="K6" s="75" t="s">
        <v>162</v>
      </c>
      <c r="L6" s="75" t="s">
        <v>163</v>
      </c>
      <c r="M6" s="75" t="s">
        <v>164</v>
      </c>
      <c r="N6" s="75" t="s">
        <v>165</v>
      </c>
      <c r="O6" s="75" t="s">
        <v>166</v>
      </c>
      <c r="P6" s="75" t="s">
        <v>4</v>
      </c>
    </row>
    <row r="7" spans="1:16" ht="19.149999999999999" customHeight="1" x14ac:dyDescent="0.2">
      <c r="B7" s="76" t="s">
        <v>547</v>
      </c>
      <c r="C7" s="76">
        <f>54*ns</f>
        <v>5.4E-8</v>
      </c>
      <c r="D7" s="76">
        <v>1</v>
      </c>
      <c r="E7" s="76" t="s">
        <v>95</v>
      </c>
      <c r="F7" s="76" t="s">
        <v>168</v>
      </c>
      <c r="G7" s="76" t="s">
        <v>169</v>
      </c>
      <c r="H7" s="76" t="s">
        <v>515</v>
      </c>
      <c r="I7" s="76">
        <f>0*C7</f>
        <v>0</v>
      </c>
      <c r="J7" s="76">
        <f>(13/54)*C7</f>
        <v>1.2999999999999999E-8</v>
      </c>
      <c r="K7" s="76">
        <f>(40/54)*C7</f>
        <v>4.0000000000000001E-8</v>
      </c>
      <c r="L7" s="76">
        <f>1*C7</f>
        <v>5.4E-8</v>
      </c>
      <c r="M7" s="76" t="s">
        <v>163</v>
      </c>
      <c r="N7" s="76">
        <f>0*C7</f>
        <v>0</v>
      </c>
      <c r="O7" s="76" t="s">
        <v>535</v>
      </c>
      <c r="P7" s="76" t="s">
        <v>537</v>
      </c>
    </row>
    <row r="8" spans="1:16" ht="12.75" customHeight="1" x14ac:dyDescent="0.2">
      <c r="B8" s="76" t="s">
        <v>547</v>
      </c>
      <c r="C8" s="76">
        <f t="shared" ref="C8:C71" si="0">54*ns</f>
        <v>5.4E-8</v>
      </c>
      <c r="D8" s="76">
        <v>1</v>
      </c>
      <c r="E8" s="76" t="s">
        <v>912</v>
      </c>
      <c r="F8" s="76" t="s">
        <v>168</v>
      </c>
      <c r="G8" s="76" t="s">
        <v>169</v>
      </c>
      <c r="H8" s="76" t="s">
        <v>516</v>
      </c>
      <c r="I8" s="76">
        <f t="shared" ref="I8:I71" si="1">0*C8</f>
        <v>0</v>
      </c>
      <c r="J8" s="76">
        <f>(13/54)*C8</f>
        <v>1.2999999999999999E-8</v>
      </c>
      <c r="K8" s="76">
        <f t="shared" ref="K8:K9" si="2">(40/54)*C8</f>
        <v>4.0000000000000001E-8</v>
      </c>
      <c r="L8" s="76">
        <f t="shared" ref="L8:L71" si="3">1*C8</f>
        <v>5.4E-8</v>
      </c>
      <c r="M8" s="76" t="s">
        <v>163</v>
      </c>
      <c r="N8" s="76">
        <f t="shared" ref="N8:N9" si="4">0*C8</f>
        <v>0</v>
      </c>
      <c r="O8" s="76" t="s">
        <v>535</v>
      </c>
      <c r="P8" s="76" t="s">
        <v>537</v>
      </c>
    </row>
    <row r="9" spans="1:16" ht="12.75" customHeight="1" x14ac:dyDescent="0.2">
      <c r="B9" s="76" t="s">
        <v>547</v>
      </c>
      <c r="C9" s="76">
        <f t="shared" si="0"/>
        <v>5.4E-8</v>
      </c>
      <c r="D9" s="76">
        <v>1</v>
      </c>
      <c r="E9" s="76" t="s">
        <v>96</v>
      </c>
      <c r="F9" s="76" t="s">
        <v>168</v>
      </c>
      <c r="G9" s="76" t="s">
        <v>169</v>
      </c>
      <c r="H9" s="76" t="s">
        <v>516</v>
      </c>
      <c r="I9" s="76">
        <f t="shared" si="1"/>
        <v>0</v>
      </c>
      <c r="J9" s="76">
        <f>(13/54)*C9</f>
        <v>1.2999999999999999E-8</v>
      </c>
      <c r="K9" s="76">
        <f t="shared" si="2"/>
        <v>4.0000000000000001E-8</v>
      </c>
      <c r="L9" s="76">
        <f t="shared" si="3"/>
        <v>5.4E-8</v>
      </c>
      <c r="M9" s="76" t="s">
        <v>163</v>
      </c>
      <c r="N9" s="76">
        <f t="shared" si="4"/>
        <v>0</v>
      </c>
      <c r="O9" s="76" t="s">
        <v>535</v>
      </c>
      <c r="P9" s="76" t="s">
        <v>537</v>
      </c>
    </row>
    <row r="10" spans="1:16" ht="12.75" customHeight="1" x14ac:dyDescent="0.2">
      <c r="B10" s="76" t="s">
        <v>547</v>
      </c>
      <c r="C10" s="76">
        <f t="shared" si="0"/>
        <v>5.4E-8</v>
      </c>
      <c r="D10" s="76">
        <v>1</v>
      </c>
      <c r="E10" s="76" t="s">
        <v>137</v>
      </c>
      <c r="F10" s="76" t="s">
        <v>168</v>
      </c>
      <c r="G10" s="76" t="s">
        <v>169</v>
      </c>
      <c r="H10" s="76" t="s">
        <v>170</v>
      </c>
      <c r="I10" s="76">
        <f t="shared" si="1"/>
        <v>0</v>
      </c>
      <c r="J10" s="76">
        <f>0*C10</f>
        <v>0</v>
      </c>
      <c r="K10" s="76" t="s">
        <v>535</v>
      </c>
      <c r="L10" s="76">
        <f t="shared" si="3"/>
        <v>5.4E-8</v>
      </c>
      <c r="M10" s="76" t="s">
        <v>172</v>
      </c>
      <c r="N10" s="76">
        <f>(5/54)*C10</f>
        <v>5.0000000000000001E-9</v>
      </c>
      <c r="O10" s="76" t="s">
        <v>535</v>
      </c>
      <c r="P10" s="76" t="s">
        <v>536</v>
      </c>
    </row>
    <row r="11" spans="1:16" ht="12.75" customHeight="1" x14ac:dyDescent="0.2">
      <c r="B11" s="76" t="s">
        <v>547</v>
      </c>
      <c r="C11" s="76">
        <f t="shared" si="0"/>
        <v>5.4E-8</v>
      </c>
      <c r="D11" s="76">
        <v>1</v>
      </c>
      <c r="E11" s="76" t="s">
        <v>127</v>
      </c>
      <c r="F11" s="76" t="s">
        <v>168</v>
      </c>
      <c r="G11" s="76" t="s">
        <v>169</v>
      </c>
      <c r="H11" s="76" t="s">
        <v>170</v>
      </c>
      <c r="I11" s="76">
        <f t="shared" si="1"/>
        <v>0</v>
      </c>
      <c r="J11" s="76">
        <f t="shared" ref="J11:J27" si="5">0*C11</f>
        <v>0</v>
      </c>
      <c r="K11" s="76" t="s">
        <v>535</v>
      </c>
      <c r="L11" s="76">
        <f t="shared" si="3"/>
        <v>5.4E-8</v>
      </c>
      <c r="M11" s="76" t="s">
        <v>172</v>
      </c>
      <c r="N11" s="76">
        <f t="shared" ref="N11:N25" si="6">(5/54)*C11</f>
        <v>5.0000000000000001E-9</v>
      </c>
      <c r="O11" s="76" t="s">
        <v>535</v>
      </c>
      <c r="P11" s="76" t="s">
        <v>536</v>
      </c>
    </row>
    <row r="12" spans="1:16" ht="12.75" customHeight="1" x14ac:dyDescent="0.2">
      <c r="B12" s="76" t="s">
        <v>547</v>
      </c>
      <c r="C12" s="76">
        <f t="shared" si="0"/>
        <v>5.4E-8</v>
      </c>
      <c r="D12" s="76">
        <v>1</v>
      </c>
      <c r="E12" s="76" t="s">
        <v>126</v>
      </c>
      <c r="F12" s="76" t="s">
        <v>168</v>
      </c>
      <c r="G12" s="76" t="s">
        <v>169</v>
      </c>
      <c r="H12" s="76" t="s">
        <v>170</v>
      </c>
      <c r="I12" s="76">
        <f t="shared" si="1"/>
        <v>0</v>
      </c>
      <c r="J12" s="76">
        <f t="shared" si="5"/>
        <v>0</v>
      </c>
      <c r="K12" s="76" t="s">
        <v>535</v>
      </c>
      <c r="L12" s="76">
        <f t="shared" si="3"/>
        <v>5.4E-8</v>
      </c>
      <c r="M12" s="76" t="s">
        <v>172</v>
      </c>
      <c r="N12" s="76">
        <f t="shared" si="6"/>
        <v>5.0000000000000001E-9</v>
      </c>
      <c r="O12" s="76" t="s">
        <v>535</v>
      </c>
      <c r="P12" s="76" t="s">
        <v>536</v>
      </c>
    </row>
    <row r="13" spans="1:16" ht="12.75" customHeight="1" x14ac:dyDescent="0.2">
      <c r="B13" s="76" t="s">
        <v>547</v>
      </c>
      <c r="C13" s="76">
        <f t="shared" si="0"/>
        <v>5.4E-8</v>
      </c>
      <c r="D13" s="76">
        <v>1</v>
      </c>
      <c r="E13" s="76" t="s">
        <v>125</v>
      </c>
      <c r="F13" s="76" t="s">
        <v>168</v>
      </c>
      <c r="G13" s="76" t="s">
        <v>169</v>
      </c>
      <c r="H13" s="76" t="s">
        <v>170</v>
      </c>
      <c r="I13" s="76">
        <f t="shared" si="1"/>
        <v>0</v>
      </c>
      <c r="J13" s="76">
        <f t="shared" si="5"/>
        <v>0</v>
      </c>
      <c r="K13" s="76" t="s">
        <v>535</v>
      </c>
      <c r="L13" s="76">
        <f t="shared" si="3"/>
        <v>5.4E-8</v>
      </c>
      <c r="M13" s="76" t="s">
        <v>172</v>
      </c>
      <c r="N13" s="76">
        <f t="shared" si="6"/>
        <v>5.0000000000000001E-9</v>
      </c>
      <c r="O13" s="76" t="s">
        <v>535</v>
      </c>
      <c r="P13" s="76" t="s">
        <v>536</v>
      </c>
    </row>
    <row r="14" spans="1:16" ht="12.75" customHeight="1" x14ac:dyDescent="0.2">
      <c r="B14" s="76" t="s">
        <v>547</v>
      </c>
      <c r="C14" s="76">
        <f t="shared" si="0"/>
        <v>5.4E-8</v>
      </c>
      <c r="D14" s="76">
        <v>1</v>
      </c>
      <c r="E14" s="76" t="s">
        <v>124</v>
      </c>
      <c r="F14" s="76" t="s">
        <v>168</v>
      </c>
      <c r="G14" s="76" t="s">
        <v>169</v>
      </c>
      <c r="H14" s="76" t="s">
        <v>170</v>
      </c>
      <c r="I14" s="76">
        <f t="shared" si="1"/>
        <v>0</v>
      </c>
      <c r="J14" s="76">
        <f t="shared" si="5"/>
        <v>0</v>
      </c>
      <c r="K14" s="76" t="s">
        <v>535</v>
      </c>
      <c r="L14" s="76">
        <f t="shared" si="3"/>
        <v>5.4E-8</v>
      </c>
      <c r="M14" s="76" t="s">
        <v>172</v>
      </c>
      <c r="N14" s="76">
        <f t="shared" si="6"/>
        <v>5.0000000000000001E-9</v>
      </c>
      <c r="O14" s="76" t="s">
        <v>535</v>
      </c>
      <c r="P14" s="76" t="s">
        <v>536</v>
      </c>
    </row>
    <row r="15" spans="1:16" ht="12.75" customHeight="1" x14ac:dyDescent="0.2">
      <c r="B15" s="76" t="s">
        <v>547</v>
      </c>
      <c r="C15" s="76">
        <f t="shared" si="0"/>
        <v>5.4E-8</v>
      </c>
      <c r="D15" s="76">
        <v>1</v>
      </c>
      <c r="E15" s="76" t="s">
        <v>123</v>
      </c>
      <c r="F15" s="76" t="s">
        <v>168</v>
      </c>
      <c r="G15" s="76" t="s">
        <v>169</v>
      </c>
      <c r="H15" s="76" t="s">
        <v>170</v>
      </c>
      <c r="I15" s="76">
        <f t="shared" si="1"/>
        <v>0</v>
      </c>
      <c r="J15" s="76">
        <f t="shared" si="5"/>
        <v>0</v>
      </c>
      <c r="K15" s="76" t="s">
        <v>535</v>
      </c>
      <c r="L15" s="76">
        <f t="shared" si="3"/>
        <v>5.4E-8</v>
      </c>
      <c r="M15" s="76" t="s">
        <v>172</v>
      </c>
      <c r="N15" s="76">
        <f t="shared" si="6"/>
        <v>5.0000000000000001E-9</v>
      </c>
      <c r="O15" s="76" t="s">
        <v>535</v>
      </c>
      <c r="P15" s="76" t="s">
        <v>536</v>
      </c>
    </row>
    <row r="16" spans="1:16" ht="12.75" customHeight="1" x14ac:dyDescent="0.2">
      <c r="B16" s="76" t="s">
        <v>547</v>
      </c>
      <c r="C16" s="76">
        <f t="shared" si="0"/>
        <v>5.4E-8</v>
      </c>
      <c r="D16" s="76">
        <v>1</v>
      </c>
      <c r="E16" s="76" t="s">
        <v>122</v>
      </c>
      <c r="F16" s="76" t="s">
        <v>168</v>
      </c>
      <c r="G16" s="76" t="s">
        <v>169</v>
      </c>
      <c r="H16" s="76" t="s">
        <v>170</v>
      </c>
      <c r="I16" s="76">
        <f t="shared" si="1"/>
        <v>0</v>
      </c>
      <c r="J16" s="76">
        <f t="shared" si="5"/>
        <v>0</v>
      </c>
      <c r="K16" s="76" t="s">
        <v>535</v>
      </c>
      <c r="L16" s="76">
        <f t="shared" si="3"/>
        <v>5.4E-8</v>
      </c>
      <c r="M16" s="76" t="s">
        <v>172</v>
      </c>
      <c r="N16" s="76">
        <f t="shared" si="6"/>
        <v>5.0000000000000001E-9</v>
      </c>
      <c r="O16" s="76" t="s">
        <v>535</v>
      </c>
      <c r="P16" s="76" t="s">
        <v>536</v>
      </c>
    </row>
    <row r="17" spans="2:16" ht="12.75" customHeight="1" x14ac:dyDescent="0.2">
      <c r="B17" s="76" t="s">
        <v>547</v>
      </c>
      <c r="C17" s="76">
        <f t="shared" si="0"/>
        <v>5.4E-8</v>
      </c>
      <c r="D17" s="76">
        <v>1</v>
      </c>
      <c r="E17" s="76" t="s">
        <v>136</v>
      </c>
      <c r="F17" s="76" t="s">
        <v>168</v>
      </c>
      <c r="G17" s="76" t="s">
        <v>169</v>
      </c>
      <c r="H17" s="76" t="s">
        <v>170</v>
      </c>
      <c r="I17" s="76">
        <f t="shared" si="1"/>
        <v>0</v>
      </c>
      <c r="J17" s="76">
        <f t="shared" si="5"/>
        <v>0</v>
      </c>
      <c r="K17" s="76" t="s">
        <v>535</v>
      </c>
      <c r="L17" s="76">
        <f t="shared" si="3"/>
        <v>5.4E-8</v>
      </c>
      <c r="M17" s="76" t="s">
        <v>172</v>
      </c>
      <c r="N17" s="76">
        <f t="shared" si="6"/>
        <v>5.0000000000000001E-9</v>
      </c>
      <c r="O17" s="76" t="s">
        <v>535</v>
      </c>
      <c r="P17" s="76" t="s">
        <v>536</v>
      </c>
    </row>
    <row r="18" spans="2:16" ht="12.75" customHeight="1" x14ac:dyDescent="0.2">
      <c r="B18" s="76" t="s">
        <v>547</v>
      </c>
      <c r="C18" s="76">
        <f t="shared" si="0"/>
        <v>5.4E-8</v>
      </c>
      <c r="D18" s="76">
        <v>1</v>
      </c>
      <c r="E18" s="76" t="s">
        <v>135</v>
      </c>
      <c r="F18" s="76" t="s">
        <v>168</v>
      </c>
      <c r="G18" s="76" t="s">
        <v>169</v>
      </c>
      <c r="H18" s="76" t="s">
        <v>170</v>
      </c>
      <c r="I18" s="76">
        <f t="shared" si="1"/>
        <v>0</v>
      </c>
      <c r="J18" s="76">
        <f t="shared" si="5"/>
        <v>0</v>
      </c>
      <c r="K18" s="76" t="s">
        <v>535</v>
      </c>
      <c r="L18" s="76">
        <f t="shared" si="3"/>
        <v>5.4E-8</v>
      </c>
      <c r="M18" s="76" t="s">
        <v>172</v>
      </c>
      <c r="N18" s="76">
        <f t="shared" si="6"/>
        <v>5.0000000000000001E-9</v>
      </c>
      <c r="O18" s="76" t="s">
        <v>535</v>
      </c>
      <c r="P18" s="76" t="s">
        <v>536</v>
      </c>
    </row>
    <row r="19" spans="2:16" ht="12.75" customHeight="1" x14ac:dyDescent="0.2">
      <c r="B19" s="76" t="s">
        <v>547</v>
      </c>
      <c r="C19" s="76">
        <f t="shared" si="0"/>
        <v>5.4E-8</v>
      </c>
      <c r="D19" s="76">
        <v>1</v>
      </c>
      <c r="E19" s="76" t="s">
        <v>134</v>
      </c>
      <c r="F19" s="76" t="s">
        <v>168</v>
      </c>
      <c r="G19" s="76" t="s">
        <v>169</v>
      </c>
      <c r="H19" s="76" t="s">
        <v>170</v>
      </c>
      <c r="I19" s="76">
        <f t="shared" si="1"/>
        <v>0</v>
      </c>
      <c r="J19" s="76">
        <f t="shared" si="5"/>
        <v>0</v>
      </c>
      <c r="K19" s="76" t="s">
        <v>535</v>
      </c>
      <c r="L19" s="76">
        <f t="shared" si="3"/>
        <v>5.4E-8</v>
      </c>
      <c r="M19" s="76" t="s">
        <v>172</v>
      </c>
      <c r="N19" s="76">
        <f t="shared" si="6"/>
        <v>5.0000000000000001E-9</v>
      </c>
      <c r="O19" s="76" t="s">
        <v>535</v>
      </c>
      <c r="P19" s="76" t="s">
        <v>536</v>
      </c>
    </row>
    <row r="20" spans="2:16" ht="12.75" customHeight="1" x14ac:dyDescent="0.2">
      <c r="B20" s="76" t="s">
        <v>547</v>
      </c>
      <c r="C20" s="76">
        <f t="shared" si="0"/>
        <v>5.4E-8</v>
      </c>
      <c r="D20" s="76">
        <v>1</v>
      </c>
      <c r="E20" s="76" t="s">
        <v>133</v>
      </c>
      <c r="F20" s="76" t="s">
        <v>168</v>
      </c>
      <c r="G20" s="76" t="s">
        <v>169</v>
      </c>
      <c r="H20" s="76" t="s">
        <v>170</v>
      </c>
      <c r="I20" s="76">
        <f t="shared" si="1"/>
        <v>0</v>
      </c>
      <c r="J20" s="76">
        <f t="shared" si="5"/>
        <v>0</v>
      </c>
      <c r="K20" s="76" t="s">
        <v>535</v>
      </c>
      <c r="L20" s="76">
        <f t="shared" si="3"/>
        <v>5.4E-8</v>
      </c>
      <c r="M20" s="76" t="s">
        <v>172</v>
      </c>
      <c r="N20" s="76">
        <f t="shared" si="6"/>
        <v>5.0000000000000001E-9</v>
      </c>
      <c r="O20" s="76" t="s">
        <v>535</v>
      </c>
      <c r="P20" s="76" t="s">
        <v>536</v>
      </c>
    </row>
    <row r="21" spans="2:16" ht="12.75" customHeight="1" x14ac:dyDescent="0.2">
      <c r="B21" s="76" t="s">
        <v>547</v>
      </c>
      <c r="C21" s="76">
        <f t="shared" si="0"/>
        <v>5.4E-8</v>
      </c>
      <c r="D21" s="76">
        <v>1</v>
      </c>
      <c r="E21" s="76" t="s">
        <v>132</v>
      </c>
      <c r="F21" s="76" t="s">
        <v>168</v>
      </c>
      <c r="G21" s="76" t="s">
        <v>169</v>
      </c>
      <c r="H21" s="76" t="s">
        <v>170</v>
      </c>
      <c r="I21" s="76">
        <f t="shared" si="1"/>
        <v>0</v>
      </c>
      <c r="J21" s="76">
        <f t="shared" si="5"/>
        <v>0</v>
      </c>
      <c r="K21" s="76" t="s">
        <v>535</v>
      </c>
      <c r="L21" s="76">
        <f t="shared" si="3"/>
        <v>5.4E-8</v>
      </c>
      <c r="M21" s="76" t="s">
        <v>172</v>
      </c>
      <c r="N21" s="76">
        <f t="shared" si="6"/>
        <v>5.0000000000000001E-9</v>
      </c>
      <c r="O21" s="76" t="s">
        <v>535</v>
      </c>
      <c r="P21" s="76" t="s">
        <v>536</v>
      </c>
    </row>
    <row r="22" spans="2:16" ht="12.75" customHeight="1" x14ac:dyDescent="0.2">
      <c r="B22" s="76" t="s">
        <v>547</v>
      </c>
      <c r="C22" s="76">
        <f t="shared" si="0"/>
        <v>5.4E-8</v>
      </c>
      <c r="D22" s="76">
        <v>1</v>
      </c>
      <c r="E22" s="76" t="s">
        <v>131</v>
      </c>
      <c r="F22" s="76" t="s">
        <v>168</v>
      </c>
      <c r="G22" s="76" t="s">
        <v>169</v>
      </c>
      <c r="H22" s="76" t="s">
        <v>170</v>
      </c>
      <c r="I22" s="76">
        <f t="shared" si="1"/>
        <v>0</v>
      </c>
      <c r="J22" s="76">
        <f t="shared" si="5"/>
        <v>0</v>
      </c>
      <c r="K22" s="76" t="s">
        <v>535</v>
      </c>
      <c r="L22" s="76">
        <f t="shared" si="3"/>
        <v>5.4E-8</v>
      </c>
      <c r="M22" s="76" t="s">
        <v>172</v>
      </c>
      <c r="N22" s="76">
        <f t="shared" si="6"/>
        <v>5.0000000000000001E-9</v>
      </c>
      <c r="O22" s="76" t="s">
        <v>535</v>
      </c>
      <c r="P22" s="76" t="s">
        <v>536</v>
      </c>
    </row>
    <row r="23" spans="2:16" ht="12.75" customHeight="1" x14ac:dyDescent="0.2">
      <c r="B23" s="76" t="s">
        <v>547</v>
      </c>
      <c r="C23" s="76">
        <f t="shared" si="0"/>
        <v>5.4E-8</v>
      </c>
      <c r="D23" s="76">
        <v>1</v>
      </c>
      <c r="E23" s="76" t="s">
        <v>130</v>
      </c>
      <c r="F23" s="76" t="s">
        <v>168</v>
      </c>
      <c r="G23" s="76" t="s">
        <v>169</v>
      </c>
      <c r="H23" s="76" t="s">
        <v>170</v>
      </c>
      <c r="I23" s="76">
        <f t="shared" si="1"/>
        <v>0</v>
      </c>
      <c r="J23" s="76">
        <f t="shared" si="5"/>
        <v>0</v>
      </c>
      <c r="K23" s="76" t="s">
        <v>535</v>
      </c>
      <c r="L23" s="76">
        <f t="shared" si="3"/>
        <v>5.4E-8</v>
      </c>
      <c r="M23" s="76" t="s">
        <v>172</v>
      </c>
      <c r="N23" s="76">
        <f t="shared" si="6"/>
        <v>5.0000000000000001E-9</v>
      </c>
      <c r="O23" s="76" t="s">
        <v>535</v>
      </c>
      <c r="P23" s="76" t="s">
        <v>536</v>
      </c>
    </row>
    <row r="24" spans="2:16" ht="12.75" customHeight="1" x14ac:dyDescent="0.2">
      <c r="B24" s="76" t="s">
        <v>547</v>
      </c>
      <c r="C24" s="76">
        <f t="shared" si="0"/>
        <v>5.4E-8</v>
      </c>
      <c r="D24" s="76">
        <v>1</v>
      </c>
      <c r="E24" s="76" t="s">
        <v>129</v>
      </c>
      <c r="F24" s="76" t="s">
        <v>168</v>
      </c>
      <c r="G24" s="76" t="s">
        <v>169</v>
      </c>
      <c r="H24" s="76" t="s">
        <v>170</v>
      </c>
      <c r="I24" s="76">
        <f t="shared" si="1"/>
        <v>0</v>
      </c>
      <c r="J24" s="76">
        <f t="shared" si="5"/>
        <v>0</v>
      </c>
      <c r="K24" s="76" t="s">
        <v>535</v>
      </c>
      <c r="L24" s="76">
        <f t="shared" si="3"/>
        <v>5.4E-8</v>
      </c>
      <c r="M24" s="76" t="s">
        <v>172</v>
      </c>
      <c r="N24" s="76">
        <f t="shared" si="6"/>
        <v>5.0000000000000001E-9</v>
      </c>
      <c r="O24" s="76" t="s">
        <v>535</v>
      </c>
      <c r="P24" s="76" t="s">
        <v>536</v>
      </c>
    </row>
    <row r="25" spans="2:16" ht="12.75" customHeight="1" x14ac:dyDescent="0.2">
      <c r="B25" s="76" t="s">
        <v>547</v>
      </c>
      <c r="C25" s="76">
        <f t="shared" si="0"/>
        <v>5.4E-8</v>
      </c>
      <c r="D25" s="76">
        <v>1</v>
      </c>
      <c r="E25" s="76" t="s">
        <v>128</v>
      </c>
      <c r="F25" s="76" t="s">
        <v>168</v>
      </c>
      <c r="G25" s="76" t="s">
        <v>169</v>
      </c>
      <c r="H25" s="76" t="s">
        <v>170</v>
      </c>
      <c r="I25" s="76">
        <f t="shared" si="1"/>
        <v>0</v>
      </c>
      <c r="J25" s="76">
        <f t="shared" si="5"/>
        <v>0</v>
      </c>
      <c r="K25" s="76" t="s">
        <v>535</v>
      </c>
      <c r="L25" s="76">
        <f t="shared" si="3"/>
        <v>5.4E-8</v>
      </c>
      <c r="M25" s="76" t="s">
        <v>172</v>
      </c>
      <c r="N25" s="76">
        <f t="shared" si="6"/>
        <v>5.0000000000000001E-9</v>
      </c>
      <c r="O25" s="76" t="s">
        <v>535</v>
      </c>
      <c r="P25" s="76" t="s">
        <v>536</v>
      </c>
    </row>
    <row r="26" spans="2:16" ht="12.75" customHeight="1" x14ac:dyDescent="0.2">
      <c r="B26" s="76" t="s">
        <v>547</v>
      </c>
      <c r="C26" s="76">
        <f t="shared" si="0"/>
        <v>5.4E-8</v>
      </c>
      <c r="D26" s="76">
        <v>1</v>
      </c>
      <c r="E26" s="76" t="s">
        <v>98</v>
      </c>
      <c r="F26" s="76" t="s">
        <v>168</v>
      </c>
      <c r="G26" s="76" t="s">
        <v>169</v>
      </c>
      <c r="H26" s="76" t="s">
        <v>170</v>
      </c>
      <c r="I26" s="76">
        <f t="shared" si="1"/>
        <v>0</v>
      </c>
      <c r="J26" s="76">
        <f t="shared" si="5"/>
        <v>0</v>
      </c>
      <c r="K26" s="76" t="s">
        <v>535</v>
      </c>
      <c r="L26" s="76">
        <f t="shared" si="3"/>
        <v>5.4E-8</v>
      </c>
      <c r="M26" s="76" t="s">
        <v>163</v>
      </c>
      <c r="N26" s="76">
        <f>0*C26</f>
        <v>0</v>
      </c>
      <c r="O26" s="76" t="s">
        <v>535</v>
      </c>
      <c r="P26" s="76" t="s">
        <v>536</v>
      </c>
    </row>
    <row r="27" spans="2:16" ht="12.75" customHeight="1" x14ac:dyDescent="0.2">
      <c r="B27" s="76" t="s">
        <v>547</v>
      </c>
      <c r="C27" s="76">
        <f t="shared" si="0"/>
        <v>5.4E-8</v>
      </c>
      <c r="D27" s="76">
        <v>1</v>
      </c>
      <c r="E27" s="76" t="s">
        <v>99</v>
      </c>
      <c r="F27" s="76" t="s">
        <v>168</v>
      </c>
      <c r="G27" s="76" t="s">
        <v>169</v>
      </c>
      <c r="H27" s="76" t="s">
        <v>170</v>
      </c>
      <c r="I27" s="76">
        <f t="shared" si="1"/>
        <v>0</v>
      </c>
      <c r="J27" s="76">
        <f t="shared" si="5"/>
        <v>0</v>
      </c>
      <c r="K27" s="76" t="s">
        <v>535</v>
      </c>
      <c r="L27" s="76">
        <f t="shared" si="3"/>
        <v>5.4E-8</v>
      </c>
      <c r="M27" s="76" t="s">
        <v>172</v>
      </c>
      <c r="N27" s="76">
        <f>(5/54)*C27</f>
        <v>5.0000000000000001E-9</v>
      </c>
      <c r="O27" s="76" t="s">
        <v>535</v>
      </c>
      <c r="P27" s="76" t="s">
        <v>536</v>
      </c>
    </row>
    <row r="28" spans="2:16" ht="12.75" customHeight="1" x14ac:dyDescent="0.2">
      <c r="B28" s="76" t="s">
        <v>547</v>
      </c>
      <c r="C28" s="76">
        <f t="shared" si="0"/>
        <v>5.4E-8</v>
      </c>
      <c r="D28" s="76">
        <v>1</v>
      </c>
      <c r="E28" s="76" t="s">
        <v>898</v>
      </c>
      <c r="F28" s="76" t="s">
        <v>168</v>
      </c>
      <c r="G28" s="76" t="s">
        <v>169</v>
      </c>
      <c r="H28" s="76" t="s">
        <v>516</v>
      </c>
      <c r="I28" s="76">
        <f t="shared" si="1"/>
        <v>0</v>
      </c>
      <c r="J28" s="76">
        <f>(13/54)*C28</f>
        <v>1.2999999999999999E-8</v>
      </c>
      <c r="K28" s="76">
        <f>(40/54)*C28</f>
        <v>4.0000000000000001E-8</v>
      </c>
      <c r="L28" s="76">
        <f t="shared" si="3"/>
        <v>5.4E-8</v>
      </c>
      <c r="M28" s="76" t="s">
        <v>163</v>
      </c>
      <c r="N28" s="76">
        <f>0*C28</f>
        <v>0</v>
      </c>
      <c r="O28" s="76" t="s">
        <v>535</v>
      </c>
      <c r="P28" s="76" t="s">
        <v>537</v>
      </c>
    </row>
    <row r="29" spans="2:16" ht="12.75" customHeight="1" x14ac:dyDescent="0.2">
      <c r="B29" s="76" t="s">
        <v>547</v>
      </c>
      <c r="C29" s="76">
        <f t="shared" si="0"/>
        <v>5.4E-8</v>
      </c>
      <c r="D29" s="76">
        <v>1</v>
      </c>
      <c r="E29" s="76" t="s">
        <v>899</v>
      </c>
      <c r="F29" s="76" t="s">
        <v>168</v>
      </c>
      <c r="G29" s="76" t="s">
        <v>169</v>
      </c>
      <c r="H29" s="76" t="s">
        <v>516</v>
      </c>
      <c r="I29" s="76">
        <f t="shared" si="1"/>
        <v>0</v>
      </c>
      <c r="J29" s="76">
        <f>(13/54)*C29</f>
        <v>1.2999999999999999E-8</v>
      </c>
      <c r="K29" s="76">
        <f>(40/54)*C29</f>
        <v>4.0000000000000001E-8</v>
      </c>
      <c r="L29" s="76">
        <f t="shared" si="3"/>
        <v>5.4E-8</v>
      </c>
      <c r="M29" s="76" t="s">
        <v>163</v>
      </c>
      <c r="N29" s="76">
        <f t="shared" ref="N29:N37" si="7">0*C29</f>
        <v>0</v>
      </c>
      <c r="O29" s="76" t="s">
        <v>535</v>
      </c>
      <c r="P29" s="76" t="s">
        <v>537</v>
      </c>
    </row>
    <row r="30" spans="2:16" ht="12.75" customHeight="1" x14ac:dyDescent="0.2">
      <c r="B30" s="76" t="s">
        <v>547</v>
      </c>
      <c r="C30" s="76">
        <f t="shared" si="0"/>
        <v>5.4E-8</v>
      </c>
      <c r="D30" s="76">
        <v>1</v>
      </c>
      <c r="E30" s="76" t="s">
        <v>900</v>
      </c>
      <c r="F30" s="76" t="s">
        <v>168</v>
      </c>
      <c r="G30" s="76" t="s">
        <v>169</v>
      </c>
      <c r="H30" s="76" t="s">
        <v>170</v>
      </c>
      <c r="I30" s="76">
        <f t="shared" si="1"/>
        <v>0</v>
      </c>
      <c r="J30" s="76">
        <f>0*C30</f>
        <v>0</v>
      </c>
      <c r="K30" s="76" t="s">
        <v>535</v>
      </c>
      <c r="L30" s="76">
        <f t="shared" si="3"/>
        <v>5.4E-8</v>
      </c>
      <c r="M30" s="76" t="s">
        <v>163</v>
      </c>
      <c r="N30" s="76">
        <f t="shared" si="7"/>
        <v>0</v>
      </c>
      <c r="O30" s="76" t="s">
        <v>535</v>
      </c>
      <c r="P30" s="76" t="s">
        <v>536</v>
      </c>
    </row>
    <row r="31" spans="2:16" ht="12.75" customHeight="1" x14ac:dyDescent="0.2">
      <c r="B31" s="76" t="s">
        <v>547</v>
      </c>
      <c r="C31" s="76">
        <f t="shared" si="0"/>
        <v>5.4E-8</v>
      </c>
      <c r="D31" s="76">
        <v>1</v>
      </c>
      <c r="E31" s="76" t="s">
        <v>901</v>
      </c>
      <c r="F31" s="76" t="s">
        <v>168</v>
      </c>
      <c r="G31" s="76" t="s">
        <v>169</v>
      </c>
      <c r="H31" s="76" t="s">
        <v>170</v>
      </c>
      <c r="I31" s="76">
        <f t="shared" si="1"/>
        <v>0</v>
      </c>
      <c r="J31" s="76">
        <f t="shared" ref="J31:J70" si="8">0*C31</f>
        <v>0</v>
      </c>
      <c r="K31" s="76" t="s">
        <v>535</v>
      </c>
      <c r="L31" s="76">
        <f t="shared" si="3"/>
        <v>5.4E-8</v>
      </c>
      <c r="M31" s="76" t="s">
        <v>163</v>
      </c>
      <c r="N31" s="76">
        <f t="shared" si="7"/>
        <v>0</v>
      </c>
      <c r="O31" s="76" t="s">
        <v>535</v>
      </c>
      <c r="P31" s="76" t="s">
        <v>536</v>
      </c>
    </row>
    <row r="32" spans="2:16" ht="12.75" customHeight="1" x14ac:dyDescent="0.2">
      <c r="B32" s="76" t="s">
        <v>547</v>
      </c>
      <c r="C32" s="76">
        <f t="shared" si="0"/>
        <v>5.4E-8</v>
      </c>
      <c r="D32" s="76">
        <v>1</v>
      </c>
      <c r="E32" s="76" t="s">
        <v>902</v>
      </c>
      <c r="F32" s="76" t="s">
        <v>168</v>
      </c>
      <c r="G32" s="76" t="s">
        <v>169</v>
      </c>
      <c r="H32" s="76" t="s">
        <v>170</v>
      </c>
      <c r="I32" s="76">
        <f t="shared" si="1"/>
        <v>0</v>
      </c>
      <c r="J32" s="76">
        <f t="shared" si="8"/>
        <v>0</v>
      </c>
      <c r="K32" s="76" t="s">
        <v>535</v>
      </c>
      <c r="L32" s="76">
        <f t="shared" si="3"/>
        <v>5.4E-8</v>
      </c>
      <c r="M32" s="76" t="s">
        <v>163</v>
      </c>
      <c r="N32" s="76">
        <f t="shared" si="7"/>
        <v>0</v>
      </c>
      <c r="O32" s="76" t="s">
        <v>535</v>
      </c>
      <c r="P32" s="76" t="s">
        <v>536</v>
      </c>
    </row>
    <row r="33" spans="2:16" ht="12.75" customHeight="1" x14ac:dyDescent="0.2">
      <c r="B33" s="76" t="s">
        <v>547</v>
      </c>
      <c r="C33" s="76">
        <f t="shared" si="0"/>
        <v>5.4E-8</v>
      </c>
      <c r="D33" s="76">
        <v>1</v>
      </c>
      <c r="E33" s="76" t="s">
        <v>903</v>
      </c>
      <c r="F33" s="76" t="s">
        <v>168</v>
      </c>
      <c r="G33" s="76" t="s">
        <v>169</v>
      </c>
      <c r="H33" s="76" t="s">
        <v>170</v>
      </c>
      <c r="I33" s="76">
        <f t="shared" si="1"/>
        <v>0</v>
      </c>
      <c r="J33" s="76">
        <f t="shared" si="8"/>
        <v>0</v>
      </c>
      <c r="K33" s="76" t="s">
        <v>535</v>
      </c>
      <c r="L33" s="76">
        <f t="shared" si="3"/>
        <v>5.4E-8</v>
      </c>
      <c r="M33" s="76" t="s">
        <v>163</v>
      </c>
      <c r="N33" s="76">
        <f t="shared" si="7"/>
        <v>0</v>
      </c>
      <c r="O33" s="76" t="s">
        <v>535</v>
      </c>
      <c r="P33" s="76" t="s">
        <v>536</v>
      </c>
    </row>
    <row r="34" spans="2:16" ht="12.75" customHeight="1" x14ac:dyDescent="0.2">
      <c r="B34" s="76" t="s">
        <v>547</v>
      </c>
      <c r="C34" s="76">
        <f t="shared" si="0"/>
        <v>5.4E-8</v>
      </c>
      <c r="D34" s="76">
        <v>1</v>
      </c>
      <c r="E34" s="76" t="s">
        <v>904</v>
      </c>
      <c r="F34" s="76" t="s">
        <v>168</v>
      </c>
      <c r="G34" s="76" t="s">
        <v>169</v>
      </c>
      <c r="H34" s="76" t="s">
        <v>170</v>
      </c>
      <c r="I34" s="76">
        <f t="shared" si="1"/>
        <v>0</v>
      </c>
      <c r="J34" s="76">
        <f t="shared" si="8"/>
        <v>0</v>
      </c>
      <c r="K34" s="76" t="s">
        <v>535</v>
      </c>
      <c r="L34" s="76">
        <f t="shared" si="3"/>
        <v>5.4E-8</v>
      </c>
      <c r="M34" s="76" t="s">
        <v>163</v>
      </c>
      <c r="N34" s="76">
        <f t="shared" si="7"/>
        <v>0</v>
      </c>
      <c r="O34" s="76" t="s">
        <v>535</v>
      </c>
      <c r="P34" s="76" t="s">
        <v>536</v>
      </c>
    </row>
    <row r="35" spans="2:16" ht="12.75" customHeight="1" x14ac:dyDescent="0.2">
      <c r="B35" s="76" t="s">
        <v>547</v>
      </c>
      <c r="C35" s="76">
        <f t="shared" si="0"/>
        <v>5.4E-8</v>
      </c>
      <c r="D35" s="76">
        <v>1</v>
      </c>
      <c r="E35" s="76" t="s">
        <v>905</v>
      </c>
      <c r="F35" s="76" t="s">
        <v>168</v>
      </c>
      <c r="G35" s="76" t="s">
        <v>169</v>
      </c>
      <c r="H35" s="76" t="s">
        <v>170</v>
      </c>
      <c r="I35" s="76">
        <f t="shared" si="1"/>
        <v>0</v>
      </c>
      <c r="J35" s="76">
        <f t="shared" si="8"/>
        <v>0</v>
      </c>
      <c r="K35" s="76" t="s">
        <v>535</v>
      </c>
      <c r="L35" s="76">
        <f t="shared" si="3"/>
        <v>5.4E-8</v>
      </c>
      <c r="M35" s="76" t="s">
        <v>163</v>
      </c>
      <c r="N35" s="76">
        <f t="shared" si="7"/>
        <v>0</v>
      </c>
      <c r="O35" s="76" t="s">
        <v>535</v>
      </c>
      <c r="P35" s="76" t="s">
        <v>536</v>
      </c>
    </row>
    <row r="36" spans="2:16" ht="12.75" customHeight="1" x14ac:dyDescent="0.2">
      <c r="B36" s="76" t="s">
        <v>547</v>
      </c>
      <c r="C36" s="76">
        <f t="shared" si="0"/>
        <v>5.4E-8</v>
      </c>
      <c r="D36" s="76">
        <v>1</v>
      </c>
      <c r="E36" s="76" t="s">
        <v>906</v>
      </c>
      <c r="F36" s="76" t="s">
        <v>168</v>
      </c>
      <c r="G36" s="76" t="s">
        <v>169</v>
      </c>
      <c r="H36" s="76" t="s">
        <v>170</v>
      </c>
      <c r="I36" s="76">
        <f t="shared" si="1"/>
        <v>0</v>
      </c>
      <c r="J36" s="76">
        <f t="shared" si="8"/>
        <v>0</v>
      </c>
      <c r="K36" s="76" t="s">
        <v>535</v>
      </c>
      <c r="L36" s="76">
        <f t="shared" si="3"/>
        <v>5.4E-8</v>
      </c>
      <c r="M36" s="76" t="s">
        <v>163</v>
      </c>
      <c r="N36" s="76">
        <f t="shared" si="7"/>
        <v>0</v>
      </c>
      <c r="O36" s="76" t="s">
        <v>535</v>
      </c>
      <c r="P36" s="76" t="s">
        <v>536</v>
      </c>
    </row>
    <row r="37" spans="2:16" ht="12.75" customHeight="1" x14ac:dyDescent="0.2">
      <c r="B37" s="76" t="s">
        <v>547</v>
      </c>
      <c r="C37" s="76">
        <f t="shared" si="0"/>
        <v>5.4E-8</v>
      </c>
      <c r="D37" s="76">
        <v>1</v>
      </c>
      <c r="E37" s="76" t="s">
        <v>907</v>
      </c>
      <c r="F37" s="76" t="s">
        <v>168</v>
      </c>
      <c r="G37" s="76" t="s">
        <v>169</v>
      </c>
      <c r="H37" s="76" t="s">
        <v>170</v>
      </c>
      <c r="I37" s="76">
        <f t="shared" si="1"/>
        <v>0</v>
      </c>
      <c r="J37" s="76">
        <f t="shared" si="8"/>
        <v>0</v>
      </c>
      <c r="K37" s="76" t="s">
        <v>535</v>
      </c>
      <c r="L37" s="76">
        <f t="shared" si="3"/>
        <v>5.4E-8</v>
      </c>
      <c r="M37" s="76" t="s">
        <v>163</v>
      </c>
      <c r="N37" s="76">
        <f t="shared" si="7"/>
        <v>0</v>
      </c>
      <c r="O37" s="76" t="s">
        <v>535</v>
      </c>
      <c r="P37" s="76" t="s">
        <v>536</v>
      </c>
    </row>
    <row r="38" spans="2:16" ht="12.75" customHeight="1" x14ac:dyDescent="0.2">
      <c r="B38" s="76" t="s">
        <v>547</v>
      </c>
      <c r="C38" s="76">
        <f t="shared" si="0"/>
        <v>5.4E-8</v>
      </c>
      <c r="D38" s="76">
        <v>1</v>
      </c>
      <c r="E38" s="76" t="s">
        <v>911</v>
      </c>
      <c r="F38" s="76" t="s">
        <v>168</v>
      </c>
      <c r="G38" s="76" t="s">
        <v>169</v>
      </c>
      <c r="H38" s="76" t="s">
        <v>170</v>
      </c>
      <c r="I38" s="76">
        <f t="shared" si="1"/>
        <v>0</v>
      </c>
      <c r="J38" s="76">
        <f t="shared" si="8"/>
        <v>0</v>
      </c>
      <c r="K38" s="76" t="s">
        <v>535</v>
      </c>
      <c r="L38" s="76">
        <f t="shared" si="3"/>
        <v>5.4E-8</v>
      </c>
      <c r="M38" s="76" t="s">
        <v>172</v>
      </c>
      <c r="N38" s="76">
        <f>(5/54)*C38</f>
        <v>5.0000000000000001E-9</v>
      </c>
      <c r="O38" s="76" t="s">
        <v>535</v>
      </c>
      <c r="P38" s="76" t="s">
        <v>536</v>
      </c>
    </row>
    <row r="39" spans="2:16" ht="12.75" customHeight="1" x14ac:dyDescent="0.2">
      <c r="B39" s="76" t="s">
        <v>547</v>
      </c>
      <c r="C39" s="76">
        <f t="shared" si="0"/>
        <v>5.4E-8</v>
      </c>
      <c r="D39" s="76">
        <v>1</v>
      </c>
      <c r="E39" s="76" t="s">
        <v>908</v>
      </c>
      <c r="F39" s="76" t="s">
        <v>168</v>
      </c>
      <c r="G39" s="76" t="s">
        <v>169</v>
      </c>
      <c r="H39" s="76" t="s">
        <v>170</v>
      </c>
      <c r="I39" s="76">
        <f t="shared" si="1"/>
        <v>0</v>
      </c>
      <c r="J39" s="76">
        <f t="shared" si="8"/>
        <v>0</v>
      </c>
      <c r="K39" s="76" t="s">
        <v>535</v>
      </c>
      <c r="L39" s="76">
        <f t="shared" si="3"/>
        <v>5.4E-8</v>
      </c>
      <c r="M39" s="76" t="s">
        <v>163</v>
      </c>
      <c r="N39" s="76">
        <f>0*C39</f>
        <v>0</v>
      </c>
      <c r="O39" s="76" t="s">
        <v>535</v>
      </c>
      <c r="P39" s="76" t="s">
        <v>536</v>
      </c>
    </row>
    <row r="40" spans="2:16" ht="12.75" customHeight="1" x14ac:dyDescent="0.2">
      <c r="B40" s="76" t="s">
        <v>547</v>
      </c>
      <c r="C40" s="76">
        <f t="shared" si="0"/>
        <v>5.4E-8</v>
      </c>
      <c r="D40" s="76">
        <v>1</v>
      </c>
      <c r="E40" s="76" t="s">
        <v>944</v>
      </c>
      <c r="F40" s="76" t="s">
        <v>168</v>
      </c>
      <c r="G40" s="76" t="s">
        <v>169</v>
      </c>
      <c r="H40" s="76" t="s">
        <v>170</v>
      </c>
      <c r="I40" s="76">
        <f t="shared" si="1"/>
        <v>0</v>
      </c>
      <c r="J40" s="76">
        <f t="shared" si="8"/>
        <v>0</v>
      </c>
      <c r="K40" s="76" t="s">
        <v>535</v>
      </c>
      <c r="L40" s="76">
        <f t="shared" si="3"/>
        <v>5.4E-8</v>
      </c>
      <c r="M40" s="76" t="s">
        <v>163</v>
      </c>
      <c r="N40" s="76">
        <f t="shared" ref="N40:N73" si="9">0*C40</f>
        <v>0</v>
      </c>
      <c r="O40" s="76" t="s">
        <v>535</v>
      </c>
      <c r="P40" s="76" t="s">
        <v>536</v>
      </c>
    </row>
    <row r="41" spans="2:16" ht="12.75" customHeight="1" x14ac:dyDescent="0.2">
      <c r="B41" s="76" t="s">
        <v>547</v>
      </c>
      <c r="C41" s="76">
        <f t="shared" si="0"/>
        <v>5.4E-8</v>
      </c>
      <c r="D41" s="76">
        <v>1</v>
      </c>
      <c r="E41" s="76" t="s">
        <v>934</v>
      </c>
      <c r="F41" s="76" t="s">
        <v>168</v>
      </c>
      <c r="G41" s="76" t="s">
        <v>169</v>
      </c>
      <c r="H41" s="76" t="s">
        <v>170</v>
      </c>
      <c r="I41" s="76">
        <f t="shared" si="1"/>
        <v>0</v>
      </c>
      <c r="J41" s="76">
        <f t="shared" si="8"/>
        <v>0</v>
      </c>
      <c r="K41" s="76" t="s">
        <v>535</v>
      </c>
      <c r="L41" s="76">
        <f t="shared" si="3"/>
        <v>5.4E-8</v>
      </c>
      <c r="M41" s="76" t="s">
        <v>163</v>
      </c>
      <c r="N41" s="76">
        <f t="shared" si="9"/>
        <v>0</v>
      </c>
      <c r="O41" s="76" t="s">
        <v>535</v>
      </c>
      <c r="P41" s="76" t="s">
        <v>536</v>
      </c>
    </row>
    <row r="42" spans="2:16" ht="12.75" customHeight="1" x14ac:dyDescent="0.2">
      <c r="B42" s="76" t="s">
        <v>547</v>
      </c>
      <c r="C42" s="76">
        <f t="shared" si="0"/>
        <v>5.4E-8</v>
      </c>
      <c r="D42" s="76">
        <v>1</v>
      </c>
      <c r="E42" s="76" t="s">
        <v>933</v>
      </c>
      <c r="F42" s="76" t="s">
        <v>168</v>
      </c>
      <c r="G42" s="76" t="s">
        <v>169</v>
      </c>
      <c r="H42" s="76" t="s">
        <v>170</v>
      </c>
      <c r="I42" s="76">
        <f t="shared" si="1"/>
        <v>0</v>
      </c>
      <c r="J42" s="76">
        <f t="shared" si="8"/>
        <v>0</v>
      </c>
      <c r="K42" s="76" t="s">
        <v>535</v>
      </c>
      <c r="L42" s="76">
        <f t="shared" si="3"/>
        <v>5.4E-8</v>
      </c>
      <c r="M42" s="76" t="s">
        <v>163</v>
      </c>
      <c r="N42" s="76">
        <f t="shared" si="9"/>
        <v>0</v>
      </c>
      <c r="O42" s="76" t="s">
        <v>535</v>
      </c>
      <c r="P42" s="76" t="s">
        <v>536</v>
      </c>
    </row>
    <row r="43" spans="2:16" ht="12.75" customHeight="1" x14ac:dyDescent="0.2">
      <c r="B43" s="76" t="s">
        <v>547</v>
      </c>
      <c r="C43" s="76">
        <f t="shared" si="0"/>
        <v>5.4E-8</v>
      </c>
      <c r="D43" s="76">
        <v>1</v>
      </c>
      <c r="E43" s="76" t="s">
        <v>932</v>
      </c>
      <c r="F43" s="76" t="s">
        <v>168</v>
      </c>
      <c r="G43" s="76" t="s">
        <v>169</v>
      </c>
      <c r="H43" s="76" t="s">
        <v>170</v>
      </c>
      <c r="I43" s="76">
        <f t="shared" si="1"/>
        <v>0</v>
      </c>
      <c r="J43" s="76">
        <f t="shared" si="8"/>
        <v>0</v>
      </c>
      <c r="K43" s="76" t="s">
        <v>535</v>
      </c>
      <c r="L43" s="76">
        <f t="shared" si="3"/>
        <v>5.4E-8</v>
      </c>
      <c r="M43" s="76" t="s">
        <v>163</v>
      </c>
      <c r="N43" s="76">
        <f t="shared" si="9"/>
        <v>0</v>
      </c>
      <c r="O43" s="76" t="s">
        <v>535</v>
      </c>
      <c r="P43" s="76" t="s">
        <v>536</v>
      </c>
    </row>
    <row r="44" spans="2:16" ht="12.75" customHeight="1" x14ac:dyDescent="0.2">
      <c r="B44" s="76" t="s">
        <v>547</v>
      </c>
      <c r="C44" s="76">
        <f t="shared" si="0"/>
        <v>5.4E-8</v>
      </c>
      <c r="D44" s="76">
        <v>1</v>
      </c>
      <c r="E44" s="76" t="s">
        <v>931</v>
      </c>
      <c r="F44" s="76" t="s">
        <v>168</v>
      </c>
      <c r="G44" s="76" t="s">
        <v>169</v>
      </c>
      <c r="H44" s="76" t="s">
        <v>170</v>
      </c>
      <c r="I44" s="76">
        <f t="shared" si="1"/>
        <v>0</v>
      </c>
      <c r="J44" s="76">
        <f t="shared" si="8"/>
        <v>0</v>
      </c>
      <c r="K44" s="76" t="s">
        <v>535</v>
      </c>
      <c r="L44" s="76">
        <f t="shared" si="3"/>
        <v>5.4E-8</v>
      </c>
      <c r="M44" s="76" t="s">
        <v>163</v>
      </c>
      <c r="N44" s="76">
        <f t="shared" si="9"/>
        <v>0</v>
      </c>
      <c r="O44" s="76" t="s">
        <v>535</v>
      </c>
      <c r="P44" s="76" t="s">
        <v>536</v>
      </c>
    </row>
    <row r="45" spans="2:16" ht="12.75" customHeight="1" x14ac:dyDescent="0.2">
      <c r="B45" s="76" t="s">
        <v>547</v>
      </c>
      <c r="C45" s="76">
        <f t="shared" si="0"/>
        <v>5.4E-8</v>
      </c>
      <c r="D45" s="76">
        <v>1</v>
      </c>
      <c r="E45" s="76" t="s">
        <v>930</v>
      </c>
      <c r="F45" s="76" t="s">
        <v>168</v>
      </c>
      <c r="G45" s="76" t="s">
        <v>169</v>
      </c>
      <c r="H45" s="76" t="s">
        <v>170</v>
      </c>
      <c r="I45" s="76">
        <f t="shared" si="1"/>
        <v>0</v>
      </c>
      <c r="J45" s="76">
        <f t="shared" si="8"/>
        <v>0</v>
      </c>
      <c r="K45" s="76" t="s">
        <v>535</v>
      </c>
      <c r="L45" s="76">
        <f t="shared" si="3"/>
        <v>5.4E-8</v>
      </c>
      <c r="M45" s="76" t="s">
        <v>163</v>
      </c>
      <c r="N45" s="76">
        <f t="shared" si="9"/>
        <v>0</v>
      </c>
      <c r="O45" s="76" t="s">
        <v>535</v>
      </c>
      <c r="P45" s="76" t="s">
        <v>536</v>
      </c>
    </row>
    <row r="46" spans="2:16" ht="12.75" customHeight="1" x14ac:dyDescent="0.2">
      <c r="B46" s="76" t="s">
        <v>547</v>
      </c>
      <c r="C46" s="76">
        <f t="shared" si="0"/>
        <v>5.4E-8</v>
      </c>
      <c r="D46" s="76">
        <v>1</v>
      </c>
      <c r="E46" s="76" t="s">
        <v>929</v>
      </c>
      <c r="F46" s="76" t="s">
        <v>168</v>
      </c>
      <c r="G46" s="76" t="s">
        <v>169</v>
      </c>
      <c r="H46" s="76" t="s">
        <v>170</v>
      </c>
      <c r="I46" s="76">
        <f t="shared" si="1"/>
        <v>0</v>
      </c>
      <c r="J46" s="76">
        <f t="shared" si="8"/>
        <v>0</v>
      </c>
      <c r="K46" s="76" t="s">
        <v>535</v>
      </c>
      <c r="L46" s="76">
        <f t="shared" si="3"/>
        <v>5.4E-8</v>
      </c>
      <c r="M46" s="76" t="s">
        <v>163</v>
      </c>
      <c r="N46" s="76">
        <f t="shared" si="9"/>
        <v>0</v>
      </c>
      <c r="O46" s="76" t="s">
        <v>535</v>
      </c>
      <c r="P46" s="76" t="s">
        <v>536</v>
      </c>
    </row>
    <row r="47" spans="2:16" ht="12.75" customHeight="1" x14ac:dyDescent="0.2">
      <c r="B47" s="76" t="s">
        <v>547</v>
      </c>
      <c r="C47" s="76">
        <f t="shared" si="0"/>
        <v>5.4E-8</v>
      </c>
      <c r="D47" s="76">
        <v>1</v>
      </c>
      <c r="E47" s="76" t="s">
        <v>928</v>
      </c>
      <c r="F47" s="76" t="s">
        <v>168</v>
      </c>
      <c r="G47" s="76" t="s">
        <v>169</v>
      </c>
      <c r="H47" s="76" t="s">
        <v>170</v>
      </c>
      <c r="I47" s="76">
        <f t="shared" si="1"/>
        <v>0</v>
      </c>
      <c r="J47" s="76">
        <f t="shared" si="8"/>
        <v>0</v>
      </c>
      <c r="K47" s="76" t="s">
        <v>535</v>
      </c>
      <c r="L47" s="76">
        <f t="shared" si="3"/>
        <v>5.4E-8</v>
      </c>
      <c r="M47" s="76" t="s">
        <v>163</v>
      </c>
      <c r="N47" s="76">
        <f t="shared" si="9"/>
        <v>0</v>
      </c>
      <c r="O47" s="76" t="s">
        <v>535</v>
      </c>
      <c r="P47" s="76" t="s">
        <v>536</v>
      </c>
    </row>
    <row r="48" spans="2:16" ht="12.75" customHeight="1" x14ac:dyDescent="0.2">
      <c r="B48" s="76" t="s">
        <v>547</v>
      </c>
      <c r="C48" s="76">
        <f t="shared" si="0"/>
        <v>5.4E-8</v>
      </c>
      <c r="D48" s="76">
        <v>1</v>
      </c>
      <c r="E48" s="76" t="s">
        <v>927</v>
      </c>
      <c r="F48" s="76" t="s">
        <v>168</v>
      </c>
      <c r="G48" s="76" t="s">
        <v>169</v>
      </c>
      <c r="H48" s="76" t="s">
        <v>170</v>
      </c>
      <c r="I48" s="76">
        <f t="shared" si="1"/>
        <v>0</v>
      </c>
      <c r="J48" s="76">
        <f t="shared" si="8"/>
        <v>0</v>
      </c>
      <c r="K48" s="76" t="s">
        <v>535</v>
      </c>
      <c r="L48" s="76">
        <f t="shared" si="3"/>
        <v>5.4E-8</v>
      </c>
      <c r="M48" s="76" t="s">
        <v>163</v>
      </c>
      <c r="N48" s="76">
        <f t="shared" si="9"/>
        <v>0</v>
      </c>
      <c r="O48" s="76" t="s">
        <v>535</v>
      </c>
      <c r="P48" s="76" t="s">
        <v>536</v>
      </c>
    </row>
    <row r="49" spans="2:16" ht="12.75" customHeight="1" x14ac:dyDescent="0.2">
      <c r="B49" s="76" t="s">
        <v>547</v>
      </c>
      <c r="C49" s="76">
        <f t="shared" si="0"/>
        <v>5.4E-8</v>
      </c>
      <c r="D49" s="76">
        <v>1</v>
      </c>
      <c r="E49" s="76" t="s">
        <v>926</v>
      </c>
      <c r="F49" s="76" t="s">
        <v>168</v>
      </c>
      <c r="G49" s="76" t="s">
        <v>169</v>
      </c>
      <c r="H49" s="76" t="s">
        <v>170</v>
      </c>
      <c r="I49" s="76">
        <f t="shared" si="1"/>
        <v>0</v>
      </c>
      <c r="J49" s="76">
        <f t="shared" si="8"/>
        <v>0</v>
      </c>
      <c r="K49" s="76" t="s">
        <v>535</v>
      </c>
      <c r="L49" s="76">
        <f t="shared" si="3"/>
        <v>5.4E-8</v>
      </c>
      <c r="M49" s="76" t="s">
        <v>163</v>
      </c>
      <c r="N49" s="76">
        <f t="shared" si="9"/>
        <v>0</v>
      </c>
      <c r="O49" s="76" t="s">
        <v>535</v>
      </c>
      <c r="P49" s="76" t="s">
        <v>536</v>
      </c>
    </row>
    <row r="50" spans="2:16" ht="12.75" customHeight="1" x14ac:dyDescent="0.2">
      <c r="B50" s="76" t="s">
        <v>547</v>
      </c>
      <c r="C50" s="76">
        <f t="shared" si="0"/>
        <v>5.4E-8</v>
      </c>
      <c r="D50" s="76">
        <v>1</v>
      </c>
      <c r="E50" s="76" t="s">
        <v>925</v>
      </c>
      <c r="F50" s="76" t="s">
        <v>168</v>
      </c>
      <c r="G50" s="76" t="s">
        <v>169</v>
      </c>
      <c r="H50" s="76" t="s">
        <v>170</v>
      </c>
      <c r="I50" s="76">
        <f t="shared" si="1"/>
        <v>0</v>
      </c>
      <c r="J50" s="76">
        <f t="shared" si="8"/>
        <v>0</v>
      </c>
      <c r="K50" s="76" t="s">
        <v>535</v>
      </c>
      <c r="L50" s="76">
        <f t="shared" si="3"/>
        <v>5.4E-8</v>
      </c>
      <c r="M50" s="76" t="s">
        <v>163</v>
      </c>
      <c r="N50" s="76">
        <f t="shared" si="9"/>
        <v>0</v>
      </c>
      <c r="O50" s="76" t="s">
        <v>535</v>
      </c>
      <c r="P50" s="76" t="s">
        <v>536</v>
      </c>
    </row>
    <row r="51" spans="2:16" ht="12.75" customHeight="1" x14ac:dyDescent="0.2">
      <c r="B51" s="76" t="s">
        <v>547</v>
      </c>
      <c r="C51" s="76">
        <f t="shared" si="0"/>
        <v>5.4E-8</v>
      </c>
      <c r="D51" s="76">
        <v>1</v>
      </c>
      <c r="E51" s="76" t="s">
        <v>943</v>
      </c>
      <c r="F51" s="76" t="s">
        <v>168</v>
      </c>
      <c r="G51" s="76" t="s">
        <v>169</v>
      </c>
      <c r="H51" s="76" t="s">
        <v>170</v>
      </c>
      <c r="I51" s="76">
        <f t="shared" si="1"/>
        <v>0</v>
      </c>
      <c r="J51" s="76">
        <f t="shared" si="8"/>
        <v>0</v>
      </c>
      <c r="K51" s="76" t="s">
        <v>535</v>
      </c>
      <c r="L51" s="76">
        <f t="shared" si="3"/>
        <v>5.4E-8</v>
      </c>
      <c r="M51" s="76" t="s">
        <v>163</v>
      </c>
      <c r="N51" s="76">
        <f t="shared" si="9"/>
        <v>0</v>
      </c>
      <c r="O51" s="76" t="s">
        <v>535</v>
      </c>
      <c r="P51" s="76" t="s">
        <v>536</v>
      </c>
    </row>
    <row r="52" spans="2:16" ht="12.75" customHeight="1" x14ac:dyDescent="0.2">
      <c r="B52" s="76" t="s">
        <v>547</v>
      </c>
      <c r="C52" s="76">
        <f t="shared" si="0"/>
        <v>5.4E-8</v>
      </c>
      <c r="D52" s="76">
        <v>1</v>
      </c>
      <c r="E52" s="76" t="s">
        <v>924</v>
      </c>
      <c r="F52" s="76" t="s">
        <v>168</v>
      </c>
      <c r="G52" s="76" t="s">
        <v>169</v>
      </c>
      <c r="H52" s="76" t="s">
        <v>170</v>
      </c>
      <c r="I52" s="76">
        <f t="shared" si="1"/>
        <v>0</v>
      </c>
      <c r="J52" s="76">
        <f t="shared" si="8"/>
        <v>0</v>
      </c>
      <c r="K52" s="76" t="s">
        <v>535</v>
      </c>
      <c r="L52" s="76">
        <f t="shared" si="3"/>
        <v>5.4E-8</v>
      </c>
      <c r="M52" s="76" t="s">
        <v>163</v>
      </c>
      <c r="N52" s="76">
        <f t="shared" si="9"/>
        <v>0</v>
      </c>
      <c r="O52" s="76" t="s">
        <v>535</v>
      </c>
      <c r="P52" s="76" t="s">
        <v>536</v>
      </c>
    </row>
    <row r="53" spans="2:16" ht="12.75" customHeight="1" x14ac:dyDescent="0.2">
      <c r="B53" s="76" t="s">
        <v>547</v>
      </c>
      <c r="C53" s="76">
        <f t="shared" si="0"/>
        <v>5.4E-8</v>
      </c>
      <c r="D53" s="76">
        <v>1</v>
      </c>
      <c r="E53" s="76" t="s">
        <v>923</v>
      </c>
      <c r="F53" s="76" t="s">
        <v>168</v>
      </c>
      <c r="G53" s="76" t="s">
        <v>169</v>
      </c>
      <c r="H53" s="76" t="s">
        <v>170</v>
      </c>
      <c r="I53" s="76">
        <f t="shared" si="1"/>
        <v>0</v>
      </c>
      <c r="J53" s="76">
        <f t="shared" si="8"/>
        <v>0</v>
      </c>
      <c r="K53" s="76" t="s">
        <v>535</v>
      </c>
      <c r="L53" s="76">
        <f t="shared" si="3"/>
        <v>5.4E-8</v>
      </c>
      <c r="M53" s="76" t="s">
        <v>163</v>
      </c>
      <c r="N53" s="76">
        <f t="shared" si="9"/>
        <v>0</v>
      </c>
      <c r="O53" s="76" t="s">
        <v>535</v>
      </c>
      <c r="P53" s="76" t="s">
        <v>536</v>
      </c>
    </row>
    <row r="54" spans="2:16" ht="12.75" customHeight="1" x14ac:dyDescent="0.2">
      <c r="B54" s="76" t="s">
        <v>547</v>
      </c>
      <c r="C54" s="76">
        <f t="shared" si="0"/>
        <v>5.4E-8</v>
      </c>
      <c r="D54" s="76">
        <v>1</v>
      </c>
      <c r="E54" s="76" t="s">
        <v>922</v>
      </c>
      <c r="F54" s="76" t="s">
        <v>168</v>
      </c>
      <c r="G54" s="76" t="s">
        <v>169</v>
      </c>
      <c r="H54" s="76" t="s">
        <v>170</v>
      </c>
      <c r="I54" s="76">
        <f t="shared" si="1"/>
        <v>0</v>
      </c>
      <c r="J54" s="76">
        <f t="shared" si="8"/>
        <v>0</v>
      </c>
      <c r="K54" s="76" t="s">
        <v>535</v>
      </c>
      <c r="L54" s="76">
        <f t="shared" si="3"/>
        <v>5.4E-8</v>
      </c>
      <c r="M54" s="76" t="s">
        <v>163</v>
      </c>
      <c r="N54" s="76">
        <f t="shared" si="9"/>
        <v>0</v>
      </c>
      <c r="O54" s="76" t="s">
        <v>535</v>
      </c>
      <c r="P54" s="76" t="s">
        <v>536</v>
      </c>
    </row>
    <row r="55" spans="2:16" ht="12.75" customHeight="1" x14ac:dyDescent="0.2">
      <c r="B55" s="76" t="s">
        <v>547</v>
      </c>
      <c r="C55" s="76">
        <f t="shared" si="0"/>
        <v>5.4E-8</v>
      </c>
      <c r="D55" s="76">
        <v>1</v>
      </c>
      <c r="E55" s="76" t="s">
        <v>921</v>
      </c>
      <c r="F55" s="76" t="s">
        <v>168</v>
      </c>
      <c r="G55" s="76" t="s">
        <v>169</v>
      </c>
      <c r="H55" s="76" t="s">
        <v>170</v>
      </c>
      <c r="I55" s="76">
        <f t="shared" si="1"/>
        <v>0</v>
      </c>
      <c r="J55" s="76">
        <f t="shared" si="8"/>
        <v>0</v>
      </c>
      <c r="K55" s="76" t="s">
        <v>535</v>
      </c>
      <c r="L55" s="76">
        <f t="shared" si="3"/>
        <v>5.4E-8</v>
      </c>
      <c r="M55" s="76" t="s">
        <v>163</v>
      </c>
      <c r="N55" s="76">
        <f t="shared" si="9"/>
        <v>0</v>
      </c>
      <c r="O55" s="76" t="s">
        <v>535</v>
      </c>
      <c r="P55" s="76" t="s">
        <v>536</v>
      </c>
    </row>
    <row r="56" spans="2:16" ht="12.75" customHeight="1" x14ac:dyDescent="0.2">
      <c r="B56" s="76" t="s">
        <v>547</v>
      </c>
      <c r="C56" s="76">
        <f t="shared" si="0"/>
        <v>5.4E-8</v>
      </c>
      <c r="D56" s="76">
        <v>1</v>
      </c>
      <c r="E56" s="76" t="s">
        <v>920</v>
      </c>
      <c r="F56" s="76" t="s">
        <v>168</v>
      </c>
      <c r="G56" s="76" t="s">
        <v>169</v>
      </c>
      <c r="H56" s="76" t="s">
        <v>170</v>
      </c>
      <c r="I56" s="76">
        <f t="shared" si="1"/>
        <v>0</v>
      </c>
      <c r="J56" s="76">
        <f t="shared" si="8"/>
        <v>0</v>
      </c>
      <c r="K56" s="76" t="s">
        <v>535</v>
      </c>
      <c r="L56" s="76">
        <f t="shared" si="3"/>
        <v>5.4E-8</v>
      </c>
      <c r="M56" s="76" t="s">
        <v>163</v>
      </c>
      <c r="N56" s="76">
        <f t="shared" si="9"/>
        <v>0</v>
      </c>
      <c r="O56" s="76" t="s">
        <v>535</v>
      </c>
      <c r="P56" s="76" t="s">
        <v>536</v>
      </c>
    </row>
    <row r="57" spans="2:16" ht="12.75" customHeight="1" x14ac:dyDescent="0.2">
      <c r="B57" s="76" t="s">
        <v>547</v>
      </c>
      <c r="C57" s="76">
        <f t="shared" si="0"/>
        <v>5.4E-8</v>
      </c>
      <c r="D57" s="76">
        <v>1</v>
      </c>
      <c r="E57" s="76" t="s">
        <v>919</v>
      </c>
      <c r="F57" s="76" t="s">
        <v>168</v>
      </c>
      <c r="G57" s="76" t="s">
        <v>169</v>
      </c>
      <c r="H57" s="76" t="s">
        <v>170</v>
      </c>
      <c r="I57" s="76">
        <f t="shared" si="1"/>
        <v>0</v>
      </c>
      <c r="J57" s="76">
        <f t="shared" si="8"/>
        <v>0</v>
      </c>
      <c r="K57" s="76" t="s">
        <v>535</v>
      </c>
      <c r="L57" s="76">
        <f t="shared" si="3"/>
        <v>5.4E-8</v>
      </c>
      <c r="M57" s="76" t="s">
        <v>163</v>
      </c>
      <c r="N57" s="76">
        <f t="shared" si="9"/>
        <v>0</v>
      </c>
      <c r="O57" s="76" t="s">
        <v>535</v>
      </c>
      <c r="P57" s="76" t="s">
        <v>536</v>
      </c>
    </row>
    <row r="58" spans="2:16" ht="12.75" customHeight="1" x14ac:dyDescent="0.2">
      <c r="B58" s="76" t="s">
        <v>547</v>
      </c>
      <c r="C58" s="76">
        <f t="shared" si="0"/>
        <v>5.4E-8</v>
      </c>
      <c r="D58" s="76">
        <v>1</v>
      </c>
      <c r="E58" s="76" t="s">
        <v>918</v>
      </c>
      <c r="F58" s="76" t="s">
        <v>168</v>
      </c>
      <c r="G58" s="76" t="s">
        <v>169</v>
      </c>
      <c r="H58" s="76" t="s">
        <v>170</v>
      </c>
      <c r="I58" s="76">
        <f t="shared" si="1"/>
        <v>0</v>
      </c>
      <c r="J58" s="76">
        <f t="shared" si="8"/>
        <v>0</v>
      </c>
      <c r="K58" s="76" t="s">
        <v>535</v>
      </c>
      <c r="L58" s="76">
        <f t="shared" si="3"/>
        <v>5.4E-8</v>
      </c>
      <c r="M58" s="76" t="s">
        <v>163</v>
      </c>
      <c r="N58" s="76">
        <f t="shared" si="9"/>
        <v>0</v>
      </c>
      <c r="O58" s="76" t="s">
        <v>535</v>
      </c>
      <c r="P58" s="76" t="s">
        <v>536</v>
      </c>
    </row>
    <row r="59" spans="2:16" ht="12.75" customHeight="1" x14ac:dyDescent="0.2">
      <c r="B59" s="76" t="s">
        <v>547</v>
      </c>
      <c r="C59" s="76">
        <f t="shared" si="0"/>
        <v>5.4E-8</v>
      </c>
      <c r="D59" s="76">
        <v>1</v>
      </c>
      <c r="E59" s="76" t="s">
        <v>917</v>
      </c>
      <c r="F59" s="76" t="s">
        <v>168</v>
      </c>
      <c r="G59" s="76" t="s">
        <v>169</v>
      </c>
      <c r="H59" s="76" t="s">
        <v>170</v>
      </c>
      <c r="I59" s="76">
        <f t="shared" si="1"/>
        <v>0</v>
      </c>
      <c r="J59" s="76">
        <f t="shared" si="8"/>
        <v>0</v>
      </c>
      <c r="K59" s="76" t="s">
        <v>535</v>
      </c>
      <c r="L59" s="76">
        <f t="shared" si="3"/>
        <v>5.4E-8</v>
      </c>
      <c r="M59" s="76" t="s">
        <v>163</v>
      </c>
      <c r="N59" s="76">
        <f t="shared" si="9"/>
        <v>0</v>
      </c>
      <c r="O59" s="76" t="s">
        <v>535</v>
      </c>
      <c r="P59" s="76" t="s">
        <v>536</v>
      </c>
    </row>
    <row r="60" spans="2:16" ht="12.75" customHeight="1" x14ac:dyDescent="0.2">
      <c r="B60" s="76" t="s">
        <v>547</v>
      </c>
      <c r="C60" s="76">
        <f t="shared" si="0"/>
        <v>5.4E-8</v>
      </c>
      <c r="D60" s="76">
        <v>1</v>
      </c>
      <c r="E60" s="76" t="s">
        <v>916</v>
      </c>
      <c r="F60" s="76" t="s">
        <v>168</v>
      </c>
      <c r="G60" s="76" t="s">
        <v>169</v>
      </c>
      <c r="H60" s="76" t="s">
        <v>170</v>
      </c>
      <c r="I60" s="76">
        <f t="shared" si="1"/>
        <v>0</v>
      </c>
      <c r="J60" s="76">
        <f t="shared" si="8"/>
        <v>0</v>
      </c>
      <c r="K60" s="76" t="s">
        <v>535</v>
      </c>
      <c r="L60" s="76">
        <f t="shared" si="3"/>
        <v>5.4E-8</v>
      </c>
      <c r="M60" s="76" t="s">
        <v>163</v>
      </c>
      <c r="N60" s="76">
        <f t="shared" si="9"/>
        <v>0</v>
      </c>
      <c r="O60" s="76" t="s">
        <v>535</v>
      </c>
      <c r="P60" s="76" t="s">
        <v>536</v>
      </c>
    </row>
    <row r="61" spans="2:16" ht="12.75" customHeight="1" x14ac:dyDescent="0.2">
      <c r="B61" s="76" t="s">
        <v>547</v>
      </c>
      <c r="C61" s="76">
        <f t="shared" si="0"/>
        <v>5.4E-8</v>
      </c>
      <c r="D61" s="76">
        <v>1</v>
      </c>
      <c r="E61" s="76" t="s">
        <v>915</v>
      </c>
      <c r="F61" s="76" t="s">
        <v>168</v>
      </c>
      <c r="G61" s="76" t="s">
        <v>169</v>
      </c>
      <c r="H61" s="76" t="s">
        <v>170</v>
      </c>
      <c r="I61" s="76">
        <f t="shared" si="1"/>
        <v>0</v>
      </c>
      <c r="J61" s="76">
        <f t="shared" si="8"/>
        <v>0</v>
      </c>
      <c r="K61" s="76" t="s">
        <v>535</v>
      </c>
      <c r="L61" s="76">
        <f t="shared" si="3"/>
        <v>5.4E-8</v>
      </c>
      <c r="M61" s="76" t="s">
        <v>163</v>
      </c>
      <c r="N61" s="76">
        <f t="shared" si="9"/>
        <v>0</v>
      </c>
      <c r="O61" s="76" t="s">
        <v>535</v>
      </c>
      <c r="P61" s="76" t="s">
        <v>536</v>
      </c>
    </row>
    <row r="62" spans="2:16" ht="12.75" customHeight="1" x14ac:dyDescent="0.2">
      <c r="B62" s="76" t="s">
        <v>547</v>
      </c>
      <c r="C62" s="76">
        <f t="shared" si="0"/>
        <v>5.4E-8</v>
      </c>
      <c r="D62" s="76">
        <v>1</v>
      </c>
      <c r="E62" s="76" t="s">
        <v>942</v>
      </c>
      <c r="F62" s="76" t="s">
        <v>168</v>
      </c>
      <c r="G62" s="76" t="s">
        <v>169</v>
      </c>
      <c r="H62" s="76" t="s">
        <v>170</v>
      </c>
      <c r="I62" s="76">
        <f t="shared" si="1"/>
        <v>0</v>
      </c>
      <c r="J62" s="76">
        <f t="shared" si="8"/>
        <v>0</v>
      </c>
      <c r="K62" s="76" t="s">
        <v>535</v>
      </c>
      <c r="L62" s="76">
        <f t="shared" si="3"/>
        <v>5.4E-8</v>
      </c>
      <c r="M62" s="76" t="s">
        <v>163</v>
      </c>
      <c r="N62" s="76">
        <f t="shared" si="9"/>
        <v>0</v>
      </c>
      <c r="O62" s="76" t="s">
        <v>535</v>
      </c>
      <c r="P62" s="76" t="s">
        <v>536</v>
      </c>
    </row>
    <row r="63" spans="2:16" ht="12.75" customHeight="1" x14ac:dyDescent="0.2">
      <c r="B63" s="76" t="s">
        <v>547</v>
      </c>
      <c r="C63" s="76">
        <f t="shared" si="0"/>
        <v>5.4E-8</v>
      </c>
      <c r="D63" s="76">
        <v>1</v>
      </c>
      <c r="E63" s="76" t="s">
        <v>914</v>
      </c>
      <c r="F63" s="76" t="s">
        <v>168</v>
      </c>
      <c r="G63" s="76" t="s">
        <v>169</v>
      </c>
      <c r="H63" s="76" t="s">
        <v>170</v>
      </c>
      <c r="I63" s="76">
        <f t="shared" si="1"/>
        <v>0</v>
      </c>
      <c r="J63" s="76">
        <f t="shared" si="8"/>
        <v>0</v>
      </c>
      <c r="K63" s="76" t="s">
        <v>535</v>
      </c>
      <c r="L63" s="76">
        <f t="shared" si="3"/>
        <v>5.4E-8</v>
      </c>
      <c r="M63" s="76" t="s">
        <v>163</v>
      </c>
      <c r="N63" s="76">
        <f t="shared" si="9"/>
        <v>0</v>
      </c>
      <c r="O63" s="76" t="s">
        <v>535</v>
      </c>
      <c r="P63" s="76" t="s">
        <v>536</v>
      </c>
    </row>
    <row r="64" spans="2:16" ht="12.75" customHeight="1" x14ac:dyDescent="0.2">
      <c r="B64" s="76" t="s">
        <v>547</v>
      </c>
      <c r="C64" s="76">
        <f t="shared" si="0"/>
        <v>5.4E-8</v>
      </c>
      <c r="D64" s="76">
        <v>1</v>
      </c>
      <c r="E64" s="76" t="s">
        <v>913</v>
      </c>
      <c r="F64" s="76" t="s">
        <v>168</v>
      </c>
      <c r="G64" s="76" t="s">
        <v>169</v>
      </c>
      <c r="H64" s="76" t="s">
        <v>170</v>
      </c>
      <c r="I64" s="76">
        <f t="shared" si="1"/>
        <v>0</v>
      </c>
      <c r="J64" s="76">
        <f t="shared" si="8"/>
        <v>0</v>
      </c>
      <c r="K64" s="76" t="s">
        <v>535</v>
      </c>
      <c r="L64" s="76">
        <f t="shared" si="3"/>
        <v>5.4E-8</v>
      </c>
      <c r="M64" s="76" t="s">
        <v>163</v>
      </c>
      <c r="N64" s="76">
        <f t="shared" si="9"/>
        <v>0</v>
      </c>
      <c r="O64" s="76" t="s">
        <v>535</v>
      </c>
      <c r="P64" s="76" t="s">
        <v>536</v>
      </c>
    </row>
    <row r="65" spans="2:16" ht="12.75" customHeight="1" x14ac:dyDescent="0.2">
      <c r="B65" s="76" t="s">
        <v>547</v>
      </c>
      <c r="C65" s="76">
        <f t="shared" si="0"/>
        <v>5.4E-8</v>
      </c>
      <c r="D65" s="76">
        <v>1</v>
      </c>
      <c r="E65" s="76" t="s">
        <v>941</v>
      </c>
      <c r="F65" s="76" t="s">
        <v>168</v>
      </c>
      <c r="G65" s="76" t="s">
        <v>169</v>
      </c>
      <c r="H65" s="76" t="s">
        <v>170</v>
      </c>
      <c r="I65" s="76">
        <f t="shared" si="1"/>
        <v>0</v>
      </c>
      <c r="J65" s="76">
        <f t="shared" si="8"/>
        <v>0</v>
      </c>
      <c r="K65" s="76" t="s">
        <v>535</v>
      </c>
      <c r="L65" s="76">
        <f t="shared" si="3"/>
        <v>5.4E-8</v>
      </c>
      <c r="M65" s="76" t="s">
        <v>163</v>
      </c>
      <c r="N65" s="76">
        <f t="shared" si="9"/>
        <v>0</v>
      </c>
      <c r="O65" s="76" t="s">
        <v>535</v>
      </c>
      <c r="P65" s="76" t="s">
        <v>536</v>
      </c>
    </row>
    <row r="66" spans="2:16" ht="12.75" customHeight="1" x14ac:dyDescent="0.2">
      <c r="B66" s="76" t="s">
        <v>547</v>
      </c>
      <c r="C66" s="76">
        <f t="shared" si="0"/>
        <v>5.4E-8</v>
      </c>
      <c r="D66" s="76">
        <v>1</v>
      </c>
      <c r="E66" s="76" t="s">
        <v>940</v>
      </c>
      <c r="F66" s="76" t="s">
        <v>168</v>
      </c>
      <c r="G66" s="76" t="s">
        <v>169</v>
      </c>
      <c r="H66" s="76" t="s">
        <v>170</v>
      </c>
      <c r="I66" s="76">
        <f t="shared" si="1"/>
        <v>0</v>
      </c>
      <c r="J66" s="76">
        <f t="shared" si="8"/>
        <v>0</v>
      </c>
      <c r="K66" s="76" t="s">
        <v>535</v>
      </c>
      <c r="L66" s="76">
        <f t="shared" si="3"/>
        <v>5.4E-8</v>
      </c>
      <c r="M66" s="76" t="s">
        <v>163</v>
      </c>
      <c r="N66" s="76">
        <f t="shared" si="9"/>
        <v>0</v>
      </c>
      <c r="O66" s="76" t="s">
        <v>535</v>
      </c>
      <c r="P66" s="76" t="s">
        <v>536</v>
      </c>
    </row>
    <row r="67" spans="2:16" ht="12.75" customHeight="1" x14ac:dyDescent="0.2">
      <c r="B67" s="76" t="s">
        <v>547</v>
      </c>
      <c r="C67" s="76">
        <f t="shared" si="0"/>
        <v>5.4E-8</v>
      </c>
      <c r="D67" s="76">
        <v>1</v>
      </c>
      <c r="E67" s="76" t="s">
        <v>939</v>
      </c>
      <c r="F67" s="76" t="s">
        <v>168</v>
      </c>
      <c r="G67" s="76" t="s">
        <v>169</v>
      </c>
      <c r="H67" s="76" t="s">
        <v>170</v>
      </c>
      <c r="I67" s="76">
        <f t="shared" si="1"/>
        <v>0</v>
      </c>
      <c r="J67" s="76">
        <f t="shared" si="8"/>
        <v>0</v>
      </c>
      <c r="K67" s="76" t="s">
        <v>535</v>
      </c>
      <c r="L67" s="76">
        <f t="shared" si="3"/>
        <v>5.4E-8</v>
      </c>
      <c r="M67" s="76" t="s">
        <v>163</v>
      </c>
      <c r="N67" s="76">
        <f t="shared" si="9"/>
        <v>0</v>
      </c>
      <c r="O67" s="76" t="s">
        <v>535</v>
      </c>
      <c r="P67" s="76" t="s">
        <v>536</v>
      </c>
    </row>
    <row r="68" spans="2:16" ht="12.75" customHeight="1" x14ac:dyDescent="0.2">
      <c r="B68" s="76" t="s">
        <v>547</v>
      </c>
      <c r="C68" s="76">
        <f t="shared" si="0"/>
        <v>5.4E-8</v>
      </c>
      <c r="D68" s="76">
        <v>1</v>
      </c>
      <c r="E68" s="76" t="s">
        <v>938</v>
      </c>
      <c r="F68" s="76" t="s">
        <v>168</v>
      </c>
      <c r="G68" s="76" t="s">
        <v>169</v>
      </c>
      <c r="H68" s="76" t="s">
        <v>170</v>
      </c>
      <c r="I68" s="76">
        <f t="shared" si="1"/>
        <v>0</v>
      </c>
      <c r="J68" s="76">
        <f t="shared" si="8"/>
        <v>0</v>
      </c>
      <c r="K68" s="76" t="s">
        <v>535</v>
      </c>
      <c r="L68" s="76">
        <f t="shared" si="3"/>
        <v>5.4E-8</v>
      </c>
      <c r="M68" s="76" t="s">
        <v>163</v>
      </c>
      <c r="N68" s="76">
        <f t="shared" si="9"/>
        <v>0</v>
      </c>
      <c r="O68" s="76" t="s">
        <v>535</v>
      </c>
      <c r="P68" s="76" t="s">
        <v>536</v>
      </c>
    </row>
    <row r="69" spans="2:16" ht="12.75" customHeight="1" x14ac:dyDescent="0.2">
      <c r="B69" s="76" t="s">
        <v>547</v>
      </c>
      <c r="C69" s="76">
        <f t="shared" si="0"/>
        <v>5.4E-8</v>
      </c>
      <c r="D69" s="76">
        <v>1</v>
      </c>
      <c r="E69" s="76" t="s">
        <v>937</v>
      </c>
      <c r="F69" s="76" t="s">
        <v>168</v>
      </c>
      <c r="G69" s="76" t="s">
        <v>169</v>
      </c>
      <c r="H69" s="76" t="s">
        <v>170</v>
      </c>
      <c r="I69" s="76">
        <f t="shared" si="1"/>
        <v>0</v>
      </c>
      <c r="J69" s="76">
        <f t="shared" si="8"/>
        <v>0</v>
      </c>
      <c r="K69" s="76" t="s">
        <v>535</v>
      </c>
      <c r="L69" s="76">
        <f t="shared" si="3"/>
        <v>5.4E-8</v>
      </c>
      <c r="M69" s="76" t="s">
        <v>163</v>
      </c>
      <c r="N69" s="76">
        <f t="shared" si="9"/>
        <v>0</v>
      </c>
      <c r="O69" s="76" t="s">
        <v>535</v>
      </c>
      <c r="P69" s="76" t="s">
        <v>536</v>
      </c>
    </row>
    <row r="70" spans="2:16" ht="12.75" customHeight="1" x14ac:dyDescent="0.2">
      <c r="B70" s="76" t="s">
        <v>547</v>
      </c>
      <c r="C70" s="76">
        <f t="shared" si="0"/>
        <v>5.4E-8</v>
      </c>
      <c r="D70" s="76">
        <v>1</v>
      </c>
      <c r="E70" s="76" t="s">
        <v>936</v>
      </c>
      <c r="F70" s="76" t="s">
        <v>168</v>
      </c>
      <c r="G70" s="76" t="s">
        <v>169</v>
      </c>
      <c r="H70" s="76" t="s">
        <v>170</v>
      </c>
      <c r="I70" s="76">
        <f t="shared" si="1"/>
        <v>0</v>
      </c>
      <c r="J70" s="76">
        <f t="shared" si="8"/>
        <v>0</v>
      </c>
      <c r="K70" s="76" t="s">
        <v>535</v>
      </c>
      <c r="L70" s="76">
        <f t="shared" si="3"/>
        <v>5.4E-8</v>
      </c>
      <c r="M70" s="76" t="s">
        <v>163</v>
      </c>
      <c r="N70" s="76">
        <f t="shared" si="9"/>
        <v>0</v>
      </c>
      <c r="O70" s="76" t="s">
        <v>535</v>
      </c>
      <c r="P70" s="76" t="s">
        <v>536</v>
      </c>
    </row>
    <row r="71" spans="2:16" ht="12.75" customHeight="1" x14ac:dyDescent="0.2">
      <c r="B71" s="76" t="s">
        <v>547</v>
      </c>
      <c r="C71" s="76">
        <f t="shared" si="0"/>
        <v>5.4E-8</v>
      </c>
      <c r="D71" s="76">
        <v>1</v>
      </c>
      <c r="E71" s="76" t="s">
        <v>935</v>
      </c>
      <c r="F71" s="76" t="s">
        <v>168</v>
      </c>
      <c r="G71" s="76" t="s">
        <v>169</v>
      </c>
      <c r="H71" s="76" t="s">
        <v>170</v>
      </c>
      <c r="I71" s="76">
        <f t="shared" si="1"/>
        <v>0</v>
      </c>
      <c r="J71" s="76">
        <f>0*C71</f>
        <v>0</v>
      </c>
      <c r="K71" s="76" t="s">
        <v>535</v>
      </c>
      <c r="L71" s="76">
        <f t="shared" si="3"/>
        <v>5.4E-8</v>
      </c>
      <c r="M71" s="76" t="s">
        <v>163</v>
      </c>
      <c r="N71" s="76">
        <f t="shared" si="9"/>
        <v>0</v>
      </c>
      <c r="O71" s="76" t="s">
        <v>535</v>
      </c>
      <c r="P71" s="76" t="s">
        <v>536</v>
      </c>
    </row>
    <row r="72" spans="2:16" ht="12.75" customHeight="1" x14ac:dyDescent="0.2">
      <c r="B72" s="76" t="s">
        <v>547</v>
      </c>
      <c r="C72" s="76">
        <f t="shared" ref="C72:C86" si="10">54*ns</f>
        <v>5.4E-8</v>
      </c>
      <c r="D72" s="76">
        <v>1</v>
      </c>
      <c r="E72" s="76" t="s">
        <v>945</v>
      </c>
      <c r="F72" s="76" t="s">
        <v>168</v>
      </c>
      <c r="G72" s="76" t="s">
        <v>169</v>
      </c>
      <c r="H72" s="76" t="s">
        <v>516</v>
      </c>
      <c r="I72" s="76">
        <f t="shared" ref="I72:I86" si="11">0*C72</f>
        <v>0</v>
      </c>
      <c r="J72" s="76">
        <f>(13/54)*C72</f>
        <v>1.2999999999999999E-8</v>
      </c>
      <c r="K72" s="76">
        <f>(40/54)*C72</f>
        <v>4.0000000000000001E-8</v>
      </c>
      <c r="L72" s="76">
        <f t="shared" ref="L72:L86" si="12">1*C72</f>
        <v>5.4E-8</v>
      </c>
      <c r="M72" s="76" t="s">
        <v>163</v>
      </c>
      <c r="N72" s="76">
        <f t="shared" si="9"/>
        <v>0</v>
      </c>
      <c r="O72" s="76" t="s">
        <v>535</v>
      </c>
      <c r="P72" s="76" t="s">
        <v>537</v>
      </c>
    </row>
    <row r="73" spans="2:16" ht="12.75" customHeight="1" x14ac:dyDescent="0.2">
      <c r="B73" s="76" t="s">
        <v>547</v>
      </c>
      <c r="C73" s="76">
        <f t="shared" si="10"/>
        <v>5.4E-8</v>
      </c>
      <c r="D73" s="76">
        <v>1</v>
      </c>
      <c r="E73" s="76" t="s">
        <v>103</v>
      </c>
      <c r="F73" s="76" t="s">
        <v>168</v>
      </c>
      <c r="G73" s="76" t="s">
        <v>169</v>
      </c>
      <c r="H73" s="76" t="s">
        <v>170</v>
      </c>
      <c r="I73" s="76">
        <f t="shared" si="11"/>
        <v>0</v>
      </c>
      <c r="J73" s="76">
        <f>0*C73</f>
        <v>0</v>
      </c>
      <c r="K73" s="76" t="s">
        <v>535</v>
      </c>
      <c r="L73" s="76">
        <f t="shared" si="12"/>
        <v>5.4E-8</v>
      </c>
      <c r="M73" s="76" t="s">
        <v>163</v>
      </c>
      <c r="N73" s="76">
        <f t="shared" si="9"/>
        <v>0</v>
      </c>
      <c r="O73" s="76" t="s">
        <v>535</v>
      </c>
      <c r="P73" s="76" t="s">
        <v>536</v>
      </c>
    </row>
    <row r="74" spans="2:16" ht="12.75" customHeight="1" x14ac:dyDescent="0.2">
      <c r="B74" s="76" t="s">
        <v>547</v>
      </c>
      <c r="C74" s="76">
        <f t="shared" si="10"/>
        <v>5.4E-8</v>
      </c>
      <c r="D74" s="76">
        <v>1</v>
      </c>
      <c r="E74" s="76" t="s">
        <v>111</v>
      </c>
      <c r="F74" s="76" t="s">
        <v>168</v>
      </c>
      <c r="G74" s="76" t="s">
        <v>169</v>
      </c>
      <c r="H74" s="76" t="s">
        <v>170</v>
      </c>
      <c r="I74" s="76">
        <f t="shared" si="11"/>
        <v>0</v>
      </c>
      <c r="J74" s="76">
        <f t="shared" ref="J74:J78" si="13">0*C74</f>
        <v>0</v>
      </c>
      <c r="K74" s="76" t="s">
        <v>535</v>
      </c>
      <c r="L74" s="76">
        <f t="shared" si="12"/>
        <v>5.4E-8</v>
      </c>
      <c r="M74" s="76" t="s">
        <v>172</v>
      </c>
      <c r="N74" s="76">
        <f>(5/54)*C74</f>
        <v>5.0000000000000001E-9</v>
      </c>
      <c r="O74" s="76" t="s">
        <v>535</v>
      </c>
      <c r="P74" s="76" t="s">
        <v>536</v>
      </c>
    </row>
    <row r="75" spans="2:16" ht="12.75" customHeight="1" x14ac:dyDescent="0.2">
      <c r="B75" s="76" t="s">
        <v>547</v>
      </c>
      <c r="C75" s="76">
        <f t="shared" si="10"/>
        <v>5.4E-8</v>
      </c>
      <c r="D75" s="76">
        <v>1</v>
      </c>
      <c r="E75" s="76" t="s">
        <v>946</v>
      </c>
      <c r="F75" s="76" t="s">
        <v>168</v>
      </c>
      <c r="G75" s="76" t="s">
        <v>169</v>
      </c>
      <c r="H75" s="76" t="s">
        <v>170</v>
      </c>
      <c r="I75" s="76">
        <f t="shared" si="11"/>
        <v>0</v>
      </c>
      <c r="J75" s="76">
        <f t="shared" si="13"/>
        <v>0</v>
      </c>
      <c r="K75" s="76" t="s">
        <v>535</v>
      </c>
      <c r="L75" s="76">
        <f t="shared" si="12"/>
        <v>5.4E-8</v>
      </c>
      <c r="M75" s="76" t="s">
        <v>163</v>
      </c>
      <c r="N75" s="76">
        <f>0*C75</f>
        <v>0</v>
      </c>
      <c r="O75" s="76" t="s">
        <v>535</v>
      </c>
      <c r="P75" s="76" t="s">
        <v>536</v>
      </c>
    </row>
    <row r="76" spans="2:16" ht="12.75" customHeight="1" x14ac:dyDescent="0.2">
      <c r="B76" s="76" t="s">
        <v>547</v>
      </c>
      <c r="C76" s="76">
        <f t="shared" si="10"/>
        <v>5.4E-8</v>
      </c>
      <c r="D76" s="76">
        <v>1</v>
      </c>
      <c r="E76" s="76" t="s">
        <v>120</v>
      </c>
      <c r="F76" s="76" t="s">
        <v>168</v>
      </c>
      <c r="G76" s="76" t="s">
        <v>169</v>
      </c>
      <c r="H76" s="76" t="s">
        <v>170</v>
      </c>
      <c r="I76" s="76">
        <f t="shared" si="11"/>
        <v>0</v>
      </c>
      <c r="J76" s="76">
        <f t="shared" si="13"/>
        <v>0</v>
      </c>
      <c r="K76" s="76" t="s">
        <v>535</v>
      </c>
      <c r="L76" s="76">
        <f t="shared" si="12"/>
        <v>5.4E-8</v>
      </c>
      <c r="M76" s="76" t="s">
        <v>172</v>
      </c>
      <c r="N76" s="76">
        <f>(5/54)*C76</f>
        <v>5.0000000000000001E-9</v>
      </c>
      <c r="O76" s="76" t="s">
        <v>535</v>
      </c>
      <c r="P76" s="76" t="s">
        <v>536</v>
      </c>
    </row>
    <row r="77" spans="2:16" ht="12.75" customHeight="1" x14ac:dyDescent="0.2">
      <c r="B77" s="76" t="s">
        <v>547</v>
      </c>
      <c r="C77" s="76">
        <f t="shared" si="10"/>
        <v>5.4E-8</v>
      </c>
      <c r="D77" s="76">
        <v>1</v>
      </c>
      <c r="E77" s="76" t="s">
        <v>121</v>
      </c>
      <c r="F77" s="76" t="s">
        <v>168</v>
      </c>
      <c r="G77" s="76" t="s">
        <v>169</v>
      </c>
      <c r="H77" s="76" t="s">
        <v>170</v>
      </c>
      <c r="I77" s="76">
        <f t="shared" si="11"/>
        <v>0</v>
      </c>
      <c r="J77" s="76">
        <f t="shared" si="13"/>
        <v>0</v>
      </c>
      <c r="K77" s="76" t="s">
        <v>535</v>
      </c>
      <c r="L77" s="76">
        <f t="shared" si="12"/>
        <v>5.4E-8</v>
      </c>
      <c r="M77" s="76" t="s">
        <v>172</v>
      </c>
      <c r="N77" s="76">
        <f>(5/54)*C77</f>
        <v>5.0000000000000001E-9</v>
      </c>
      <c r="O77" s="76" t="s">
        <v>535</v>
      </c>
      <c r="P77" s="76" t="s">
        <v>536</v>
      </c>
    </row>
    <row r="78" spans="2:16" ht="12.75" customHeight="1" x14ac:dyDescent="0.2">
      <c r="B78" s="76" t="s">
        <v>547</v>
      </c>
      <c r="C78" s="76">
        <f t="shared" si="10"/>
        <v>5.4E-8</v>
      </c>
      <c r="D78" s="76">
        <v>1</v>
      </c>
      <c r="E78" s="76" t="s">
        <v>97</v>
      </c>
      <c r="F78" s="76" t="s">
        <v>168</v>
      </c>
      <c r="G78" s="76" t="s">
        <v>169</v>
      </c>
      <c r="H78" s="76" t="s">
        <v>170</v>
      </c>
      <c r="I78" s="76">
        <f t="shared" si="11"/>
        <v>0</v>
      </c>
      <c r="J78" s="76">
        <f t="shared" si="13"/>
        <v>0</v>
      </c>
      <c r="K78" s="76" t="s">
        <v>535</v>
      </c>
      <c r="L78" s="76">
        <f t="shared" si="12"/>
        <v>5.4E-8</v>
      </c>
      <c r="M78" s="76" t="s">
        <v>163</v>
      </c>
      <c r="N78" s="76">
        <f>0*C78</f>
        <v>0</v>
      </c>
      <c r="O78" s="76" t="s">
        <v>535</v>
      </c>
      <c r="P78" s="76" t="s">
        <v>536</v>
      </c>
    </row>
    <row r="79" spans="2:16" ht="12.75" customHeight="1" x14ac:dyDescent="0.2">
      <c r="B79" s="76" t="s">
        <v>547</v>
      </c>
      <c r="C79" s="76">
        <f t="shared" si="10"/>
        <v>5.4E-8</v>
      </c>
      <c r="D79" s="76">
        <v>1</v>
      </c>
      <c r="E79" s="76" t="s">
        <v>909</v>
      </c>
      <c r="F79" s="76" t="s">
        <v>168</v>
      </c>
      <c r="G79" s="76" t="s">
        <v>169</v>
      </c>
      <c r="H79" s="76" t="s">
        <v>516</v>
      </c>
      <c r="I79" s="76">
        <f t="shared" si="11"/>
        <v>0</v>
      </c>
      <c r="J79" s="76">
        <f>(13/54)*C79</f>
        <v>1.2999999999999999E-8</v>
      </c>
      <c r="K79" s="76">
        <f>(40/54)*C79</f>
        <v>4.0000000000000001E-8</v>
      </c>
      <c r="L79" s="76">
        <f t="shared" si="12"/>
        <v>5.4E-8</v>
      </c>
      <c r="M79" s="76" t="s">
        <v>163</v>
      </c>
      <c r="N79" s="76">
        <f t="shared" ref="N79:N81" si="14">0*C79</f>
        <v>0</v>
      </c>
      <c r="O79" s="76" t="s">
        <v>535</v>
      </c>
      <c r="P79" s="76" t="s">
        <v>537</v>
      </c>
    </row>
    <row r="80" spans="2:16" ht="12.75" customHeight="1" x14ac:dyDescent="0.2">
      <c r="B80" s="76" t="s">
        <v>547</v>
      </c>
      <c r="C80" s="76">
        <f t="shared" si="10"/>
        <v>5.4E-8</v>
      </c>
      <c r="D80" s="76">
        <v>1</v>
      </c>
      <c r="E80" s="76" t="s">
        <v>910</v>
      </c>
      <c r="F80" s="76" t="s">
        <v>168</v>
      </c>
      <c r="G80" s="76" t="s">
        <v>169</v>
      </c>
      <c r="H80" s="76" t="s">
        <v>170</v>
      </c>
      <c r="I80" s="76">
        <f t="shared" si="11"/>
        <v>0</v>
      </c>
      <c r="J80" s="76">
        <f>0*C80</f>
        <v>0</v>
      </c>
      <c r="K80" s="76" t="s">
        <v>535</v>
      </c>
      <c r="L80" s="76">
        <f t="shared" si="12"/>
        <v>5.4E-8</v>
      </c>
      <c r="M80" s="76" t="s">
        <v>163</v>
      </c>
      <c r="N80" s="76">
        <f t="shared" si="14"/>
        <v>0</v>
      </c>
      <c r="O80" s="76" t="s">
        <v>535</v>
      </c>
      <c r="P80" s="76" t="s">
        <v>536</v>
      </c>
    </row>
    <row r="81" spans="2:16" ht="12.75" customHeight="1" x14ac:dyDescent="0.2">
      <c r="B81" s="76" t="s">
        <v>547</v>
      </c>
      <c r="C81" s="76">
        <f t="shared" si="10"/>
        <v>5.4E-8</v>
      </c>
      <c r="D81" s="76">
        <v>1</v>
      </c>
      <c r="E81" s="76" t="s">
        <v>893</v>
      </c>
      <c r="F81" s="76" t="s">
        <v>168</v>
      </c>
      <c r="G81" s="76" t="s">
        <v>169</v>
      </c>
      <c r="H81" s="76" t="s">
        <v>516</v>
      </c>
      <c r="I81" s="76">
        <f t="shared" si="11"/>
        <v>0</v>
      </c>
      <c r="J81" s="76">
        <f>(12/54)*C81</f>
        <v>1.2E-8</v>
      </c>
      <c r="K81" s="76">
        <f>(37/54)*C81</f>
        <v>3.7E-8</v>
      </c>
      <c r="L81" s="76">
        <f t="shared" si="12"/>
        <v>5.4E-8</v>
      </c>
      <c r="M81" s="76" t="s">
        <v>163</v>
      </c>
      <c r="N81" s="76">
        <f t="shared" si="14"/>
        <v>0</v>
      </c>
      <c r="O81" s="76" t="s">
        <v>535</v>
      </c>
      <c r="P81" s="76" t="s">
        <v>537</v>
      </c>
    </row>
    <row r="82" spans="2:16" ht="12.75" customHeight="1" x14ac:dyDescent="0.2">
      <c r="B82" s="76" t="s">
        <v>547</v>
      </c>
      <c r="C82" s="76">
        <f t="shared" si="10"/>
        <v>5.4E-8</v>
      </c>
      <c r="D82" s="76">
        <v>1</v>
      </c>
      <c r="E82" s="76" t="s">
        <v>894</v>
      </c>
      <c r="F82" s="76" t="s">
        <v>168</v>
      </c>
      <c r="G82" s="76" t="s">
        <v>169</v>
      </c>
      <c r="H82" s="76" t="s">
        <v>170</v>
      </c>
      <c r="I82" s="76">
        <f t="shared" si="11"/>
        <v>0</v>
      </c>
      <c r="J82" s="76">
        <f>0*C82</f>
        <v>0</v>
      </c>
      <c r="K82" s="76" t="s">
        <v>535</v>
      </c>
      <c r="L82" s="76">
        <f t="shared" si="12"/>
        <v>5.4E-8</v>
      </c>
      <c r="M82" s="76" t="s">
        <v>163</v>
      </c>
      <c r="N82" s="76">
        <f>(5/54)*C82</f>
        <v>5.0000000000000001E-9</v>
      </c>
      <c r="O82" s="76" t="s">
        <v>535</v>
      </c>
      <c r="P82" s="76" t="s">
        <v>536</v>
      </c>
    </row>
    <row r="83" spans="2:16" ht="12.75" customHeight="1" x14ac:dyDescent="0.2">
      <c r="B83" s="76" t="s">
        <v>547</v>
      </c>
      <c r="C83" s="76">
        <f t="shared" si="10"/>
        <v>5.4E-8</v>
      </c>
      <c r="D83" s="76">
        <v>1</v>
      </c>
      <c r="E83" s="76" t="s">
        <v>895</v>
      </c>
      <c r="F83" s="76" t="s">
        <v>168</v>
      </c>
      <c r="G83" s="76" t="s">
        <v>169</v>
      </c>
      <c r="H83" s="76" t="s">
        <v>170</v>
      </c>
      <c r="I83" s="76">
        <f t="shared" si="11"/>
        <v>0</v>
      </c>
      <c r="J83" s="76">
        <f t="shared" ref="J83:J86" si="15">0*C83</f>
        <v>0</v>
      </c>
      <c r="K83" s="76" t="s">
        <v>535</v>
      </c>
      <c r="L83" s="76">
        <f t="shared" si="12"/>
        <v>5.4E-8</v>
      </c>
      <c r="M83" s="76" t="s">
        <v>172</v>
      </c>
      <c r="N83" s="76">
        <f>(5/54)*C83</f>
        <v>5.0000000000000001E-9</v>
      </c>
      <c r="O83" s="76" t="s">
        <v>535</v>
      </c>
      <c r="P83" s="76" t="s">
        <v>536</v>
      </c>
    </row>
    <row r="84" spans="2:16" ht="12.75" customHeight="1" x14ac:dyDescent="0.2">
      <c r="B84" s="76" t="s">
        <v>547</v>
      </c>
      <c r="C84" s="76">
        <f t="shared" si="10"/>
        <v>5.4E-8</v>
      </c>
      <c r="D84" s="76">
        <v>1</v>
      </c>
      <c r="E84" s="76" t="s">
        <v>896</v>
      </c>
      <c r="F84" s="76" t="s">
        <v>168</v>
      </c>
      <c r="G84" s="76" t="s">
        <v>169</v>
      </c>
      <c r="H84" s="76" t="s">
        <v>170</v>
      </c>
      <c r="I84" s="76">
        <f t="shared" si="11"/>
        <v>0</v>
      </c>
      <c r="J84" s="76">
        <f t="shared" si="15"/>
        <v>0</v>
      </c>
      <c r="K84" s="76" t="s">
        <v>535</v>
      </c>
      <c r="L84" s="76">
        <f t="shared" si="12"/>
        <v>5.4E-8</v>
      </c>
      <c r="M84" s="76" t="s">
        <v>163</v>
      </c>
      <c r="N84" s="76">
        <f>(5/54)*C84</f>
        <v>5.0000000000000001E-9</v>
      </c>
      <c r="O84" s="76" t="s">
        <v>535</v>
      </c>
      <c r="P84" s="76" t="s">
        <v>536</v>
      </c>
    </row>
    <row r="85" spans="2:16" ht="12.75" customHeight="1" x14ac:dyDescent="0.2">
      <c r="B85" s="76" t="s">
        <v>547</v>
      </c>
      <c r="C85" s="76">
        <f t="shared" si="10"/>
        <v>5.4E-8</v>
      </c>
      <c r="D85" s="76">
        <v>1</v>
      </c>
      <c r="E85" s="76" t="s">
        <v>897</v>
      </c>
      <c r="F85" s="76" t="s">
        <v>168</v>
      </c>
      <c r="G85" s="76" t="s">
        <v>169</v>
      </c>
      <c r="H85" s="76" t="s">
        <v>170</v>
      </c>
      <c r="I85" s="76">
        <f t="shared" si="11"/>
        <v>0</v>
      </c>
      <c r="J85" s="76">
        <f t="shared" si="15"/>
        <v>0</v>
      </c>
      <c r="K85" s="76" t="s">
        <v>535</v>
      </c>
      <c r="L85" s="76">
        <f t="shared" si="12"/>
        <v>5.4E-8</v>
      </c>
      <c r="M85" s="76" t="s">
        <v>163</v>
      </c>
      <c r="N85" s="76">
        <f>(5/54)*C85</f>
        <v>5.0000000000000001E-9</v>
      </c>
      <c r="O85" s="76" t="s">
        <v>535</v>
      </c>
      <c r="P85" s="76" t="s">
        <v>536</v>
      </c>
    </row>
    <row r="86" spans="2:16" ht="12.75" customHeight="1" x14ac:dyDescent="0.2">
      <c r="B86" s="76" t="s">
        <v>547</v>
      </c>
      <c r="C86" s="76">
        <f t="shared" si="10"/>
        <v>5.4E-8</v>
      </c>
      <c r="D86" s="76">
        <v>1</v>
      </c>
      <c r="E86" s="76" t="s">
        <v>109</v>
      </c>
      <c r="F86" s="76" t="s">
        <v>168</v>
      </c>
      <c r="G86" s="76" t="s">
        <v>169</v>
      </c>
      <c r="H86" s="76" t="s">
        <v>170</v>
      </c>
      <c r="I86" s="76">
        <f t="shared" si="11"/>
        <v>0</v>
      </c>
      <c r="J86" s="76">
        <f t="shared" si="15"/>
        <v>0</v>
      </c>
      <c r="K86" s="76" t="s">
        <v>535</v>
      </c>
      <c r="L86" s="76">
        <f t="shared" si="12"/>
        <v>5.4E-8</v>
      </c>
      <c r="M86" s="76" t="s">
        <v>172</v>
      </c>
      <c r="N86" s="76">
        <f>(5/54)*C86</f>
        <v>5.0000000000000001E-9</v>
      </c>
      <c r="O86" s="76" t="s">
        <v>535</v>
      </c>
      <c r="P86" s="76" t="s">
        <v>536</v>
      </c>
    </row>
    <row r="87" spans="2:16" ht="19.149999999999999" customHeight="1" x14ac:dyDescent="0.2">
      <c r="B87" s="76" t="s">
        <v>548</v>
      </c>
      <c r="C87" s="76">
        <f>54*ns</f>
        <v>5.4E-8</v>
      </c>
      <c r="D87" s="76">
        <v>1</v>
      </c>
      <c r="E87" s="76" t="s">
        <v>95</v>
      </c>
      <c r="F87" s="76" t="s">
        <v>168</v>
      </c>
      <c r="G87" s="76" t="s">
        <v>169</v>
      </c>
      <c r="H87" s="76" t="s">
        <v>170</v>
      </c>
      <c r="I87" s="76">
        <f>0*C87</f>
        <v>0</v>
      </c>
      <c r="J87" s="76">
        <f>0*C87</f>
        <v>0</v>
      </c>
      <c r="K87" s="76" t="s">
        <v>535</v>
      </c>
      <c r="L87" s="76">
        <f>1*C87</f>
        <v>5.4E-8</v>
      </c>
      <c r="M87" s="76" t="s">
        <v>163</v>
      </c>
      <c r="N87" s="76">
        <f>0*C87</f>
        <v>0</v>
      </c>
      <c r="O87" s="76" t="s">
        <v>535</v>
      </c>
      <c r="P87" s="76" t="s">
        <v>549</v>
      </c>
    </row>
    <row r="88" spans="2:16" ht="12.75" customHeight="1" x14ac:dyDescent="0.2">
      <c r="B88" s="76" t="s">
        <v>548</v>
      </c>
      <c r="C88" s="76">
        <f t="shared" ref="C88:C151" si="16">54*ns</f>
        <v>5.4E-8</v>
      </c>
      <c r="D88" s="76">
        <v>1</v>
      </c>
      <c r="E88" s="76" t="s">
        <v>912</v>
      </c>
      <c r="F88" s="76" t="s">
        <v>168</v>
      </c>
      <c r="G88" s="76" t="s">
        <v>169</v>
      </c>
      <c r="H88" s="76" t="s">
        <v>516</v>
      </c>
      <c r="I88" s="76">
        <f t="shared" ref="I88:I151" si="17">0*C88</f>
        <v>0</v>
      </c>
      <c r="J88" s="76">
        <f>(13/54)*C88</f>
        <v>1.2999999999999999E-8</v>
      </c>
      <c r="K88" s="76">
        <f>(40/54)*C88</f>
        <v>4.0000000000000001E-8</v>
      </c>
      <c r="L88" s="76">
        <f t="shared" ref="L88:L151" si="18">1*C88</f>
        <v>5.4E-8</v>
      </c>
      <c r="M88" s="76" t="s">
        <v>163</v>
      </c>
      <c r="N88" s="76">
        <f t="shared" ref="N88:N89" si="19">0*C88</f>
        <v>0</v>
      </c>
      <c r="O88" s="76" t="s">
        <v>535</v>
      </c>
      <c r="P88" s="76" t="s">
        <v>549</v>
      </c>
    </row>
    <row r="89" spans="2:16" ht="12.75" customHeight="1" x14ac:dyDescent="0.2">
      <c r="B89" s="76" t="s">
        <v>548</v>
      </c>
      <c r="C89" s="76">
        <f t="shared" si="16"/>
        <v>5.4E-8</v>
      </c>
      <c r="D89" s="76">
        <v>1</v>
      </c>
      <c r="E89" s="76" t="s">
        <v>96</v>
      </c>
      <c r="F89" s="76" t="s">
        <v>168</v>
      </c>
      <c r="G89" s="76" t="s">
        <v>169</v>
      </c>
      <c r="H89" s="76" t="s">
        <v>516</v>
      </c>
      <c r="I89" s="76">
        <f t="shared" si="17"/>
        <v>0</v>
      </c>
      <c r="J89" s="76">
        <f>(13/54)*C89</f>
        <v>1.2999999999999999E-8</v>
      </c>
      <c r="K89" s="76">
        <f>(40/54)*C89</f>
        <v>4.0000000000000001E-8</v>
      </c>
      <c r="L89" s="76">
        <f t="shared" si="18"/>
        <v>5.4E-8</v>
      </c>
      <c r="M89" s="76" t="s">
        <v>163</v>
      </c>
      <c r="N89" s="76">
        <f t="shared" si="19"/>
        <v>0</v>
      </c>
      <c r="O89" s="76" t="s">
        <v>535</v>
      </c>
      <c r="P89" s="76" t="s">
        <v>549</v>
      </c>
    </row>
    <row r="90" spans="2:16" ht="12.75" customHeight="1" x14ac:dyDescent="0.2">
      <c r="B90" s="76" t="s">
        <v>548</v>
      </c>
      <c r="C90" s="76">
        <f t="shared" si="16"/>
        <v>5.4E-8</v>
      </c>
      <c r="D90" s="76">
        <v>1</v>
      </c>
      <c r="E90" s="76" t="s">
        <v>137</v>
      </c>
      <c r="F90" s="76" t="s">
        <v>168</v>
      </c>
      <c r="G90" s="76" t="s">
        <v>169</v>
      </c>
      <c r="H90" s="76" t="s">
        <v>170</v>
      </c>
      <c r="I90" s="76">
        <f t="shared" si="17"/>
        <v>0</v>
      </c>
      <c r="J90" s="76">
        <f>0*C90</f>
        <v>0</v>
      </c>
      <c r="K90" s="76" t="s">
        <v>535</v>
      </c>
      <c r="L90" s="76">
        <f t="shared" si="18"/>
        <v>5.4E-8</v>
      </c>
      <c r="M90" s="76" t="s">
        <v>172</v>
      </c>
      <c r="N90" s="76">
        <f>(5/54)*C90</f>
        <v>5.0000000000000001E-9</v>
      </c>
      <c r="O90" s="76" t="s">
        <v>535</v>
      </c>
      <c r="P90" s="76" t="s">
        <v>550</v>
      </c>
    </row>
    <row r="91" spans="2:16" ht="12.75" customHeight="1" x14ac:dyDescent="0.2">
      <c r="B91" s="76" t="s">
        <v>548</v>
      </c>
      <c r="C91" s="76">
        <f t="shared" si="16"/>
        <v>5.4E-8</v>
      </c>
      <c r="D91" s="76">
        <v>1</v>
      </c>
      <c r="E91" s="76" t="s">
        <v>127</v>
      </c>
      <c r="F91" s="76" t="s">
        <v>168</v>
      </c>
      <c r="G91" s="76" t="s">
        <v>169</v>
      </c>
      <c r="H91" s="76" t="s">
        <v>170</v>
      </c>
      <c r="I91" s="76">
        <f t="shared" si="17"/>
        <v>0</v>
      </c>
      <c r="J91" s="76">
        <f t="shared" ref="J91:J107" si="20">0*C91</f>
        <v>0</v>
      </c>
      <c r="K91" s="76" t="s">
        <v>535</v>
      </c>
      <c r="L91" s="76">
        <f t="shared" si="18"/>
        <v>5.4E-8</v>
      </c>
      <c r="M91" s="76" t="s">
        <v>172</v>
      </c>
      <c r="N91" s="76">
        <f t="shared" ref="N91:N105" si="21">(5/54)*C91</f>
        <v>5.0000000000000001E-9</v>
      </c>
      <c r="O91" s="76" t="s">
        <v>535</v>
      </c>
      <c r="P91" s="76" t="s">
        <v>550</v>
      </c>
    </row>
    <row r="92" spans="2:16" ht="12.75" customHeight="1" x14ac:dyDescent="0.2">
      <c r="B92" s="76" t="s">
        <v>548</v>
      </c>
      <c r="C92" s="76">
        <f t="shared" si="16"/>
        <v>5.4E-8</v>
      </c>
      <c r="D92" s="76">
        <v>1</v>
      </c>
      <c r="E92" s="76" t="s">
        <v>126</v>
      </c>
      <c r="F92" s="76" t="s">
        <v>168</v>
      </c>
      <c r="G92" s="76" t="s">
        <v>169</v>
      </c>
      <c r="H92" s="76" t="s">
        <v>170</v>
      </c>
      <c r="I92" s="76">
        <f t="shared" si="17"/>
        <v>0</v>
      </c>
      <c r="J92" s="76">
        <f t="shared" si="20"/>
        <v>0</v>
      </c>
      <c r="K92" s="76" t="s">
        <v>535</v>
      </c>
      <c r="L92" s="76">
        <f t="shared" si="18"/>
        <v>5.4E-8</v>
      </c>
      <c r="M92" s="76" t="s">
        <v>172</v>
      </c>
      <c r="N92" s="76">
        <f t="shared" si="21"/>
        <v>5.0000000000000001E-9</v>
      </c>
      <c r="O92" s="76" t="s">
        <v>535</v>
      </c>
      <c r="P92" s="76" t="s">
        <v>550</v>
      </c>
    </row>
    <row r="93" spans="2:16" ht="12.75" customHeight="1" x14ac:dyDescent="0.2">
      <c r="B93" s="76" t="s">
        <v>548</v>
      </c>
      <c r="C93" s="76">
        <f t="shared" si="16"/>
        <v>5.4E-8</v>
      </c>
      <c r="D93" s="76">
        <v>1</v>
      </c>
      <c r="E93" s="76" t="s">
        <v>125</v>
      </c>
      <c r="F93" s="76" t="s">
        <v>168</v>
      </c>
      <c r="G93" s="76" t="s">
        <v>169</v>
      </c>
      <c r="H93" s="76" t="s">
        <v>170</v>
      </c>
      <c r="I93" s="76">
        <f t="shared" si="17"/>
        <v>0</v>
      </c>
      <c r="J93" s="76">
        <f t="shared" si="20"/>
        <v>0</v>
      </c>
      <c r="K93" s="76" t="s">
        <v>535</v>
      </c>
      <c r="L93" s="76">
        <f t="shared" si="18"/>
        <v>5.4E-8</v>
      </c>
      <c r="M93" s="76" t="s">
        <v>172</v>
      </c>
      <c r="N93" s="76">
        <f t="shared" si="21"/>
        <v>5.0000000000000001E-9</v>
      </c>
      <c r="O93" s="76" t="s">
        <v>535</v>
      </c>
      <c r="P93" s="76" t="s">
        <v>550</v>
      </c>
    </row>
    <row r="94" spans="2:16" ht="12.75" customHeight="1" x14ac:dyDescent="0.2">
      <c r="B94" s="76" t="s">
        <v>548</v>
      </c>
      <c r="C94" s="76">
        <f t="shared" si="16"/>
        <v>5.4E-8</v>
      </c>
      <c r="D94" s="76">
        <v>1</v>
      </c>
      <c r="E94" s="76" t="s">
        <v>124</v>
      </c>
      <c r="F94" s="76" t="s">
        <v>168</v>
      </c>
      <c r="G94" s="76" t="s">
        <v>169</v>
      </c>
      <c r="H94" s="76" t="s">
        <v>170</v>
      </c>
      <c r="I94" s="76">
        <f t="shared" si="17"/>
        <v>0</v>
      </c>
      <c r="J94" s="76">
        <f t="shared" si="20"/>
        <v>0</v>
      </c>
      <c r="K94" s="76" t="s">
        <v>535</v>
      </c>
      <c r="L94" s="76">
        <f t="shared" si="18"/>
        <v>5.4E-8</v>
      </c>
      <c r="M94" s="76" t="s">
        <v>172</v>
      </c>
      <c r="N94" s="76">
        <f t="shared" si="21"/>
        <v>5.0000000000000001E-9</v>
      </c>
      <c r="O94" s="76" t="s">
        <v>535</v>
      </c>
      <c r="P94" s="76" t="s">
        <v>550</v>
      </c>
    </row>
    <row r="95" spans="2:16" ht="12.75" customHeight="1" x14ac:dyDescent="0.2">
      <c r="B95" s="76" t="s">
        <v>548</v>
      </c>
      <c r="C95" s="76">
        <f t="shared" si="16"/>
        <v>5.4E-8</v>
      </c>
      <c r="D95" s="76">
        <v>1</v>
      </c>
      <c r="E95" s="76" t="s">
        <v>123</v>
      </c>
      <c r="F95" s="76" t="s">
        <v>168</v>
      </c>
      <c r="G95" s="76" t="s">
        <v>169</v>
      </c>
      <c r="H95" s="76" t="s">
        <v>170</v>
      </c>
      <c r="I95" s="76">
        <f t="shared" si="17"/>
        <v>0</v>
      </c>
      <c r="J95" s="76">
        <f t="shared" si="20"/>
        <v>0</v>
      </c>
      <c r="K95" s="76" t="s">
        <v>535</v>
      </c>
      <c r="L95" s="76">
        <f t="shared" si="18"/>
        <v>5.4E-8</v>
      </c>
      <c r="M95" s="76" t="s">
        <v>172</v>
      </c>
      <c r="N95" s="76">
        <f t="shared" si="21"/>
        <v>5.0000000000000001E-9</v>
      </c>
      <c r="O95" s="76" t="s">
        <v>535</v>
      </c>
      <c r="P95" s="76" t="s">
        <v>550</v>
      </c>
    </row>
    <row r="96" spans="2:16" ht="12.75" customHeight="1" x14ac:dyDescent="0.2">
      <c r="B96" s="76" t="s">
        <v>548</v>
      </c>
      <c r="C96" s="76">
        <f t="shared" si="16"/>
        <v>5.4E-8</v>
      </c>
      <c r="D96" s="76">
        <v>1</v>
      </c>
      <c r="E96" s="76" t="s">
        <v>122</v>
      </c>
      <c r="F96" s="76" t="s">
        <v>168</v>
      </c>
      <c r="G96" s="76" t="s">
        <v>169</v>
      </c>
      <c r="H96" s="76" t="s">
        <v>170</v>
      </c>
      <c r="I96" s="76">
        <f t="shared" si="17"/>
        <v>0</v>
      </c>
      <c r="J96" s="76">
        <f t="shared" si="20"/>
        <v>0</v>
      </c>
      <c r="K96" s="76" t="s">
        <v>535</v>
      </c>
      <c r="L96" s="76">
        <f t="shared" si="18"/>
        <v>5.4E-8</v>
      </c>
      <c r="M96" s="76" t="s">
        <v>172</v>
      </c>
      <c r="N96" s="76">
        <f t="shared" si="21"/>
        <v>5.0000000000000001E-9</v>
      </c>
      <c r="O96" s="76" t="s">
        <v>535</v>
      </c>
      <c r="P96" s="76" t="s">
        <v>550</v>
      </c>
    </row>
    <row r="97" spans="2:16" ht="12.75" customHeight="1" x14ac:dyDescent="0.2">
      <c r="B97" s="76" t="s">
        <v>548</v>
      </c>
      <c r="C97" s="76">
        <f t="shared" si="16"/>
        <v>5.4E-8</v>
      </c>
      <c r="D97" s="76">
        <v>1</v>
      </c>
      <c r="E97" s="76" t="s">
        <v>136</v>
      </c>
      <c r="F97" s="76" t="s">
        <v>168</v>
      </c>
      <c r="G97" s="76" t="s">
        <v>169</v>
      </c>
      <c r="H97" s="76" t="s">
        <v>170</v>
      </c>
      <c r="I97" s="76">
        <f t="shared" si="17"/>
        <v>0</v>
      </c>
      <c r="J97" s="76">
        <f t="shared" si="20"/>
        <v>0</v>
      </c>
      <c r="K97" s="76" t="s">
        <v>535</v>
      </c>
      <c r="L97" s="76">
        <f t="shared" si="18"/>
        <v>5.4E-8</v>
      </c>
      <c r="M97" s="76" t="s">
        <v>172</v>
      </c>
      <c r="N97" s="76">
        <f t="shared" si="21"/>
        <v>5.0000000000000001E-9</v>
      </c>
      <c r="O97" s="76" t="s">
        <v>535</v>
      </c>
      <c r="P97" s="76" t="s">
        <v>550</v>
      </c>
    </row>
    <row r="98" spans="2:16" ht="12.75" customHeight="1" x14ac:dyDescent="0.2">
      <c r="B98" s="76" t="s">
        <v>548</v>
      </c>
      <c r="C98" s="76">
        <f t="shared" si="16"/>
        <v>5.4E-8</v>
      </c>
      <c r="D98" s="76">
        <v>1</v>
      </c>
      <c r="E98" s="76" t="s">
        <v>135</v>
      </c>
      <c r="F98" s="76" t="s">
        <v>168</v>
      </c>
      <c r="G98" s="76" t="s">
        <v>169</v>
      </c>
      <c r="H98" s="76" t="s">
        <v>170</v>
      </c>
      <c r="I98" s="76">
        <f t="shared" si="17"/>
        <v>0</v>
      </c>
      <c r="J98" s="76">
        <f t="shared" si="20"/>
        <v>0</v>
      </c>
      <c r="K98" s="76" t="s">
        <v>535</v>
      </c>
      <c r="L98" s="76">
        <f t="shared" si="18"/>
        <v>5.4E-8</v>
      </c>
      <c r="M98" s="76" t="s">
        <v>172</v>
      </c>
      <c r="N98" s="76">
        <f t="shared" si="21"/>
        <v>5.0000000000000001E-9</v>
      </c>
      <c r="O98" s="76" t="s">
        <v>535</v>
      </c>
      <c r="P98" s="76" t="s">
        <v>550</v>
      </c>
    </row>
    <row r="99" spans="2:16" ht="12.75" customHeight="1" x14ac:dyDescent="0.2">
      <c r="B99" s="76" t="s">
        <v>548</v>
      </c>
      <c r="C99" s="76">
        <f t="shared" si="16"/>
        <v>5.4E-8</v>
      </c>
      <c r="D99" s="76">
        <v>1</v>
      </c>
      <c r="E99" s="76" t="s">
        <v>134</v>
      </c>
      <c r="F99" s="76" t="s">
        <v>168</v>
      </c>
      <c r="G99" s="76" t="s">
        <v>169</v>
      </c>
      <c r="H99" s="76" t="s">
        <v>170</v>
      </c>
      <c r="I99" s="76">
        <f t="shared" si="17"/>
        <v>0</v>
      </c>
      <c r="J99" s="76">
        <f t="shared" si="20"/>
        <v>0</v>
      </c>
      <c r="K99" s="76" t="s">
        <v>535</v>
      </c>
      <c r="L99" s="76">
        <f t="shared" si="18"/>
        <v>5.4E-8</v>
      </c>
      <c r="M99" s="76" t="s">
        <v>172</v>
      </c>
      <c r="N99" s="76">
        <f t="shared" si="21"/>
        <v>5.0000000000000001E-9</v>
      </c>
      <c r="O99" s="76" t="s">
        <v>535</v>
      </c>
      <c r="P99" s="76" t="s">
        <v>550</v>
      </c>
    </row>
    <row r="100" spans="2:16" ht="12.75" customHeight="1" x14ac:dyDescent="0.2">
      <c r="B100" s="76" t="s">
        <v>548</v>
      </c>
      <c r="C100" s="76">
        <f t="shared" si="16"/>
        <v>5.4E-8</v>
      </c>
      <c r="D100" s="76">
        <v>1</v>
      </c>
      <c r="E100" s="76" t="s">
        <v>133</v>
      </c>
      <c r="F100" s="76" t="s">
        <v>168</v>
      </c>
      <c r="G100" s="76" t="s">
        <v>169</v>
      </c>
      <c r="H100" s="76" t="s">
        <v>170</v>
      </c>
      <c r="I100" s="76">
        <f t="shared" si="17"/>
        <v>0</v>
      </c>
      <c r="J100" s="76">
        <f t="shared" si="20"/>
        <v>0</v>
      </c>
      <c r="K100" s="76" t="s">
        <v>535</v>
      </c>
      <c r="L100" s="76">
        <f t="shared" si="18"/>
        <v>5.4E-8</v>
      </c>
      <c r="M100" s="76" t="s">
        <v>172</v>
      </c>
      <c r="N100" s="76">
        <f t="shared" si="21"/>
        <v>5.0000000000000001E-9</v>
      </c>
      <c r="O100" s="76" t="s">
        <v>535</v>
      </c>
      <c r="P100" s="76" t="s">
        <v>550</v>
      </c>
    </row>
    <row r="101" spans="2:16" ht="12.75" customHeight="1" x14ac:dyDescent="0.2">
      <c r="B101" s="76" t="s">
        <v>548</v>
      </c>
      <c r="C101" s="76">
        <f t="shared" si="16"/>
        <v>5.4E-8</v>
      </c>
      <c r="D101" s="76">
        <v>1</v>
      </c>
      <c r="E101" s="76" t="s">
        <v>132</v>
      </c>
      <c r="F101" s="76" t="s">
        <v>168</v>
      </c>
      <c r="G101" s="76" t="s">
        <v>169</v>
      </c>
      <c r="H101" s="76" t="s">
        <v>170</v>
      </c>
      <c r="I101" s="76">
        <f t="shared" si="17"/>
        <v>0</v>
      </c>
      <c r="J101" s="76">
        <f t="shared" si="20"/>
        <v>0</v>
      </c>
      <c r="K101" s="76" t="s">
        <v>535</v>
      </c>
      <c r="L101" s="76">
        <f t="shared" si="18"/>
        <v>5.4E-8</v>
      </c>
      <c r="M101" s="76" t="s">
        <v>172</v>
      </c>
      <c r="N101" s="76">
        <f t="shared" si="21"/>
        <v>5.0000000000000001E-9</v>
      </c>
      <c r="O101" s="76" t="s">
        <v>535</v>
      </c>
      <c r="P101" s="76" t="s">
        <v>550</v>
      </c>
    </row>
    <row r="102" spans="2:16" ht="12.75" customHeight="1" x14ac:dyDescent="0.2">
      <c r="B102" s="76" t="s">
        <v>548</v>
      </c>
      <c r="C102" s="76">
        <f t="shared" si="16"/>
        <v>5.4E-8</v>
      </c>
      <c r="D102" s="76">
        <v>1</v>
      </c>
      <c r="E102" s="76" t="s">
        <v>131</v>
      </c>
      <c r="F102" s="76" t="s">
        <v>168</v>
      </c>
      <c r="G102" s="76" t="s">
        <v>169</v>
      </c>
      <c r="H102" s="76" t="s">
        <v>170</v>
      </c>
      <c r="I102" s="76">
        <f t="shared" si="17"/>
        <v>0</v>
      </c>
      <c r="J102" s="76">
        <f t="shared" si="20"/>
        <v>0</v>
      </c>
      <c r="K102" s="76" t="s">
        <v>535</v>
      </c>
      <c r="L102" s="76">
        <f t="shared" si="18"/>
        <v>5.4E-8</v>
      </c>
      <c r="M102" s="76" t="s">
        <v>172</v>
      </c>
      <c r="N102" s="76">
        <f t="shared" si="21"/>
        <v>5.0000000000000001E-9</v>
      </c>
      <c r="O102" s="76" t="s">
        <v>535</v>
      </c>
      <c r="P102" s="76" t="s">
        <v>550</v>
      </c>
    </row>
    <row r="103" spans="2:16" ht="12.75" customHeight="1" x14ac:dyDescent="0.2">
      <c r="B103" s="76" t="s">
        <v>548</v>
      </c>
      <c r="C103" s="76">
        <f t="shared" si="16"/>
        <v>5.4E-8</v>
      </c>
      <c r="D103" s="76">
        <v>1</v>
      </c>
      <c r="E103" s="76" t="s">
        <v>130</v>
      </c>
      <c r="F103" s="76" t="s">
        <v>168</v>
      </c>
      <c r="G103" s="76" t="s">
        <v>169</v>
      </c>
      <c r="H103" s="76" t="s">
        <v>170</v>
      </c>
      <c r="I103" s="76">
        <f t="shared" si="17"/>
        <v>0</v>
      </c>
      <c r="J103" s="76">
        <f t="shared" si="20"/>
        <v>0</v>
      </c>
      <c r="K103" s="76" t="s">
        <v>535</v>
      </c>
      <c r="L103" s="76">
        <f t="shared" si="18"/>
        <v>5.4E-8</v>
      </c>
      <c r="M103" s="76" t="s">
        <v>172</v>
      </c>
      <c r="N103" s="76">
        <f t="shared" si="21"/>
        <v>5.0000000000000001E-9</v>
      </c>
      <c r="O103" s="76" t="s">
        <v>535</v>
      </c>
      <c r="P103" s="76" t="s">
        <v>550</v>
      </c>
    </row>
    <row r="104" spans="2:16" ht="12.75" customHeight="1" x14ac:dyDescent="0.2">
      <c r="B104" s="76" t="s">
        <v>548</v>
      </c>
      <c r="C104" s="76">
        <f t="shared" si="16"/>
        <v>5.4E-8</v>
      </c>
      <c r="D104" s="76">
        <v>1</v>
      </c>
      <c r="E104" s="76" t="s">
        <v>129</v>
      </c>
      <c r="F104" s="76" t="s">
        <v>168</v>
      </c>
      <c r="G104" s="76" t="s">
        <v>169</v>
      </c>
      <c r="H104" s="76" t="s">
        <v>170</v>
      </c>
      <c r="I104" s="76">
        <f t="shared" si="17"/>
        <v>0</v>
      </c>
      <c r="J104" s="76">
        <f t="shared" si="20"/>
        <v>0</v>
      </c>
      <c r="K104" s="76" t="s">
        <v>535</v>
      </c>
      <c r="L104" s="76">
        <f t="shared" si="18"/>
        <v>5.4E-8</v>
      </c>
      <c r="M104" s="76" t="s">
        <v>172</v>
      </c>
      <c r="N104" s="76">
        <f t="shared" si="21"/>
        <v>5.0000000000000001E-9</v>
      </c>
      <c r="O104" s="76" t="s">
        <v>535</v>
      </c>
      <c r="P104" s="76" t="s">
        <v>550</v>
      </c>
    </row>
    <row r="105" spans="2:16" ht="12.75" customHeight="1" x14ac:dyDescent="0.2">
      <c r="B105" s="76" t="s">
        <v>548</v>
      </c>
      <c r="C105" s="76">
        <f t="shared" si="16"/>
        <v>5.4E-8</v>
      </c>
      <c r="D105" s="76">
        <v>1</v>
      </c>
      <c r="E105" s="76" t="s">
        <v>128</v>
      </c>
      <c r="F105" s="76" t="s">
        <v>168</v>
      </c>
      <c r="G105" s="76" t="s">
        <v>169</v>
      </c>
      <c r="H105" s="76" t="s">
        <v>170</v>
      </c>
      <c r="I105" s="76">
        <f t="shared" si="17"/>
        <v>0</v>
      </c>
      <c r="J105" s="76">
        <f t="shared" si="20"/>
        <v>0</v>
      </c>
      <c r="K105" s="76" t="s">
        <v>535</v>
      </c>
      <c r="L105" s="76">
        <f t="shared" si="18"/>
        <v>5.4E-8</v>
      </c>
      <c r="M105" s="76" t="s">
        <v>172</v>
      </c>
      <c r="N105" s="76">
        <f t="shared" si="21"/>
        <v>5.0000000000000001E-9</v>
      </c>
      <c r="O105" s="76" t="s">
        <v>535</v>
      </c>
      <c r="P105" s="76" t="s">
        <v>550</v>
      </c>
    </row>
    <row r="106" spans="2:16" ht="12.75" customHeight="1" x14ac:dyDescent="0.2">
      <c r="B106" s="76" t="s">
        <v>548</v>
      </c>
      <c r="C106" s="76">
        <f t="shared" si="16"/>
        <v>5.4E-8</v>
      </c>
      <c r="D106" s="76">
        <v>1</v>
      </c>
      <c r="E106" s="76" t="s">
        <v>98</v>
      </c>
      <c r="F106" s="76" t="s">
        <v>168</v>
      </c>
      <c r="G106" s="76" t="s">
        <v>169</v>
      </c>
      <c r="H106" s="76" t="s">
        <v>170</v>
      </c>
      <c r="I106" s="76">
        <f t="shared" si="17"/>
        <v>0</v>
      </c>
      <c r="J106" s="76">
        <f t="shared" si="20"/>
        <v>0</v>
      </c>
      <c r="K106" s="76" t="s">
        <v>535</v>
      </c>
      <c r="L106" s="76">
        <f t="shared" si="18"/>
        <v>5.4E-8</v>
      </c>
      <c r="M106" s="76" t="s">
        <v>163</v>
      </c>
      <c r="N106" s="76">
        <f>0*C105</f>
        <v>0</v>
      </c>
      <c r="O106" s="76" t="s">
        <v>535</v>
      </c>
      <c r="P106" s="76" t="s">
        <v>550</v>
      </c>
    </row>
    <row r="107" spans="2:16" ht="12.75" customHeight="1" x14ac:dyDescent="0.2">
      <c r="B107" s="76" t="s">
        <v>548</v>
      </c>
      <c r="C107" s="76">
        <f t="shared" si="16"/>
        <v>5.4E-8</v>
      </c>
      <c r="D107" s="76">
        <v>1</v>
      </c>
      <c r="E107" s="76" t="s">
        <v>99</v>
      </c>
      <c r="F107" s="76" t="s">
        <v>168</v>
      </c>
      <c r="G107" s="76" t="s">
        <v>169</v>
      </c>
      <c r="H107" s="76" t="s">
        <v>170</v>
      </c>
      <c r="I107" s="76">
        <f t="shared" si="17"/>
        <v>0</v>
      </c>
      <c r="J107" s="76">
        <f t="shared" si="20"/>
        <v>0</v>
      </c>
      <c r="K107" s="76" t="s">
        <v>535</v>
      </c>
      <c r="L107" s="76">
        <f t="shared" si="18"/>
        <v>5.4E-8</v>
      </c>
      <c r="M107" s="76" t="s">
        <v>172</v>
      </c>
      <c r="N107" s="76">
        <f>(5/54)*C107</f>
        <v>5.0000000000000001E-9</v>
      </c>
      <c r="O107" s="76" t="s">
        <v>535</v>
      </c>
      <c r="P107" s="76" t="s">
        <v>550</v>
      </c>
    </row>
    <row r="108" spans="2:16" ht="12.75" customHeight="1" x14ac:dyDescent="0.2">
      <c r="B108" s="76" t="s">
        <v>548</v>
      </c>
      <c r="C108" s="76">
        <f t="shared" si="16"/>
        <v>5.4E-8</v>
      </c>
      <c r="D108" s="76">
        <v>1</v>
      </c>
      <c r="E108" s="76" t="s">
        <v>898</v>
      </c>
      <c r="F108" s="76" t="s">
        <v>168</v>
      </c>
      <c r="G108" s="76" t="s">
        <v>169</v>
      </c>
      <c r="H108" s="76" t="s">
        <v>516</v>
      </c>
      <c r="I108" s="76">
        <f t="shared" si="17"/>
        <v>0</v>
      </c>
      <c r="J108" s="76">
        <f>(13/54)*C108</f>
        <v>1.2999999999999999E-8</v>
      </c>
      <c r="K108" s="76">
        <f>(40/54)*C108</f>
        <v>4.0000000000000001E-8</v>
      </c>
      <c r="L108" s="76">
        <f t="shared" si="18"/>
        <v>5.4E-8</v>
      </c>
      <c r="M108" s="76" t="s">
        <v>163</v>
      </c>
      <c r="N108" s="76">
        <f>0*C108</f>
        <v>0</v>
      </c>
      <c r="O108" s="76" t="s">
        <v>535</v>
      </c>
      <c r="P108" s="76" t="s">
        <v>549</v>
      </c>
    </row>
    <row r="109" spans="2:16" ht="12.75" customHeight="1" x14ac:dyDescent="0.2">
      <c r="B109" s="76" t="s">
        <v>548</v>
      </c>
      <c r="C109" s="76">
        <f t="shared" si="16"/>
        <v>5.4E-8</v>
      </c>
      <c r="D109" s="76">
        <v>1</v>
      </c>
      <c r="E109" s="76" t="s">
        <v>899</v>
      </c>
      <c r="F109" s="76" t="s">
        <v>168</v>
      </c>
      <c r="G109" s="76" t="s">
        <v>169</v>
      </c>
      <c r="H109" s="76" t="s">
        <v>516</v>
      </c>
      <c r="I109" s="76">
        <f t="shared" si="17"/>
        <v>0</v>
      </c>
      <c r="J109" s="76">
        <f>(13/54)*C109</f>
        <v>1.2999999999999999E-8</v>
      </c>
      <c r="K109" s="76">
        <f>(40/54)*C109</f>
        <v>4.0000000000000001E-8</v>
      </c>
      <c r="L109" s="76">
        <f t="shared" si="18"/>
        <v>5.4E-8</v>
      </c>
      <c r="M109" s="76" t="s">
        <v>163</v>
      </c>
      <c r="N109" s="76">
        <f t="shared" ref="N109:N117" si="22">0*C109</f>
        <v>0</v>
      </c>
      <c r="O109" s="76" t="s">
        <v>535</v>
      </c>
      <c r="P109" s="76" t="s">
        <v>549</v>
      </c>
    </row>
    <row r="110" spans="2:16" ht="12.75" customHeight="1" x14ac:dyDescent="0.2">
      <c r="B110" s="76" t="s">
        <v>548</v>
      </c>
      <c r="C110" s="76">
        <f t="shared" si="16"/>
        <v>5.4E-8</v>
      </c>
      <c r="D110" s="76">
        <v>1</v>
      </c>
      <c r="E110" s="76" t="s">
        <v>900</v>
      </c>
      <c r="F110" s="76" t="s">
        <v>168</v>
      </c>
      <c r="G110" s="76" t="s">
        <v>169</v>
      </c>
      <c r="H110" s="76" t="s">
        <v>170</v>
      </c>
      <c r="I110" s="76">
        <f t="shared" si="17"/>
        <v>0</v>
      </c>
      <c r="J110" s="76">
        <f>0*C110</f>
        <v>0</v>
      </c>
      <c r="K110" s="76" t="s">
        <v>535</v>
      </c>
      <c r="L110" s="76">
        <f t="shared" si="18"/>
        <v>5.4E-8</v>
      </c>
      <c r="M110" s="76" t="s">
        <v>163</v>
      </c>
      <c r="N110" s="76">
        <f t="shared" si="22"/>
        <v>0</v>
      </c>
      <c r="O110" s="76" t="s">
        <v>535</v>
      </c>
      <c r="P110" s="76" t="s">
        <v>550</v>
      </c>
    </row>
    <row r="111" spans="2:16" ht="12.75" customHeight="1" x14ac:dyDescent="0.2">
      <c r="B111" s="76" t="s">
        <v>548</v>
      </c>
      <c r="C111" s="76">
        <f t="shared" si="16"/>
        <v>5.4E-8</v>
      </c>
      <c r="D111" s="76">
        <v>1</v>
      </c>
      <c r="E111" s="76" t="s">
        <v>901</v>
      </c>
      <c r="F111" s="76" t="s">
        <v>168</v>
      </c>
      <c r="G111" s="76" t="s">
        <v>169</v>
      </c>
      <c r="H111" s="76" t="s">
        <v>170</v>
      </c>
      <c r="I111" s="76">
        <f t="shared" si="17"/>
        <v>0</v>
      </c>
      <c r="J111" s="76">
        <f t="shared" ref="J111:J151" si="23">0*C111</f>
        <v>0</v>
      </c>
      <c r="K111" s="76" t="s">
        <v>535</v>
      </c>
      <c r="L111" s="76">
        <f t="shared" si="18"/>
        <v>5.4E-8</v>
      </c>
      <c r="M111" s="76" t="s">
        <v>163</v>
      </c>
      <c r="N111" s="76">
        <f t="shared" si="22"/>
        <v>0</v>
      </c>
      <c r="O111" s="76" t="s">
        <v>535</v>
      </c>
      <c r="P111" s="76" t="s">
        <v>550</v>
      </c>
    </row>
    <row r="112" spans="2:16" ht="12.75" customHeight="1" x14ac:dyDescent="0.2">
      <c r="B112" s="76" t="s">
        <v>548</v>
      </c>
      <c r="C112" s="76">
        <f t="shared" si="16"/>
        <v>5.4E-8</v>
      </c>
      <c r="D112" s="76">
        <v>1</v>
      </c>
      <c r="E112" s="76" t="s">
        <v>902</v>
      </c>
      <c r="F112" s="76" t="s">
        <v>168</v>
      </c>
      <c r="G112" s="76" t="s">
        <v>169</v>
      </c>
      <c r="H112" s="76" t="s">
        <v>170</v>
      </c>
      <c r="I112" s="76">
        <f t="shared" si="17"/>
        <v>0</v>
      </c>
      <c r="J112" s="76">
        <f t="shared" si="23"/>
        <v>0</v>
      </c>
      <c r="K112" s="76" t="s">
        <v>535</v>
      </c>
      <c r="L112" s="76">
        <f t="shared" si="18"/>
        <v>5.4E-8</v>
      </c>
      <c r="M112" s="76" t="s">
        <v>163</v>
      </c>
      <c r="N112" s="76">
        <f t="shared" si="22"/>
        <v>0</v>
      </c>
      <c r="O112" s="76" t="s">
        <v>535</v>
      </c>
      <c r="P112" s="76" t="s">
        <v>550</v>
      </c>
    </row>
    <row r="113" spans="2:16" ht="12.75" customHeight="1" x14ac:dyDescent="0.2">
      <c r="B113" s="76" t="s">
        <v>548</v>
      </c>
      <c r="C113" s="76">
        <f t="shared" si="16"/>
        <v>5.4E-8</v>
      </c>
      <c r="D113" s="76">
        <v>1</v>
      </c>
      <c r="E113" s="76" t="s">
        <v>903</v>
      </c>
      <c r="F113" s="76" t="s">
        <v>168</v>
      </c>
      <c r="G113" s="76" t="s">
        <v>169</v>
      </c>
      <c r="H113" s="76" t="s">
        <v>170</v>
      </c>
      <c r="I113" s="76">
        <f t="shared" si="17"/>
        <v>0</v>
      </c>
      <c r="J113" s="76">
        <f t="shared" si="23"/>
        <v>0</v>
      </c>
      <c r="K113" s="76" t="s">
        <v>535</v>
      </c>
      <c r="L113" s="76">
        <f t="shared" si="18"/>
        <v>5.4E-8</v>
      </c>
      <c r="M113" s="76" t="s">
        <v>163</v>
      </c>
      <c r="N113" s="76">
        <f t="shared" si="22"/>
        <v>0</v>
      </c>
      <c r="O113" s="76" t="s">
        <v>535</v>
      </c>
      <c r="P113" s="76" t="s">
        <v>550</v>
      </c>
    </row>
    <row r="114" spans="2:16" ht="12.75" customHeight="1" x14ac:dyDescent="0.2">
      <c r="B114" s="76" t="s">
        <v>548</v>
      </c>
      <c r="C114" s="76">
        <f t="shared" si="16"/>
        <v>5.4E-8</v>
      </c>
      <c r="D114" s="76">
        <v>1</v>
      </c>
      <c r="E114" s="76" t="s">
        <v>904</v>
      </c>
      <c r="F114" s="76" t="s">
        <v>168</v>
      </c>
      <c r="G114" s="76" t="s">
        <v>169</v>
      </c>
      <c r="H114" s="76" t="s">
        <v>170</v>
      </c>
      <c r="I114" s="76">
        <f t="shared" si="17"/>
        <v>0</v>
      </c>
      <c r="J114" s="76">
        <f t="shared" si="23"/>
        <v>0</v>
      </c>
      <c r="K114" s="76" t="s">
        <v>535</v>
      </c>
      <c r="L114" s="76">
        <f t="shared" si="18"/>
        <v>5.4E-8</v>
      </c>
      <c r="M114" s="76" t="s">
        <v>163</v>
      </c>
      <c r="N114" s="76">
        <f t="shared" si="22"/>
        <v>0</v>
      </c>
      <c r="O114" s="76" t="s">
        <v>535</v>
      </c>
      <c r="P114" s="76" t="s">
        <v>550</v>
      </c>
    </row>
    <row r="115" spans="2:16" ht="12.75" customHeight="1" x14ac:dyDescent="0.2">
      <c r="B115" s="76" t="s">
        <v>548</v>
      </c>
      <c r="C115" s="76">
        <f t="shared" si="16"/>
        <v>5.4E-8</v>
      </c>
      <c r="D115" s="76">
        <v>1</v>
      </c>
      <c r="E115" s="76" t="s">
        <v>905</v>
      </c>
      <c r="F115" s="76" t="s">
        <v>168</v>
      </c>
      <c r="G115" s="76" t="s">
        <v>169</v>
      </c>
      <c r="H115" s="76" t="s">
        <v>170</v>
      </c>
      <c r="I115" s="76">
        <f t="shared" si="17"/>
        <v>0</v>
      </c>
      <c r="J115" s="76">
        <f t="shared" si="23"/>
        <v>0</v>
      </c>
      <c r="K115" s="76" t="s">
        <v>535</v>
      </c>
      <c r="L115" s="76">
        <f t="shared" si="18"/>
        <v>5.4E-8</v>
      </c>
      <c r="M115" s="76" t="s">
        <v>163</v>
      </c>
      <c r="N115" s="76">
        <f t="shared" si="22"/>
        <v>0</v>
      </c>
      <c r="O115" s="76" t="s">
        <v>535</v>
      </c>
      <c r="P115" s="76" t="s">
        <v>550</v>
      </c>
    </row>
    <row r="116" spans="2:16" ht="12.75" customHeight="1" x14ac:dyDescent="0.2">
      <c r="B116" s="76" t="s">
        <v>548</v>
      </c>
      <c r="C116" s="76">
        <f t="shared" si="16"/>
        <v>5.4E-8</v>
      </c>
      <c r="D116" s="76">
        <v>1</v>
      </c>
      <c r="E116" s="76" t="s">
        <v>906</v>
      </c>
      <c r="F116" s="76" t="s">
        <v>168</v>
      </c>
      <c r="G116" s="76" t="s">
        <v>169</v>
      </c>
      <c r="H116" s="76" t="s">
        <v>170</v>
      </c>
      <c r="I116" s="76">
        <f t="shared" si="17"/>
        <v>0</v>
      </c>
      <c r="J116" s="76">
        <f t="shared" si="23"/>
        <v>0</v>
      </c>
      <c r="K116" s="76" t="s">
        <v>535</v>
      </c>
      <c r="L116" s="76">
        <f t="shared" si="18"/>
        <v>5.4E-8</v>
      </c>
      <c r="M116" s="76" t="s">
        <v>163</v>
      </c>
      <c r="N116" s="76">
        <f t="shared" si="22"/>
        <v>0</v>
      </c>
      <c r="O116" s="76" t="s">
        <v>535</v>
      </c>
      <c r="P116" s="76" t="s">
        <v>550</v>
      </c>
    </row>
    <row r="117" spans="2:16" ht="12.75" customHeight="1" x14ac:dyDescent="0.2">
      <c r="B117" s="76" t="s">
        <v>548</v>
      </c>
      <c r="C117" s="76">
        <f t="shared" si="16"/>
        <v>5.4E-8</v>
      </c>
      <c r="D117" s="76">
        <v>1</v>
      </c>
      <c r="E117" s="76" t="s">
        <v>907</v>
      </c>
      <c r="F117" s="76" t="s">
        <v>168</v>
      </c>
      <c r="G117" s="76" t="s">
        <v>169</v>
      </c>
      <c r="H117" s="76" t="s">
        <v>170</v>
      </c>
      <c r="I117" s="76">
        <f t="shared" si="17"/>
        <v>0</v>
      </c>
      <c r="J117" s="76">
        <f t="shared" si="23"/>
        <v>0</v>
      </c>
      <c r="K117" s="76" t="s">
        <v>535</v>
      </c>
      <c r="L117" s="76">
        <f t="shared" si="18"/>
        <v>5.4E-8</v>
      </c>
      <c r="M117" s="76" t="s">
        <v>163</v>
      </c>
      <c r="N117" s="76">
        <f t="shared" si="22"/>
        <v>0</v>
      </c>
      <c r="O117" s="76" t="s">
        <v>535</v>
      </c>
      <c r="P117" s="76" t="s">
        <v>550</v>
      </c>
    </row>
    <row r="118" spans="2:16" ht="12.75" customHeight="1" x14ac:dyDescent="0.2">
      <c r="B118" s="76" t="s">
        <v>548</v>
      </c>
      <c r="C118" s="76">
        <f t="shared" si="16"/>
        <v>5.4E-8</v>
      </c>
      <c r="D118" s="76">
        <v>1</v>
      </c>
      <c r="E118" s="76" t="s">
        <v>911</v>
      </c>
      <c r="F118" s="76" t="s">
        <v>168</v>
      </c>
      <c r="G118" s="76" t="s">
        <v>169</v>
      </c>
      <c r="H118" s="76" t="s">
        <v>170</v>
      </c>
      <c r="I118" s="76">
        <f t="shared" si="17"/>
        <v>0</v>
      </c>
      <c r="J118" s="76">
        <f t="shared" si="23"/>
        <v>0</v>
      </c>
      <c r="K118" s="76" t="s">
        <v>535</v>
      </c>
      <c r="L118" s="76">
        <f t="shared" si="18"/>
        <v>5.4E-8</v>
      </c>
      <c r="M118" s="76" t="s">
        <v>172</v>
      </c>
      <c r="N118" s="76">
        <f>(5/54)*C118</f>
        <v>5.0000000000000001E-9</v>
      </c>
      <c r="O118" s="76" t="s">
        <v>535</v>
      </c>
      <c r="P118" s="76" t="s">
        <v>550</v>
      </c>
    </row>
    <row r="119" spans="2:16" ht="12.75" customHeight="1" x14ac:dyDescent="0.2">
      <c r="B119" s="76" t="s">
        <v>548</v>
      </c>
      <c r="C119" s="76">
        <f t="shared" si="16"/>
        <v>5.4E-8</v>
      </c>
      <c r="D119" s="76">
        <v>1</v>
      </c>
      <c r="E119" s="76" t="s">
        <v>908</v>
      </c>
      <c r="F119" s="76" t="s">
        <v>168</v>
      </c>
      <c r="G119" s="76" t="s">
        <v>169</v>
      </c>
      <c r="H119" s="76" t="s">
        <v>170</v>
      </c>
      <c r="I119" s="76">
        <f t="shared" si="17"/>
        <v>0</v>
      </c>
      <c r="J119" s="76">
        <f t="shared" si="23"/>
        <v>0</v>
      </c>
      <c r="K119" s="76" t="s">
        <v>535</v>
      </c>
      <c r="L119" s="76">
        <f t="shared" si="18"/>
        <v>5.4E-8</v>
      </c>
      <c r="M119" s="76" t="s">
        <v>163</v>
      </c>
      <c r="N119" s="76">
        <f>0*C119</f>
        <v>0</v>
      </c>
      <c r="O119" s="76" t="s">
        <v>535</v>
      </c>
      <c r="P119" s="76" t="s">
        <v>550</v>
      </c>
    </row>
    <row r="120" spans="2:16" ht="12.75" customHeight="1" x14ac:dyDescent="0.2">
      <c r="B120" s="76" t="s">
        <v>548</v>
      </c>
      <c r="C120" s="76">
        <f t="shared" si="16"/>
        <v>5.4E-8</v>
      </c>
      <c r="D120" s="76">
        <v>1</v>
      </c>
      <c r="E120" s="76" t="s">
        <v>944</v>
      </c>
      <c r="F120" s="76" t="s">
        <v>168</v>
      </c>
      <c r="G120" s="76" t="s">
        <v>169</v>
      </c>
      <c r="H120" s="76" t="s">
        <v>170</v>
      </c>
      <c r="I120" s="76">
        <f t="shared" si="17"/>
        <v>0</v>
      </c>
      <c r="J120" s="76">
        <f t="shared" si="23"/>
        <v>0</v>
      </c>
      <c r="K120" s="76" t="s">
        <v>535</v>
      </c>
      <c r="L120" s="76">
        <f t="shared" si="18"/>
        <v>5.4E-8</v>
      </c>
      <c r="M120" s="76" t="s">
        <v>163</v>
      </c>
      <c r="N120" s="76">
        <f t="shared" ref="N120:N153" si="24">0*C120</f>
        <v>0</v>
      </c>
      <c r="O120" s="76" t="s">
        <v>535</v>
      </c>
      <c r="P120" s="76" t="s">
        <v>550</v>
      </c>
    </row>
    <row r="121" spans="2:16" ht="12.75" customHeight="1" x14ac:dyDescent="0.2">
      <c r="B121" s="76" t="s">
        <v>548</v>
      </c>
      <c r="C121" s="76">
        <f t="shared" si="16"/>
        <v>5.4E-8</v>
      </c>
      <c r="D121" s="76">
        <v>1</v>
      </c>
      <c r="E121" s="76" t="s">
        <v>934</v>
      </c>
      <c r="F121" s="76" t="s">
        <v>168</v>
      </c>
      <c r="G121" s="76" t="s">
        <v>169</v>
      </c>
      <c r="H121" s="76" t="s">
        <v>170</v>
      </c>
      <c r="I121" s="76">
        <f t="shared" si="17"/>
        <v>0</v>
      </c>
      <c r="J121" s="76">
        <f t="shared" si="23"/>
        <v>0</v>
      </c>
      <c r="K121" s="76" t="s">
        <v>535</v>
      </c>
      <c r="L121" s="76">
        <f t="shared" si="18"/>
        <v>5.4E-8</v>
      </c>
      <c r="M121" s="76" t="s">
        <v>163</v>
      </c>
      <c r="N121" s="76">
        <f t="shared" si="24"/>
        <v>0</v>
      </c>
      <c r="O121" s="76" t="s">
        <v>535</v>
      </c>
      <c r="P121" s="76" t="s">
        <v>550</v>
      </c>
    </row>
    <row r="122" spans="2:16" ht="12.75" customHeight="1" x14ac:dyDescent="0.2">
      <c r="B122" s="76" t="s">
        <v>548</v>
      </c>
      <c r="C122" s="76">
        <f t="shared" si="16"/>
        <v>5.4E-8</v>
      </c>
      <c r="D122" s="76">
        <v>1</v>
      </c>
      <c r="E122" s="76" t="s">
        <v>933</v>
      </c>
      <c r="F122" s="76" t="s">
        <v>168</v>
      </c>
      <c r="G122" s="76" t="s">
        <v>169</v>
      </c>
      <c r="H122" s="76" t="s">
        <v>170</v>
      </c>
      <c r="I122" s="76">
        <f t="shared" si="17"/>
        <v>0</v>
      </c>
      <c r="J122" s="76">
        <f t="shared" si="23"/>
        <v>0</v>
      </c>
      <c r="K122" s="76" t="s">
        <v>535</v>
      </c>
      <c r="L122" s="76">
        <f t="shared" si="18"/>
        <v>5.4E-8</v>
      </c>
      <c r="M122" s="76" t="s">
        <v>163</v>
      </c>
      <c r="N122" s="76">
        <f t="shared" si="24"/>
        <v>0</v>
      </c>
      <c r="O122" s="76" t="s">
        <v>535</v>
      </c>
      <c r="P122" s="76" t="s">
        <v>550</v>
      </c>
    </row>
    <row r="123" spans="2:16" ht="12.75" customHeight="1" x14ac:dyDescent="0.2">
      <c r="B123" s="76" t="s">
        <v>548</v>
      </c>
      <c r="C123" s="76">
        <f t="shared" si="16"/>
        <v>5.4E-8</v>
      </c>
      <c r="D123" s="76">
        <v>1</v>
      </c>
      <c r="E123" s="76" t="s">
        <v>932</v>
      </c>
      <c r="F123" s="76" t="s">
        <v>168</v>
      </c>
      <c r="G123" s="76" t="s">
        <v>169</v>
      </c>
      <c r="H123" s="76" t="s">
        <v>170</v>
      </c>
      <c r="I123" s="76">
        <f t="shared" si="17"/>
        <v>0</v>
      </c>
      <c r="J123" s="76">
        <f t="shared" si="23"/>
        <v>0</v>
      </c>
      <c r="K123" s="76" t="s">
        <v>535</v>
      </c>
      <c r="L123" s="76">
        <f t="shared" si="18"/>
        <v>5.4E-8</v>
      </c>
      <c r="M123" s="76" t="s">
        <v>163</v>
      </c>
      <c r="N123" s="76">
        <f t="shared" si="24"/>
        <v>0</v>
      </c>
      <c r="O123" s="76" t="s">
        <v>535</v>
      </c>
      <c r="P123" s="76" t="s">
        <v>550</v>
      </c>
    </row>
    <row r="124" spans="2:16" ht="12.75" customHeight="1" x14ac:dyDescent="0.2">
      <c r="B124" s="76" t="s">
        <v>548</v>
      </c>
      <c r="C124" s="76">
        <f t="shared" si="16"/>
        <v>5.4E-8</v>
      </c>
      <c r="D124" s="76">
        <v>1</v>
      </c>
      <c r="E124" s="76" t="s">
        <v>931</v>
      </c>
      <c r="F124" s="76" t="s">
        <v>168</v>
      </c>
      <c r="G124" s="76" t="s">
        <v>169</v>
      </c>
      <c r="H124" s="76" t="s">
        <v>170</v>
      </c>
      <c r="I124" s="76">
        <f t="shared" si="17"/>
        <v>0</v>
      </c>
      <c r="J124" s="76">
        <f t="shared" si="23"/>
        <v>0</v>
      </c>
      <c r="K124" s="76" t="s">
        <v>535</v>
      </c>
      <c r="L124" s="76">
        <f t="shared" si="18"/>
        <v>5.4E-8</v>
      </c>
      <c r="M124" s="76" t="s">
        <v>163</v>
      </c>
      <c r="N124" s="76">
        <f t="shared" si="24"/>
        <v>0</v>
      </c>
      <c r="O124" s="76" t="s">
        <v>535</v>
      </c>
      <c r="P124" s="76" t="s">
        <v>550</v>
      </c>
    </row>
    <row r="125" spans="2:16" ht="12.75" customHeight="1" x14ac:dyDescent="0.2">
      <c r="B125" s="76" t="s">
        <v>548</v>
      </c>
      <c r="C125" s="76">
        <f t="shared" si="16"/>
        <v>5.4E-8</v>
      </c>
      <c r="D125" s="76">
        <v>1</v>
      </c>
      <c r="E125" s="76" t="s">
        <v>930</v>
      </c>
      <c r="F125" s="76" t="s">
        <v>168</v>
      </c>
      <c r="G125" s="76" t="s">
        <v>169</v>
      </c>
      <c r="H125" s="76" t="s">
        <v>170</v>
      </c>
      <c r="I125" s="76">
        <f t="shared" si="17"/>
        <v>0</v>
      </c>
      <c r="J125" s="76">
        <f t="shared" si="23"/>
        <v>0</v>
      </c>
      <c r="K125" s="76" t="s">
        <v>535</v>
      </c>
      <c r="L125" s="76">
        <f t="shared" si="18"/>
        <v>5.4E-8</v>
      </c>
      <c r="M125" s="76" t="s">
        <v>163</v>
      </c>
      <c r="N125" s="76">
        <f t="shared" si="24"/>
        <v>0</v>
      </c>
      <c r="O125" s="76" t="s">
        <v>535</v>
      </c>
      <c r="P125" s="76" t="s">
        <v>550</v>
      </c>
    </row>
    <row r="126" spans="2:16" ht="12.75" customHeight="1" x14ac:dyDescent="0.2">
      <c r="B126" s="76" t="s">
        <v>548</v>
      </c>
      <c r="C126" s="76">
        <f t="shared" si="16"/>
        <v>5.4E-8</v>
      </c>
      <c r="D126" s="76">
        <v>1</v>
      </c>
      <c r="E126" s="76" t="s">
        <v>929</v>
      </c>
      <c r="F126" s="76" t="s">
        <v>168</v>
      </c>
      <c r="G126" s="76" t="s">
        <v>169</v>
      </c>
      <c r="H126" s="76" t="s">
        <v>170</v>
      </c>
      <c r="I126" s="76">
        <f t="shared" si="17"/>
        <v>0</v>
      </c>
      <c r="J126" s="76">
        <f t="shared" si="23"/>
        <v>0</v>
      </c>
      <c r="K126" s="76" t="s">
        <v>535</v>
      </c>
      <c r="L126" s="76">
        <f t="shared" si="18"/>
        <v>5.4E-8</v>
      </c>
      <c r="M126" s="76" t="s">
        <v>163</v>
      </c>
      <c r="N126" s="76">
        <f t="shared" si="24"/>
        <v>0</v>
      </c>
      <c r="O126" s="76" t="s">
        <v>535</v>
      </c>
      <c r="P126" s="76" t="s">
        <v>550</v>
      </c>
    </row>
    <row r="127" spans="2:16" ht="12.75" customHeight="1" x14ac:dyDescent="0.2">
      <c r="B127" s="76" t="s">
        <v>548</v>
      </c>
      <c r="C127" s="76">
        <f t="shared" si="16"/>
        <v>5.4E-8</v>
      </c>
      <c r="D127" s="76">
        <v>1</v>
      </c>
      <c r="E127" s="76" t="s">
        <v>928</v>
      </c>
      <c r="F127" s="76" t="s">
        <v>168</v>
      </c>
      <c r="G127" s="76" t="s">
        <v>169</v>
      </c>
      <c r="H127" s="76" t="s">
        <v>170</v>
      </c>
      <c r="I127" s="76">
        <f t="shared" si="17"/>
        <v>0</v>
      </c>
      <c r="J127" s="76">
        <f t="shared" si="23"/>
        <v>0</v>
      </c>
      <c r="K127" s="76" t="s">
        <v>535</v>
      </c>
      <c r="L127" s="76">
        <f t="shared" si="18"/>
        <v>5.4E-8</v>
      </c>
      <c r="M127" s="76" t="s">
        <v>163</v>
      </c>
      <c r="N127" s="76">
        <f t="shared" si="24"/>
        <v>0</v>
      </c>
      <c r="O127" s="76" t="s">
        <v>535</v>
      </c>
      <c r="P127" s="76" t="s">
        <v>550</v>
      </c>
    </row>
    <row r="128" spans="2:16" ht="12.75" customHeight="1" x14ac:dyDescent="0.2">
      <c r="B128" s="76" t="s">
        <v>548</v>
      </c>
      <c r="C128" s="76">
        <f t="shared" si="16"/>
        <v>5.4E-8</v>
      </c>
      <c r="D128" s="76">
        <v>1</v>
      </c>
      <c r="E128" s="76" t="s">
        <v>927</v>
      </c>
      <c r="F128" s="76" t="s">
        <v>168</v>
      </c>
      <c r="G128" s="76" t="s">
        <v>169</v>
      </c>
      <c r="H128" s="76" t="s">
        <v>170</v>
      </c>
      <c r="I128" s="76">
        <f t="shared" si="17"/>
        <v>0</v>
      </c>
      <c r="J128" s="76">
        <f t="shared" si="23"/>
        <v>0</v>
      </c>
      <c r="K128" s="76" t="s">
        <v>535</v>
      </c>
      <c r="L128" s="76">
        <f t="shared" si="18"/>
        <v>5.4E-8</v>
      </c>
      <c r="M128" s="76" t="s">
        <v>163</v>
      </c>
      <c r="N128" s="76">
        <f t="shared" si="24"/>
        <v>0</v>
      </c>
      <c r="O128" s="76" t="s">
        <v>535</v>
      </c>
      <c r="P128" s="76" t="s">
        <v>550</v>
      </c>
    </row>
    <row r="129" spans="2:16" ht="12.75" customHeight="1" x14ac:dyDescent="0.2">
      <c r="B129" s="76" t="s">
        <v>548</v>
      </c>
      <c r="C129" s="76">
        <f t="shared" si="16"/>
        <v>5.4E-8</v>
      </c>
      <c r="D129" s="76">
        <v>1</v>
      </c>
      <c r="E129" s="76" t="s">
        <v>926</v>
      </c>
      <c r="F129" s="76" t="s">
        <v>168</v>
      </c>
      <c r="G129" s="76" t="s">
        <v>169</v>
      </c>
      <c r="H129" s="76" t="s">
        <v>170</v>
      </c>
      <c r="I129" s="76">
        <f t="shared" si="17"/>
        <v>0</v>
      </c>
      <c r="J129" s="76">
        <f t="shared" si="23"/>
        <v>0</v>
      </c>
      <c r="K129" s="76" t="s">
        <v>535</v>
      </c>
      <c r="L129" s="76">
        <f t="shared" si="18"/>
        <v>5.4E-8</v>
      </c>
      <c r="M129" s="76" t="s">
        <v>163</v>
      </c>
      <c r="N129" s="76">
        <f t="shared" si="24"/>
        <v>0</v>
      </c>
      <c r="O129" s="76" t="s">
        <v>535</v>
      </c>
      <c r="P129" s="76" t="s">
        <v>550</v>
      </c>
    </row>
    <row r="130" spans="2:16" ht="12.75" customHeight="1" x14ac:dyDescent="0.2">
      <c r="B130" s="76" t="s">
        <v>548</v>
      </c>
      <c r="C130" s="76">
        <f t="shared" si="16"/>
        <v>5.4E-8</v>
      </c>
      <c r="D130" s="76">
        <v>1</v>
      </c>
      <c r="E130" s="76" t="s">
        <v>925</v>
      </c>
      <c r="F130" s="76" t="s">
        <v>168</v>
      </c>
      <c r="G130" s="76" t="s">
        <v>169</v>
      </c>
      <c r="H130" s="76" t="s">
        <v>170</v>
      </c>
      <c r="I130" s="76">
        <f t="shared" si="17"/>
        <v>0</v>
      </c>
      <c r="J130" s="76">
        <f t="shared" si="23"/>
        <v>0</v>
      </c>
      <c r="K130" s="76" t="s">
        <v>535</v>
      </c>
      <c r="L130" s="76">
        <f t="shared" si="18"/>
        <v>5.4E-8</v>
      </c>
      <c r="M130" s="76" t="s">
        <v>163</v>
      </c>
      <c r="N130" s="76">
        <f t="shared" si="24"/>
        <v>0</v>
      </c>
      <c r="O130" s="76" t="s">
        <v>535</v>
      </c>
      <c r="P130" s="76" t="s">
        <v>550</v>
      </c>
    </row>
    <row r="131" spans="2:16" ht="12.75" customHeight="1" x14ac:dyDescent="0.2">
      <c r="B131" s="76" t="s">
        <v>548</v>
      </c>
      <c r="C131" s="76">
        <f t="shared" si="16"/>
        <v>5.4E-8</v>
      </c>
      <c r="D131" s="76">
        <v>1</v>
      </c>
      <c r="E131" s="76" t="s">
        <v>943</v>
      </c>
      <c r="F131" s="76" t="s">
        <v>168</v>
      </c>
      <c r="G131" s="76" t="s">
        <v>169</v>
      </c>
      <c r="H131" s="76" t="s">
        <v>170</v>
      </c>
      <c r="I131" s="76">
        <f t="shared" si="17"/>
        <v>0</v>
      </c>
      <c r="J131" s="76">
        <f t="shared" si="23"/>
        <v>0</v>
      </c>
      <c r="K131" s="76" t="s">
        <v>535</v>
      </c>
      <c r="L131" s="76">
        <f t="shared" si="18"/>
        <v>5.4E-8</v>
      </c>
      <c r="M131" s="76" t="s">
        <v>163</v>
      </c>
      <c r="N131" s="76">
        <f t="shared" si="24"/>
        <v>0</v>
      </c>
      <c r="O131" s="76" t="s">
        <v>535</v>
      </c>
      <c r="P131" s="76" t="s">
        <v>550</v>
      </c>
    </row>
    <row r="132" spans="2:16" ht="12.75" customHeight="1" x14ac:dyDescent="0.2">
      <c r="B132" s="76" t="s">
        <v>548</v>
      </c>
      <c r="C132" s="76">
        <f t="shared" si="16"/>
        <v>5.4E-8</v>
      </c>
      <c r="D132" s="76">
        <v>1</v>
      </c>
      <c r="E132" s="76" t="s">
        <v>924</v>
      </c>
      <c r="F132" s="76" t="s">
        <v>168</v>
      </c>
      <c r="G132" s="76" t="s">
        <v>169</v>
      </c>
      <c r="H132" s="76" t="s">
        <v>170</v>
      </c>
      <c r="I132" s="76">
        <f t="shared" si="17"/>
        <v>0</v>
      </c>
      <c r="J132" s="76">
        <f t="shared" si="23"/>
        <v>0</v>
      </c>
      <c r="K132" s="76" t="s">
        <v>535</v>
      </c>
      <c r="L132" s="76">
        <f t="shared" si="18"/>
        <v>5.4E-8</v>
      </c>
      <c r="M132" s="76" t="s">
        <v>163</v>
      </c>
      <c r="N132" s="76">
        <f t="shared" si="24"/>
        <v>0</v>
      </c>
      <c r="O132" s="76" t="s">
        <v>535</v>
      </c>
      <c r="P132" s="76" t="s">
        <v>550</v>
      </c>
    </row>
    <row r="133" spans="2:16" ht="12.75" customHeight="1" x14ac:dyDescent="0.2">
      <c r="B133" s="76" t="s">
        <v>548</v>
      </c>
      <c r="C133" s="76">
        <f t="shared" si="16"/>
        <v>5.4E-8</v>
      </c>
      <c r="D133" s="76">
        <v>1</v>
      </c>
      <c r="E133" s="76" t="s">
        <v>923</v>
      </c>
      <c r="F133" s="76" t="s">
        <v>168</v>
      </c>
      <c r="G133" s="76" t="s">
        <v>169</v>
      </c>
      <c r="H133" s="76" t="s">
        <v>170</v>
      </c>
      <c r="I133" s="76">
        <f t="shared" si="17"/>
        <v>0</v>
      </c>
      <c r="J133" s="76">
        <f t="shared" si="23"/>
        <v>0</v>
      </c>
      <c r="K133" s="76" t="s">
        <v>535</v>
      </c>
      <c r="L133" s="76">
        <f t="shared" si="18"/>
        <v>5.4E-8</v>
      </c>
      <c r="M133" s="76" t="s">
        <v>163</v>
      </c>
      <c r="N133" s="76">
        <f t="shared" si="24"/>
        <v>0</v>
      </c>
      <c r="O133" s="76" t="s">
        <v>535</v>
      </c>
      <c r="P133" s="76" t="s">
        <v>550</v>
      </c>
    </row>
    <row r="134" spans="2:16" ht="12.75" customHeight="1" x14ac:dyDescent="0.2">
      <c r="B134" s="76" t="s">
        <v>548</v>
      </c>
      <c r="C134" s="76">
        <f t="shared" si="16"/>
        <v>5.4E-8</v>
      </c>
      <c r="D134" s="76">
        <v>1</v>
      </c>
      <c r="E134" s="76" t="s">
        <v>922</v>
      </c>
      <c r="F134" s="76" t="s">
        <v>168</v>
      </c>
      <c r="G134" s="76" t="s">
        <v>169</v>
      </c>
      <c r="H134" s="76" t="s">
        <v>170</v>
      </c>
      <c r="I134" s="76">
        <f t="shared" si="17"/>
        <v>0</v>
      </c>
      <c r="J134" s="76">
        <f t="shared" si="23"/>
        <v>0</v>
      </c>
      <c r="K134" s="76" t="s">
        <v>535</v>
      </c>
      <c r="L134" s="76">
        <f t="shared" si="18"/>
        <v>5.4E-8</v>
      </c>
      <c r="M134" s="76" t="s">
        <v>163</v>
      </c>
      <c r="N134" s="76">
        <f t="shared" si="24"/>
        <v>0</v>
      </c>
      <c r="O134" s="76" t="s">
        <v>535</v>
      </c>
      <c r="P134" s="76" t="s">
        <v>550</v>
      </c>
    </row>
    <row r="135" spans="2:16" ht="12.75" customHeight="1" x14ac:dyDescent="0.2">
      <c r="B135" s="76" t="s">
        <v>548</v>
      </c>
      <c r="C135" s="76">
        <f t="shared" si="16"/>
        <v>5.4E-8</v>
      </c>
      <c r="D135" s="76">
        <v>1</v>
      </c>
      <c r="E135" s="76" t="s">
        <v>921</v>
      </c>
      <c r="F135" s="76" t="s">
        <v>168</v>
      </c>
      <c r="G135" s="76" t="s">
        <v>169</v>
      </c>
      <c r="H135" s="76" t="s">
        <v>170</v>
      </c>
      <c r="I135" s="76">
        <f t="shared" si="17"/>
        <v>0</v>
      </c>
      <c r="J135" s="76">
        <f t="shared" si="23"/>
        <v>0</v>
      </c>
      <c r="K135" s="76" t="s">
        <v>535</v>
      </c>
      <c r="L135" s="76">
        <f t="shared" si="18"/>
        <v>5.4E-8</v>
      </c>
      <c r="M135" s="76" t="s">
        <v>163</v>
      </c>
      <c r="N135" s="76">
        <f t="shared" si="24"/>
        <v>0</v>
      </c>
      <c r="O135" s="76" t="s">
        <v>535</v>
      </c>
      <c r="P135" s="76" t="s">
        <v>550</v>
      </c>
    </row>
    <row r="136" spans="2:16" ht="12.75" customHeight="1" x14ac:dyDescent="0.2">
      <c r="B136" s="76" t="s">
        <v>548</v>
      </c>
      <c r="C136" s="76">
        <f t="shared" si="16"/>
        <v>5.4E-8</v>
      </c>
      <c r="D136" s="76">
        <v>1</v>
      </c>
      <c r="E136" s="76" t="s">
        <v>920</v>
      </c>
      <c r="F136" s="76" t="s">
        <v>168</v>
      </c>
      <c r="G136" s="76" t="s">
        <v>169</v>
      </c>
      <c r="H136" s="76" t="s">
        <v>170</v>
      </c>
      <c r="I136" s="76">
        <f t="shared" si="17"/>
        <v>0</v>
      </c>
      <c r="J136" s="76">
        <f t="shared" si="23"/>
        <v>0</v>
      </c>
      <c r="K136" s="76" t="s">
        <v>535</v>
      </c>
      <c r="L136" s="76">
        <f t="shared" si="18"/>
        <v>5.4E-8</v>
      </c>
      <c r="M136" s="76" t="s">
        <v>163</v>
      </c>
      <c r="N136" s="76">
        <f t="shared" si="24"/>
        <v>0</v>
      </c>
      <c r="O136" s="76" t="s">
        <v>535</v>
      </c>
      <c r="P136" s="76" t="s">
        <v>550</v>
      </c>
    </row>
    <row r="137" spans="2:16" ht="12.75" customHeight="1" x14ac:dyDescent="0.2">
      <c r="B137" s="76" t="s">
        <v>548</v>
      </c>
      <c r="C137" s="76">
        <f t="shared" si="16"/>
        <v>5.4E-8</v>
      </c>
      <c r="D137" s="76">
        <v>1</v>
      </c>
      <c r="E137" s="76" t="s">
        <v>919</v>
      </c>
      <c r="F137" s="76" t="s">
        <v>168</v>
      </c>
      <c r="G137" s="76" t="s">
        <v>169</v>
      </c>
      <c r="H137" s="76" t="s">
        <v>170</v>
      </c>
      <c r="I137" s="76">
        <f t="shared" si="17"/>
        <v>0</v>
      </c>
      <c r="J137" s="76">
        <f t="shared" si="23"/>
        <v>0</v>
      </c>
      <c r="K137" s="76" t="s">
        <v>535</v>
      </c>
      <c r="L137" s="76">
        <f t="shared" si="18"/>
        <v>5.4E-8</v>
      </c>
      <c r="M137" s="76" t="s">
        <v>163</v>
      </c>
      <c r="N137" s="76">
        <f t="shared" si="24"/>
        <v>0</v>
      </c>
      <c r="O137" s="76" t="s">
        <v>535</v>
      </c>
      <c r="P137" s="76" t="s">
        <v>550</v>
      </c>
    </row>
    <row r="138" spans="2:16" ht="12.75" customHeight="1" x14ac:dyDescent="0.2">
      <c r="B138" s="76" t="s">
        <v>548</v>
      </c>
      <c r="C138" s="76">
        <f t="shared" si="16"/>
        <v>5.4E-8</v>
      </c>
      <c r="D138" s="76">
        <v>1</v>
      </c>
      <c r="E138" s="76" t="s">
        <v>918</v>
      </c>
      <c r="F138" s="76" t="s">
        <v>168</v>
      </c>
      <c r="G138" s="76" t="s">
        <v>169</v>
      </c>
      <c r="H138" s="76" t="s">
        <v>170</v>
      </c>
      <c r="I138" s="76">
        <f t="shared" si="17"/>
        <v>0</v>
      </c>
      <c r="J138" s="76">
        <f t="shared" si="23"/>
        <v>0</v>
      </c>
      <c r="K138" s="76" t="s">
        <v>535</v>
      </c>
      <c r="L138" s="76">
        <f t="shared" si="18"/>
        <v>5.4E-8</v>
      </c>
      <c r="M138" s="76" t="s">
        <v>163</v>
      </c>
      <c r="N138" s="76">
        <f t="shared" si="24"/>
        <v>0</v>
      </c>
      <c r="O138" s="76" t="s">
        <v>535</v>
      </c>
      <c r="P138" s="76" t="s">
        <v>550</v>
      </c>
    </row>
    <row r="139" spans="2:16" ht="12.75" customHeight="1" x14ac:dyDescent="0.2">
      <c r="B139" s="76" t="s">
        <v>548</v>
      </c>
      <c r="C139" s="76">
        <f t="shared" si="16"/>
        <v>5.4E-8</v>
      </c>
      <c r="D139" s="76">
        <v>1</v>
      </c>
      <c r="E139" s="76" t="s">
        <v>917</v>
      </c>
      <c r="F139" s="76" t="s">
        <v>168</v>
      </c>
      <c r="G139" s="76" t="s">
        <v>169</v>
      </c>
      <c r="H139" s="76" t="s">
        <v>170</v>
      </c>
      <c r="I139" s="76">
        <f t="shared" si="17"/>
        <v>0</v>
      </c>
      <c r="J139" s="76">
        <f t="shared" si="23"/>
        <v>0</v>
      </c>
      <c r="K139" s="76" t="s">
        <v>535</v>
      </c>
      <c r="L139" s="76">
        <f t="shared" si="18"/>
        <v>5.4E-8</v>
      </c>
      <c r="M139" s="76" t="s">
        <v>163</v>
      </c>
      <c r="N139" s="76">
        <f t="shared" si="24"/>
        <v>0</v>
      </c>
      <c r="O139" s="76" t="s">
        <v>535</v>
      </c>
      <c r="P139" s="76" t="s">
        <v>550</v>
      </c>
    </row>
    <row r="140" spans="2:16" ht="12.75" customHeight="1" x14ac:dyDescent="0.2">
      <c r="B140" s="76" t="s">
        <v>548</v>
      </c>
      <c r="C140" s="76">
        <f t="shared" si="16"/>
        <v>5.4E-8</v>
      </c>
      <c r="D140" s="76">
        <v>1</v>
      </c>
      <c r="E140" s="76" t="s">
        <v>916</v>
      </c>
      <c r="F140" s="76" t="s">
        <v>168</v>
      </c>
      <c r="G140" s="76" t="s">
        <v>169</v>
      </c>
      <c r="H140" s="76" t="s">
        <v>170</v>
      </c>
      <c r="I140" s="76">
        <f t="shared" si="17"/>
        <v>0</v>
      </c>
      <c r="J140" s="76">
        <f t="shared" si="23"/>
        <v>0</v>
      </c>
      <c r="K140" s="76" t="s">
        <v>535</v>
      </c>
      <c r="L140" s="76">
        <f t="shared" si="18"/>
        <v>5.4E-8</v>
      </c>
      <c r="M140" s="76" t="s">
        <v>163</v>
      </c>
      <c r="N140" s="76">
        <f t="shared" si="24"/>
        <v>0</v>
      </c>
      <c r="O140" s="76" t="s">
        <v>535</v>
      </c>
      <c r="P140" s="76" t="s">
        <v>550</v>
      </c>
    </row>
    <row r="141" spans="2:16" ht="12.75" customHeight="1" x14ac:dyDescent="0.2">
      <c r="B141" s="76" t="s">
        <v>548</v>
      </c>
      <c r="C141" s="76">
        <f t="shared" si="16"/>
        <v>5.4E-8</v>
      </c>
      <c r="D141" s="76">
        <v>1</v>
      </c>
      <c r="E141" s="76" t="s">
        <v>915</v>
      </c>
      <c r="F141" s="76" t="s">
        <v>168</v>
      </c>
      <c r="G141" s="76" t="s">
        <v>169</v>
      </c>
      <c r="H141" s="76" t="s">
        <v>170</v>
      </c>
      <c r="I141" s="76">
        <f t="shared" si="17"/>
        <v>0</v>
      </c>
      <c r="J141" s="76">
        <f t="shared" si="23"/>
        <v>0</v>
      </c>
      <c r="K141" s="76" t="s">
        <v>535</v>
      </c>
      <c r="L141" s="76">
        <f t="shared" si="18"/>
        <v>5.4E-8</v>
      </c>
      <c r="M141" s="76" t="s">
        <v>163</v>
      </c>
      <c r="N141" s="76">
        <f t="shared" si="24"/>
        <v>0</v>
      </c>
      <c r="O141" s="76" t="s">
        <v>535</v>
      </c>
      <c r="P141" s="76" t="s">
        <v>550</v>
      </c>
    </row>
    <row r="142" spans="2:16" ht="12.75" customHeight="1" x14ac:dyDescent="0.2">
      <c r="B142" s="76" t="s">
        <v>548</v>
      </c>
      <c r="C142" s="76">
        <f t="shared" si="16"/>
        <v>5.4E-8</v>
      </c>
      <c r="D142" s="76">
        <v>1</v>
      </c>
      <c r="E142" s="76" t="s">
        <v>942</v>
      </c>
      <c r="F142" s="76" t="s">
        <v>168</v>
      </c>
      <c r="G142" s="76" t="s">
        <v>169</v>
      </c>
      <c r="H142" s="76" t="s">
        <v>170</v>
      </c>
      <c r="I142" s="76">
        <f t="shared" si="17"/>
        <v>0</v>
      </c>
      <c r="J142" s="76">
        <f t="shared" si="23"/>
        <v>0</v>
      </c>
      <c r="K142" s="76" t="s">
        <v>535</v>
      </c>
      <c r="L142" s="76">
        <f t="shared" si="18"/>
        <v>5.4E-8</v>
      </c>
      <c r="M142" s="76" t="s">
        <v>163</v>
      </c>
      <c r="N142" s="76">
        <f t="shared" si="24"/>
        <v>0</v>
      </c>
      <c r="O142" s="76" t="s">
        <v>535</v>
      </c>
      <c r="P142" s="76" t="s">
        <v>550</v>
      </c>
    </row>
    <row r="143" spans="2:16" ht="12.75" customHeight="1" x14ac:dyDescent="0.2">
      <c r="B143" s="76" t="s">
        <v>548</v>
      </c>
      <c r="C143" s="76">
        <f t="shared" si="16"/>
        <v>5.4E-8</v>
      </c>
      <c r="D143" s="76">
        <v>1</v>
      </c>
      <c r="E143" s="76" t="s">
        <v>914</v>
      </c>
      <c r="F143" s="76" t="s">
        <v>168</v>
      </c>
      <c r="G143" s="76" t="s">
        <v>169</v>
      </c>
      <c r="H143" s="76" t="s">
        <v>170</v>
      </c>
      <c r="I143" s="76">
        <f t="shared" si="17"/>
        <v>0</v>
      </c>
      <c r="J143" s="76">
        <f t="shared" si="23"/>
        <v>0</v>
      </c>
      <c r="K143" s="76" t="s">
        <v>535</v>
      </c>
      <c r="L143" s="76">
        <f t="shared" si="18"/>
        <v>5.4E-8</v>
      </c>
      <c r="M143" s="76" t="s">
        <v>163</v>
      </c>
      <c r="N143" s="76">
        <f t="shared" si="24"/>
        <v>0</v>
      </c>
      <c r="O143" s="76" t="s">
        <v>535</v>
      </c>
      <c r="P143" s="76" t="s">
        <v>550</v>
      </c>
    </row>
    <row r="144" spans="2:16" ht="12.75" customHeight="1" x14ac:dyDescent="0.2">
      <c r="B144" s="76" t="s">
        <v>548</v>
      </c>
      <c r="C144" s="76">
        <f t="shared" si="16"/>
        <v>5.4E-8</v>
      </c>
      <c r="D144" s="76">
        <v>1</v>
      </c>
      <c r="E144" s="76" t="s">
        <v>913</v>
      </c>
      <c r="F144" s="76" t="s">
        <v>168</v>
      </c>
      <c r="G144" s="76" t="s">
        <v>169</v>
      </c>
      <c r="H144" s="76" t="s">
        <v>170</v>
      </c>
      <c r="I144" s="76">
        <f t="shared" si="17"/>
        <v>0</v>
      </c>
      <c r="J144" s="76">
        <f t="shared" si="23"/>
        <v>0</v>
      </c>
      <c r="K144" s="76" t="s">
        <v>535</v>
      </c>
      <c r="L144" s="76">
        <f t="shared" si="18"/>
        <v>5.4E-8</v>
      </c>
      <c r="M144" s="76" t="s">
        <v>163</v>
      </c>
      <c r="N144" s="76">
        <f t="shared" si="24"/>
        <v>0</v>
      </c>
      <c r="O144" s="76" t="s">
        <v>535</v>
      </c>
      <c r="P144" s="76" t="s">
        <v>550</v>
      </c>
    </row>
    <row r="145" spans="2:16" ht="12.75" customHeight="1" x14ac:dyDescent="0.2">
      <c r="B145" s="76" t="s">
        <v>548</v>
      </c>
      <c r="C145" s="76">
        <f t="shared" si="16"/>
        <v>5.4E-8</v>
      </c>
      <c r="D145" s="76">
        <v>1</v>
      </c>
      <c r="E145" s="76" t="s">
        <v>941</v>
      </c>
      <c r="F145" s="76" t="s">
        <v>168</v>
      </c>
      <c r="G145" s="76" t="s">
        <v>169</v>
      </c>
      <c r="H145" s="76" t="s">
        <v>170</v>
      </c>
      <c r="I145" s="76">
        <f t="shared" si="17"/>
        <v>0</v>
      </c>
      <c r="J145" s="76">
        <f t="shared" si="23"/>
        <v>0</v>
      </c>
      <c r="K145" s="76" t="s">
        <v>535</v>
      </c>
      <c r="L145" s="76">
        <f t="shared" si="18"/>
        <v>5.4E-8</v>
      </c>
      <c r="M145" s="76" t="s">
        <v>163</v>
      </c>
      <c r="N145" s="76">
        <f t="shared" si="24"/>
        <v>0</v>
      </c>
      <c r="O145" s="76" t="s">
        <v>535</v>
      </c>
      <c r="P145" s="76" t="s">
        <v>550</v>
      </c>
    </row>
    <row r="146" spans="2:16" ht="12.75" customHeight="1" x14ac:dyDescent="0.2">
      <c r="B146" s="76" t="s">
        <v>548</v>
      </c>
      <c r="C146" s="76">
        <f t="shared" si="16"/>
        <v>5.4E-8</v>
      </c>
      <c r="D146" s="76">
        <v>1</v>
      </c>
      <c r="E146" s="76" t="s">
        <v>940</v>
      </c>
      <c r="F146" s="76" t="s">
        <v>168</v>
      </c>
      <c r="G146" s="76" t="s">
        <v>169</v>
      </c>
      <c r="H146" s="76" t="s">
        <v>170</v>
      </c>
      <c r="I146" s="76">
        <f t="shared" si="17"/>
        <v>0</v>
      </c>
      <c r="J146" s="76">
        <f t="shared" si="23"/>
        <v>0</v>
      </c>
      <c r="K146" s="76" t="s">
        <v>535</v>
      </c>
      <c r="L146" s="76">
        <f t="shared" si="18"/>
        <v>5.4E-8</v>
      </c>
      <c r="M146" s="76" t="s">
        <v>163</v>
      </c>
      <c r="N146" s="76">
        <f t="shared" si="24"/>
        <v>0</v>
      </c>
      <c r="O146" s="76" t="s">
        <v>535</v>
      </c>
      <c r="P146" s="76" t="s">
        <v>550</v>
      </c>
    </row>
    <row r="147" spans="2:16" ht="12.75" customHeight="1" x14ac:dyDescent="0.2">
      <c r="B147" s="76" t="s">
        <v>548</v>
      </c>
      <c r="C147" s="76">
        <f t="shared" si="16"/>
        <v>5.4E-8</v>
      </c>
      <c r="D147" s="76">
        <v>1</v>
      </c>
      <c r="E147" s="76" t="s">
        <v>939</v>
      </c>
      <c r="F147" s="76" t="s">
        <v>168</v>
      </c>
      <c r="G147" s="76" t="s">
        <v>169</v>
      </c>
      <c r="H147" s="76" t="s">
        <v>170</v>
      </c>
      <c r="I147" s="76">
        <f t="shared" si="17"/>
        <v>0</v>
      </c>
      <c r="J147" s="76">
        <f t="shared" si="23"/>
        <v>0</v>
      </c>
      <c r="K147" s="76" t="s">
        <v>535</v>
      </c>
      <c r="L147" s="76">
        <f t="shared" si="18"/>
        <v>5.4E-8</v>
      </c>
      <c r="M147" s="76" t="s">
        <v>163</v>
      </c>
      <c r="N147" s="76">
        <f t="shared" si="24"/>
        <v>0</v>
      </c>
      <c r="O147" s="76" t="s">
        <v>535</v>
      </c>
      <c r="P147" s="76" t="s">
        <v>550</v>
      </c>
    </row>
    <row r="148" spans="2:16" ht="12.75" customHeight="1" x14ac:dyDescent="0.2">
      <c r="B148" s="76" t="s">
        <v>548</v>
      </c>
      <c r="C148" s="76">
        <f t="shared" si="16"/>
        <v>5.4E-8</v>
      </c>
      <c r="D148" s="76">
        <v>1</v>
      </c>
      <c r="E148" s="76" t="s">
        <v>938</v>
      </c>
      <c r="F148" s="76" t="s">
        <v>168</v>
      </c>
      <c r="G148" s="76" t="s">
        <v>169</v>
      </c>
      <c r="H148" s="76" t="s">
        <v>170</v>
      </c>
      <c r="I148" s="76">
        <f t="shared" si="17"/>
        <v>0</v>
      </c>
      <c r="J148" s="76">
        <f t="shared" si="23"/>
        <v>0</v>
      </c>
      <c r="K148" s="76" t="s">
        <v>535</v>
      </c>
      <c r="L148" s="76">
        <f t="shared" si="18"/>
        <v>5.4E-8</v>
      </c>
      <c r="M148" s="76" t="s">
        <v>163</v>
      </c>
      <c r="N148" s="76">
        <f t="shared" si="24"/>
        <v>0</v>
      </c>
      <c r="O148" s="76" t="s">
        <v>535</v>
      </c>
      <c r="P148" s="76" t="s">
        <v>550</v>
      </c>
    </row>
    <row r="149" spans="2:16" ht="12.75" customHeight="1" x14ac:dyDescent="0.2">
      <c r="B149" s="76" t="s">
        <v>548</v>
      </c>
      <c r="C149" s="76">
        <f t="shared" si="16"/>
        <v>5.4E-8</v>
      </c>
      <c r="D149" s="76">
        <v>1</v>
      </c>
      <c r="E149" s="76" t="s">
        <v>937</v>
      </c>
      <c r="F149" s="76" t="s">
        <v>168</v>
      </c>
      <c r="G149" s="76" t="s">
        <v>169</v>
      </c>
      <c r="H149" s="76" t="s">
        <v>170</v>
      </c>
      <c r="I149" s="76">
        <f t="shared" si="17"/>
        <v>0</v>
      </c>
      <c r="J149" s="76">
        <f t="shared" si="23"/>
        <v>0</v>
      </c>
      <c r="K149" s="76" t="s">
        <v>535</v>
      </c>
      <c r="L149" s="76">
        <f t="shared" si="18"/>
        <v>5.4E-8</v>
      </c>
      <c r="M149" s="76" t="s">
        <v>163</v>
      </c>
      <c r="N149" s="76">
        <f t="shared" si="24"/>
        <v>0</v>
      </c>
      <c r="O149" s="76" t="s">
        <v>535</v>
      </c>
      <c r="P149" s="76" t="s">
        <v>550</v>
      </c>
    </row>
    <row r="150" spans="2:16" ht="12.75" customHeight="1" x14ac:dyDescent="0.2">
      <c r="B150" s="76" t="s">
        <v>548</v>
      </c>
      <c r="C150" s="76">
        <f t="shared" si="16"/>
        <v>5.4E-8</v>
      </c>
      <c r="D150" s="76">
        <v>1</v>
      </c>
      <c r="E150" s="76" t="s">
        <v>936</v>
      </c>
      <c r="F150" s="76" t="s">
        <v>168</v>
      </c>
      <c r="G150" s="76" t="s">
        <v>169</v>
      </c>
      <c r="H150" s="76" t="s">
        <v>170</v>
      </c>
      <c r="I150" s="76">
        <f t="shared" si="17"/>
        <v>0</v>
      </c>
      <c r="J150" s="76">
        <f t="shared" si="23"/>
        <v>0</v>
      </c>
      <c r="K150" s="76" t="s">
        <v>535</v>
      </c>
      <c r="L150" s="76">
        <f t="shared" si="18"/>
        <v>5.4E-8</v>
      </c>
      <c r="M150" s="76" t="s">
        <v>163</v>
      </c>
      <c r="N150" s="76">
        <f t="shared" si="24"/>
        <v>0</v>
      </c>
      <c r="O150" s="76" t="s">
        <v>535</v>
      </c>
      <c r="P150" s="76" t="s">
        <v>550</v>
      </c>
    </row>
    <row r="151" spans="2:16" ht="12.75" customHeight="1" x14ac:dyDescent="0.2">
      <c r="B151" s="76" t="s">
        <v>548</v>
      </c>
      <c r="C151" s="76">
        <f t="shared" si="16"/>
        <v>5.4E-8</v>
      </c>
      <c r="D151" s="76">
        <v>1</v>
      </c>
      <c r="E151" s="76" t="s">
        <v>935</v>
      </c>
      <c r="F151" s="76" t="s">
        <v>168</v>
      </c>
      <c r="G151" s="76" t="s">
        <v>169</v>
      </c>
      <c r="H151" s="76" t="s">
        <v>170</v>
      </c>
      <c r="I151" s="76">
        <f t="shared" si="17"/>
        <v>0</v>
      </c>
      <c r="J151" s="76">
        <f t="shared" si="23"/>
        <v>0</v>
      </c>
      <c r="K151" s="76" t="s">
        <v>535</v>
      </c>
      <c r="L151" s="76">
        <f t="shared" si="18"/>
        <v>5.4E-8</v>
      </c>
      <c r="M151" s="76" t="s">
        <v>163</v>
      </c>
      <c r="N151" s="76">
        <f t="shared" si="24"/>
        <v>0</v>
      </c>
      <c r="O151" s="76" t="s">
        <v>535</v>
      </c>
      <c r="P151" s="76" t="s">
        <v>550</v>
      </c>
    </row>
    <row r="152" spans="2:16" ht="12.75" customHeight="1" x14ac:dyDescent="0.2">
      <c r="B152" s="76" t="s">
        <v>548</v>
      </c>
      <c r="C152" s="76">
        <f t="shared" ref="C152:C166" si="25">54*ns</f>
        <v>5.4E-8</v>
      </c>
      <c r="D152" s="76">
        <v>1</v>
      </c>
      <c r="E152" s="76" t="s">
        <v>945</v>
      </c>
      <c r="F152" s="76" t="s">
        <v>168</v>
      </c>
      <c r="G152" s="76" t="s">
        <v>169</v>
      </c>
      <c r="H152" s="76" t="s">
        <v>516</v>
      </c>
      <c r="I152" s="76">
        <f t="shared" ref="I152:I166" si="26">0*C152</f>
        <v>0</v>
      </c>
      <c r="J152" s="76">
        <f>(13/54)*C152</f>
        <v>1.2999999999999999E-8</v>
      </c>
      <c r="K152" s="76">
        <f>(40/54)*C152</f>
        <v>4.0000000000000001E-8</v>
      </c>
      <c r="L152" s="76">
        <f t="shared" ref="L152:L166" si="27">1*C152</f>
        <v>5.4E-8</v>
      </c>
      <c r="M152" s="76" t="s">
        <v>163</v>
      </c>
      <c r="N152" s="76">
        <f t="shared" si="24"/>
        <v>0</v>
      </c>
      <c r="O152" s="76" t="s">
        <v>535</v>
      </c>
      <c r="P152" s="76" t="s">
        <v>549</v>
      </c>
    </row>
    <row r="153" spans="2:16" ht="12.75" customHeight="1" x14ac:dyDescent="0.2">
      <c r="B153" s="76" t="s">
        <v>548</v>
      </c>
      <c r="C153" s="76">
        <f t="shared" si="25"/>
        <v>5.4E-8</v>
      </c>
      <c r="D153" s="76">
        <v>1</v>
      </c>
      <c r="E153" s="76" t="s">
        <v>103</v>
      </c>
      <c r="F153" s="76" t="s">
        <v>168</v>
      </c>
      <c r="G153" s="76" t="s">
        <v>169</v>
      </c>
      <c r="H153" s="76" t="s">
        <v>170</v>
      </c>
      <c r="I153" s="76">
        <f t="shared" si="26"/>
        <v>0</v>
      </c>
      <c r="J153" s="76">
        <f>0*C153</f>
        <v>0</v>
      </c>
      <c r="K153" s="76" t="s">
        <v>535</v>
      </c>
      <c r="L153" s="76">
        <f t="shared" si="27"/>
        <v>5.4E-8</v>
      </c>
      <c r="M153" s="76" t="s">
        <v>163</v>
      </c>
      <c r="N153" s="76">
        <f t="shared" si="24"/>
        <v>0</v>
      </c>
      <c r="O153" s="76" t="s">
        <v>535</v>
      </c>
      <c r="P153" s="76" t="s">
        <v>550</v>
      </c>
    </row>
    <row r="154" spans="2:16" ht="12.75" customHeight="1" x14ac:dyDescent="0.2">
      <c r="B154" s="76" t="s">
        <v>548</v>
      </c>
      <c r="C154" s="76">
        <f t="shared" si="25"/>
        <v>5.4E-8</v>
      </c>
      <c r="D154" s="76">
        <v>1</v>
      </c>
      <c r="E154" s="76" t="s">
        <v>111</v>
      </c>
      <c r="F154" s="76" t="s">
        <v>168</v>
      </c>
      <c r="G154" s="76" t="s">
        <v>169</v>
      </c>
      <c r="H154" s="76" t="s">
        <v>170</v>
      </c>
      <c r="I154" s="76">
        <f t="shared" si="26"/>
        <v>0</v>
      </c>
      <c r="J154" s="76">
        <f t="shared" ref="J154:J158" si="28">0*C154</f>
        <v>0</v>
      </c>
      <c r="K154" s="76" t="s">
        <v>535</v>
      </c>
      <c r="L154" s="76">
        <f t="shared" si="27"/>
        <v>5.4E-8</v>
      </c>
      <c r="M154" s="76" t="s">
        <v>172</v>
      </c>
      <c r="N154" s="76">
        <f>(5/54)*C154</f>
        <v>5.0000000000000001E-9</v>
      </c>
      <c r="O154" s="76" t="s">
        <v>535</v>
      </c>
      <c r="P154" s="76" t="s">
        <v>550</v>
      </c>
    </row>
    <row r="155" spans="2:16" ht="12.75" customHeight="1" x14ac:dyDescent="0.2">
      <c r="B155" s="76" t="s">
        <v>548</v>
      </c>
      <c r="C155" s="76">
        <f t="shared" si="25"/>
        <v>5.4E-8</v>
      </c>
      <c r="D155" s="76">
        <v>1</v>
      </c>
      <c r="E155" s="76" t="s">
        <v>946</v>
      </c>
      <c r="F155" s="76" t="s">
        <v>168</v>
      </c>
      <c r="G155" s="76" t="s">
        <v>169</v>
      </c>
      <c r="H155" s="76" t="s">
        <v>170</v>
      </c>
      <c r="I155" s="76">
        <f t="shared" si="26"/>
        <v>0</v>
      </c>
      <c r="J155" s="76">
        <f t="shared" si="28"/>
        <v>0</v>
      </c>
      <c r="K155" s="76" t="s">
        <v>535</v>
      </c>
      <c r="L155" s="76">
        <f t="shared" si="27"/>
        <v>5.4E-8</v>
      </c>
      <c r="M155" s="76" t="s">
        <v>163</v>
      </c>
      <c r="N155" s="76">
        <f>0*C155</f>
        <v>0</v>
      </c>
      <c r="O155" s="76" t="s">
        <v>535</v>
      </c>
      <c r="P155" s="76" t="s">
        <v>550</v>
      </c>
    </row>
    <row r="156" spans="2:16" ht="12.75" customHeight="1" x14ac:dyDescent="0.2">
      <c r="B156" s="76" t="s">
        <v>548</v>
      </c>
      <c r="C156" s="76">
        <f t="shared" si="25"/>
        <v>5.4E-8</v>
      </c>
      <c r="D156" s="76">
        <v>1</v>
      </c>
      <c r="E156" s="76" t="s">
        <v>120</v>
      </c>
      <c r="F156" s="76" t="s">
        <v>168</v>
      </c>
      <c r="G156" s="76" t="s">
        <v>169</v>
      </c>
      <c r="H156" s="76" t="s">
        <v>170</v>
      </c>
      <c r="I156" s="76">
        <f t="shared" si="26"/>
        <v>0</v>
      </c>
      <c r="J156" s="76">
        <f t="shared" si="28"/>
        <v>0</v>
      </c>
      <c r="K156" s="76" t="s">
        <v>535</v>
      </c>
      <c r="L156" s="76">
        <f t="shared" si="27"/>
        <v>5.4E-8</v>
      </c>
      <c r="M156" s="76" t="s">
        <v>172</v>
      </c>
      <c r="N156" s="76">
        <f>(5/54)*C156</f>
        <v>5.0000000000000001E-9</v>
      </c>
      <c r="O156" s="76" t="s">
        <v>535</v>
      </c>
      <c r="P156" s="76" t="s">
        <v>550</v>
      </c>
    </row>
    <row r="157" spans="2:16" ht="12.75" customHeight="1" x14ac:dyDescent="0.2">
      <c r="B157" s="76" t="s">
        <v>548</v>
      </c>
      <c r="C157" s="76">
        <f t="shared" si="25"/>
        <v>5.4E-8</v>
      </c>
      <c r="D157" s="76">
        <v>1</v>
      </c>
      <c r="E157" s="76" t="s">
        <v>121</v>
      </c>
      <c r="F157" s="76" t="s">
        <v>168</v>
      </c>
      <c r="G157" s="76" t="s">
        <v>169</v>
      </c>
      <c r="H157" s="76" t="s">
        <v>170</v>
      </c>
      <c r="I157" s="76">
        <f t="shared" si="26"/>
        <v>0</v>
      </c>
      <c r="J157" s="76">
        <f t="shared" si="28"/>
        <v>0</v>
      </c>
      <c r="K157" s="76" t="s">
        <v>535</v>
      </c>
      <c r="L157" s="76">
        <f t="shared" si="27"/>
        <v>5.4E-8</v>
      </c>
      <c r="M157" s="76" t="s">
        <v>172</v>
      </c>
      <c r="N157" s="76">
        <f>(5/54)*C157</f>
        <v>5.0000000000000001E-9</v>
      </c>
      <c r="O157" s="76" t="s">
        <v>535</v>
      </c>
      <c r="P157" s="76" t="s">
        <v>550</v>
      </c>
    </row>
    <row r="158" spans="2:16" ht="12.75" customHeight="1" x14ac:dyDescent="0.2">
      <c r="B158" s="76" t="s">
        <v>548</v>
      </c>
      <c r="C158" s="76">
        <f t="shared" si="25"/>
        <v>5.4E-8</v>
      </c>
      <c r="D158" s="76">
        <v>1</v>
      </c>
      <c r="E158" s="76" t="s">
        <v>97</v>
      </c>
      <c r="F158" s="76" t="s">
        <v>168</v>
      </c>
      <c r="G158" s="76" t="s">
        <v>169</v>
      </c>
      <c r="H158" s="76" t="s">
        <v>170</v>
      </c>
      <c r="I158" s="76">
        <f t="shared" si="26"/>
        <v>0</v>
      </c>
      <c r="J158" s="76">
        <f t="shared" si="28"/>
        <v>0</v>
      </c>
      <c r="K158" s="76" t="s">
        <v>535</v>
      </c>
      <c r="L158" s="76">
        <f t="shared" si="27"/>
        <v>5.4E-8</v>
      </c>
      <c r="M158" s="76" t="s">
        <v>163</v>
      </c>
      <c r="N158" s="76">
        <f>0*C158</f>
        <v>0</v>
      </c>
      <c r="O158" s="76" t="s">
        <v>535</v>
      </c>
      <c r="P158" s="76" t="s">
        <v>550</v>
      </c>
    </row>
    <row r="159" spans="2:16" ht="12.75" customHeight="1" x14ac:dyDescent="0.2">
      <c r="B159" s="76" t="s">
        <v>548</v>
      </c>
      <c r="C159" s="76">
        <f t="shared" si="25"/>
        <v>5.4E-8</v>
      </c>
      <c r="D159" s="76">
        <v>1</v>
      </c>
      <c r="E159" s="76" t="s">
        <v>909</v>
      </c>
      <c r="F159" s="76" t="s">
        <v>168</v>
      </c>
      <c r="G159" s="76" t="s">
        <v>169</v>
      </c>
      <c r="H159" s="76" t="s">
        <v>516</v>
      </c>
      <c r="I159" s="76">
        <f t="shared" si="26"/>
        <v>0</v>
      </c>
      <c r="J159" s="76">
        <f>(13/54)*C159</f>
        <v>1.2999999999999999E-8</v>
      </c>
      <c r="K159" s="76">
        <f>(40/54)*C159</f>
        <v>4.0000000000000001E-8</v>
      </c>
      <c r="L159" s="76">
        <f t="shared" si="27"/>
        <v>5.4E-8</v>
      </c>
      <c r="M159" s="76" t="s">
        <v>163</v>
      </c>
      <c r="N159" s="76">
        <f t="shared" ref="N159:N161" si="29">0*C159</f>
        <v>0</v>
      </c>
      <c r="O159" s="76" t="s">
        <v>535</v>
      </c>
      <c r="P159" s="76" t="s">
        <v>549</v>
      </c>
    </row>
    <row r="160" spans="2:16" ht="12.75" customHeight="1" x14ac:dyDescent="0.2">
      <c r="B160" s="76" t="s">
        <v>548</v>
      </c>
      <c r="C160" s="76">
        <f t="shared" si="25"/>
        <v>5.4E-8</v>
      </c>
      <c r="D160" s="76">
        <v>1</v>
      </c>
      <c r="E160" s="76" t="s">
        <v>910</v>
      </c>
      <c r="F160" s="76" t="s">
        <v>168</v>
      </c>
      <c r="G160" s="76" t="s">
        <v>169</v>
      </c>
      <c r="H160" s="76" t="s">
        <v>170</v>
      </c>
      <c r="I160" s="76">
        <f t="shared" si="26"/>
        <v>0</v>
      </c>
      <c r="J160" s="76">
        <f>0*C160</f>
        <v>0</v>
      </c>
      <c r="K160" s="76" t="s">
        <v>535</v>
      </c>
      <c r="L160" s="76">
        <f t="shared" si="27"/>
        <v>5.4E-8</v>
      </c>
      <c r="M160" s="76" t="s">
        <v>163</v>
      </c>
      <c r="N160" s="76">
        <f t="shared" si="29"/>
        <v>0</v>
      </c>
      <c r="O160" s="76" t="s">
        <v>535</v>
      </c>
      <c r="P160" s="76" t="s">
        <v>550</v>
      </c>
    </row>
    <row r="161" spans="2:16" ht="12.75" customHeight="1" x14ac:dyDescent="0.2">
      <c r="B161" s="76" t="s">
        <v>548</v>
      </c>
      <c r="C161" s="76">
        <f t="shared" si="25"/>
        <v>5.4E-8</v>
      </c>
      <c r="D161" s="76">
        <v>1</v>
      </c>
      <c r="E161" s="76" t="s">
        <v>893</v>
      </c>
      <c r="F161" s="76" t="s">
        <v>168</v>
      </c>
      <c r="G161" s="76" t="s">
        <v>169</v>
      </c>
      <c r="H161" s="76" t="s">
        <v>170</v>
      </c>
      <c r="I161" s="76">
        <f t="shared" si="26"/>
        <v>0</v>
      </c>
      <c r="J161" s="76">
        <f t="shared" ref="J161:J166" si="30">0*C161</f>
        <v>0</v>
      </c>
      <c r="K161" s="76" t="s">
        <v>535</v>
      </c>
      <c r="L161" s="76">
        <f t="shared" si="27"/>
        <v>5.4E-8</v>
      </c>
      <c r="M161" s="76" t="s">
        <v>163</v>
      </c>
      <c r="N161" s="76">
        <f t="shared" si="29"/>
        <v>0</v>
      </c>
      <c r="O161" s="76" t="s">
        <v>535</v>
      </c>
      <c r="P161" s="76" t="s">
        <v>549</v>
      </c>
    </row>
    <row r="162" spans="2:16" ht="12.75" customHeight="1" x14ac:dyDescent="0.2">
      <c r="B162" s="76" t="s">
        <v>548</v>
      </c>
      <c r="C162" s="76">
        <f t="shared" si="25"/>
        <v>5.4E-8</v>
      </c>
      <c r="D162" s="76">
        <v>1</v>
      </c>
      <c r="E162" s="76" t="s">
        <v>894</v>
      </c>
      <c r="F162" s="76" t="s">
        <v>168</v>
      </c>
      <c r="G162" s="76" t="s">
        <v>169</v>
      </c>
      <c r="H162" s="76" t="s">
        <v>170</v>
      </c>
      <c r="I162" s="76">
        <f t="shared" si="26"/>
        <v>0</v>
      </c>
      <c r="J162" s="76">
        <f t="shared" si="30"/>
        <v>0</v>
      </c>
      <c r="K162" s="76" t="s">
        <v>535</v>
      </c>
      <c r="L162" s="76">
        <f t="shared" si="27"/>
        <v>5.4E-8</v>
      </c>
      <c r="M162" s="76" t="s">
        <v>163</v>
      </c>
      <c r="N162" s="76">
        <f>(5/54)*C162</f>
        <v>5.0000000000000001E-9</v>
      </c>
      <c r="O162" s="76" t="s">
        <v>535</v>
      </c>
      <c r="P162" s="76" t="s">
        <v>550</v>
      </c>
    </row>
    <row r="163" spans="2:16" ht="12.75" customHeight="1" x14ac:dyDescent="0.2">
      <c r="B163" s="76" t="s">
        <v>548</v>
      </c>
      <c r="C163" s="76">
        <f t="shared" si="25"/>
        <v>5.4E-8</v>
      </c>
      <c r="D163" s="76">
        <v>1</v>
      </c>
      <c r="E163" s="76" t="s">
        <v>895</v>
      </c>
      <c r="F163" s="76" t="s">
        <v>168</v>
      </c>
      <c r="G163" s="76" t="s">
        <v>169</v>
      </c>
      <c r="H163" s="76" t="s">
        <v>170</v>
      </c>
      <c r="I163" s="76">
        <f t="shared" si="26"/>
        <v>0</v>
      </c>
      <c r="J163" s="76">
        <f t="shared" si="30"/>
        <v>0</v>
      </c>
      <c r="K163" s="76" t="s">
        <v>535</v>
      </c>
      <c r="L163" s="76">
        <f t="shared" si="27"/>
        <v>5.4E-8</v>
      </c>
      <c r="M163" s="76" t="s">
        <v>172</v>
      </c>
      <c r="N163" s="76">
        <f>(5/54)*C163</f>
        <v>5.0000000000000001E-9</v>
      </c>
      <c r="O163" s="76" t="s">
        <v>535</v>
      </c>
      <c r="P163" s="76" t="s">
        <v>550</v>
      </c>
    </row>
    <row r="164" spans="2:16" ht="12.75" customHeight="1" x14ac:dyDescent="0.2">
      <c r="B164" s="76" t="s">
        <v>548</v>
      </c>
      <c r="C164" s="76">
        <f t="shared" si="25"/>
        <v>5.4E-8</v>
      </c>
      <c r="D164" s="76">
        <v>1</v>
      </c>
      <c r="E164" s="76" t="s">
        <v>896</v>
      </c>
      <c r="F164" s="76" t="s">
        <v>168</v>
      </c>
      <c r="G164" s="76" t="s">
        <v>169</v>
      </c>
      <c r="H164" s="76" t="s">
        <v>170</v>
      </c>
      <c r="I164" s="76">
        <f t="shared" si="26"/>
        <v>0</v>
      </c>
      <c r="J164" s="76">
        <f t="shared" si="30"/>
        <v>0</v>
      </c>
      <c r="K164" s="76" t="s">
        <v>535</v>
      </c>
      <c r="L164" s="76">
        <f t="shared" si="27"/>
        <v>5.4E-8</v>
      </c>
      <c r="M164" s="76" t="s">
        <v>163</v>
      </c>
      <c r="N164" s="76">
        <f>(5/54)*C164</f>
        <v>5.0000000000000001E-9</v>
      </c>
      <c r="O164" s="76" t="s">
        <v>535</v>
      </c>
      <c r="P164" s="76" t="s">
        <v>550</v>
      </c>
    </row>
    <row r="165" spans="2:16" ht="12.75" customHeight="1" x14ac:dyDescent="0.2">
      <c r="B165" s="76" t="s">
        <v>548</v>
      </c>
      <c r="C165" s="76">
        <f t="shared" si="25"/>
        <v>5.4E-8</v>
      </c>
      <c r="D165" s="76">
        <v>1</v>
      </c>
      <c r="E165" s="76" t="s">
        <v>897</v>
      </c>
      <c r="F165" s="76" t="s">
        <v>168</v>
      </c>
      <c r="G165" s="76" t="s">
        <v>169</v>
      </c>
      <c r="H165" s="76" t="s">
        <v>170</v>
      </c>
      <c r="I165" s="76">
        <f t="shared" si="26"/>
        <v>0</v>
      </c>
      <c r="J165" s="76">
        <f t="shared" si="30"/>
        <v>0</v>
      </c>
      <c r="K165" s="76" t="s">
        <v>535</v>
      </c>
      <c r="L165" s="76">
        <f t="shared" si="27"/>
        <v>5.4E-8</v>
      </c>
      <c r="M165" s="76" t="s">
        <v>163</v>
      </c>
      <c r="N165" s="76">
        <f>(5/54)*C165</f>
        <v>5.0000000000000001E-9</v>
      </c>
      <c r="O165" s="76" t="s">
        <v>535</v>
      </c>
      <c r="P165" s="76" t="s">
        <v>550</v>
      </c>
    </row>
    <row r="166" spans="2:16" ht="12.75" customHeight="1" x14ac:dyDescent="0.2">
      <c r="B166" s="76" t="s">
        <v>548</v>
      </c>
      <c r="C166" s="76">
        <f t="shared" si="25"/>
        <v>5.4E-8</v>
      </c>
      <c r="D166" s="76">
        <v>1</v>
      </c>
      <c r="E166" s="76" t="s">
        <v>109</v>
      </c>
      <c r="F166" s="76" t="s">
        <v>168</v>
      </c>
      <c r="G166" s="76" t="s">
        <v>169</v>
      </c>
      <c r="H166" s="76" t="s">
        <v>170</v>
      </c>
      <c r="I166" s="76">
        <f t="shared" si="26"/>
        <v>0</v>
      </c>
      <c r="J166" s="76">
        <f t="shared" si="30"/>
        <v>0</v>
      </c>
      <c r="K166" s="76" t="s">
        <v>535</v>
      </c>
      <c r="L166" s="76">
        <f t="shared" si="27"/>
        <v>5.4E-8</v>
      </c>
      <c r="M166" s="76" t="s">
        <v>172</v>
      </c>
      <c r="N166" s="76">
        <f>(5/54)*C166</f>
        <v>5.0000000000000001E-9</v>
      </c>
      <c r="O166" s="76" t="s">
        <v>535</v>
      </c>
      <c r="P166" s="76" t="s">
        <v>550</v>
      </c>
    </row>
  </sheetData>
  <autoFilter ref="E6:E7"/>
  <dataValidations count="1">
    <dataValidation type="list" allowBlank="1" showInputMessage="1" showErrorMessage="1" sqref="C3">
      <formula1>"Normal,Extended,Quad"</formula1>
    </dataValidation>
  </dataValidations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outlinePr summaryBelow="0" summaryRight="0"/>
  </sheetPr>
  <dimension ref="A1:P166"/>
  <sheetViews>
    <sheetView showGridLines="0" zoomScaleNormal="100" workbookViewId="0">
      <pane ySplit="6" topLeftCell="A7" activePane="bottomLeft" state="frozen"/>
      <selection pane="bottomLeft" activeCell="A7" sqref="A7"/>
    </sheetView>
  </sheetViews>
  <sheetFormatPr defaultRowHeight="12.75" x14ac:dyDescent="0.2"/>
  <cols>
    <col min="1" max="1" width="9.140625" style="75"/>
    <col min="2" max="3" width="13.42578125" style="75" customWidth="1"/>
    <col min="4" max="4" width="6.28515625" style="75" customWidth="1"/>
    <col min="5" max="5" width="13.42578125" style="75" customWidth="1"/>
    <col min="6" max="8" width="9.140625" style="75"/>
    <col min="9" max="12" width="13.42578125" style="75" customWidth="1"/>
    <col min="13" max="13" width="9.140625" style="75"/>
    <col min="14" max="15" width="13.42578125" style="75" customWidth="1"/>
    <col min="16" max="16" width="42.85546875" style="75" customWidth="1"/>
    <col min="17" max="16384" width="9.140625" style="75"/>
  </cols>
  <sheetData>
    <row r="1" spans="1:16" ht="25.5" customHeight="1" x14ac:dyDescent="0.2">
      <c r="A1" s="75" t="s">
        <v>61</v>
      </c>
      <c r="B1" s="75" t="s">
        <v>146</v>
      </c>
    </row>
    <row r="3" spans="1:16" x14ac:dyDescent="0.2">
      <c r="B3" s="1" t="s">
        <v>147</v>
      </c>
      <c r="C3" s="2" t="s">
        <v>237</v>
      </c>
      <c r="E3" s="1" t="s">
        <v>148</v>
      </c>
      <c r="F3" s="2">
        <f>1*us</f>
        <v>9.9999999999999995E-7</v>
      </c>
      <c r="H3" s="1" t="s">
        <v>149</v>
      </c>
      <c r="I3" s="2">
        <f>1*us</f>
        <v>9.9999999999999995E-7</v>
      </c>
    </row>
    <row r="5" spans="1:16" x14ac:dyDescent="0.2">
      <c r="C5" s="75" t="s">
        <v>150</v>
      </c>
      <c r="E5" s="75" t="s">
        <v>151</v>
      </c>
      <c r="G5" s="75" t="s">
        <v>152</v>
      </c>
      <c r="I5" s="75" t="s">
        <v>153</v>
      </c>
      <c r="M5" s="75" t="s">
        <v>154</v>
      </c>
    </row>
    <row r="6" spans="1:16" x14ac:dyDescent="0.2">
      <c r="B6" s="75" t="s">
        <v>155</v>
      </c>
      <c r="C6" s="75" t="s">
        <v>156</v>
      </c>
      <c r="D6" s="75" t="s">
        <v>157</v>
      </c>
      <c r="E6" s="75" t="s">
        <v>20</v>
      </c>
      <c r="F6" s="75" t="s">
        <v>158</v>
      </c>
      <c r="G6" s="75" t="s">
        <v>159</v>
      </c>
      <c r="H6" s="75" t="s">
        <v>160</v>
      </c>
      <c r="I6" s="75" t="s">
        <v>161</v>
      </c>
      <c r="J6" s="75" t="s">
        <v>152</v>
      </c>
      <c r="K6" s="75" t="s">
        <v>162</v>
      </c>
      <c r="L6" s="75" t="s">
        <v>163</v>
      </c>
      <c r="M6" s="75" t="s">
        <v>164</v>
      </c>
      <c r="N6" s="75" t="s">
        <v>165</v>
      </c>
      <c r="O6" s="75" t="s">
        <v>166</v>
      </c>
      <c r="P6" s="75" t="s">
        <v>4</v>
      </c>
    </row>
    <row r="7" spans="1:16" ht="19.149999999999999" customHeight="1" x14ac:dyDescent="0.2">
      <c r="B7" s="76" t="s">
        <v>547</v>
      </c>
      <c r="C7" s="76">
        <f>54*ns</f>
        <v>5.4E-8</v>
      </c>
      <c r="D7" s="76">
        <v>1</v>
      </c>
      <c r="E7" s="76" t="s">
        <v>95</v>
      </c>
      <c r="F7" s="76" t="s">
        <v>168</v>
      </c>
      <c r="G7" s="76" t="s">
        <v>169</v>
      </c>
      <c r="H7" s="76" t="s">
        <v>515</v>
      </c>
      <c r="I7" s="76">
        <f>0*C7</f>
        <v>0</v>
      </c>
      <c r="J7" s="76">
        <f>(13/54)*C7</f>
        <v>1.2999999999999999E-8</v>
      </c>
      <c r="K7" s="76">
        <f>(40/54)*C7</f>
        <v>4.0000000000000001E-8</v>
      </c>
      <c r="L7" s="76">
        <f>1*C7</f>
        <v>5.4E-8</v>
      </c>
      <c r="M7" s="76" t="s">
        <v>163</v>
      </c>
      <c r="N7" s="76">
        <f>0*C7</f>
        <v>0</v>
      </c>
      <c r="O7" s="76" t="s">
        <v>535</v>
      </c>
      <c r="P7" s="76" t="s">
        <v>537</v>
      </c>
    </row>
    <row r="8" spans="1:16" ht="12.75" customHeight="1" x14ac:dyDescent="0.2">
      <c r="B8" s="76" t="s">
        <v>547</v>
      </c>
      <c r="C8" s="76">
        <f t="shared" ref="C8:C71" si="0">54*ns</f>
        <v>5.4E-8</v>
      </c>
      <c r="D8" s="76">
        <v>1</v>
      </c>
      <c r="E8" s="76" t="s">
        <v>912</v>
      </c>
      <c r="F8" s="76" t="s">
        <v>168</v>
      </c>
      <c r="G8" s="76" t="s">
        <v>169</v>
      </c>
      <c r="H8" s="76" t="s">
        <v>516</v>
      </c>
      <c r="I8" s="76">
        <f t="shared" ref="I8:I71" si="1">0*C8</f>
        <v>0</v>
      </c>
      <c r="J8" s="76">
        <f t="shared" ref="J8:J9" si="2">(13/54)*C8</f>
        <v>1.2999999999999999E-8</v>
      </c>
      <c r="K8" s="76">
        <f t="shared" ref="K8:K9" si="3">(40/54)*C8</f>
        <v>4.0000000000000001E-8</v>
      </c>
      <c r="L8" s="76">
        <f t="shared" ref="L8:L71" si="4">1*C8</f>
        <v>5.4E-8</v>
      </c>
      <c r="M8" s="76" t="s">
        <v>163</v>
      </c>
      <c r="N8" s="76">
        <f t="shared" ref="N8:N9" si="5">0*C8</f>
        <v>0</v>
      </c>
      <c r="O8" s="76" t="s">
        <v>535</v>
      </c>
      <c r="P8" s="76" t="s">
        <v>537</v>
      </c>
    </row>
    <row r="9" spans="1:16" ht="12.75" customHeight="1" x14ac:dyDescent="0.2">
      <c r="B9" s="76" t="s">
        <v>547</v>
      </c>
      <c r="C9" s="76">
        <f t="shared" si="0"/>
        <v>5.4E-8</v>
      </c>
      <c r="D9" s="76">
        <v>1</v>
      </c>
      <c r="E9" s="76" t="s">
        <v>96</v>
      </c>
      <c r="F9" s="76" t="s">
        <v>168</v>
      </c>
      <c r="G9" s="76" t="s">
        <v>169</v>
      </c>
      <c r="H9" s="76" t="s">
        <v>516</v>
      </c>
      <c r="I9" s="76">
        <f t="shared" si="1"/>
        <v>0</v>
      </c>
      <c r="J9" s="76">
        <f t="shared" si="2"/>
        <v>1.2999999999999999E-8</v>
      </c>
      <c r="K9" s="76">
        <f t="shared" si="3"/>
        <v>4.0000000000000001E-8</v>
      </c>
      <c r="L9" s="76">
        <f t="shared" si="4"/>
        <v>5.4E-8</v>
      </c>
      <c r="M9" s="76" t="s">
        <v>163</v>
      </c>
      <c r="N9" s="76">
        <f t="shared" si="5"/>
        <v>0</v>
      </c>
      <c r="O9" s="76" t="s">
        <v>535</v>
      </c>
      <c r="P9" s="76" t="s">
        <v>537</v>
      </c>
    </row>
    <row r="10" spans="1:16" ht="12.75" customHeight="1" x14ac:dyDescent="0.2">
      <c r="B10" s="76" t="s">
        <v>547</v>
      </c>
      <c r="C10" s="76">
        <f t="shared" si="0"/>
        <v>5.4E-8</v>
      </c>
      <c r="D10" s="76">
        <v>1</v>
      </c>
      <c r="E10" s="76" t="s">
        <v>137</v>
      </c>
      <c r="F10" s="76" t="s">
        <v>168</v>
      </c>
      <c r="G10" s="76" t="s">
        <v>169</v>
      </c>
      <c r="H10" s="76" t="s">
        <v>170</v>
      </c>
      <c r="I10" s="76">
        <f t="shared" si="1"/>
        <v>0</v>
      </c>
      <c r="J10" s="76">
        <f>0*C10</f>
        <v>0</v>
      </c>
      <c r="K10" s="76" t="s">
        <v>535</v>
      </c>
      <c r="L10" s="76">
        <f t="shared" si="4"/>
        <v>5.4E-8</v>
      </c>
      <c r="M10" s="76" t="s">
        <v>172</v>
      </c>
      <c r="N10" s="76">
        <f>(5/54)*C10</f>
        <v>5.0000000000000001E-9</v>
      </c>
      <c r="O10" s="76" t="s">
        <v>535</v>
      </c>
      <c r="P10" s="76" t="s">
        <v>536</v>
      </c>
    </row>
    <row r="11" spans="1:16" ht="12.75" customHeight="1" x14ac:dyDescent="0.2">
      <c r="B11" s="76" t="s">
        <v>547</v>
      </c>
      <c r="C11" s="76">
        <f t="shared" si="0"/>
        <v>5.4E-8</v>
      </c>
      <c r="D11" s="76">
        <v>1</v>
      </c>
      <c r="E11" s="76" t="s">
        <v>127</v>
      </c>
      <c r="F11" s="76" t="s">
        <v>168</v>
      </c>
      <c r="G11" s="76" t="s">
        <v>169</v>
      </c>
      <c r="H11" s="76" t="s">
        <v>170</v>
      </c>
      <c r="I11" s="76">
        <f t="shared" si="1"/>
        <v>0</v>
      </c>
      <c r="J11" s="76">
        <f t="shared" ref="J11:J27" si="6">0*C11</f>
        <v>0</v>
      </c>
      <c r="K11" s="76" t="s">
        <v>535</v>
      </c>
      <c r="L11" s="76">
        <f t="shared" si="4"/>
        <v>5.4E-8</v>
      </c>
      <c r="M11" s="76" t="s">
        <v>172</v>
      </c>
      <c r="N11" s="76">
        <f t="shared" ref="N11:N25" si="7">(5/54)*C11</f>
        <v>5.0000000000000001E-9</v>
      </c>
      <c r="O11" s="76" t="s">
        <v>535</v>
      </c>
      <c r="P11" s="76" t="s">
        <v>536</v>
      </c>
    </row>
    <row r="12" spans="1:16" ht="12.75" customHeight="1" x14ac:dyDescent="0.2">
      <c r="B12" s="76" t="s">
        <v>547</v>
      </c>
      <c r="C12" s="76">
        <f t="shared" si="0"/>
        <v>5.4E-8</v>
      </c>
      <c r="D12" s="76">
        <v>1</v>
      </c>
      <c r="E12" s="76" t="s">
        <v>126</v>
      </c>
      <c r="F12" s="76" t="s">
        <v>168</v>
      </c>
      <c r="G12" s="76" t="s">
        <v>169</v>
      </c>
      <c r="H12" s="76" t="s">
        <v>170</v>
      </c>
      <c r="I12" s="76">
        <f t="shared" si="1"/>
        <v>0</v>
      </c>
      <c r="J12" s="76">
        <f t="shared" si="6"/>
        <v>0</v>
      </c>
      <c r="K12" s="76" t="s">
        <v>535</v>
      </c>
      <c r="L12" s="76">
        <f t="shared" si="4"/>
        <v>5.4E-8</v>
      </c>
      <c r="M12" s="76" t="s">
        <v>172</v>
      </c>
      <c r="N12" s="76">
        <f t="shared" si="7"/>
        <v>5.0000000000000001E-9</v>
      </c>
      <c r="O12" s="76" t="s">
        <v>535</v>
      </c>
      <c r="P12" s="76" t="s">
        <v>536</v>
      </c>
    </row>
    <row r="13" spans="1:16" ht="12.75" customHeight="1" x14ac:dyDescent="0.2">
      <c r="B13" s="76" t="s">
        <v>547</v>
      </c>
      <c r="C13" s="76">
        <f t="shared" si="0"/>
        <v>5.4E-8</v>
      </c>
      <c r="D13" s="76">
        <v>1</v>
      </c>
      <c r="E13" s="76" t="s">
        <v>125</v>
      </c>
      <c r="F13" s="76" t="s">
        <v>168</v>
      </c>
      <c r="G13" s="76" t="s">
        <v>169</v>
      </c>
      <c r="H13" s="76" t="s">
        <v>170</v>
      </c>
      <c r="I13" s="76">
        <f t="shared" si="1"/>
        <v>0</v>
      </c>
      <c r="J13" s="76">
        <f t="shared" si="6"/>
        <v>0</v>
      </c>
      <c r="K13" s="76" t="s">
        <v>535</v>
      </c>
      <c r="L13" s="76">
        <f t="shared" si="4"/>
        <v>5.4E-8</v>
      </c>
      <c r="M13" s="76" t="s">
        <v>172</v>
      </c>
      <c r="N13" s="76">
        <f t="shared" si="7"/>
        <v>5.0000000000000001E-9</v>
      </c>
      <c r="O13" s="76" t="s">
        <v>535</v>
      </c>
      <c r="P13" s="76" t="s">
        <v>536</v>
      </c>
    </row>
    <row r="14" spans="1:16" ht="12.75" customHeight="1" x14ac:dyDescent="0.2">
      <c r="B14" s="76" t="s">
        <v>547</v>
      </c>
      <c r="C14" s="76">
        <f t="shared" si="0"/>
        <v>5.4E-8</v>
      </c>
      <c r="D14" s="76">
        <v>1</v>
      </c>
      <c r="E14" s="76" t="s">
        <v>124</v>
      </c>
      <c r="F14" s="76" t="s">
        <v>168</v>
      </c>
      <c r="G14" s="76" t="s">
        <v>169</v>
      </c>
      <c r="H14" s="76" t="s">
        <v>170</v>
      </c>
      <c r="I14" s="76">
        <f t="shared" si="1"/>
        <v>0</v>
      </c>
      <c r="J14" s="76">
        <f t="shared" si="6"/>
        <v>0</v>
      </c>
      <c r="K14" s="76" t="s">
        <v>535</v>
      </c>
      <c r="L14" s="76">
        <f t="shared" si="4"/>
        <v>5.4E-8</v>
      </c>
      <c r="M14" s="76" t="s">
        <v>172</v>
      </c>
      <c r="N14" s="76">
        <f t="shared" si="7"/>
        <v>5.0000000000000001E-9</v>
      </c>
      <c r="O14" s="76" t="s">
        <v>535</v>
      </c>
      <c r="P14" s="76" t="s">
        <v>536</v>
      </c>
    </row>
    <row r="15" spans="1:16" ht="12.75" customHeight="1" x14ac:dyDescent="0.2">
      <c r="B15" s="76" t="s">
        <v>547</v>
      </c>
      <c r="C15" s="76">
        <f t="shared" si="0"/>
        <v>5.4E-8</v>
      </c>
      <c r="D15" s="76">
        <v>1</v>
      </c>
      <c r="E15" s="76" t="s">
        <v>123</v>
      </c>
      <c r="F15" s="76" t="s">
        <v>168</v>
      </c>
      <c r="G15" s="76" t="s">
        <v>169</v>
      </c>
      <c r="H15" s="76" t="s">
        <v>170</v>
      </c>
      <c r="I15" s="76">
        <f t="shared" si="1"/>
        <v>0</v>
      </c>
      <c r="J15" s="76">
        <f t="shared" si="6"/>
        <v>0</v>
      </c>
      <c r="K15" s="76" t="s">
        <v>535</v>
      </c>
      <c r="L15" s="76">
        <f t="shared" si="4"/>
        <v>5.4E-8</v>
      </c>
      <c r="M15" s="76" t="s">
        <v>172</v>
      </c>
      <c r="N15" s="76">
        <f t="shared" si="7"/>
        <v>5.0000000000000001E-9</v>
      </c>
      <c r="O15" s="76" t="s">
        <v>535</v>
      </c>
      <c r="P15" s="76" t="s">
        <v>536</v>
      </c>
    </row>
    <row r="16" spans="1:16" ht="12.75" customHeight="1" x14ac:dyDescent="0.2">
      <c r="B16" s="76" t="s">
        <v>547</v>
      </c>
      <c r="C16" s="76">
        <f t="shared" si="0"/>
        <v>5.4E-8</v>
      </c>
      <c r="D16" s="76">
        <v>1</v>
      </c>
      <c r="E16" s="76" t="s">
        <v>122</v>
      </c>
      <c r="F16" s="76" t="s">
        <v>168</v>
      </c>
      <c r="G16" s="76" t="s">
        <v>169</v>
      </c>
      <c r="H16" s="76" t="s">
        <v>170</v>
      </c>
      <c r="I16" s="76">
        <f t="shared" si="1"/>
        <v>0</v>
      </c>
      <c r="J16" s="76">
        <f t="shared" si="6"/>
        <v>0</v>
      </c>
      <c r="K16" s="76" t="s">
        <v>535</v>
      </c>
      <c r="L16" s="76">
        <f t="shared" si="4"/>
        <v>5.4E-8</v>
      </c>
      <c r="M16" s="76" t="s">
        <v>172</v>
      </c>
      <c r="N16" s="76">
        <f t="shared" si="7"/>
        <v>5.0000000000000001E-9</v>
      </c>
      <c r="O16" s="76" t="s">
        <v>535</v>
      </c>
      <c r="P16" s="76" t="s">
        <v>536</v>
      </c>
    </row>
    <row r="17" spans="2:16" ht="12.75" customHeight="1" x14ac:dyDescent="0.2">
      <c r="B17" s="76" t="s">
        <v>547</v>
      </c>
      <c r="C17" s="76">
        <f t="shared" si="0"/>
        <v>5.4E-8</v>
      </c>
      <c r="D17" s="76">
        <v>1</v>
      </c>
      <c r="E17" s="76" t="s">
        <v>136</v>
      </c>
      <c r="F17" s="76" t="s">
        <v>168</v>
      </c>
      <c r="G17" s="76" t="s">
        <v>169</v>
      </c>
      <c r="H17" s="76" t="s">
        <v>170</v>
      </c>
      <c r="I17" s="76">
        <f t="shared" si="1"/>
        <v>0</v>
      </c>
      <c r="J17" s="76">
        <f t="shared" si="6"/>
        <v>0</v>
      </c>
      <c r="K17" s="76" t="s">
        <v>535</v>
      </c>
      <c r="L17" s="76">
        <f t="shared" si="4"/>
        <v>5.4E-8</v>
      </c>
      <c r="M17" s="76" t="s">
        <v>172</v>
      </c>
      <c r="N17" s="76">
        <f t="shared" si="7"/>
        <v>5.0000000000000001E-9</v>
      </c>
      <c r="O17" s="76" t="s">
        <v>535</v>
      </c>
      <c r="P17" s="76" t="s">
        <v>536</v>
      </c>
    </row>
    <row r="18" spans="2:16" ht="12.75" customHeight="1" x14ac:dyDescent="0.2">
      <c r="B18" s="76" t="s">
        <v>547</v>
      </c>
      <c r="C18" s="76">
        <f t="shared" si="0"/>
        <v>5.4E-8</v>
      </c>
      <c r="D18" s="76">
        <v>1</v>
      </c>
      <c r="E18" s="76" t="s">
        <v>135</v>
      </c>
      <c r="F18" s="76" t="s">
        <v>168</v>
      </c>
      <c r="G18" s="76" t="s">
        <v>169</v>
      </c>
      <c r="H18" s="76" t="s">
        <v>170</v>
      </c>
      <c r="I18" s="76">
        <f t="shared" si="1"/>
        <v>0</v>
      </c>
      <c r="J18" s="76">
        <f t="shared" si="6"/>
        <v>0</v>
      </c>
      <c r="K18" s="76" t="s">
        <v>535</v>
      </c>
      <c r="L18" s="76">
        <f t="shared" si="4"/>
        <v>5.4E-8</v>
      </c>
      <c r="M18" s="76" t="s">
        <v>172</v>
      </c>
      <c r="N18" s="76">
        <f t="shared" si="7"/>
        <v>5.0000000000000001E-9</v>
      </c>
      <c r="O18" s="76" t="s">
        <v>535</v>
      </c>
      <c r="P18" s="76" t="s">
        <v>536</v>
      </c>
    </row>
    <row r="19" spans="2:16" ht="12.75" customHeight="1" x14ac:dyDescent="0.2">
      <c r="B19" s="76" t="s">
        <v>547</v>
      </c>
      <c r="C19" s="76">
        <f t="shared" si="0"/>
        <v>5.4E-8</v>
      </c>
      <c r="D19" s="76">
        <v>1</v>
      </c>
      <c r="E19" s="76" t="s">
        <v>134</v>
      </c>
      <c r="F19" s="76" t="s">
        <v>168</v>
      </c>
      <c r="G19" s="76" t="s">
        <v>169</v>
      </c>
      <c r="H19" s="76" t="s">
        <v>170</v>
      </c>
      <c r="I19" s="76">
        <f t="shared" si="1"/>
        <v>0</v>
      </c>
      <c r="J19" s="76">
        <f t="shared" si="6"/>
        <v>0</v>
      </c>
      <c r="K19" s="76" t="s">
        <v>535</v>
      </c>
      <c r="L19" s="76">
        <f t="shared" si="4"/>
        <v>5.4E-8</v>
      </c>
      <c r="M19" s="76" t="s">
        <v>172</v>
      </c>
      <c r="N19" s="76">
        <f t="shared" si="7"/>
        <v>5.0000000000000001E-9</v>
      </c>
      <c r="O19" s="76" t="s">
        <v>535</v>
      </c>
      <c r="P19" s="76" t="s">
        <v>536</v>
      </c>
    </row>
    <row r="20" spans="2:16" ht="12.75" customHeight="1" x14ac:dyDescent="0.2">
      <c r="B20" s="76" t="s">
        <v>547</v>
      </c>
      <c r="C20" s="76">
        <f t="shared" si="0"/>
        <v>5.4E-8</v>
      </c>
      <c r="D20" s="76">
        <v>1</v>
      </c>
      <c r="E20" s="76" t="s">
        <v>133</v>
      </c>
      <c r="F20" s="76" t="s">
        <v>168</v>
      </c>
      <c r="G20" s="76" t="s">
        <v>169</v>
      </c>
      <c r="H20" s="76" t="s">
        <v>170</v>
      </c>
      <c r="I20" s="76">
        <f t="shared" si="1"/>
        <v>0</v>
      </c>
      <c r="J20" s="76">
        <f t="shared" si="6"/>
        <v>0</v>
      </c>
      <c r="K20" s="76" t="s">
        <v>535</v>
      </c>
      <c r="L20" s="76">
        <f t="shared" si="4"/>
        <v>5.4E-8</v>
      </c>
      <c r="M20" s="76" t="s">
        <v>172</v>
      </c>
      <c r="N20" s="76">
        <f t="shared" si="7"/>
        <v>5.0000000000000001E-9</v>
      </c>
      <c r="O20" s="76" t="s">
        <v>535</v>
      </c>
      <c r="P20" s="76" t="s">
        <v>536</v>
      </c>
    </row>
    <row r="21" spans="2:16" ht="12.75" customHeight="1" x14ac:dyDescent="0.2">
      <c r="B21" s="76" t="s">
        <v>547</v>
      </c>
      <c r="C21" s="76">
        <f t="shared" si="0"/>
        <v>5.4E-8</v>
      </c>
      <c r="D21" s="76">
        <v>1</v>
      </c>
      <c r="E21" s="76" t="s">
        <v>132</v>
      </c>
      <c r="F21" s="76" t="s">
        <v>168</v>
      </c>
      <c r="G21" s="76" t="s">
        <v>169</v>
      </c>
      <c r="H21" s="76" t="s">
        <v>170</v>
      </c>
      <c r="I21" s="76">
        <f t="shared" si="1"/>
        <v>0</v>
      </c>
      <c r="J21" s="76">
        <f t="shared" si="6"/>
        <v>0</v>
      </c>
      <c r="K21" s="76" t="s">
        <v>535</v>
      </c>
      <c r="L21" s="76">
        <f t="shared" si="4"/>
        <v>5.4E-8</v>
      </c>
      <c r="M21" s="76" t="s">
        <v>172</v>
      </c>
      <c r="N21" s="76">
        <f t="shared" si="7"/>
        <v>5.0000000000000001E-9</v>
      </c>
      <c r="O21" s="76" t="s">
        <v>535</v>
      </c>
      <c r="P21" s="76" t="s">
        <v>536</v>
      </c>
    </row>
    <row r="22" spans="2:16" ht="12.75" customHeight="1" x14ac:dyDescent="0.2">
      <c r="B22" s="76" t="s">
        <v>547</v>
      </c>
      <c r="C22" s="76">
        <f t="shared" si="0"/>
        <v>5.4E-8</v>
      </c>
      <c r="D22" s="76">
        <v>1</v>
      </c>
      <c r="E22" s="76" t="s">
        <v>131</v>
      </c>
      <c r="F22" s="76" t="s">
        <v>168</v>
      </c>
      <c r="G22" s="76" t="s">
        <v>169</v>
      </c>
      <c r="H22" s="76" t="s">
        <v>170</v>
      </c>
      <c r="I22" s="76">
        <f t="shared" si="1"/>
        <v>0</v>
      </c>
      <c r="J22" s="76">
        <f t="shared" si="6"/>
        <v>0</v>
      </c>
      <c r="K22" s="76" t="s">
        <v>535</v>
      </c>
      <c r="L22" s="76">
        <f t="shared" si="4"/>
        <v>5.4E-8</v>
      </c>
      <c r="M22" s="76" t="s">
        <v>172</v>
      </c>
      <c r="N22" s="76">
        <f t="shared" si="7"/>
        <v>5.0000000000000001E-9</v>
      </c>
      <c r="O22" s="76" t="s">
        <v>535</v>
      </c>
      <c r="P22" s="76" t="s">
        <v>536</v>
      </c>
    </row>
    <row r="23" spans="2:16" ht="12.75" customHeight="1" x14ac:dyDescent="0.2">
      <c r="B23" s="76" t="s">
        <v>547</v>
      </c>
      <c r="C23" s="76">
        <f t="shared" si="0"/>
        <v>5.4E-8</v>
      </c>
      <c r="D23" s="76">
        <v>1</v>
      </c>
      <c r="E23" s="76" t="s">
        <v>130</v>
      </c>
      <c r="F23" s="76" t="s">
        <v>168</v>
      </c>
      <c r="G23" s="76" t="s">
        <v>169</v>
      </c>
      <c r="H23" s="76" t="s">
        <v>170</v>
      </c>
      <c r="I23" s="76">
        <f t="shared" si="1"/>
        <v>0</v>
      </c>
      <c r="J23" s="76">
        <f t="shared" si="6"/>
        <v>0</v>
      </c>
      <c r="K23" s="76" t="s">
        <v>535</v>
      </c>
      <c r="L23" s="76">
        <f t="shared" si="4"/>
        <v>5.4E-8</v>
      </c>
      <c r="M23" s="76" t="s">
        <v>172</v>
      </c>
      <c r="N23" s="76">
        <f t="shared" si="7"/>
        <v>5.0000000000000001E-9</v>
      </c>
      <c r="O23" s="76" t="s">
        <v>535</v>
      </c>
      <c r="P23" s="76" t="s">
        <v>536</v>
      </c>
    </row>
    <row r="24" spans="2:16" ht="12.75" customHeight="1" x14ac:dyDescent="0.2">
      <c r="B24" s="76" t="s">
        <v>547</v>
      </c>
      <c r="C24" s="76">
        <f t="shared" si="0"/>
        <v>5.4E-8</v>
      </c>
      <c r="D24" s="76">
        <v>1</v>
      </c>
      <c r="E24" s="76" t="s">
        <v>129</v>
      </c>
      <c r="F24" s="76" t="s">
        <v>168</v>
      </c>
      <c r="G24" s="76" t="s">
        <v>169</v>
      </c>
      <c r="H24" s="76" t="s">
        <v>170</v>
      </c>
      <c r="I24" s="76">
        <f t="shared" si="1"/>
        <v>0</v>
      </c>
      <c r="J24" s="76">
        <f t="shared" si="6"/>
        <v>0</v>
      </c>
      <c r="K24" s="76" t="s">
        <v>535</v>
      </c>
      <c r="L24" s="76">
        <f t="shared" si="4"/>
        <v>5.4E-8</v>
      </c>
      <c r="M24" s="76" t="s">
        <v>172</v>
      </c>
      <c r="N24" s="76">
        <f t="shared" si="7"/>
        <v>5.0000000000000001E-9</v>
      </c>
      <c r="O24" s="76" t="s">
        <v>535</v>
      </c>
      <c r="P24" s="76" t="s">
        <v>536</v>
      </c>
    </row>
    <row r="25" spans="2:16" ht="12.75" customHeight="1" x14ac:dyDescent="0.2">
      <c r="B25" s="76" t="s">
        <v>547</v>
      </c>
      <c r="C25" s="76">
        <f t="shared" si="0"/>
        <v>5.4E-8</v>
      </c>
      <c r="D25" s="76">
        <v>1</v>
      </c>
      <c r="E25" s="76" t="s">
        <v>128</v>
      </c>
      <c r="F25" s="76" t="s">
        <v>168</v>
      </c>
      <c r="G25" s="76" t="s">
        <v>169</v>
      </c>
      <c r="H25" s="76" t="s">
        <v>170</v>
      </c>
      <c r="I25" s="76">
        <f t="shared" si="1"/>
        <v>0</v>
      </c>
      <c r="J25" s="76">
        <f t="shared" si="6"/>
        <v>0</v>
      </c>
      <c r="K25" s="76" t="s">
        <v>535</v>
      </c>
      <c r="L25" s="76">
        <f t="shared" si="4"/>
        <v>5.4E-8</v>
      </c>
      <c r="M25" s="76" t="s">
        <v>172</v>
      </c>
      <c r="N25" s="76">
        <f t="shared" si="7"/>
        <v>5.0000000000000001E-9</v>
      </c>
      <c r="O25" s="76" t="s">
        <v>535</v>
      </c>
      <c r="P25" s="76" t="s">
        <v>536</v>
      </c>
    </row>
    <row r="26" spans="2:16" ht="12.75" customHeight="1" x14ac:dyDescent="0.2">
      <c r="B26" s="76" t="s">
        <v>547</v>
      </c>
      <c r="C26" s="76">
        <f t="shared" si="0"/>
        <v>5.4E-8</v>
      </c>
      <c r="D26" s="76">
        <v>1</v>
      </c>
      <c r="E26" s="76" t="s">
        <v>98</v>
      </c>
      <c r="F26" s="76" t="s">
        <v>168</v>
      </c>
      <c r="G26" s="76" t="s">
        <v>169</v>
      </c>
      <c r="H26" s="76" t="s">
        <v>170</v>
      </c>
      <c r="I26" s="76">
        <f t="shared" si="1"/>
        <v>0</v>
      </c>
      <c r="J26" s="76">
        <f t="shared" si="6"/>
        <v>0</v>
      </c>
      <c r="K26" s="76" t="s">
        <v>535</v>
      </c>
      <c r="L26" s="76">
        <f t="shared" si="4"/>
        <v>5.4E-8</v>
      </c>
      <c r="M26" s="76" t="s">
        <v>163</v>
      </c>
      <c r="N26" s="76">
        <f>0*C26</f>
        <v>0</v>
      </c>
      <c r="O26" s="76" t="s">
        <v>535</v>
      </c>
      <c r="P26" s="76" t="s">
        <v>536</v>
      </c>
    </row>
    <row r="27" spans="2:16" ht="12.75" customHeight="1" x14ac:dyDescent="0.2">
      <c r="B27" s="76" t="s">
        <v>547</v>
      </c>
      <c r="C27" s="76">
        <f t="shared" si="0"/>
        <v>5.4E-8</v>
      </c>
      <c r="D27" s="76">
        <v>1</v>
      </c>
      <c r="E27" s="76" t="s">
        <v>99</v>
      </c>
      <c r="F27" s="76" t="s">
        <v>168</v>
      </c>
      <c r="G27" s="76" t="s">
        <v>169</v>
      </c>
      <c r="H27" s="76" t="s">
        <v>170</v>
      </c>
      <c r="I27" s="76">
        <f t="shared" si="1"/>
        <v>0</v>
      </c>
      <c r="J27" s="76">
        <f t="shared" si="6"/>
        <v>0</v>
      </c>
      <c r="K27" s="76" t="s">
        <v>535</v>
      </c>
      <c r="L27" s="76">
        <f t="shared" si="4"/>
        <v>5.4E-8</v>
      </c>
      <c r="M27" s="76" t="s">
        <v>172</v>
      </c>
      <c r="N27" s="76">
        <f>(5/54)*C27</f>
        <v>5.0000000000000001E-9</v>
      </c>
      <c r="O27" s="76" t="s">
        <v>535</v>
      </c>
      <c r="P27" s="76" t="s">
        <v>536</v>
      </c>
    </row>
    <row r="28" spans="2:16" ht="12.75" customHeight="1" x14ac:dyDescent="0.2">
      <c r="B28" s="76" t="s">
        <v>547</v>
      </c>
      <c r="C28" s="76">
        <f t="shared" si="0"/>
        <v>5.4E-8</v>
      </c>
      <c r="D28" s="76">
        <v>1</v>
      </c>
      <c r="E28" s="76" t="s">
        <v>898</v>
      </c>
      <c r="F28" s="76" t="s">
        <v>168</v>
      </c>
      <c r="G28" s="76" t="s">
        <v>169</v>
      </c>
      <c r="H28" s="76" t="s">
        <v>516</v>
      </c>
      <c r="I28" s="76">
        <f t="shared" si="1"/>
        <v>0</v>
      </c>
      <c r="J28" s="76">
        <f>(13/54)*C28</f>
        <v>1.2999999999999999E-8</v>
      </c>
      <c r="K28" s="76">
        <f>(40/54)*C28</f>
        <v>4.0000000000000001E-8</v>
      </c>
      <c r="L28" s="76">
        <f t="shared" si="4"/>
        <v>5.4E-8</v>
      </c>
      <c r="M28" s="76" t="s">
        <v>163</v>
      </c>
      <c r="N28" s="76">
        <f>0*C28</f>
        <v>0</v>
      </c>
      <c r="O28" s="76" t="s">
        <v>535</v>
      </c>
      <c r="P28" s="76" t="s">
        <v>537</v>
      </c>
    </row>
    <row r="29" spans="2:16" ht="12.75" customHeight="1" x14ac:dyDescent="0.2">
      <c r="B29" s="76" t="s">
        <v>547</v>
      </c>
      <c r="C29" s="76">
        <f t="shared" si="0"/>
        <v>5.4E-8</v>
      </c>
      <c r="D29" s="76">
        <v>1</v>
      </c>
      <c r="E29" s="76" t="s">
        <v>899</v>
      </c>
      <c r="F29" s="76" t="s">
        <v>168</v>
      </c>
      <c r="G29" s="76" t="s">
        <v>169</v>
      </c>
      <c r="H29" s="76" t="s">
        <v>516</v>
      </c>
      <c r="I29" s="76">
        <f t="shared" si="1"/>
        <v>0</v>
      </c>
      <c r="J29" s="76">
        <f>(13/54)*C29</f>
        <v>1.2999999999999999E-8</v>
      </c>
      <c r="K29" s="76">
        <f>(40/54)*C29</f>
        <v>4.0000000000000001E-8</v>
      </c>
      <c r="L29" s="76">
        <f t="shared" si="4"/>
        <v>5.4E-8</v>
      </c>
      <c r="M29" s="76" t="s">
        <v>163</v>
      </c>
      <c r="N29" s="76">
        <f t="shared" ref="N29:N37" si="8">0*C29</f>
        <v>0</v>
      </c>
      <c r="O29" s="76" t="s">
        <v>535</v>
      </c>
      <c r="P29" s="76" t="s">
        <v>537</v>
      </c>
    </row>
    <row r="30" spans="2:16" ht="12.75" customHeight="1" x14ac:dyDescent="0.2">
      <c r="B30" s="76" t="s">
        <v>547</v>
      </c>
      <c r="C30" s="76">
        <f t="shared" si="0"/>
        <v>5.4E-8</v>
      </c>
      <c r="D30" s="76">
        <v>1</v>
      </c>
      <c r="E30" s="76" t="s">
        <v>900</v>
      </c>
      <c r="F30" s="76" t="s">
        <v>168</v>
      </c>
      <c r="G30" s="76" t="s">
        <v>169</v>
      </c>
      <c r="H30" s="76" t="s">
        <v>170</v>
      </c>
      <c r="I30" s="76">
        <f t="shared" si="1"/>
        <v>0</v>
      </c>
      <c r="J30" s="76">
        <f>0*C30</f>
        <v>0</v>
      </c>
      <c r="K30" s="76" t="s">
        <v>535</v>
      </c>
      <c r="L30" s="76">
        <f t="shared" si="4"/>
        <v>5.4E-8</v>
      </c>
      <c r="M30" s="76" t="s">
        <v>163</v>
      </c>
      <c r="N30" s="76">
        <f t="shared" si="8"/>
        <v>0</v>
      </c>
      <c r="O30" s="76" t="s">
        <v>535</v>
      </c>
      <c r="P30" s="76" t="s">
        <v>536</v>
      </c>
    </row>
    <row r="31" spans="2:16" ht="12.75" customHeight="1" x14ac:dyDescent="0.2">
      <c r="B31" s="76" t="s">
        <v>547</v>
      </c>
      <c r="C31" s="76">
        <f t="shared" si="0"/>
        <v>5.4E-8</v>
      </c>
      <c r="D31" s="76">
        <v>1</v>
      </c>
      <c r="E31" s="76" t="s">
        <v>901</v>
      </c>
      <c r="F31" s="76" t="s">
        <v>168</v>
      </c>
      <c r="G31" s="76" t="s">
        <v>169</v>
      </c>
      <c r="H31" s="76" t="s">
        <v>170</v>
      </c>
      <c r="I31" s="76">
        <f t="shared" si="1"/>
        <v>0</v>
      </c>
      <c r="J31" s="76">
        <f t="shared" ref="J31:J71" si="9">0*C31</f>
        <v>0</v>
      </c>
      <c r="K31" s="76" t="s">
        <v>535</v>
      </c>
      <c r="L31" s="76">
        <f t="shared" si="4"/>
        <v>5.4E-8</v>
      </c>
      <c r="M31" s="76" t="s">
        <v>163</v>
      </c>
      <c r="N31" s="76">
        <f t="shared" si="8"/>
        <v>0</v>
      </c>
      <c r="O31" s="76" t="s">
        <v>535</v>
      </c>
      <c r="P31" s="76" t="s">
        <v>536</v>
      </c>
    </row>
    <row r="32" spans="2:16" ht="12.75" customHeight="1" x14ac:dyDescent="0.2">
      <c r="B32" s="76" t="s">
        <v>547</v>
      </c>
      <c r="C32" s="76">
        <f t="shared" si="0"/>
        <v>5.4E-8</v>
      </c>
      <c r="D32" s="76">
        <v>1</v>
      </c>
      <c r="E32" s="76" t="s">
        <v>902</v>
      </c>
      <c r="F32" s="76" t="s">
        <v>168</v>
      </c>
      <c r="G32" s="76" t="s">
        <v>169</v>
      </c>
      <c r="H32" s="76" t="s">
        <v>170</v>
      </c>
      <c r="I32" s="76">
        <f t="shared" si="1"/>
        <v>0</v>
      </c>
      <c r="J32" s="76">
        <f t="shared" si="9"/>
        <v>0</v>
      </c>
      <c r="K32" s="76" t="s">
        <v>535</v>
      </c>
      <c r="L32" s="76">
        <f t="shared" si="4"/>
        <v>5.4E-8</v>
      </c>
      <c r="M32" s="76" t="s">
        <v>163</v>
      </c>
      <c r="N32" s="76">
        <f t="shared" si="8"/>
        <v>0</v>
      </c>
      <c r="O32" s="76" t="s">
        <v>535</v>
      </c>
      <c r="P32" s="76" t="s">
        <v>536</v>
      </c>
    </row>
    <row r="33" spans="2:16" ht="12.75" customHeight="1" x14ac:dyDescent="0.2">
      <c r="B33" s="76" t="s">
        <v>547</v>
      </c>
      <c r="C33" s="76">
        <f t="shared" si="0"/>
        <v>5.4E-8</v>
      </c>
      <c r="D33" s="76">
        <v>1</v>
      </c>
      <c r="E33" s="76" t="s">
        <v>903</v>
      </c>
      <c r="F33" s="76" t="s">
        <v>168</v>
      </c>
      <c r="G33" s="76" t="s">
        <v>169</v>
      </c>
      <c r="H33" s="76" t="s">
        <v>170</v>
      </c>
      <c r="I33" s="76">
        <f t="shared" si="1"/>
        <v>0</v>
      </c>
      <c r="J33" s="76">
        <f t="shared" si="9"/>
        <v>0</v>
      </c>
      <c r="K33" s="76" t="s">
        <v>535</v>
      </c>
      <c r="L33" s="76">
        <f t="shared" si="4"/>
        <v>5.4E-8</v>
      </c>
      <c r="M33" s="76" t="s">
        <v>163</v>
      </c>
      <c r="N33" s="76">
        <f t="shared" si="8"/>
        <v>0</v>
      </c>
      <c r="O33" s="76" t="s">
        <v>535</v>
      </c>
      <c r="P33" s="76" t="s">
        <v>536</v>
      </c>
    </row>
    <row r="34" spans="2:16" ht="12.75" customHeight="1" x14ac:dyDescent="0.2">
      <c r="B34" s="76" t="s">
        <v>547</v>
      </c>
      <c r="C34" s="76">
        <f t="shared" si="0"/>
        <v>5.4E-8</v>
      </c>
      <c r="D34" s="76">
        <v>1</v>
      </c>
      <c r="E34" s="76" t="s">
        <v>904</v>
      </c>
      <c r="F34" s="76" t="s">
        <v>168</v>
      </c>
      <c r="G34" s="76" t="s">
        <v>169</v>
      </c>
      <c r="H34" s="76" t="s">
        <v>170</v>
      </c>
      <c r="I34" s="76">
        <f t="shared" si="1"/>
        <v>0</v>
      </c>
      <c r="J34" s="76">
        <f t="shared" si="9"/>
        <v>0</v>
      </c>
      <c r="K34" s="76" t="s">
        <v>535</v>
      </c>
      <c r="L34" s="76">
        <f t="shared" si="4"/>
        <v>5.4E-8</v>
      </c>
      <c r="M34" s="76" t="s">
        <v>163</v>
      </c>
      <c r="N34" s="76">
        <f t="shared" si="8"/>
        <v>0</v>
      </c>
      <c r="O34" s="76" t="s">
        <v>535</v>
      </c>
      <c r="P34" s="76" t="s">
        <v>536</v>
      </c>
    </row>
    <row r="35" spans="2:16" ht="12.75" customHeight="1" x14ac:dyDescent="0.2">
      <c r="B35" s="76" t="s">
        <v>547</v>
      </c>
      <c r="C35" s="76">
        <f t="shared" si="0"/>
        <v>5.4E-8</v>
      </c>
      <c r="D35" s="76">
        <v>1</v>
      </c>
      <c r="E35" s="76" t="s">
        <v>905</v>
      </c>
      <c r="F35" s="76" t="s">
        <v>168</v>
      </c>
      <c r="G35" s="76" t="s">
        <v>169</v>
      </c>
      <c r="H35" s="76" t="s">
        <v>170</v>
      </c>
      <c r="I35" s="76">
        <f t="shared" si="1"/>
        <v>0</v>
      </c>
      <c r="J35" s="76">
        <f t="shared" si="9"/>
        <v>0</v>
      </c>
      <c r="K35" s="76" t="s">
        <v>535</v>
      </c>
      <c r="L35" s="76">
        <f t="shared" si="4"/>
        <v>5.4E-8</v>
      </c>
      <c r="M35" s="76" t="s">
        <v>163</v>
      </c>
      <c r="N35" s="76">
        <f t="shared" si="8"/>
        <v>0</v>
      </c>
      <c r="O35" s="76" t="s">
        <v>535</v>
      </c>
      <c r="P35" s="76" t="s">
        <v>536</v>
      </c>
    </row>
    <row r="36" spans="2:16" ht="12.75" customHeight="1" x14ac:dyDescent="0.2">
      <c r="B36" s="76" t="s">
        <v>547</v>
      </c>
      <c r="C36" s="76">
        <f t="shared" si="0"/>
        <v>5.4E-8</v>
      </c>
      <c r="D36" s="76">
        <v>1</v>
      </c>
      <c r="E36" s="76" t="s">
        <v>906</v>
      </c>
      <c r="F36" s="76" t="s">
        <v>168</v>
      </c>
      <c r="G36" s="76" t="s">
        <v>169</v>
      </c>
      <c r="H36" s="76" t="s">
        <v>170</v>
      </c>
      <c r="I36" s="76">
        <f t="shared" si="1"/>
        <v>0</v>
      </c>
      <c r="J36" s="76">
        <f t="shared" si="9"/>
        <v>0</v>
      </c>
      <c r="K36" s="76" t="s">
        <v>535</v>
      </c>
      <c r="L36" s="76">
        <f t="shared" si="4"/>
        <v>5.4E-8</v>
      </c>
      <c r="M36" s="76" t="s">
        <v>163</v>
      </c>
      <c r="N36" s="76">
        <f t="shared" si="8"/>
        <v>0</v>
      </c>
      <c r="O36" s="76" t="s">
        <v>535</v>
      </c>
      <c r="P36" s="76" t="s">
        <v>536</v>
      </c>
    </row>
    <row r="37" spans="2:16" ht="12.75" customHeight="1" x14ac:dyDescent="0.2">
      <c r="B37" s="76" t="s">
        <v>547</v>
      </c>
      <c r="C37" s="76">
        <f t="shared" si="0"/>
        <v>5.4E-8</v>
      </c>
      <c r="D37" s="76">
        <v>1</v>
      </c>
      <c r="E37" s="76" t="s">
        <v>907</v>
      </c>
      <c r="F37" s="76" t="s">
        <v>168</v>
      </c>
      <c r="G37" s="76" t="s">
        <v>169</v>
      </c>
      <c r="H37" s="76" t="s">
        <v>170</v>
      </c>
      <c r="I37" s="76">
        <f t="shared" si="1"/>
        <v>0</v>
      </c>
      <c r="J37" s="76">
        <f t="shared" si="9"/>
        <v>0</v>
      </c>
      <c r="K37" s="76" t="s">
        <v>535</v>
      </c>
      <c r="L37" s="76">
        <f t="shared" si="4"/>
        <v>5.4E-8</v>
      </c>
      <c r="M37" s="76" t="s">
        <v>163</v>
      </c>
      <c r="N37" s="76">
        <f t="shared" si="8"/>
        <v>0</v>
      </c>
      <c r="O37" s="76" t="s">
        <v>535</v>
      </c>
      <c r="P37" s="76" t="s">
        <v>536</v>
      </c>
    </row>
    <row r="38" spans="2:16" ht="12.75" customHeight="1" x14ac:dyDescent="0.2">
      <c r="B38" s="76" t="s">
        <v>547</v>
      </c>
      <c r="C38" s="76">
        <f t="shared" si="0"/>
        <v>5.4E-8</v>
      </c>
      <c r="D38" s="76">
        <v>1</v>
      </c>
      <c r="E38" s="76" t="s">
        <v>911</v>
      </c>
      <c r="F38" s="76" t="s">
        <v>168</v>
      </c>
      <c r="G38" s="76" t="s">
        <v>169</v>
      </c>
      <c r="H38" s="76" t="s">
        <v>170</v>
      </c>
      <c r="I38" s="76">
        <f t="shared" si="1"/>
        <v>0</v>
      </c>
      <c r="J38" s="76">
        <f t="shared" si="9"/>
        <v>0</v>
      </c>
      <c r="K38" s="76" t="s">
        <v>535</v>
      </c>
      <c r="L38" s="76">
        <f t="shared" si="4"/>
        <v>5.4E-8</v>
      </c>
      <c r="M38" s="76" t="s">
        <v>172</v>
      </c>
      <c r="N38" s="76">
        <f>(5/54)*C38</f>
        <v>5.0000000000000001E-9</v>
      </c>
      <c r="O38" s="76" t="s">
        <v>535</v>
      </c>
      <c r="P38" s="76" t="s">
        <v>536</v>
      </c>
    </row>
    <row r="39" spans="2:16" ht="12.75" customHeight="1" x14ac:dyDescent="0.2">
      <c r="B39" s="76" t="s">
        <v>547</v>
      </c>
      <c r="C39" s="76">
        <f t="shared" si="0"/>
        <v>5.4E-8</v>
      </c>
      <c r="D39" s="76">
        <v>1</v>
      </c>
      <c r="E39" s="76" t="s">
        <v>908</v>
      </c>
      <c r="F39" s="76" t="s">
        <v>168</v>
      </c>
      <c r="G39" s="76" t="s">
        <v>169</v>
      </c>
      <c r="H39" s="76" t="s">
        <v>170</v>
      </c>
      <c r="I39" s="76">
        <f t="shared" si="1"/>
        <v>0</v>
      </c>
      <c r="J39" s="76">
        <f t="shared" si="9"/>
        <v>0</v>
      </c>
      <c r="K39" s="76" t="s">
        <v>535</v>
      </c>
      <c r="L39" s="76">
        <f t="shared" si="4"/>
        <v>5.4E-8</v>
      </c>
      <c r="M39" s="76" t="s">
        <v>163</v>
      </c>
      <c r="N39" s="76">
        <f>0*C39</f>
        <v>0</v>
      </c>
      <c r="O39" s="76" t="s">
        <v>535</v>
      </c>
      <c r="P39" s="76" t="s">
        <v>536</v>
      </c>
    </row>
    <row r="40" spans="2:16" ht="12.75" customHeight="1" x14ac:dyDescent="0.2">
      <c r="B40" s="76" t="s">
        <v>547</v>
      </c>
      <c r="C40" s="76">
        <f t="shared" si="0"/>
        <v>5.4E-8</v>
      </c>
      <c r="D40" s="76">
        <v>1</v>
      </c>
      <c r="E40" s="76" t="s">
        <v>944</v>
      </c>
      <c r="F40" s="76" t="s">
        <v>168</v>
      </c>
      <c r="G40" s="76" t="s">
        <v>169</v>
      </c>
      <c r="H40" s="76" t="s">
        <v>170</v>
      </c>
      <c r="I40" s="76">
        <f t="shared" si="1"/>
        <v>0</v>
      </c>
      <c r="J40" s="76">
        <f t="shared" si="9"/>
        <v>0</v>
      </c>
      <c r="K40" s="76" t="s">
        <v>535</v>
      </c>
      <c r="L40" s="76">
        <f t="shared" si="4"/>
        <v>5.4E-8</v>
      </c>
      <c r="M40" s="76" t="s">
        <v>163</v>
      </c>
      <c r="N40" s="76">
        <f t="shared" ref="N40:N73" si="10">0*C40</f>
        <v>0</v>
      </c>
      <c r="O40" s="76" t="s">
        <v>535</v>
      </c>
      <c r="P40" s="76" t="s">
        <v>536</v>
      </c>
    </row>
    <row r="41" spans="2:16" ht="12.75" customHeight="1" x14ac:dyDescent="0.2">
      <c r="B41" s="76" t="s">
        <v>547</v>
      </c>
      <c r="C41" s="76">
        <f t="shared" si="0"/>
        <v>5.4E-8</v>
      </c>
      <c r="D41" s="76">
        <v>1</v>
      </c>
      <c r="E41" s="76" t="s">
        <v>934</v>
      </c>
      <c r="F41" s="76" t="s">
        <v>168</v>
      </c>
      <c r="G41" s="76" t="s">
        <v>169</v>
      </c>
      <c r="H41" s="76" t="s">
        <v>170</v>
      </c>
      <c r="I41" s="76">
        <f t="shared" si="1"/>
        <v>0</v>
      </c>
      <c r="J41" s="76">
        <f t="shared" si="9"/>
        <v>0</v>
      </c>
      <c r="K41" s="76" t="s">
        <v>535</v>
      </c>
      <c r="L41" s="76">
        <f t="shared" si="4"/>
        <v>5.4E-8</v>
      </c>
      <c r="M41" s="76" t="s">
        <v>163</v>
      </c>
      <c r="N41" s="76">
        <f t="shared" si="10"/>
        <v>0</v>
      </c>
      <c r="O41" s="76" t="s">
        <v>535</v>
      </c>
      <c r="P41" s="76" t="s">
        <v>536</v>
      </c>
    </row>
    <row r="42" spans="2:16" ht="12.75" customHeight="1" x14ac:dyDescent="0.2">
      <c r="B42" s="76" t="s">
        <v>547</v>
      </c>
      <c r="C42" s="76">
        <f t="shared" si="0"/>
        <v>5.4E-8</v>
      </c>
      <c r="D42" s="76">
        <v>1</v>
      </c>
      <c r="E42" s="76" t="s">
        <v>933</v>
      </c>
      <c r="F42" s="76" t="s">
        <v>168</v>
      </c>
      <c r="G42" s="76" t="s">
        <v>169</v>
      </c>
      <c r="H42" s="76" t="s">
        <v>170</v>
      </c>
      <c r="I42" s="76">
        <f t="shared" si="1"/>
        <v>0</v>
      </c>
      <c r="J42" s="76">
        <f t="shared" si="9"/>
        <v>0</v>
      </c>
      <c r="K42" s="76" t="s">
        <v>535</v>
      </c>
      <c r="L42" s="76">
        <f t="shared" si="4"/>
        <v>5.4E-8</v>
      </c>
      <c r="M42" s="76" t="s">
        <v>163</v>
      </c>
      <c r="N42" s="76">
        <f t="shared" si="10"/>
        <v>0</v>
      </c>
      <c r="O42" s="76" t="s">
        <v>535</v>
      </c>
      <c r="P42" s="76" t="s">
        <v>536</v>
      </c>
    </row>
    <row r="43" spans="2:16" ht="12.75" customHeight="1" x14ac:dyDescent="0.2">
      <c r="B43" s="76" t="s">
        <v>547</v>
      </c>
      <c r="C43" s="76">
        <f t="shared" si="0"/>
        <v>5.4E-8</v>
      </c>
      <c r="D43" s="76">
        <v>1</v>
      </c>
      <c r="E43" s="76" t="s">
        <v>932</v>
      </c>
      <c r="F43" s="76" t="s">
        <v>168</v>
      </c>
      <c r="G43" s="76" t="s">
        <v>169</v>
      </c>
      <c r="H43" s="76" t="s">
        <v>170</v>
      </c>
      <c r="I43" s="76">
        <f t="shared" si="1"/>
        <v>0</v>
      </c>
      <c r="J43" s="76">
        <f t="shared" si="9"/>
        <v>0</v>
      </c>
      <c r="K43" s="76" t="s">
        <v>535</v>
      </c>
      <c r="L43" s="76">
        <f t="shared" si="4"/>
        <v>5.4E-8</v>
      </c>
      <c r="M43" s="76" t="s">
        <v>163</v>
      </c>
      <c r="N43" s="76">
        <f t="shared" si="10"/>
        <v>0</v>
      </c>
      <c r="O43" s="76" t="s">
        <v>535</v>
      </c>
      <c r="P43" s="76" t="s">
        <v>536</v>
      </c>
    </row>
    <row r="44" spans="2:16" ht="12.75" customHeight="1" x14ac:dyDescent="0.2">
      <c r="B44" s="76" t="s">
        <v>547</v>
      </c>
      <c r="C44" s="76">
        <f t="shared" si="0"/>
        <v>5.4E-8</v>
      </c>
      <c r="D44" s="76">
        <v>1</v>
      </c>
      <c r="E44" s="76" t="s">
        <v>931</v>
      </c>
      <c r="F44" s="76" t="s">
        <v>168</v>
      </c>
      <c r="G44" s="76" t="s">
        <v>169</v>
      </c>
      <c r="H44" s="76" t="s">
        <v>170</v>
      </c>
      <c r="I44" s="76">
        <f t="shared" si="1"/>
        <v>0</v>
      </c>
      <c r="J44" s="76">
        <f t="shared" si="9"/>
        <v>0</v>
      </c>
      <c r="K44" s="76" t="s">
        <v>535</v>
      </c>
      <c r="L44" s="76">
        <f t="shared" si="4"/>
        <v>5.4E-8</v>
      </c>
      <c r="M44" s="76" t="s">
        <v>163</v>
      </c>
      <c r="N44" s="76">
        <f t="shared" si="10"/>
        <v>0</v>
      </c>
      <c r="O44" s="76" t="s">
        <v>535</v>
      </c>
      <c r="P44" s="76" t="s">
        <v>536</v>
      </c>
    </row>
    <row r="45" spans="2:16" ht="12.75" customHeight="1" x14ac:dyDescent="0.2">
      <c r="B45" s="76" t="s">
        <v>547</v>
      </c>
      <c r="C45" s="76">
        <f t="shared" si="0"/>
        <v>5.4E-8</v>
      </c>
      <c r="D45" s="76">
        <v>1</v>
      </c>
      <c r="E45" s="76" t="s">
        <v>930</v>
      </c>
      <c r="F45" s="76" t="s">
        <v>168</v>
      </c>
      <c r="G45" s="76" t="s">
        <v>169</v>
      </c>
      <c r="H45" s="76" t="s">
        <v>170</v>
      </c>
      <c r="I45" s="76">
        <f t="shared" si="1"/>
        <v>0</v>
      </c>
      <c r="J45" s="76">
        <f t="shared" si="9"/>
        <v>0</v>
      </c>
      <c r="K45" s="76" t="s">
        <v>535</v>
      </c>
      <c r="L45" s="76">
        <f t="shared" si="4"/>
        <v>5.4E-8</v>
      </c>
      <c r="M45" s="76" t="s">
        <v>163</v>
      </c>
      <c r="N45" s="76">
        <f t="shared" si="10"/>
        <v>0</v>
      </c>
      <c r="O45" s="76" t="s">
        <v>535</v>
      </c>
      <c r="P45" s="76" t="s">
        <v>536</v>
      </c>
    </row>
    <row r="46" spans="2:16" ht="12.75" customHeight="1" x14ac:dyDescent="0.2">
      <c r="B46" s="76" t="s">
        <v>547</v>
      </c>
      <c r="C46" s="76">
        <f t="shared" si="0"/>
        <v>5.4E-8</v>
      </c>
      <c r="D46" s="76">
        <v>1</v>
      </c>
      <c r="E46" s="76" t="s">
        <v>929</v>
      </c>
      <c r="F46" s="76" t="s">
        <v>168</v>
      </c>
      <c r="G46" s="76" t="s">
        <v>169</v>
      </c>
      <c r="H46" s="76" t="s">
        <v>170</v>
      </c>
      <c r="I46" s="76">
        <f t="shared" si="1"/>
        <v>0</v>
      </c>
      <c r="J46" s="76">
        <f t="shared" si="9"/>
        <v>0</v>
      </c>
      <c r="K46" s="76" t="s">
        <v>535</v>
      </c>
      <c r="L46" s="76">
        <f t="shared" si="4"/>
        <v>5.4E-8</v>
      </c>
      <c r="M46" s="76" t="s">
        <v>163</v>
      </c>
      <c r="N46" s="76">
        <f t="shared" si="10"/>
        <v>0</v>
      </c>
      <c r="O46" s="76" t="s">
        <v>535</v>
      </c>
      <c r="P46" s="76" t="s">
        <v>536</v>
      </c>
    </row>
    <row r="47" spans="2:16" ht="12.75" customHeight="1" x14ac:dyDescent="0.2">
      <c r="B47" s="76" t="s">
        <v>547</v>
      </c>
      <c r="C47" s="76">
        <f t="shared" si="0"/>
        <v>5.4E-8</v>
      </c>
      <c r="D47" s="76">
        <v>1</v>
      </c>
      <c r="E47" s="76" t="s">
        <v>928</v>
      </c>
      <c r="F47" s="76" t="s">
        <v>168</v>
      </c>
      <c r="G47" s="76" t="s">
        <v>169</v>
      </c>
      <c r="H47" s="76" t="s">
        <v>170</v>
      </c>
      <c r="I47" s="76">
        <f t="shared" si="1"/>
        <v>0</v>
      </c>
      <c r="J47" s="76">
        <f t="shared" si="9"/>
        <v>0</v>
      </c>
      <c r="K47" s="76" t="s">
        <v>535</v>
      </c>
      <c r="L47" s="76">
        <f t="shared" si="4"/>
        <v>5.4E-8</v>
      </c>
      <c r="M47" s="76" t="s">
        <v>163</v>
      </c>
      <c r="N47" s="76">
        <f t="shared" si="10"/>
        <v>0</v>
      </c>
      <c r="O47" s="76" t="s">
        <v>535</v>
      </c>
      <c r="P47" s="76" t="s">
        <v>536</v>
      </c>
    </row>
    <row r="48" spans="2:16" ht="12.75" customHeight="1" x14ac:dyDescent="0.2">
      <c r="B48" s="76" t="s">
        <v>547</v>
      </c>
      <c r="C48" s="76">
        <f t="shared" si="0"/>
        <v>5.4E-8</v>
      </c>
      <c r="D48" s="76">
        <v>1</v>
      </c>
      <c r="E48" s="76" t="s">
        <v>927</v>
      </c>
      <c r="F48" s="76" t="s">
        <v>168</v>
      </c>
      <c r="G48" s="76" t="s">
        <v>169</v>
      </c>
      <c r="H48" s="76" t="s">
        <v>170</v>
      </c>
      <c r="I48" s="76">
        <f t="shared" si="1"/>
        <v>0</v>
      </c>
      <c r="J48" s="76">
        <f t="shared" si="9"/>
        <v>0</v>
      </c>
      <c r="K48" s="76" t="s">
        <v>535</v>
      </c>
      <c r="L48" s="76">
        <f t="shared" si="4"/>
        <v>5.4E-8</v>
      </c>
      <c r="M48" s="76" t="s">
        <v>163</v>
      </c>
      <c r="N48" s="76">
        <f t="shared" si="10"/>
        <v>0</v>
      </c>
      <c r="O48" s="76" t="s">
        <v>535</v>
      </c>
      <c r="P48" s="76" t="s">
        <v>536</v>
      </c>
    </row>
    <row r="49" spans="2:16" ht="12.75" customHeight="1" x14ac:dyDescent="0.2">
      <c r="B49" s="76" t="s">
        <v>547</v>
      </c>
      <c r="C49" s="76">
        <f t="shared" si="0"/>
        <v>5.4E-8</v>
      </c>
      <c r="D49" s="76">
        <v>1</v>
      </c>
      <c r="E49" s="76" t="s">
        <v>926</v>
      </c>
      <c r="F49" s="76" t="s">
        <v>168</v>
      </c>
      <c r="G49" s="76" t="s">
        <v>169</v>
      </c>
      <c r="H49" s="76" t="s">
        <v>170</v>
      </c>
      <c r="I49" s="76">
        <f t="shared" si="1"/>
        <v>0</v>
      </c>
      <c r="J49" s="76">
        <f t="shared" si="9"/>
        <v>0</v>
      </c>
      <c r="K49" s="76" t="s">
        <v>535</v>
      </c>
      <c r="L49" s="76">
        <f t="shared" si="4"/>
        <v>5.4E-8</v>
      </c>
      <c r="M49" s="76" t="s">
        <v>163</v>
      </c>
      <c r="N49" s="76">
        <f t="shared" si="10"/>
        <v>0</v>
      </c>
      <c r="O49" s="76" t="s">
        <v>535</v>
      </c>
      <c r="P49" s="76" t="s">
        <v>536</v>
      </c>
    </row>
    <row r="50" spans="2:16" ht="12.75" customHeight="1" x14ac:dyDescent="0.2">
      <c r="B50" s="76" t="s">
        <v>547</v>
      </c>
      <c r="C50" s="76">
        <f t="shared" si="0"/>
        <v>5.4E-8</v>
      </c>
      <c r="D50" s="76">
        <v>1</v>
      </c>
      <c r="E50" s="76" t="s">
        <v>925</v>
      </c>
      <c r="F50" s="76" t="s">
        <v>168</v>
      </c>
      <c r="G50" s="76" t="s">
        <v>169</v>
      </c>
      <c r="H50" s="76" t="s">
        <v>170</v>
      </c>
      <c r="I50" s="76">
        <f t="shared" si="1"/>
        <v>0</v>
      </c>
      <c r="J50" s="76">
        <f t="shared" si="9"/>
        <v>0</v>
      </c>
      <c r="K50" s="76" t="s">
        <v>535</v>
      </c>
      <c r="L50" s="76">
        <f t="shared" si="4"/>
        <v>5.4E-8</v>
      </c>
      <c r="M50" s="76" t="s">
        <v>163</v>
      </c>
      <c r="N50" s="76">
        <f t="shared" si="10"/>
        <v>0</v>
      </c>
      <c r="O50" s="76" t="s">
        <v>535</v>
      </c>
      <c r="P50" s="76" t="s">
        <v>536</v>
      </c>
    </row>
    <row r="51" spans="2:16" ht="12.75" customHeight="1" x14ac:dyDescent="0.2">
      <c r="B51" s="76" t="s">
        <v>547</v>
      </c>
      <c r="C51" s="76">
        <f t="shared" si="0"/>
        <v>5.4E-8</v>
      </c>
      <c r="D51" s="76">
        <v>1</v>
      </c>
      <c r="E51" s="76" t="s">
        <v>943</v>
      </c>
      <c r="F51" s="76" t="s">
        <v>168</v>
      </c>
      <c r="G51" s="76" t="s">
        <v>169</v>
      </c>
      <c r="H51" s="76" t="s">
        <v>170</v>
      </c>
      <c r="I51" s="76">
        <f t="shared" si="1"/>
        <v>0</v>
      </c>
      <c r="J51" s="76">
        <f t="shared" si="9"/>
        <v>0</v>
      </c>
      <c r="K51" s="76" t="s">
        <v>535</v>
      </c>
      <c r="L51" s="76">
        <f t="shared" si="4"/>
        <v>5.4E-8</v>
      </c>
      <c r="M51" s="76" t="s">
        <v>163</v>
      </c>
      <c r="N51" s="76">
        <f t="shared" si="10"/>
        <v>0</v>
      </c>
      <c r="O51" s="76" t="s">
        <v>535</v>
      </c>
      <c r="P51" s="76" t="s">
        <v>536</v>
      </c>
    </row>
    <row r="52" spans="2:16" ht="12.75" customHeight="1" x14ac:dyDescent="0.2">
      <c r="B52" s="76" t="s">
        <v>547</v>
      </c>
      <c r="C52" s="76">
        <f t="shared" si="0"/>
        <v>5.4E-8</v>
      </c>
      <c r="D52" s="76">
        <v>1</v>
      </c>
      <c r="E52" s="76" t="s">
        <v>924</v>
      </c>
      <c r="F52" s="76" t="s">
        <v>168</v>
      </c>
      <c r="G52" s="76" t="s">
        <v>169</v>
      </c>
      <c r="H52" s="76" t="s">
        <v>170</v>
      </c>
      <c r="I52" s="76">
        <f t="shared" si="1"/>
        <v>0</v>
      </c>
      <c r="J52" s="76">
        <f t="shared" si="9"/>
        <v>0</v>
      </c>
      <c r="K52" s="76" t="s">
        <v>535</v>
      </c>
      <c r="L52" s="76">
        <f t="shared" si="4"/>
        <v>5.4E-8</v>
      </c>
      <c r="M52" s="76" t="s">
        <v>163</v>
      </c>
      <c r="N52" s="76">
        <f t="shared" si="10"/>
        <v>0</v>
      </c>
      <c r="O52" s="76" t="s">
        <v>535</v>
      </c>
      <c r="P52" s="76" t="s">
        <v>536</v>
      </c>
    </row>
    <row r="53" spans="2:16" ht="12.75" customHeight="1" x14ac:dyDescent="0.2">
      <c r="B53" s="76" t="s">
        <v>547</v>
      </c>
      <c r="C53" s="76">
        <f t="shared" si="0"/>
        <v>5.4E-8</v>
      </c>
      <c r="D53" s="76">
        <v>1</v>
      </c>
      <c r="E53" s="76" t="s">
        <v>923</v>
      </c>
      <c r="F53" s="76" t="s">
        <v>168</v>
      </c>
      <c r="G53" s="76" t="s">
        <v>169</v>
      </c>
      <c r="H53" s="76" t="s">
        <v>170</v>
      </c>
      <c r="I53" s="76">
        <f t="shared" si="1"/>
        <v>0</v>
      </c>
      <c r="J53" s="76">
        <f t="shared" si="9"/>
        <v>0</v>
      </c>
      <c r="K53" s="76" t="s">
        <v>535</v>
      </c>
      <c r="L53" s="76">
        <f t="shared" si="4"/>
        <v>5.4E-8</v>
      </c>
      <c r="M53" s="76" t="s">
        <v>163</v>
      </c>
      <c r="N53" s="76">
        <f t="shared" si="10"/>
        <v>0</v>
      </c>
      <c r="O53" s="76" t="s">
        <v>535</v>
      </c>
      <c r="P53" s="76" t="s">
        <v>536</v>
      </c>
    </row>
    <row r="54" spans="2:16" ht="12.75" customHeight="1" x14ac:dyDescent="0.2">
      <c r="B54" s="76" t="s">
        <v>547</v>
      </c>
      <c r="C54" s="76">
        <f t="shared" si="0"/>
        <v>5.4E-8</v>
      </c>
      <c r="D54" s="76">
        <v>1</v>
      </c>
      <c r="E54" s="76" t="s">
        <v>922</v>
      </c>
      <c r="F54" s="76" t="s">
        <v>168</v>
      </c>
      <c r="G54" s="76" t="s">
        <v>169</v>
      </c>
      <c r="H54" s="76" t="s">
        <v>170</v>
      </c>
      <c r="I54" s="76">
        <f t="shared" si="1"/>
        <v>0</v>
      </c>
      <c r="J54" s="76">
        <f t="shared" si="9"/>
        <v>0</v>
      </c>
      <c r="K54" s="76" t="s">
        <v>535</v>
      </c>
      <c r="L54" s="76">
        <f t="shared" si="4"/>
        <v>5.4E-8</v>
      </c>
      <c r="M54" s="76" t="s">
        <v>163</v>
      </c>
      <c r="N54" s="76">
        <f t="shared" si="10"/>
        <v>0</v>
      </c>
      <c r="O54" s="76" t="s">
        <v>535</v>
      </c>
      <c r="P54" s="76" t="s">
        <v>536</v>
      </c>
    </row>
    <row r="55" spans="2:16" ht="12.75" customHeight="1" x14ac:dyDescent="0.2">
      <c r="B55" s="76" t="s">
        <v>547</v>
      </c>
      <c r="C55" s="76">
        <f t="shared" si="0"/>
        <v>5.4E-8</v>
      </c>
      <c r="D55" s="76">
        <v>1</v>
      </c>
      <c r="E55" s="76" t="s">
        <v>921</v>
      </c>
      <c r="F55" s="76" t="s">
        <v>168</v>
      </c>
      <c r="G55" s="76" t="s">
        <v>169</v>
      </c>
      <c r="H55" s="76" t="s">
        <v>170</v>
      </c>
      <c r="I55" s="76">
        <f t="shared" si="1"/>
        <v>0</v>
      </c>
      <c r="J55" s="76">
        <f t="shared" si="9"/>
        <v>0</v>
      </c>
      <c r="K55" s="76" t="s">
        <v>535</v>
      </c>
      <c r="L55" s="76">
        <f t="shared" si="4"/>
        <v>5.4E-8</v>
      </c>
      <c r="M55" s="76" t="s">
        <v>163</v>
      </c>
      <c r="N55" s="76">
        <f t="shared" si="10"/>
        <v>0</v>
      </c>
      <c r="O55" s="76" t="s">
        <v>535</v>
      </c>
      <c r="P55" s="76" t="s">
        <v>536</v>
      </c>
    </row>
    <row r="56" spans="2:16" ht="12.75" customHeight="1" x14ac:dyDescent="0.2">
      <c r="B56" s="76" t="s">
        <v>547</v>
      </c>
      <c r="C56" s="76">
        <f t="shared" si="0"/>
        <v>5.4E-8</v>
      </c>
      <c r="D56" s="76">
        <v>1</v>
      </c>
      <c r="E56" s="76" t="s">
        <v>920</v>
      </c>
      <c r="F56" s="76" t="s">
        <v>168</v>
      </c>
      <c r="G56" s="76" t="s">
        <v>169</v>
      </c>
      <c r="H56" s="76" t="s">
        <v>170</v>
      </c>
      <c r="I56" s="76">
        <f t="shared" si="1"/>
        <v>0</v>
      </c>
      <c r="J56" s="76">
        <f t="shared" si="9"/>
        <v>0</v>
      </c>
      <c r="K56" s="76" t="s">
        <v>535</v>
      </c>
      <c r="L56" s="76">
        <f t="shared" si="4"/>
        <v>5.4E-8</v>
      </c>
      <c r="M56" s="76" t="s">
        <v>163</v>
      </c>
      <c r="N56" s="76">
        <f t="shared" si="10"/>
        <v>0</v>
      </c>
      <c r="O56" s="76" t="s">
        <v>535</v>
      </c>
      <c r="P56" s="76" t="s">
        <v>536</v>
      </c>
    </row>
    <row r="57" spans="2:16" ht="12.75" customHeight="1" x14ac:dyDescent="0.2">
      <c r="B57" s="76" t="s">
        <v>547</v>
      </c>
      <c r="C57" s="76">
        <f t="shared" si="0"/>
        <v>5.4E-8</v>
      </c>
      <c r="D57" s="76">
        <v>1</v>
      </c>
      <c r="E57" s="76" t="s">
        <v>919</v>
      </c>
      <c r="F57" s="76" t="s">
        <v>168</v>
      </c>
      <c r="G57" s="76" t="s">
        <v>169</v>
      </c>
      <c r="H57" s="76" t="s">
        <v>170</v>
      </c>
      <c r="I57" s="76">
        <f t="shared" si="1"/>
        <v>0</v>
      </c>
      <c r="J57" s="76">
        <f t="shared" si="9"/>
        <v>0</v>
      </c>
      <c r="K57" s="76" t="s">
        <v>535</v>
      </c>
      <c r="L57" s="76">
        <f t="shared" si="4"/>
        <v>5.4E-8</v>
      </c>
      <c r="M57" s="76" t="s">
        <v>163</v>
      </c>
      <c r="N57" s="76">
        <f t="shared" si="10"/>
        <v>0</v>
      </c>
      <c r="O57" s="76" t="s">
        <v>535</v>
      </c>
      <c r="P57" s="76" t="s">
        <v>536</v>
      </c>
    </row>
    <row r="58" spans="2:16" ht="12.75" customHeight="1" x14ac:dyDescent="0.2">
      <c r="B58" s="76" t="s">
        <v>547</v>
      </c>
      <c r="C58" s="76">
        <f t="shared" si="0"/>
        <v>5.4E-8</v>
      </c>
      <c r="D58" s="76">
        <v>1</v>
      </c>
      <c r="E58" s="76" t="s">
        <v>918</v>
      </c>
      <c r="F58" s="76" t="s">
        <v>168</v>
      </c>
      <c r="G58" s="76" t="s">
        <v>169</v>
      </c>
      <c r="H58" s="76" t="s">
        <v>170</v>
      </c>
      <c r="I58" s="76">
        <f t="shared" si="1"/>
        <v>0</v>
      </c>
      <c r="J58" s="76">
        <f t="shared" si="9"/>
        <v>0</v>
      </c>
      <c r="K58" s="76" t="s">
        <v>535</v>
      </c>
      <c r="L58" s="76">
        <f t="shared" si="4"/>
        <v>5.4E-8</v>
      </c>
      <c r="M58" s="76" t="s">
        <v>163</v>
      </c>
      <c r="N58" s="76">
        <f t="shared" si="10"/>
        <v>0</v>
      </c>
      <c r="O58" s="76" t="s">
        <v>535</v>
      </c>
      <c r="P58" s="76" t="s">
        <v>536</v>
      </c>
    </row>
    <row r="59" spans="2:16" ht="12.75" customHeight="1" x14ac:dyDescent="0.2">
      <c r="B59" s="76" t="s">
        <v>547</v>
      </c>
      <c r="C59" s="76">
        <f t="shared" si="0"/>
        <v>5.4E-8</v>
      </c>
      <c r="D59" s="76">
        <v>1</v>
      </c>
      <c r="E59" s="76" t="s">
        <v>917</v>
      </c>
      <c r="F59" s="76" t="s">
        <v>168</v>
      </c>
      <c r="G59" s="76" t="s">
        <v>169</v>
      </c>
      <c r="H59" s="76" t="s">
        <v>170</v>
      </c>
      <c r="I59" s="76">
        <f t="shared" si="1"/>
        <v>0</v>
      </c>
      <c r="J59" s="76">
        <f t="shared" si="9"/>
        <v>0</v>
      </c>
      <c r="K59" s="76" t="s">
        <v>535</v>
      </c>
      <c r="L59" s="76">
        <f t="shared" si="4"/>
        <v>5.4E-8</v>
      </c>
      <c r="M59" s="76" t="s">
        <v>163</v>
      </c>
      <c r="N59" s="76">
        <f t="shared" si="10"/>
        <v>0</v>
      </c>
      <c r="O59" s="76" t="s">
        <v>535</v>
      </c>
      <c r="P59" s="76" t="s">
        <v>536</v>
      </c>
    </row>
    <row r="60" spans="2:16" ht="12.75" customHeight="1" x14ac:dyDescent="0.2">
      <c r="B60" s="76" t="s">
        <v>547</v>
      </c>
      <c r="C60" s="76">
        <f t="shared" si="0"/>
        <v>5.4E-8</v>
      </c>
      <c r="D60" s="76">
        <v>1</v>
      </c>
      <c r="E60" s="76" t="s">
        <v>916</v>
      </c>
      <c r="F60" s="76" t="s">
        <v>168</v>
      </c>
      <c r="G60" s="76" t="s">
        <v>169</v>
      </c>
      <c r="H60" s="76" t="s">
        <v>170</v>
      </c>
      <c r="I60" s="76">
        <f t="shared" si="1"/>
        <v>0</v>
      </c>
      <c r="J60" s="76">
        <f t="shared" si="9"/>
        <v>0</v>
      </c>
      <c r="K60" s="76" t="s">
        <v>535</v>
      </c>
      <c r="L60" s="76">
        <f t="shared" si="4"/>
        <v>5.4E-8</v>
      </c>
      <c r="M60" s="76" t="s">
        <v>163</v>
      </c>
      <c r="N60" s="76">
        <f t="shared" si="10"/>
        <v>0</v>
      </c>
      <c r="O60" s="76" t="s">
        <v>535</v>
      </c>
      <c r="P60" s="76" t="s">
        <v>536</v>
      </c>
    </row>
    <row r="61" spans="2:16" ht="12.75" customHeight="1" x14ac:dyDescent="0.2">
      <c r="B61" s="76" t="s">
        <v>547</v>
      </c>
      <c r="C61" s="76">
        <f t="shared" si="0"/>
        <v>5.4E-8</v>
      </c>
      <c r="D61" s="76">
        <v>1</v>
      </c>
      <c r="E61" s="76" t="s">
        <v>915</v>
      </c>
      <c r="F61" s="76" t="s">
        <v>168</v>
      </c>
      <c r="G61" s="76" t="s">
        <v>169</v>
      </c>
      <c r="H61" s="76" t="s">
        <v>170</v>
      </c>
      <c r="I61" s="76">
        <f t="shared" si="1"/>
        <v>0</v>
      </c>
      <c r="J61" s="76">
        <f t="shared" si="9"/>
        <v>0</v>
      </c>
      <c r="K61" s="76" t="s">
        <v>535</v>
      </c>
      <c r="L61" s="76">
        <f t="shared" si="4"/>
        <v>5.4E-8</v>
      </c>
      <c r="M61" s="76" t="s">
        <v>163</v>
      </c>
      <c r="N61" s="76">
        <f t="shared" si="10"/>
        <v>0</v>
      </c>
      <c r="O61" s="76" t="s">
        <v>535</v>
      </c>
      <c r="P61" s="76" t="s">
        <v>536</v>
      </c>
    </row>
    <row r="62" spans="2:16" ht="12.75" customHeight="1" x14ac:dyDescent="0.2">
      <c r="B62" s="76" t="s">
        <v>547</v>
      </c>
      <c r="C62" s="76">
        <f t="shared" si="0"/>
        <v>5.4E-8</v>
      </c>
      <c r="D62" s="76">
        <v>1</v>
      </c>
      <c r="E62" s="76" t="s">
        <v>942</v>
      </c>
      <c r="F62" s="76" t="s">
        <v>168</v>
      </c>
      <c r="G62" s="76" t="s">
        <v>169</v>
      </c>
      <c r="H62" s="76" t="s">
        <v>170</v>
      </c>
      <c r="I62" s="76">
        <f t="shared" si="1"/>
        <v>0</v>
      </c>
      <c r="J62" s="76">
        <f t="shared" si="9"/>
        <v>0</v>
      </c>
      <c r="K62" s="76" t="s">
        <v>535</v>
      </c>
      <c r="L62" s="76">
        <f t="shared" si="4"/>
        <v>5.4E-8</v>
      </c>
      <c r="M62" s="76" t="s">
        <v>163</v>
      </c>
      <c r="N62" s="76">
        <f t="shared" si="10"/>
        <v>0</v>
      </c>
      <c r="O62" s="76" t="s">
        <v>535</v>
      </c>
      <c r="P62" s="76" t="s">
        <v>536</v>
      </c>
    </row>
    <row r="63" spans="2:16" ht="12.75" customHeight="1" x14ac:dyDescent="0.2">
      <c r="B63" s="76" t="s">
        <v>547</v>
      </c>
      <c r="C63" s="76">
        <f t="shared" si="0"/>
        <v>5.4E-8</v>
      </c>
      <c r="D63" s="76">
        <v>1</v>
      </c>
      <c r="E63" s="76" t="s">
        <v>914</v>
      </c>
      <c r="F63" s="76" t="s">
        <v>168</v>
      </c>
      <c r="G63" s="76" t="s">
        <v>169</v>
      </c>
      <c r="H63" s="76" t="s">
        <v>170</v>
      </c>
      <c r="I63" s="76">
        <f t="shared" si="1"/>
        <v>0</v>
      </c>
      <c r="J63" s="76">
        <f t="shared" si="9"/>
        <v>0</v>
      </c>
      <c r="K63" s="76" t="s">
        <v>535</v>
      </c>
      <c r="L63" s="76">
        <f t="shared" si="4"/>
        <v>5.4E-8</v>
      </c>
      <c r="M63" s="76" t="s">
        <v>163</v>
      </c>
      <c r="N63" s="76">
        <f t="shared" si="10"/>
        <v>0</v>
      </c>
      <c r="O63" s="76" t="s">
        <v>535</v>
      </c>
      <c r="P63" s="76" t="s">
        <v>536</v>
      </c>
    </row>
    <row r="64" spans="2:16" ht="12.75" customHeight="1" x14ac:dyDescent="0.2">
      <c r="B64" s="76" t="s">
        <v>547</v>
      </c>
      <c r="C64" s="76">
        <f t="shared" si="0"/>
        <v>5.4E-8</v>
      </c>
      <c r="D64" s="76">
        <v>1</v>
      </c>
      <c r="E64" s="76" t="s">
        <v>913</v>
      </c>
      <c r="F64" s="76" t="s">
        <v>168</v>
      </c>
      <c r="G64" s="76" t="s">
        <v>169</v>
      </c>
      <c r="H64" s="76" t="s">
        <v>170</v>
      </c>
      <c r="I64" s="76">
        <f t="shared" si="1"/>
        <v>0</v>
      </c>
      <c r="J64" s="76">
        <f t="shared" si="9"/>
        <v>0</v>
      </c>
      <c r="K64" s="76" t="s">
        <v>535</v>
      </c>
      <c r="L64" s="76">
        <f t="shared" si="4"/>
        <v>5.4E-8</v>
      </c>
      <c r="M64" s="76" t="s">
        <v>163</v>
      </c>
      <c r="N64" s="76">
        <f t="shared" si="10"/>
        <v>0</v>
      </c>
      <c r="O64" s="76" t="s">
        <v>535</v>
      </c>
      <c r="P64" s="76" t="s">
        <v>536</v>
      </c>
    </row>
    <row r="65" spans="2:16" ht="12.75" customHeight="1" x14ac:dyDescent="0.2">
      <c r="B65" s="76" t="s">
        <v>547</v>
      </c>
      <c r="C65" s="76">
        <f t="shared" si="0"/>
        <v>5.4E-8</v>
      </c>
      <c r="D65" s="76">
        <v>1</v>
      </c>
      <c r="E65" s="76" t="s">
        <v>941</v>
      </c>
      <c r="F65" s="76" t="s">
        <v>168</v>
      </c>
      <c r="G65" s="76" t="s">
        <v>169</v>
      </c>
      <c r="H65" s="76" t="s">
        <v>170</v>
      </c>
      <c r="I65" s="76">
        <f t="shared" si="1"/>
        <v>0</v>
      </c>
      <c r="J65" s="76">
        <f t="shared" si="9"/>
        <v>0</v>
      </c>
      <c r="K65" s="76" t="s">
        <v>535</v>
      </c>
      <c r="L65" s="76">
        <f t="shared" si="4"/>
        <v>5.4E-8</v>
      </c>
      <c r="M65" s="76" t="s">
        <v>163</v>
      </c>
      <c r="N65" s="76">
        <f t="shared" si="10"/>
        <v>0</v>
      </c>
      <c r="O65" s="76" t="s">
        <v>535</v>
      </c>
      <c r="P65" s="76" t="s">
        <v>536</v>
      </c>
    </row>
    <row r="66" spans="2:16" ht="12.75" customHeight="1" x14ac:dyDescent="0.2">
      <c r="B66" s="76" t="s">
        <v>547</v>
      </c>
      <c r="C66" s="76">
        <f t="shared" si="0"/>
        <v>5.4E-8</v>
      </c>
      <c r="D66" s="76">
        <v>1</v>
      </c>
      <c r="E66" s="76" t="s">
        <v>940</v>
      </c>
      <c r="F66" s="76" t="s">
        <v>168</v>
      </c>
      <c r="G66" s="76" t="s">
        <v>169</v>
      </c>
      <c r="H66" s="76" t="s">
        <v>170</v>
      </c>
      <c r="I66" s="76">
        <f t="shared" si="1"/>
        <v>0</v>
      </c>
      <c r="J66" s="76">
        <f t="shared" si="9"/>
        <v>0</v>
      </c>
      <c r="K66" s="76" t="s">
        <v>535</v>
      </c>
      <c r="L66" s="76">
        <f t="shared" si="4"/>
        <v>5.4E-8</v>
      </c>
      <c r="M66" s="76" t="s">
        <v>163</v>
      </c>
      <c r="N66" s="76">
        <f t="shared" si="10"/>
        <v>0</v>
      </c>
      <c r="O66" s="76" t="s">
        <v>535</v>
      </c>
      <c r="P66" s="76" t="s">
        <v>536</v>
      </c>
    </row>
    <row r="67" spans="2:16" ht="12.75" customHeight="1" x14ac:dyDescent="0.2">
      <c r="B67" s="76" t="s">
        <v>547</v>
      </c>
      <c r="C67" s="76">
        <f t="shared" si="0"/>
        <v>5.4E-8</v>
      </c>
      <c r="D67" s="76">
        <v>1</v>
      </c>
      <c r="E67" s="76" t="s">
        <v>939</v>
      </c>
      <c r="F67" s="76" t="s">
        <v>168</v>
      </c>
      <c r="G67" s="76" t="s">
        <v>169</v>
      </c>
      <c r="H67" s="76" t="s">
        <v>170</v>
      </c>
      <c r="I67" s="76">
        <f t="shared" si="1"/>
        <v>0</v>
      </c>
      <c r="J67" s="76">
        <f t="shared" si="9"/>
        <v>0</v>
      </c>
      <c r="K67" s="76" t="s">
        <v>535</v>
      </c>
      <c r="L67" s="76">
        <f t="shared" si="4"/>
        <v>5.4E-8</v>
      </c>
      <c r="M67" s="76" t="s">
        <v>163</v>
      </c>
      <c r="N67" s="76">
        <f t="shared" si="10"/>
        <v>0</v>
      </c>
      <c r="O67" s="76" t="s">
        <v>535</v>
      </c>
      <c r="P67" s="76" t="s">
        <v>536</v>
      </c>
    </row>
    <row r="68" spans="2:16" ht="12.75" customHeight="1" x14ac:dyDescent="0.2">
      <c r="B68" s="76" t="s">
        <v>547</v>
      </c>
      <c r="C68" s="76">
        <f t="shared" si="0"/>
        <v>5.4E-8</v>
      </c>
      <c r="D68" s="76">
        <v>1</v>
      </c>
      <c r="E68" s="76" t="s">
        <v>938</v>
      </c>
      <c r="F68" s="76" t="s">
        <v>168</v>
      </c>
      <c r="G68" s="76" t="s">
        <v>169</v>
      </c>
      <c r="H68" s="76" t="s">
        <v>170</v>
      </c>
      <c r="I68" s="76">
        <f t="shared" si="1"/>
        <v>0</v>
      </c>
      <c r="J68" s="76">
        <f t="shared" si="9"/>
        <v>0</v>
      </c>
      <c r="K68" s="76" t="s">
        <v>535</v>
      </c>
      <c r="L68" s="76">
        <f t="shared" si="4"/>
        <v>5.4E-8</v>
      </c>
      <c r="M68" s="76" t="s">
        <v>163</v>
      </c>
      <c r="N68" s="76">
        <f t="shared" si="10"/>
        <v>0</v>
      </c>
      <c r="O68" s="76" t="s">
        <v>535</v>
      </c>
      <c r="P68" s="76" t="s">
        <v>536</v>
      </c>
    </row>
    <row r="69" spans="2:16" ht="12.75" customHeight="1" x14ac:dyDescent="0.2">
      <c r="B69" s="76" t="s">
        <v>547</v>
      </c>
      <c r="C69" s="76">
        <f t="shared" si="0"/>
        <v>5.4E-8</v>
      </c>
      <c r="D69" s="76">
        <v>1</v>
      </c>
      <c r="E69" s="76" t="s">
        <v>937</v>
      </c>
      <c r="F69" s="76" t="s">
        <v>168</v>
      </c>
      <c r="G69" s="76" t="s">
        <v>169</v>
      </c>
      <c r="H69" s="76" t="s">
        <v>170</v>
      </c>
      <c r="I69" s="76">
        <f t="shared" si="1"/>
        <v>0</v>
      </c>
      <c r="J69" s="76">
        <f t="shared" si="9"/>
        <v>0</v>
      </c>
      <c r="K69" s="76" t="s">
        <v>535</v>
      </c>
      <c r="L69" s="76">
        <f t="shared" si="4"/>
        <v>5.4E-8</v>
      </c>
      <c r="M69" s="76" t="s">
        <v>163</v>
      </c>
      <c r="N69" s="76">
        <f t="shared" si="10"/>
        <v>0</v>
      </c>
      <c r="O69" s="76" t="s">
        <v>535</v>
      </c>
      <c r="P69" s="76" t="s">
        <v>536</v>
      </c>
    </row>
    <row r="70" spans="2:16" ht="12.75" customHeight="1" x14ac:dyDescent="0.2">
      <c r="B70" s="76" t="s">
        <v>547</v>
      </c>
      <c r="C70" s="76">
        <f t="shared" si="0"/>
        <v>5.4E-8</v>
      </c>
      <c r="D70" s="76">
        <v>1</v>
      </c>
      <c r="E70" s="76" t="s">
        <v>936</v>
      </c>
      <c r="F70" s="76" t="s">
        <v>168</v>
      </c>
      <c r="G70" s="76" t="s">
        <v>169</v>
      </c>
      <c r="H70" s="76" t="s">
        <v>170</v>
      </c>
      <c r="I70" s="76">
        <f t="shared" si="1"/>
        <v>0</v>
      </c>
      <c r="J70" s="76">
        <f t="shared" si="9"/>
        <v>0</v>
      </c>
      <c r="K70" s="76" t="s">
        <v>535</v>
      </c>
      <c r="L70" s="76">
        <f t="shared" si="4"/>
        <v>5.4E-8</v>
      </c>
      <c r="M70" s="76" t="s">
        <v>163</v>
      </c>
      <c r="N70" s="76">
        <f t="shared" si="10"/>
        <v>0</v>
      </c>
      <c r="O70" s="76" t="s">
        <v>535</v>
      </c>
      <c r="P70" s="76" t="s">
        <v>536</v>
      </c>
    </row>
    <row r="71" spans="2:16" ht="12.75" customHeight="1" x14ac:dyDescent="0.2">
      <c r="B71" s="76" t="s">
        <v>547</v>
      </c>
      <c r="C71" s="76">
        <f t="shared" si="0"/>
        <v>5.4E-8</v>
      </c>
      <c r="D71" s="76">
        <v>1</v>
      </c>
      <c r="E71" s="76" t="s">
        <v>935</v>
      </c>
      <c r="F71" s="76" t="s">
        <v>168</v>
      </c>
      <c r="G71" s="76" t="s">
        <v>169</v>
      </c>
      <c r="H71" s="76" t="s">
        <v>170</v>
      </c>
      <c r="I71" s="76">
        <f t="shared" si="1"/>
        <v>0</v>
      </c>
      <c r="J71" s="76">
        <f t="shared" si="9"/>
        <v>0</v>
      </c>
      <c r="K71" s="76" t="s">
        <v>535</v>
      </c>
      <c r="L71" s="76">
        <f t="shared" si="4"/>
        <v>5.4E-8</v>
      </c>
      <c r="M71" s="76" t="s">
        <v>163</v>
      </c>
      <c r="N71" s="76">
        <f t="shared" si="10"/>
        <v>0</v>
      </c>
      <c r="O71" s="76" t="s">
        <v>535</v>
      </c>
      <c r="P71" s="76" t="s">
        <v>536</v>
      </c>
    </row>
    <row r="72" spans="2:16" ht="12.75" customHeight="1" x14ac:dyDescent="0.2">
      <c r="B72" s="76" t="s">
        <v>547</v>
      </c>
      <c r="C72" s="76">
        <f t="shared" ref="C72:C86" si="11">54*ns</f>
        <v>5.4E-8</v>
      </c>
      <c r="D72" s="76">
        <v>1</v>
      </c>
      <c r="E72" s="76" t="s">
        <v>945</v>
      </c>
      <c r="F72" s="76" t="s">
        <v>168</v>
      </c>
      <c r="G72" s="76" t="s">
        <v>169</v>
      </c>
      <c r="H72" s="76" t="s">
        <v>516</v>
      </c>
      <c r="I72" s="76">
        <f t="shared" ref="I72:I86" si="12">0*C72</f>
        <v>0</v>
      </c>
      <c r="J72" s="76">
        <f>(13/54)*C72</f>
        <v>1.2999999999999999E-8</v>
      </c>
      <c r="K72" s="76">
        <f>(40/54)*C72</f>
        <v>4.0000000000000001E-8</v>
      </c>
      <c r="L72" s="76">
        <f t="shared" ref="L72:L86" si="13">1*C72</f>
        <v>5.4E-8</v>
      </c>
      <c r="M72" s="76" t="s">
        <v>163</v>
      </c>
      <c r="N72" s="76">
        <f t="shared" si="10"/>
        <v>0</v>
      </c>
      <c r="O72" s="76" t="s">
        <v>535</v>
      </c>
      <c r="P72" s="76" t="s">
        <v>537</v>
      </c>
    </row>
    <row r="73" spans="2:16" ht="12.75" customHeight="1" x14ac:dyDescent="0.2">
      <c r="B73" s="76" t="s">
        <v>547</v>
      </c>
      <c r="C73" s="76">
        <f t="shared" si="11"/>
        <v>5.4E-8</v>
      </c>
      <c r="D73" s="76">
        <v>1</v>
      </c>
      <c r="E73" s="76" t="s">
        <v>103</v>
      </c>
      <c r="F73" s="76" t="s">
        <v>168</v>
      </c>
      <c r="G73" s="76" t="s">
        <v>169</v>
      </c>
      <c r="H73" s="76" t="s">
        <v>170</v>
      </c>
      <c r="I73" s="76">
        <f t="shared" si="12"/>
        <v>0</v>
      </c>
      <c r="J73" s="76">
        <f>0*C73</f>
        <v>0</v>
      </c>
      <c r="K73" s="76" t="s">
        <v>535</v>
      </c>
      <c r="L73" s="76">
        <f t="shared" si="13"/>
        <v>5.4E-8</v>
      </c>
      <c r="M73" s="76" t="s">
        <v>163</v>
      </c>
      <c r="N73" s="76">
        <f t="shared" si="10"/>
        <v>0</v>
      </c>
      <c r="O73" s="76" t="s">
        <v>535</v>
      </c>
      <c r="P73" s="76" t="s">
        <v>536</v>
      </c>
    </row>
    <row r="74" spans="2:16" ht="12.75" customHeight="1" x14ac:dyDescent="0.2">
      <c r="B74" s="76" t="s">
        <v>547</v>
      </c>
      <c r="C74" s="76">
        <f t="shared" si="11"/>
        <v>5.4E-8</v>
      </c>
      <c r="D74" s="76">
        <v>1</v>
      </c>
      <c r="E74" s="76" t="s">
        <v>111</v>
      </c>
      <c r="F74" s="76" t="s">
        <v>168</v>
      </c>
      <c r="G74" s="76" t="s">
        <v>169</v>
      </c>
      <c r="H74" s="76" t="s">
        <v>170</v>
      </c>
      <c r="I74" s="76">
        <f t="shared" si="12"/>
        <v>0</v>
      </c>
      <c r="J74" s="76">
        <f t="shared" ref="J74:J78" si="14">0*C74</f>
        <v>0</v>
      </c>
      <c r="K74" s="76" t="s">
        <v>535</v>
      </c>
      <c r="L74" s="76">
        <f t="shared" si="13"/>
        <v>5.4E-8</v>
      </c>
      <c r="M74" s="76" t="s">
        <v>172</v>
      </c>
      <c r="N74" s="76">
        <f>(5/54)*C74</f>
        <v>5.0000000000000001E-9</v>
      </c>
      <c r="O74" s="76" t="s">
        <v>535</v>
      </c>
      <c r="P74" s="76" t="s">
        <v>536</v>
      </c>
    </row>
    <row r="75" spans="2:16" ht="12.75" customHeight="1" x14ac:dyDescent="0.2">
      <c r="B75" s="76" t="s">
        <v>547</v>
      </c>
      <c r="C75" s="76">
        <f t="shared" si="11"/>
        <v>5.4E-8</v>
      </c>
      <c r="D75" s="76">
        <v>1</v>
      </c>
      <c r="E75" s="76" t="s">
        <v>946</v>
      </c>
      <c r="F75" s="76" t="s">
        <v>168</v>
      </c>
      <c r="G75" s="76" t="s">
        <v>169</v>
      </c>
      <c r="H75" s="76" t="s">
        <v>170</v>
      </c>
      <c r="I75" s="76">
        <f t="shared" si="12"/>
        <v>0</v>
      </c>
      <c r="J75" s="76">
        <f t="shared" si="14"/>
        <v>0</v>
      </c>
      <c r="K75" s="76" t="s">
        <v>535</v>
      </c>
      <c r="L75" s="76">
        <f t="shared" si="13"/>
        <v>5.4E-8</v>
      </c>
      <c r="M75" s="76" t="s">
        <v>163</v>
      </c>
      <c r="N75" s="76">
        <f>0*C75</f>
        <v>0</v>
      </c>
      <c r="O75" s="76" t="s">
        <v>535</v>
      </c>
      <c r="P75" s="76" t="s">
        <v>536</v>
      </c>
    </row>
    <row r="76" spans="2:16" ht="12.75" customHeight="1" x14ac:dyDescent="0.2">
      <c r="B76" s="76" t="s">
        <v>547</v>
      </c>
      <c r="C76" s="76">
        <f t="shared" si="11"/>
        <v>5.4E-8</v>
      </c>
      <c r="D76" s="76">
        <v>1</v>
      </c>
      <c r="E76" s="76" t="s">
        <v>120</v>
      </c>
      <c r="F76" s="76" t="s">
        <v>168</v>
      </c>
      <c r="G76" s="76" t="s">
        <v>169</v>
      </c>
      <c r="H76" s="76" t="s">
        <v>170</v>
      </c>
      <c r="I76" s="76">
        <f t="shared" si="12"/>
        <v>0</v>
      </c>
      <c r="J76" s="76">
        <f t="shared" si="14"/>
        <v>0</v>
      </c>
      <c r="K76" s="76" t="s">
        <v>535</v>
      </c>
      <c r="L76" s="76">
        <f t="shared" si="13"/>
        <v>5.4E-8</v>
      </c>
      <c r="M76" s="76" t="s">
        <v>172</v>
      </c>
      <c r="N76" s="76">
        <f>(5/54)*C76</f>
        <v>5.0000000000000001E-9</v>
      </c>
      <c r="O76" s="76" t="s">
        <v>535</v>
      </c>
      <c r="P76" s="76" t="s">
        <v>536</v>
      </c>
    </row>
    <row r="77" spans="2:16" ht="12.75" customHeight="1" x14ac:dyDescent="0.2">
      <c r="B77" s="76" t="s">
        <v>547</v>
      </c>
      <c r="C77" s="76">
        <f t="shared" si="11"/>
        <v>5.4E-8</v>
      </c>
      <c r="D77" s="76">
        <v>1</v>
      </c>
      <c r="E77" s="76" t="s">
        <v>121</v>
      </c>
      <c r="F77" s="76" t="s">
        <v>168</v>
      </c>
      <c r="G77" s="76" t="s">
        <v>169</v>
      </c>
      <c r="H77" s="76" t="s">
        <v>170</v>
      </c>
      <c r="I77" s="76">
        <f t="shared" si="12"/>
        <v>0</v>
      </c>
      <c r="J77" s="76">
        <f t="shared" si="14"/>
        <v>0</v>
      </c>
      <c r="K77" s="76" t="s">
        <v>535</v>
      </c>
      <c r="L77" s="76">
        <f t="shared" si="13"/>
        <v>5.4E-8</v>
      </c>
      <c r="M77" s="76" t="s">
        <v>172</v>
      </c>
      <c r="N77" s="76">
        <f>(5/54)*C77</f>
        <v>5.0000000000000001E-9</v>
      </c>
      <c r="O77" s="76" t="s">
        <v>535</v>
      </c>
      <c r="P77" s="76" t="s">
        <v>536</v>
      </c>
    </row>
    <row r="78" spans="2:16" ht="12.75" customHeight="1" x14ac:dyDescent="0.2">
      <c r="B78" s="76" t="s">
        <v>547</v>
      </c>
      <c r="C78" s="76">
        <f t="shared" si="11"/>
        <v>5.4E-8</v>
      </c>
      <c r="D78" s="76">
        <v>1</v>
      </c>
      <c r="E78" s="76" t="s">
        <v>97</v>
      </c>
      <c r="F78" s="76" t="s">
        <v>168</v>
      </c>
      <c r="G78" s="76" t="s">
        <v>169</v>
      </c>
      <c r="H78" s="76" t="s">
        <v>170</v>
      </c>
      <c r="I78" s="76">
        <f t="shared" si="12"/>
        <v>0</v>
      </c>
      <c r="J78" s="76">
        <f t="shared" si="14"/>
        <v>0</v>
      </c>
      <c r="K78" s="76" t="s">
        <v>535</v>
      </c>
      <c r="L78" s="76">
        <f t="shared" si="13"/>
        <v>5.4E-8</v>
      </c>
      <c r="M78" s="76" t="s">
        <v>163</v>
      </c>
      <c r="N78" s="76">
        <f>0*C78</f>
        <v>0</v>
      </c>
      <c r="O78" s="76" t="s">
        <v>535</v>
      </c>
      <c r="P78" s="76" t="s">
        <v>536</v>
      </c>
    </row>
    <row r="79" spans="2:16" ht="12.75" customHeight="1" x14ac:dyDescent="0.2">
      <c r="B79" s="76" t="s">
        <v>547</v>
      </c>
      <c r="C79" s="76">
        <f t="shared" si="11"/>
        <v>5.4E-8</v>
      </c>
      <c r="D79" s="76">
        <v>1</v>
      </c>
      <c r="E79" s="76" t="s">
        <v>909</v>
      </c>
      <c r="F79" s="76" t="s">
        <v>168</v>
      </c>
      <c r="G79" s="76" t="s">
        <v>169</v>
      </c>
      <c r="H79" s="76" t="s">
        <v>516</v>
      </c>
      <c r="I79" s="76">
        <f t="shared" si="12"/>
        <v>0</v>
      </c>
      <c r="J79" s="76">
        <f>(13/54)*C79</f>
        <v>1.2999999999999999E-8</v>
      </c>
      <c r="K79" s="76">
        <f>(40/54)*C79</f>
        <v>4.0000000000000001E-8</v>
      </c>
      <c r="L79" s="76">
        <f t="shared" si="13"/>
        <v>5.4E-8</v>
      </c>
      <c r="M79" s="76" t="s">
        <v>163</v>
      </c>
      <c r="N79" s="76">
        <f t="shared" ref="N79:N81" si="15">0*C79</f>
        <v>0</v>
      </c>
      <c r="O79" s="76" t="s">
        <v>535</v>
      </c>
      <c r="P79" s="76" t="s">
        <v>537</v>
      </c>
    </row>
    <row r="80" spans="2:16" ht="12.75" customHeight="1" x14ac:dyDescent="0.2">
      <c r="B80" s="76" t="s">
        <v>547</v>
      </c>
      <c r="C80" s="76">
        <f t="shared" si="11"/>
        <v>5.4E-8</v>
      </c>
      <c r="D80" s="76">
        <v>1</v>
      </c>
      <c r="E80" s="76" t="s">
        <v>910</v>
      </c>
      <c r="F80" s="76" t="s">
        <v>168</v>
      </c>
      <c r="G80" s="76" t="s">
        <v>169</v>
      </c>
      <c r="H80" s="76" t="s">
        <v>170</v>
      </c>
      <c r="I80" s="76">
        <f t="shared" si="12"/>
        <v>0</v>
      </c>
      <c r="J80" s="76">
        <f>0*C80</f>
        <v>0</v>
      </c>
      <c r="K80" s="76" t="s">
        <v>535</v>
      </c>
      <c r="L80" s="76">
        <f t="shared" si="13"/>
        <v>5.4E-8</v>
      </c>
      <c r="M80" s="76" t="s">
        <v>163</v>
      </c>
      <c r="N80" s="76">
        <f t="shared" si="15"/>
        <v>0</v>
      </c>
      <c r="O80" s="76" t="s">
        <v>535</v>
      </c>
      <c r="P80" s="76" t="s">
        <v>536</v>
      </c>
    </row>
    <row r="81" spans="2:16" ht="12.75" customHeight="1" x14ac:dyDescent="0.2">
      <c r="B81" s="76" t="s">
        <v>547</v>
      </c>
      <c r="C81" s="76">
        <f t="shared" si="11"/>
        <v>5.4E-8</v>
      </c>
      <c r="D81" s="76">
        <v>1</v>
      </c>
      <c r="E81" s="76" t="s">
        <v>893</v>
      </c>
      <c r="F81" s="76" t="s">
        <v>168</v>
      </c>
      <c r="G81" s="76" t="s">
        <v>169</v>
      </c>
      <c r="H81" s="76" t="s">
        <v>516</v>
      </c>
      <c r="I81" s="76">
        <f t="shared" si="12"/>
        <v>0</v>
      </c>
      <c r="J81" s="76">
        <f>(12/54)*C81</f>
        <v>1.2E-8</v>
      </c>
      <c r="K81" s="76">
        <f>(37/54)*C81</f>
        <v>3.7E-8</v>
      </c>
      <c r="L81" s="76">
        <f t="shared" si="13"/>
        <v>5.4E-8</v>
      </c>
      <c r="M81" s="76" t="s">
        <v>163</v>
      </c>
      <c r="N81" s="76">
        <f t="shared" si="15"/>
        <v>0</v>
      </c>
      <c r="O81" s="76" t="s">
        <v>535</v>
      </c>
      <c r="P81" s="76" t="s">
        <v>537</v>
      </c>
    </row>
    <row r="82" spans="2:16" ht="12.75" customHeight="1" x14ac:dyDescent="0.2">
      <c r="B82" s="76" t="s">
        <v>547</v>
      </c>
      <c r="C82" s="76">
        <f t="shared" si="11"/>
        <v>5.4E-8</v>
      </c>
      <c r="D82" s="76">
        <v>1</v>
      </c>
      <c r="E82" s="76" t="s">
        <v>894</v>
      </c>
      <c r="F82" s="76" t="s">
        <v>168</v>
      </c>
      <c r="G82" s="76" t="s">
        <v>169</v>
      </c>
      <c r="H82" s="76" t="s">
        <v>170</v>
      </c>
      <c r="I82" s="76">
        <f t="shared" si="12"/>
        <v>0</v>
      </c>
      <c r="J82" s="76">
        <f>0*C82</f>
        <v>0</v>
      </c>
      <c r="K82" s="76" t="s">
        <v>535</v>
      </c>
      <c r="L82" s="76">
        <f t="shared" si="13"/>
        <v>5.4E-8</v>
      </c>
      <c r="M82" s="76" t="s">
        <v>163</v>
      </c>
      <c r="N82" s="76">
        <f>(5/54)*C82</f>
        <v>5.0000000000000001E-9</v>
      </c>
      <c r="O82" s="76" t="s">
        <v>535</v>
      </c>
      <c r="P82" s="76" t="s">
        <v>536</v>
      </c>
    </row>
    <row r="83" spans="2:16" ht="12.75" customHeight="1" x14ac:dyDescent="0.2">
      <c r="B83" s="76" t="s">
        <v>547</v>
      </c>
      <c r="C83" s="76">
        <f t="shared" si="11"/>
        <v>5.4E-8</v>
      </c>
      <c r="D83" s="76">
        <v>1</v>
      </c>
      <c r="E83" s="76" t="s">
        <v>895</v>
      </c>
      <c r="F83" s="76" t="s">
        <v>168</v>
      </c>
      <c r="G83" s="76" t="s">
        <v>169</v>
      </c>
      <c r="H83" s="76" t="s">
        <v>170</v>
      </c>
      <c r="I83" s="76">
        <f t="shared" si="12"/>
        <v>0</v>
      </c>
      <c r="J83" s="76">
        <f t="shared" ref="J83:J86" si="16">0*C83</f>
        <v>0</v>
      </c>
      <c r="K83" s="76" t="s">
        <v>535</v>
      </c>
      <c r="L83" s="76">
        <f t="shared" si="13"/>
        <v>5.4E-8</v>
      </c>
      <c r="M83" s="76" t="s">
        <v>172</v>
      </c>
      <c r="N83" s="76">
        <f>(5/54)*C83</f>
        <v>5.0000000000000001E-9</v>
      </c>
      <c r="O83" s="76" t="s">
        <v>535</v>
      </c>
      <c r="P83" s="76" t="s">
        <v>536</v>
      </c>
    </row>
    <row r="84" spans="2:16" ht="12.75" customHeight="1" x14ac:dyDescent="0.2">
      <c r="B84" s="76" t="s">
        <v>547</v>
      </c>
      <c r="C84" s="76">
        <f t="shared" si="11"/>
        <v>5.4E-8</v>
      </c>
      <c r="D84" s="76">
        <v>1</v>
      </c>
      <c r="E84" s="76" t="s">
        <v>896</v>
      </c>
      <c r="F84" s="76" t="s">
        <v>168</v>
      </c>
      <c r="G84" s="76" t="s">
        <v>169</v>
      </c>
      <c r="H84" s="76" t="s">
        <v>170</v>
      </c>
      <c r="I84" s="76">
        <f t="shared" si="12"/>
        <v>0</v>
      </c>
      <c r="J84" s="76">
        <f t="shared" si="16"/>
        <v>0</v>
      </c>
      <c r="K84" s="76" t="s">
        <v>535</v>
      </c>
      <c r="L84" s="76">
        <f t="shared" si="13"/>
        <v>5.4E-8</v>
      </c>
      <c r="M84" s="76" t="s">
        <v>163</v>
      </c>
      <c r="N84" s="76">
        <f>(5/54)*C84</f>
        <v>5.0000000000000001E-9</v>
      </c>
      <c r="O84" s="76" t="s">
        <v>535</v>
      </c>
      <c r="P84" s="76" t="s">
        <v>536</v>
      </c>
    </row>
    <row r="85" spans="2:16" ht="12.75" customHeight="1" x14ac:dyDescent="0.2">
      <c r="B85" s="76" t="s">
        <v>547</v>
      </c>
      <c r="C85" s="76">
        <f t="shared" si="11"/>
        <v>5.4E-8</v>
      </c>
      <c r="D85" s="76">
        <v>1</v>
      </c>
      <c r="E85" s="76" t="s">
        <v>897</v>
      </c>
      <c r="F85" s="76" t="s">
        <v>168</v>
      </c>
      <c r="G85" s="76" t="s">
        <v>169</v>
      </c>
      <c r="H85" s="76" t="s">
        <v>170</v>
      </c>
      <c r="I85" s="76">
        <f t="shared" si="12"/>
        <v>0</v>
      </c>
      <c r="J85" s="76">
        <f t="shared" si="16"/>
        <v>0</v>
      </c>
      <c r="K85" s="76" t="s">
        <v>535</v>
      </c>
      <c r="L85" s="76">
        <f t="shared" si="13"/>
        <v>5.4E-8</v>
      </c>
      <c r="M85" s="76" t="s">
        <v>163</v>
      </c>
      <c r="N85" s="76">
        <f>(5/54)*C85</f>
        <v>5.0000000000000001E-9</v>
      </c>
      <c r="O85" s="76" t="s">
        <v>535</v>
      </c>
      <c r="P85" s="76" t="s">
        <v>536</v>
      </c>
    </row>
    <row r="86" spans="2:16" ht="12.75" customHeight="1" x14ac:dyDescent="0.2">
      <c r="B86" s="76" t="s">
        <v>547</v>
      </c>
      <c r="C86" s="76">
        <f t="shared" si="11"/>
        <v>5.4E-8</v>
      </c>
      <c r="D86" s="76">
        <v>1</v>
      </c>
      <c r="E86" s="76" t="s">
        <v>109</v>
      </c>
      <c r="F86" s="76" t="s">
        <v>168</v>
      </c>
      <c r="G86" s="76" t="s">
        <v>169</v>
      </c>
      <c r="H86" s="76" t="s">
        <v>170</v>
      </c>
      <c r="I86" s="76">
        <f t="shared" si="12"/>
        <v>0</v>
      </c>
      <c r="J86" s="76">
        <f t="shared" si="16"/>
        <v>0</v>
      </c>
      <c r="K86" s="76" t="s">
        <v>535</v>
      </c>
      <c r="L86" s="76">
        <f t="shared" si="13"/>
        <v>5.4E-8</v>
      </c>
      <c r="M86" s="76" t="s">
        <v>172</v>
      </c>
      <c r="N86" s="76">
        <f>(5/54)*C86</f>
        <v>5.0000000000000001E-9</v>
      </c>
      <c r="O86" s="76" t="s">
        <v>535</v>
      </c>
      <c r="P86" s="76" t="s">
        <v>536</v>
      </c>
    </row>
    <row r="87" spans="2:16" ht="19.149999999999999" customHeight="1" x14ac:dyDescent="0.2">
      <c r="B87" s="76" t="s">
        <v>548</v>
      </c>
      <c r="C87" s="76">
        <f>54*ns</f>
        <v>5.4E-8</v>
      </c>
      <c r="D87" s="76">
        <v>1</v>
      </c>
      <c r="E87" s="76" t="s">
        <v>95</v>
      </c>
      <c r="F87" s="76" t="s">
        <v>168</v>
      </c>
      <c r="G87" s="76" t="s">
        <v>169</v>
      </c>
      <c r="H87" s="76" t="s">
        <v>515</v>
      </c>
      <c r="I87" s="76">
        <f>0*C87</f>
        <v>0</v>
      </c>
      <c r="J87" s="76">
        <f>(13/54)*C87</f>
        <v>1.2999999999999999E-8</v>
      </c>
      <c r="K87" s="76">
        <f>(40/54)*C87</f>
        <v>4.0000000000000001E-8</v>
      </c>
      <c r="L87" s="76">
        <f>1*C87</f>
        <v>5.4E-8</v>
      </c>
      <c r="M87" s="76" t="s">
        <v>163</v>
      </c>
      <c r="N87" s="76">
        <f>0*C87</f>
        <v>0</v>
      </c>
      <c r="O87" s="76" t="s">
        <v>535</v>
      </c>
      <c r="P87" s="76" t="s">
        <v>549</v>
      </c>
    </row>
    <row r="88" spans="2:16" ht="12.75" customHeight="1" x14ac:dyDescent="0.2">
      <c r="B88" s="76" t="s">
        <v>548</v>
      </c>
      <c r="C88" s="76">
        <f t="shared" ref="C88:C151" si="17">54*ns</f>
        <v>5.4E-8</v>
      </c>
      <c r="D88" s="76">
        <v>1</v>
      </c>
      <c r="E88" s="76" t="s">
        <v>912</v>
      </c>
      <c r="F88" s="76" t="s">
        <v>168</v>
      </c>
      <c r="G88" s="76" t="s">
        <v>169</v>
      </c>
      <c r="H88" s="76" t="s">
        <v>516</v>
      </c>
      <c r="I88" s="76">
        <f t="shared" ref="I88:I151" si="18">0*C88</f>
        <v>0</v>
      </c>
      <c r="J88" s="76">
        <f t="shared" ref="J88:J89" si="19">(13/54)*C88</f>
        <v>1.2999999999999999E-8</v>
      </c>
      <c r="K88" s="76">
        <f t="shared" ref="K88:K89" si="20">(40/54)*C88</f>
        <v>4.0000000000000001E-8</v>
      </c>
      <c r="L88" s="76">
        <f t="shared" ref="L88:L151" si="21">1*C88</f>
        <v>5.4E-8</v>
      </c>
      <c r="M88" s="76" t="s">
        <v>163</v>
      </c>
      <c r="N88" s="76">
        <f t="shared" ref="N88:N89" si="22">0*C88</f>
        <v>0</v>
      </c>
      <c r="O88" s="76" t="s">
        <v>535</v>
      </c>
      <c r="P88" s="76" t="s">
        <v>549</v>
      </c>
    </row>
    <row r="89" spans="2:16" ht="12.75" customHeight="1" x14ac:dyDescent="0.2">
      <c r="B89" s="76" t="s">
        <v>548</v>
      </c>
      <c r="C89" s="76">
        <f t="shared" si="17"/>
        <v>5.4E-8</v>
      </c>
      <c r="D89" s="76">
        <v>1</v>
      </c>
      <c r="E89" s="76" t="s">
        <v>96</v>
      </c>
      <c r="F89" s="76" t="s">
        <v>168</v>
      </c>
      <c r="G89" s="76" t="s">
        <v>169</v>
      </c>
      <c r="H89" s="76" t="s">
        <v>516</v>
      </c>
      <c r="I89" s="76">
        <f t="shared" si="18"/>
        <v>0</v>
      </c>
      <c r="J89" s="76">
        <f t="shared" si="19"/>
        <v>1.2999999999999999E-8</v>
      </c>
      <c r="K89" s="76">
        <f t="shared" si="20"/>
        <v>4.0000000000000001E-8</v>
      </c>
      <c r="L89" s="76">
        <f t="shared" si="21"/>
        <v>5.4E-8</v>
      </c>
      <c r="M89" s="76" t="s">
        <v>163</v>
      </c>
      <c r="N89" s="76">
        <f t="shared" si="22"/>
        <v>0</v>
      </c>
      <c r="O89" s="76" t="s">
        <v>535</v>
      </c>
      <c r="P89" s="76" t="s">
        <v>549</v>
      </c>
    </row>
    <row r="90" spans="2:16" ht="12.75" customHeight="1" x14ac:dyDescent="0.2">
      <c r="B90" s="76" t="s">
        <v>548</v>
      </c>
      <c r="C90" s="76">
        <f t="shared" si="17"/>
        <v>5.4E-8</v>
      </c>
      <c r="D90" s="76">
        <v>1</v>
      </c>
      <c r="E90" s="76" t="s">
        <v>137</v>
      </c>
      <c r="F90" s="76" t="s">
        <v>168</v>
      </c>
      <c r="G90" s="76" t="s">
        <v>169</v>
      </c>
      <c r="H90" s="76" t="s">
        <v>170</v>
      </c>
      <c r="I90" s="76">
        <f t="shared" si="18"/>
        <v>0</v>
      </c>
      <c r="J90" s="76">
        <f>0*C90</f>
        <v>0</v>
      </c>
      <c r="K90" s="76" t="s">
        <v>535</v>
      </c>
      <c r="L90" s="76">
        <f t="shared" si="21"/>
        <v>5.4E-8</v>
      </c>
      <c r="M90" s="76" t="s">
        <v>172</v>
      </c>
      <c r="N90" s="76">
        <f>(5/54)*C90</f>
        <v>5.0000000000000001E-9</v>
      </c>
      <c r="O90" s="76" t="s">
        <v>535</v>
      </c>
      <c r="P90" s="76" t="s">
        <v>550</v>
      </c>
    </row>
    <row r="91" spans="2:16" ht="12.75" customHeight="1" x14ac:dyDescent="0.2">
      <c r="B91" s="76" t="s">
        <v>548</v>
      </c>
      <c r="C91" s="76">
        <f t="shared" si="17"/>
        <v>5.4E-8</v>
      </c>
      <c r="D91" s="76">
        <v>1</v>
      </c>
      <c r="E91" s="76" t="s">
        <v>127</v>
      </c>
      <c r="F91" s="76" t="s">
        <v>168</v>
      </c>
      <c r="G91" s="76" t="s">
        <v>169</v>
      </c>
      <c r="H91" s="76" t="s">
        <v>170</v>
      </c>
      <c r="I91" s="76">
        <f t="shared" si="18"/>
        <v>0</v>
      </c>
      <c r="J91" s="76">
        <f t="shared" ref="J91:J107" si="23">0*C91</f>
        <v>0</v>
      </c>
      <c r="K91" s="76" t="s">
        <v>535</v>
      </c>
      <c r="L91" s="76">
        <f t="shared" si="21"/>
        <v>5.4E-8</v>
      </c>
      <c r="M91" s="76" t="s">
        <v>172</v>
      </c>
      <c r="N91" s="76">
        <f t="shared" ref="N91:N105" si="24">(5/54)*C91</f>
        <v>5.0000000000000001E-9</v>
      </c>
      <c r="O91" s="76" t="s">
        <v>535</v>
      </c>
      <c r="P91" s="76" t="s">
        <v>550</v>
      </c>
    </row>
    <row r="92" spans="2:16" ht="12.75" customHeight="1" x14ac:dyDescent="0.2">
      <c r="B92" s="76" t="s">
        <v>548</v>
      </c>
      <c r="C92" s="76">
        <f t="shared" si="17"/>
        <v>5.4E-8</v>
      </c>
      <c r="D92" s="76">
        <v>1</v>
      </c>
      <c r="E92" s="76" t="s">
        <v>126</v>
      </c>
      <c r="F92" s="76" t="s">
        <v>168</v>
      </c>
      <c r="G92" s="76" t="s">
        <v>169</v>
      </c>
      <c r="H92" s="76" t="s">
        <v>170</v>
      </c>
      <c r="I92" s="76">
        <f t="shared" si="18"/>
        <v>0</v>
      </c>
      <c r="J92" s="76">
        <f t="shared" si="23"/>
        <v>0</v>
      </c>
      <c r="K92" s="76" t="s">
        <v>535</v>
      </c>
      <c r="L92" s="76">
        <f t="shared" si="21"/>
        <v>5.4E-8</v>
      </c>
      <c r="M92" s="76" t="s">
        <v>172</v>
      </c>
      <c r="N92" s="76">
        <f t="shared" si="24"/>
        <v>5.0000000000000001E-9</v>
      </c>
      <c r="O92" s="76" t="s">
        <v>535</v>
      </c>
      <c r="P92" s="76" t="s">
        <v>550</v>
      </c>
    </row>
    <row r="93" spans="2:16" ht="12.75" customHeight="1" x14ac:dyDescent="0.2">
      <c r="B93" s="76" t="s">
        <v>548</v>
      </c>
      <c r="C93" s="76">
        <f t="shared" si="17"/>
        <v>5.4E-8</v>
      </c>
      <c r="D93" s="76">
        <v>1</v>
      </c>
      <c r="E93" s="76" t="s">
        <v>125</v>
      </c>
      <c r="F93" s="76" t="s">
        <v>168</v>
      </c>
      <c r="G93" s="76" t="s">
        <v>169</v>
      </c>
      <c r="H93" s="76" t="s">
        <v>170</v>
      </c>
      <c r="I93" s="76">
        <f t="shared" si="18"/>
        <v>0</v>
      </c>
      <c r="J93" s="76">
        <f t="shared" si="23"/>
        <v>0</v>
      </c>
      <c r="K93" s="76" t="s">
        <v>535</v>
      </c>
      <c r="L93" s="76">
        <f t="shared" si="21"/>
        <v>5.4E-8</v>
      </c>
      <c r="M93" s="76" t="s">
        <v>172</v>
      </c>
      <c r="N93" s="76">
        <f t="shared" si="24"/>
        <v>5.0000000000000001E-9</v>
      </c>
      <c r="O93" s="76" t="s">
        <v>535</v>
      </c>
      <c r="P93" s="76" t="s">
        <v>550</v>
      </c>
    </row>
    <row r="94" spans="2:16" ht="12.75" customHeight="1" x14ac:dyDescent="0.2">
      <c r="B94" s="76" t="s">
        <v>548</v>
      </c>
      <c r="C94" s="76">
        <f t="shared" si="17"/>
        <v>5.4E-8</v>
      </c>
      <c r="D94" s="76">
        <v>1</v>
      </c>
      <c r="E94" s="76" t="s">
        <v>124</v>
      </c>
      <c r="F94" s="76" t="s">
        <v>168</v>
      </c>
      <c r="G94" s="76" t="s">
        <v>169</v>
      </c>
      <c r="H94" s="76" t="s">
        <v>170</v>
      </c>
      <c r="I94" s="76">
        <f t="shared" si="18"/>
        <v>0</v>
      </c>
      <c r="J94" s="76">
        <f t="shared" si="23"/>
        <v>0</v>
      </c>
      <c r="K94" s="76" t="s">
        <v>535</v>
      </c>
      <c r="L94" s="76">
        <f t="shared" si="21"/>
        <v>5.4E-8</v>
      </c>
      <c r="M94" s="76" t="s">
        <v>172</v>
      </c>
      <c r="N94" s="76">
        <f t="shared" si="24"/>
        <v>5.0000000000000001E-9</v>
      </c>
      <c r="O94" s="76" t="s">
        <v>535</v>
      </c>
      <c r="P94" s="76" t="s">
        <v>550</v>
      </c>
    </row>
    <row r="95" spans="2:16" ht="12.75" customHeight="1" x14ac:dyDescent="0.2">
      <c r="B95" s="76" t="s">
        <v>548</v>
      </c>
      <c r="C95" s="76">
        <f t="shared" si="17"/>
        <v>5.4E-8</v>
      </c>
      <c r="D95" s="76">
        <v>1</v>
      </c>
      <c r="E95" s="76" t="s">
        <v>123</v>
      </c>
      <c r="F95" s="76" t="s">
        <v>168</v>
      </c>
      <c r="G95" s="76" t="s">
        <v>169</v>
      </c>
      <c r="H95" s="76" t="s">
        <v>170</v>
      </c>
      <c r="I95" s="76">
        <f t="shared" si="18"/>
        <v>0</v>
      </c>
      <c r="J95" s="76">
        <f t="shared" si="23"/>
        <v>0</v>
      </c>
      <c r="K95" s="76" t="s">
        <v>535</v>
      </c>
      <c r="L95" s="76">
        <f t="shared" si="21"/>
        <v>5.4E-8</v>
      </c>
      <c r="M95" s="76" t="s">
        <v>172</v>
      </c>
      <c r="N95" s="76">
        <f t="shared" si="24"/>
        <v>5.0000000000000001E-9</v>
      </c>
      <c r="O95" s="76" t="s">
        <v>535</v>
      </c>
      <c r="P95" s="76" t="s">
        <v>550</v>
      </c>
    </row>
    <row r="96" spans="2:16" ht="12.75" customHeight="1" x14ac:dyDescent="0.2">
      <c r="B96" s="76" t="s">
        <v>548</v>
      </c>
      <c r="C96" s="76">
        <f t="shared" si="17"/>
        <v>5.4E-8</v>
      </c>
      <c r="D96" s="76">
        <v>1</v>
      </c>
      <c r="E96" s="76" t="s">
        <v>122</v>
      </c>
      <c r="F96" s="76" t="s">
        <v>168</v>
      </c>
      <c r="G96" s="76" t="s">
        <v>169</v>
      </c>
      <c r="H96" s="76" t="s">
        <v>170</v>
      </c>
      <c r="I96" s="76">
        <f t="shared" si="18"/>
        <v>0</v>
      </c>
      <c r="J96" s="76">
        <f t="shared" si="23"/>
        <v>0</v>
      </c>
      <c r="K96" s="76" t="s">
        <v>535</v>
      </c>
      <c r="L96" s="76">
        <f t="shared" si="21"/>
        <v>5.4E-8</v>
      </c>
      <c r="M96" s="76" t="s">
        <v>172</v>
      </c>
      <c r="N96" s="76">
        <f t="shared" si="24"/>
        <v>5.0000000000000001E-9</v>
      </c>
      <c r="O96" s="76" t="s">
        <v>535</v>
      </c>
      <c r="P96" s="76" t="s">
        <v>550</v>
      </c>
    </row>
    <row r="97" spans="2:16" ht="12.75" customHeight="1" x14ac:dyDescent="0.2">
      <c r="B97" s="76" t="s">
        <v>548</v>
      </c>
      <c r="C97" s="76">
        <f t="shared" si="17"/>
        <v>5.4E-8</v>
      </c>
      <c r="D97" s="76">
        <v>1</v>
      </c>
      <c r="E97" s="76" t="s">
        <v>136</v>
      </c>
      <c r="F97" s="76" t="s">
        <v>168</v>
      </c>
      <c r="G97" s="76" t="s">
        <v>169</v>
      </c>
      <c r="H97" s="76" t="s">
        <v>170</v>
      </c>
      <c r="I97" s="76">
        <f t="shared" si="18"/>
        <v>0</v>
      </c>
      <c r="J97" s="76">
        <f t="shared" si="23"/>
        <v>0</v>
      </c>
      <c r="K97" s="76" t="s">
        <v>535</v>
      </c>
      <c r="L97" s="76">
        <f t="shared" si="21"/>
        <v>5.4E-8</v>
      </c>
      <c r="M97" s="76" t="s">
        <v>172</v>
      </c>
      <c r="N97" s="76">
        <f t="shared" si="24"/>
        <v>5.0000000000000001E-9</v>
      </c>
      <c r="O97" s="76" t="s">
        <v>535</v>
      </c>
      <c r="P97" s="76" t="s">
        <v>550</v>
      </c>
    </row>
    <row r="98" spans="2:16" ht="12.75" customHeight="1" x14ac:dyDescent="0.2">
      <c r="B98" s="76" t="s">
        <v>548</v>
      </c>
      <c r="C98" s="76">
        <f t="shared" si="17"/>
        <v>5.4E-8</v>
      </c>
      <c r="D98" s="76">
        <v>1</v>
      </c>
      <c r="E98" s="76" t="s">
        <v>135</v>
      </c>
      <c r="F98" s="76" t="s">
        <v>168</v>
      </c>
      <c r="G98" s="76" t="s">
        <v>169</v>
      </c>
      <c r="H98" s="76" t="s">
        <v>170</v>
      </c>
      <c r="I98" s="76">
        <f t="shared" si="18"/>
        <v>0</v>
      </c>
      <c r="J98" s="76">
        <f t="shared" si="23"/>
        <v>0</v>
      </c>
      <c r="K98" s="76" t="s">
        <v>535</v>
      </c>
      <c r="L98" s="76">
        <f t="shared" si="21"/>
        <v>5.4E-8</v>
      </c>
      <c r="M98" s="76" t="s">
        <v>172</v>
      </c>
      <c r="N98" s="76">
        <f t="shared" si="24"/>
        <v>5.0000000000000001E-9</v>
      </c>
      <c r="O98" s="76" t="s">
        <v>535</v>
      </c>
      <c r="P98" s="76" t="s">
        <v>550</v>
      </c>
    </row>
    <row r="99" spans="2:16" ht="12.75" customHeight="1" x14ac:dyDescent="0.2">
      <c r="B99" s="76" t="s">
        <v>548</v>
      </c>
      <c r="C99" s="76">
        <f t="shared" si="17"/>
        <v>5.4E-8</v>
      </c>
      <c r="D99" s="76">
        <v>1</v>
      </c>
      <c r="E99" s="76" t="s">
        <v>134</v>
      </c>
      <c r="F99" s="76" t="s">
        <v>168</v>
      </c>
      <c r="G99" s="76" t="s">
        <v>169</v>
      </c>
      <c r="H99" s="76" t="s">
        <v>170</v>
      </c>
      <c r="I99" s="76">
        <f t="shared" si="18"/>
        <v>0</v>
      </c>
      <c r="J99" s="76">
        <f t="shared" si="23"/>
        <v>0</v>
      </c>
      <c r="K99" s="76" t="s">
        <v>535</v>
      </c>
      <c r="L99" s="76">
        <f t="shared" si="21"/>
        <v>5.4E-8</v>
      </c>
      <c r="M99" s="76" t="s">
        <v>172</v>
      </c>
      <c r="N99" s="76">
        <f t="shared" si="24"/>
        <v>5.0000000000000001E-9</v>
      </c>
      <c r="O99" s="76" t="s">
        <v>535</v>
      </c>
      <c r="P99" s="76" t="s">
        <v>550</v>
      </c>
    </row>
    <row r="100" spans="2:16" ht="12.75" customHeight="1" x14ac:dyDescent="0.2">
      <c r="B100" s="76" t="s">
        <v>548</v>
      </c>
      <c r="C100" s="76">
        <f t="shared" si="17"/>
        <v>5.4E-8</v>
      </c>
      <c r="D100" s="76">
        <v>1</v>
      </c>
      <c r="E100" s="76" t="s">
        <v>133</v>
      </c>
      <c r="F100" s="76" t="s">
        <v>168</v>
      </c>
      <c r="G100" s="76" t="s">
        <v>169</v>
      </c>
      <c r="H100" s="76" t="s">
        <v>170</v>
      </c>
      <c r="I100" s="76">
        <f t="shared" si="18"/>
        <v>0</v>
      </c>
      <c r="J100" s="76">
        <f t="shared" si="23"/>
        <v>0</v>
      </c>
      <c r="K100" s="76" t="s">
        <v>535</v>
      </c>
      <c r="L100" s="76">
        <f t="shared" si="21"/>
        <v>5.4E-8</v>
      </c>
      <c r="M100" s="76" t="s">
        <v>172</v>
      </c>
      <c r="N100" s="76">
        <f t="shared" si="24"/>
        <v>5.0000000000000001E-9</v>
      </c>
      <c r="O100" s="76" t="s">
        <v>535</v>
      </c>
      <c r="P100" s="76" t="s">
        <v>550</v>
      </c>
    </row>
    <row r="101" spans="2:16" ht="12.75" customHeight="1" x14ac:dyDescent="0.2">
      <c r="B101" s="76" t="s">
        <v>548</v>
      </c>
      <c r="C101" s="76">
        <f t="shared" si="17"/>
        <v>5.4E-8</v>
      </c>
      <c r="D101" s="76">
        <v>1</v>
      </c>
      <c r="E101" s="76" t="s">
        <v>132</v>
      </c>
      <c r="F101" s="76" t="s">
        <v>168</v>
      </c>
      <c r="G101" s="76" t="s">
        <v>169</v>
      </c>
      <c r="H101" s="76" t="s">
        <v>170</v>
      </c>
      <c r="I101" s="76">
        <f t="shared" si="18"/>
        <v>0</v>
      </c>
      <c r="J101" s="76">
        <f t="shared" si="23"/>
        <v>0</v>
      </c>
      <c r="K101" s="76" t="s">
        <v>535</v>
      </c>
      <c r="L101" s="76">
        <f t="shared" si="21"/>
        <v>5.4E-8</v>
      </c>
      <c r="M101" s="76" t="s">
        <v>172</v>
      </c>
      <c r="N101" s="76">
        <f t="shared" si="24"/>
        <v>5.0000000000000001E-9</v>
      </c>
      <c r="O101" s="76" t="s">
        <v>535</v>
      </c>
      <c r="P101" s="76" t="s">
        <v>550</v>
      </c>
    </row>
    <row r="102" spans="2:16" ht="12.75" customHeight="1" x14ac:dyDescent="0.2">
      <c r="B102" s="76" t="s">
        <v>548</v>
      </c>
      <c r="C102" s="76">
        <f t="shared" si="17"/>
        <v>5.4E-8</v>
      </c>
      <c r="D102" s="76">
        <v>1</v>
      </c>
      <c r="E102" s="76" t="s">
        <v>131</v>
      </c>
      <c r="F102" s="76" t="s">
        <v>168</v>
      </c>
      <c r="G102" s="76" t="s">
        <v>169</v>
      </c>
      <c r="H102" s="76" t="s">
        <v>170</v>
      </c>
      <c r="I102" s="76">
        <f t="shared" si="18"/>
        <v>0</v>
      </c>
      <c r="J102" s="76">
        <f t="shared" si="23"/>
        <v>0</v>
      </c>
      <c r="K102" s="76" t="s">
        <v>535</v>
      </c>
      <c r="L102" s="76">
        <f t="shared" si="21"/>
        <v>5.4E-8</v>
      </c>
      <c r="M102" s="76" t="s">
        <v>172</v>
      </c>
      <c r="N102" s="76">
        <f t="shared" si="24"/>
        <v>5.0000000000000001E-9</v>
      </c>
      <c r="O102" s="76" t="s">
        <v>535</v>
      </c>
      <c r="P102" s="76" t="s">
        <v>550</v>
      </c>
    </row>
    <row r="103" spans="2:16" ht="12.75" customHeight="1" x14ac:dyDescent="0.2">
      <c r="B103" s="76" t="s">
        <v>548</v>
      </c>
      <c r="C103" s="76">
        <f t="shared" si="17"/>
        <v>5.4E-8</v>
      </c>
      <c r="D103" s="76">
        <v>1</v>
      </c>
      <c r="E103" s="76" t="s">
        <v>130</v>
      </c>
      <c r="F103" s="76" t="s">
        <v>168</v>
      </c>
      <c r="G103" s="76" t="s">
        <v>169</v>
      </c>
      <c r="H103" s="76" t="s">
        <v>170</v>
      </c>
      <c r="I103" s="76">
        <f t="shared" si="18"/>
        <v>0</v>
      </c>
      <c r="J103" s="76">
        <f t="shared" si="23"/>
        <v>0</v>
      </c>
      <c r="K103" s="76" t="s">
        <v>535</v>
      </c>
      <c r="L103" s="76">
        <f t="shared" si="21"/>
        <v>5.4E-8</v>
      </c>
      <c r="M103" s="76" t="s">
        <v>172</v>
      </c>
      <c r="N103" s="76">
        <f t="shared" si="24"/>
        <v>5.0000000000000001E-9</v>
      </c>
      <c r="O103" s="76" t="s">
        <v>535</v>
      </c>
      <c r="P103" s="76" t="s">
        <v>550</v>
      </c>
    </row>
    <row r="104" spans="2:16" ht="12.75" customHeight="1" x14ac:dyDescent="0.2">
      <c r="B104" s="76" t="s">
        <v>548</v>
      </c>
      <c r="C104" s="76">
        <f t="shared" si="17"/>
        <v>5.4E-8</v>
      </c>
      <c r="D104" s="76">
        <v>1</v>
      </c>
      <c r="E104" s="76" t="s">
        <v>129</v>
      </c>
      <c r="F104" s="76" t="s">
        <v>168</v>
      </c>
      <c r="G104" s="76" t="s">
        <v>169</v>
      </c>
      <c r="H104" s="76" t="s">
        <v>170</v>
      </c>
      <c r="I104" s="76">
        <f t="shared" si="18"/>
        <v>0</v>
      </c>
      <c r="J104" s="76">
        <f t="shared" si="23"/>
        <v>0</v>
      </c>
      <c r="K104" s="76" t="s">
        <v>535</v>
      </c>
      <c r="L104" s="76">
        <f t="shared" si="21"/>
        <v>5.4E-8</v>
      </c>
      <c r="M104" s="76" t="s">
        <v>172</v>
      </c>
      <c r="N104" s="76">
        <f t="shared" si="24"/>
        <v>5.0000000000000001E-9</v>
      </c>
      <c r="O104" s="76" t="s">
        <v>535</v>
      </c>
      <c r="P104" s="76" t="s">
        <v>550</v>
      </c>
    </row>
    <row r="105" spans="2:16" ht="12.75" customHeight="1" x14ac:dyDescent="0.2">
      <c r="B105" s="76" t="s">
        <v>548</v>
      </c>
      <c r="C105" s="76">
        <f t="shared" si="17"/>
        <v>5.4E-8</v>
      </c>
      <c r="D105" s="76">
        <v>1</v>
      </c>
      <c r="E105" s="76" t="s">
        <v>128</v>
      </c>
      <c r="F105" s="76" t="s">
        <v>168</v>
      </c>
      <c r="G105" s="76" t="s">
        <v>169</v>
      </c>
      <c r="H105" s="76" t="s">
        <v>170</v>
      </c>
      <c r="I105" s="76">
        <f t="shared" si="18"/>
        <v>0</v>
      </c>
      <c r="J105" s="76">
        <f t="shared" si="23"/>
        <v>0</v>
      </c>
      <c r="K105" s="76" t="s">
        <v>535</v>
      </c>
      <c r="L105" s="76">
        <f t="shared" si="21"/>
        <v>5.4E-8</v>
      </c>
      <c r="M105" s="76" t="s">
        <v>172</v>
      </c>
      <c r="N105" s="76">
        <f t="shared" si="24"/>
        <v>5.0000000000000001E-9</v>
      </c>
      <c r="O105" s="76" t="s">
        <v>535</v>
      </c>
      <c r="P105" s="76" t="s">
        <v>550</v>
      </c>
    </row>
    <row r="106" spans="2:16" ht="12.75" customHeight="1" x14ac:dyDescent="0.2">
      <c r="B106" s="76" t="s">
        <v>548</v>
      </c>
      <c r="C106" s="76">
        <f t="shared" si="17"/>
        <v>5.4E-8</v>
      </c>
      <c r="D106" s="76">
        <v>1</v>
      </c>
      <c r="E106" s="76" t="s">
        <v>98</v>
      </c>
      <c r="F106" s="76" t="s">
        <v>168</v>
      </c>
      <c r="G106" s="76" t="s">
        <v>169</v>
      </c>
      <c r="H106" s="76" t="s">
        <v>170</v>
      </c>
      <c r="I106" s="76">
        <f t="shared" si="18"/>
        <v>0</v>
      </c>
      <c r="J106" s="76">
        <f t="shared" si="23"/>
        <v>0</v>
      </c>
      <c r="K106" s="76" t="s">
        <v>535</v>
      </c>
      <c r="L106" s="76">
        <f t="shared" si="21"/>
        <v>5.4E-8</v>
      </c>
      <c r="M106" s="76" t="s">
        <v>163</v>
      </c>
      <c r="N106" s="76">
        <f>0*106</f>
        <v>0</v>
      </c>
      <c r="O106" s="76" t="s">
        <v>535</v>
      </c>
      <c r="P106" s="76" t="s">
        <v>550</v>
      </c>
    </row>
    <row r="107" spans="2:16" ht="12.75" customHeight="1" x14ac:dyDescent="0.2">
      <c r="B107" s="76" t="s">
        <v>548</v>
      </c>
      <c r="C107" s="76">
        <f t="shared" si="17"/>
        <v>5.4E-8</v>
      </c>
      <c r="D107" s="76">
        <v>1</v>
      </c>
      <c r="E107" s="76" t="s">
        <v>99</v>
      </c>
      <c r="F107" s="76" t="s">
        <v>168</v>
      </c>
      <c r="G107" s="76" t="s">
        <v>169</v>
      </c>
      <c r="H107" s="76" t="s">
        <v>170</v>
      </c>
      <c r="I107" s="76">
        <f t="shared" si="18"/>
        <v>0</v>
      </c>
      <c r="J107" s="76">
        <f t="shared" si="23"/>
        <v>0</v>
      </c>
      <c r="K107" s="76" t="s">
        <v>535</v>
      </c>
      <c r="L107" s="76">
        <f t="shared" si="21"/>
        <v>5.4E-8</v>
      </c>
      <c r="M107" s="76" t="s">
        <v>172</v>
      </c>
      <c r="N107" s="76">
        <f>(5/54)*C107</f>
        <v>5.0000000000000001E-9</v>
      </c>
      <c r="O107" s="76" t="s">
        <v>535</v>
      </c>
      <c r="P107" s="76" t="s">
        <v>550</v>
      </c>
    </row>
    <row r="108" spans="2:16" ht="12.75" customHeight="1" x14ac:dyDescent="0.2">
      <c r="B108" s="76" t="s">
        <v>548</v>
      </c>
      <c r="C108" s="76">
        <f t="shared" si="17"/>
        <v>5.4E-8</v>
      </c>
      <c r="D108" s="76">
        <v>1</v>
      </c>
      <c r="E108" s="76" t="s">
        <v>898</v>
      </c>
      <c r="F108" s="76" t="s">
        <v>168</v>
      </c>
      <c r="G108" s="76" t="s">
        <v>169</v>
      </c>
      <c r="H108" s="76" t="s">
        <v>516</v>
      </c>
      <c r="I108" s="76">
        <f t="shared" si="18"/>
        <v>0</v>
      </c>
      <c r="J108" s="76">
        <f>(13/54)*C108</f>
        <v>1.2999999999999999E-8</v>
      </c>
      <c r="K108" s="76">
        <f>(40/54)*C108</f>
        <v>4.0000000000000001E-8</v>
      </c>
      <c r="L108" s="76">
        <f t="shared" si="21"/>
        <v>5.4E-8</v>
      </c>
      <c r="M108" s="76" t="s">
        <v>163</v>
      </c>
      <c r="N108" s="76">
        <f>0*C108</f>
        <v>0</v>
      </c>
      <c r="O108" s="76" t="s">
        <v>535</v>
      </c>
      <c r="P108" s="76" t="s">
        <v>549</v>
      </c>
    </row>
    <row r="109" spans="2:16" ht="12.75" customHeight="1" x14ac:dyDescent="0.2">
      <c r="B109" s="76" t="s">
        <v>548</v>
      </c>
      <c r="C109" s="76">
        <f t="shared" si="17"/>
        <v>5.4E-8</v>
      </c>
      <c r="D109" s="76">
        <v>1</v>
      </c>
      <c r="E109" s="76" t="s">
        <v>899</v>
      </c>
      <c r="F109" s="76" t="s">
        <v>168</v>
      </c>
      <c r="G109" s="76" t="s">
        <v>169</v>
      </c>
      <c r="H109" s="76" t="s">
        <v>516</v>
      </c>
      <c r="I109" s="76">
        <f t="shared" si="18"/>
        <v>0</v>
      </c>
      <c r="J109" s="76">
        <f>(13/54)*C109</f>
        <v>1.2999999999999999E-8</v>
      </c>
      <c r="K109" s="76">
        <f>(40/54)*C109</f>
        <v>4.0000000000000001E-8</v>
      </c>
      <c r="L109" s="76">
        <f t="shared" si="21"/>
        <v>5.4E-8</v>
      </c>
      <c r="M109" s="76" t="s">
        <v>163</v>
      </c>
      <c r="N109" s="76">
        <f t="shared" ref="N109:N117" si="25">0*C109</f>
        <v>0</v>
      </c>
      <c r="O109" s="76" t="s">
        <v>535</v>
      </c>
      <c r="P109" s="76" t="s">
        <v>549</v>
      </c>
    </row>
    <row r="110" spans="2:16" ht="12.75" customHeight="1" x14ac:dyDescent="0.2">
      <c r="B110" s="76" t="s">
        <v>548</v>
      </c>
      <c r="C110" s="76">
        <f t="shared" si="17"/>
        <v>5.4E-8</v>
      </c>
      <c r="D110" s="76">
        <v>1</v>
      </c>
      <c r="E110" s="76" t="s">
        <v>900</v>
      </c>
      <c r="F110" s="76" t="s">
        <v>168</v>
      </c>
      <c r="G110" s="76" t="s">
        <v>169</v>
      </c>
      <c r="H110" s="76" t="s">
        <v>170</v>
      </c>
      <c r="I110" s="76">
        <f t="shared" si="18"/>
        <v>0</v>
      </c>
      <c r="J110" s="76">
        <f>0*C110</f>
        <v>0</v>
      </c>
      <c r="K110" s="76" t="s">
        <v>535</v>
      </c>
      <c r="L110" s="76">
        <f t="shared" si="21"/>
        <v>5.4E-8</v>
      </c>
      <c r="M110" s="76" t="s">
        <v>163</v>
      </c>
      <c r="N110" s="76">
        <f t="shared" si="25"/>
        <v>0</v>
      </c>
      <c r="O110" s="76" t="s">
        <v>535</v>
      </c>
      <c r="P110" s="76" t="s">
        <v>550</v>
      </c>
    </row>
    <row r="111" spans="2:16" ht="12.75" customHeight="1" x14ac:dyDescent="0.2">
      <c r="B111" s="76" t="s">
        <v>548</v>
      </c>
      <c r="C111" s="76">
        <f t="shared" si="17"/>
        <v>5.4E-8</v>
      </c>
      <c r="D111" s="76">
        <v>1</v>
      </c>
      <c r="E111" s="76" t="s">
        <v>901</v>
      </c>
      <c r="F111" s="76" t="s">
        <v>168</v>
      </c>
      <c r="G111" s="76" t="s">
        <v>169</v>
      </c>
      <c r="H111" s="76" t="s">
        <v>170</v>
      </c>
      <c r="I111" s="76">
        <f t="shared" si="18"/>
        <v>0</v>
      </c>
      <c r="J111" s="76">
        <f t="shared" ref="J111:J151" si="26">0*C111</f>
        <v>0</v>
      </c>
      <c r="K111" s="76" t="s">
        <v>535</v>
      </c>
      <c r="L111" s="76">
        <f t="shared" si="21"/>
        <v>5.4E-8</v>
      </c>
      <c r="M111" s="76" t="s">
        <v>163</v>
      </c>
      <c r="N111" s="76">
        <f t="shared" si="25"/>
        <v>0</v>
      </c>
      <c r="O111" s="76" t="s">
        <v>535</v>
      </c>
      <c r="P111" s="76" t="s">
        <v>550</v>
      </c>
    </row>
    <row r="112" spans="2:16" ht="12.75" customHeight="1" x14ac:dyDescent="0.2">
      <c r="B112" s="76" t="s">
        <v>548</v>
      </c>
      <c r="C112" s="76">
        <f t="shared" si="17"/>
        <v>5.4E-8</v>
      </c>
      <c r="D112" s="76">
        <v>1</v>
      </c>
      <c r="E112" s="76" t="s">
        <v>902</v>
      </c>
      <c r="F112" s="76" t="s">
        <v>168</v>
      </c>
      <c r="G112" s="76" t="s">
        <v>169</v>
      </c>
      <c r="H112" s="76" t="s">
        <v>170</v>
      </c>
      <c r="I112" s="76">
        <f t="shared" si="18"/>
        <v>0</v>
      </c>
      <c r="J112" s="76">
        <f t="shared" si="26"/>
        <v>0</v>
      </c>
      <c r="K112" s="76" t="s">
        <v>535</v>
      </c>
      <c r="L112" s="76">
        <f t="shared" si="21"/>
        <v>5.4E-8</v>
      </c>
      <c r="M112" s="76" t="s">
        <v>163</v>
      </c>
      <c r="N112" s="76">
        <f t="shared" si="25"/>
        <v>0</v>
      </c>
      <c r="O112" s="76" t="s">
        <v>535</v>
      </c>
      <c r="P112" s="76" t="s">
        <v>550</v>
      </c>
    </row>
    <row r="113" spans="2:16" ht="12.75" customHeight="1" x14ac:dyDescent="0.2">
      <c r="B113" s="76" t="s">
        <v>548</v>
      </c>
      <c r="C113" s="76">
        <f t="shared" si="17"/>
        <v>5.4E-8</v>
      </c>
      <c r="D113" s="76">
        <v>1</v>
      </c>
      <c r="E113" s="76" t="s">
        <v>903</v>
      </c>
      <c r="F113" s="76" t="s">
        <v>168</v>
      </c>
      <c r="G113" s="76" t="s">
        <v>169</v>
      </c>
      <c r="H113" s="76" t="s">
        <v>170</v>
      </c>
      <c r="I113" s="76">
        <f t="shared" si="18"/>
        <v>0</v>
      </c>
      <c r="J113" s="76">
        <f t="shared" si="26"/>
        <v>0</v>
      </c>
      <c r="K113" s="76" t="s">
        <v>535</v>
      </c>
      <c r="L113" s="76">
        <f t="shared" si="21"/>
        <v>5.4E-8</v>
      </c>
      <c r="M113" s="76" t="s">
        <v>163</v>
      </c>
      <c r="N113" s="76">
        <f t="shared" si="25"/>
        <v>0</v>
      </c>
      <c r="O113" s="76" t="s">
        <v>535</v>
      </c>
      <c r="P113" s="76" t="s">
        <v>550</v>
      </c>
    </row>
    <row r="114" spans="2:16" ht="12.75" customHeight="1" x14ac:dyDescent="0.2">
      <c r="B114" s="76" t="s">
        <v>548</v>
      </c>
      <c r="C114" s="76">
        <f t="shared" si="17"/>
        <v>5.4E-8</v>
      </c>
      <c r="D114" s="76">
        <v>1</v>
      </c>
      <c r="E114" s="76" t="s">
        <v>904</v>
      </c>
      <c r="F114" s="76" t="s">
        <v>168</v>
      </c>
      <c r="G114" s="76" t="s">
        <v>169</v>
      </c>
      <c r="H114" s="76" t="s">
        <v>170</v>
      </c>
      <c r="I114" s="76">
        <f t="shared" si="18"/>
        <v>0</v>
      </c>
      <c r="J114" s="76">
        <f t="shared" si="26"/>
        <v>0</v>
      </c>
      <c r="K114" s="76" t="s">
        <v>535</v>
      </c>
      <c r="L114" s="76">
        <f t="shared" si="21"/>
        <v>5.4E-8</v>
      </c>
      <c r="M114" s="76" t="s">
        <v>163</v>
      </c>
      <c r="N114" s="76">
        <f t="shared" si="25"/>
        <v>0</v>
      </c>
      <c r="O114" s="76" t="s">
        <v>535</v>
      </c>
      <c r="P114" s="76" t="s">
        <v>550</v>
      </c>
    </row>
    <row r="115" spans="2:16" ht="12.75" customHeight="1" x14ac:dyDescent="0.2">
      <c r="B115" s="76" t="s">
        <v>548</v>
      </c>
      <c r="C115" s="76">
        <f t="shared" si="17"/>
        <v>5.4E-8</v>
      </c>
      <c r="D115" s="76">
        <v>1</v>
      </c>
      <c r="E115" s="76" t="s">
        <v>905</v>
      </c>
      <c r="F115" s="76" t="s">
        <v>168</v>
      </c>
      <c r="G115" s="76" t="s">
        <v>169</v>
      </c>
      <c r="H115" s="76" t="s">
        <v>170</v>
      </c>
      <c r="I115" s="76">
        <f t="shared" si="18"/>
        <v>0</v>
      </c>
      <c r="J115" s="76">
        <f t="shared" si="26"/>
        <v>0</v>
      </c>
      <c r="K115" s="76" t="s">
        <v>535</v>
      </c>
      <c r="L115" s="76">
        <f t="shared" si="21"/>
        <v>5.4E-8</v>
      </c>
      <c r="M115" s="76" t="s">
        <v>163</v>
      </c>
      <c r="N115" s="76">
        <f t="shared" si="25"/>
        <v>0</v>
      </c>
      <c r="O115" s="76" t="s">
        <v>535</v>
      </c>
      <c r="P115" s="76" t="s">
        <v>550</v>
      </c>
    </row>
    <row r="116" spans="2:16" ht="12.75" customHeight="1" x14ac:dyDescent="0.2">
      <c r="B116" s="76" t="s">
        <v>548</v>
      </c>
      <c r="C116" s="76">
        <f t="shared" si="17"/>
        <v>5.4E-8</v>
      </c>
      <c r="D116" s="76">
        <v>1</v>
      </c>
      <c r="E116" s="76" t="s">
        <v>906</v>
      </c>
      <c r="F116" s="76" t="s">
        <v>168</v>
      </c>
      <c r="G116" s="76" t="s">
        <v>169</v>
      </c>
      <c r="H116" s="76" t="s">
        <v>170</v>
      </c>
      <c r="I116" s="76">
        <f t="shared" si="18"/>
        <v>0</v>
      </c>
      <c r="J116" s="76">
        <f t="shared" si="26"/>
        <v>0</v>
      </c>
      <c r="K116" s="76" t="s">
        <v>535</v>
      </c>
      <c r="L116" s="76">
        <f t="shared" si="21"/>
        <v>5.4E-8</v>
      </c>
      <c r="M116" s="76" t="s">
        <v>163</v>
      </c>
      <c r="N116" s="76">
        <f t="shared" si="25"/>
        <v>0</v>
      </c>
      <c r="O116" s="76" t="s">
        <v>535</v>
      </c>
      <c r="P116" s="76" t="s">
        <v>550</v>
      </c>
    </row>
    <row r="117" spans="2:16" ht="12.75" customHeight="1" x14ac:dyDescent="0.2">
      <c r="B117" s="76" t="s">
        <v>548</v>
      </c>
      <c r="C117" s="76">
        <f t="shared" si="17"/>
        <v>5.4E-8</v>
      </c>
      <c r="D117" s="76">
        <v>1</v>
      </c>
      <c r="E117" s="76" t="s">
        <v>907</v>
      </c>
      <c r="F117" s="76" t="s">
        <v>168</v>
      </c>
      <c r="G117" s="76" t="s">
        <v>169</v>
      </c>
      <c r="H117" s="76" t="s">
        <v>170</v>
      </c>
      <c r="I117" s="76">
        <f t="shared" si="18"/>
        <v>0</v>
      </c>
      <c r="J117" s="76">
        <f t="shared" si="26"/>
        <v>0</v>
      </c>
      <c r="K117" s="76" t="s">
        <v>535</v>
      </c>
      <c r="L117" s="76">
        <f t="shared" si="21"/>
        <v>5.4E-8</v>
      </c>
      <c r="M117" s="76" t="s">
        <v>163</v>
      </c>
      <c r="N117" s="76">
        <f t="shared" si="25"/>
        <v>0</v>
      </c>
      <c r="O117" s="76" t="s">
        <v>535</v>
      </c>
      <c r="P117" s="76" t="s">
        <v>550</v>
      </c>
    </row>
    <row r="118" spans="2:16" ht="12.75" customHeight="1" x14ac:dyDescent="0.2">
      <c r="B118" s="76" t="s">
        <v>548</v>
      </c>
      <c r="C118" s="76">
        <f t="shared" si="17"/>
        <v>5.4E-8</v>
      </c>
      <c r="D118" s="76">
        <v>1</v>
      </c>
      <c r="E118" s="76" t="s">
        <v>911</v>
      </c>
      <c r="F118" s="76" t="s">
        <v>168</v>
      </c>
      <c r="G118" s="76" t="s">
        <v>169</v>
      </c>
      <c r="H118" s="76" t="s">
        <v>170</v>
      </c>
      <c r="I118" s="76">
        <f t="shared" si="18"/>
        <v>0</v>
      </c>
      <c r="J118" s="76">
        <f t="shared" si="26"/>
        <v>0</v>
      </c>
      <c r="K118" s="76" t="s">
        <v>535</v>
      </c>
      <c r="L118" s="76">
        <f t="shared" si="21"/>
        <v>5.4E-8</v>
      </c>
      <c r="M118" s="76" t="s">
        <v>172</v>
      </c>
      <c r="N118" s="76">
        <f>(5/54)*C118</f>
        <v>5.0000000000000001E-9</v>
      </c>
      <c r="O118" s="76" t="s">
        <v>535</v>
      </c>
      <c r="P118" s="76" t="s">
        <v>550</v>
      </c>
    </row>
    <row r="119" spans="2:16" ht="12.75" customHeight="1" x14ac:dyDescent="0.2">
      <c r="B119" s="76" t="s">
        <v>548</v>
      </c>
      <c r="C119" s="76">
        <f t="shared" si="17"/>
        <v>5.4E-8</v>
      </c>
      <c r="D119" s="76">
        <v>1</v>
      </c>
      <c r="E119" s="76" t="s">
        <v>908</v>
      </c>
      <c r="F119" s="76" t="s">
        <v>168</v>
      </c>
      <c r="G119" s="76" t="s">
        <v>169</v>
      </c>
      <c r="H119" s="76" t="s">
        <v>170</v>
      </c>
      <c r="I119" s="76">
        <f t="shared" si="18"/>
        <v>0</v>
      </c>
      <c r="J119" s="76">
        <f t="shared" si="26"/>
        <v>0</v>
      </c>
      <c r="K119" s="76" t="s">
        <v>535</v>
      </c>
      <c r="L119" s="76">
        <f t="shared" si="21"/>
        <v>5.4E-8</v>
      </c>
      <c r="M119" s="76" t="s">
        <v>163</v>
      </c>
      <c r="N119" s="76">
        <f>0*C119</f>
        <v>0</v>
      </c>
      <c r="O119" s="76" t="s">
        <v>535</v>
      </c>
      <c r="P119" s="76" t="s">
        <v>550</v>
      </c>
    </row>
    <row r="120" spans="2:16" ht="12.75" customHeight="1" x14ac:dyDescent="0.2">
      <c r="B120" s="76" t="s">
        <v>548</v>
      </c>
      <c r="C120" s="76">
        <f t="shared" si="17"/>
        <v>5.4E-8</v>
      </c>
      <c r="D120" s="76">
        <v>1</v>
      </c>
      <c r="E120" s="76" t="s">
        <v>944</v>
      </c>
      <c r="F120" s="76" t="s">
        <v>168</v>
      </c>
      <c r="G120" s="76" t="s">
        <v>169</v>
      </c>
      <c r="H120" s="76" t="s">
        <v>170</v>
      </c>
      <c r="I120" s="76">
        <f t="shared" si="18"/>
        <v>0</v>
      </c>
      <c r="J120" s="76">
        <f t="shared" si="26"/>
        <v>0</v>
      </c>
      <c r="K120" s="76" t="s">
        <v>535</v>
      </c>
      <c r="L120" s="76">
        <f t="shared" si="21"/>
        <v>5.4E-8</v>
      </c>
      <c r="M120" s="76" t="s">
        <v>163</v>
      </c>
      <c r="N120" s="76">
        <f t="shared" ref="N120:N153" si="27">0*C120</f>
        <v>0</v>
      </c>
      <c r="O120" s="76" t="s">
        <v>535</v>
      </c>
      <c r="P120" s="76" t="s">
        <v>550</v>
      </c>
    </row>
    <row r="121" spans="2:16" ht="12.75" customHeight="1" x14ac:dyDescent="0.2">
      <c r="B121" s="76" t="s">
        <v>548</v>
      </c>
      <c r="C121" s="76">
        <f t="shared" si="17"/>
        <v>5.4E-8</v>
      </c>
      <c r="D121" s="76">
        <v>1</v>
      </c>
      <c r="E121" s="76" t="s">
        <v>934</v>
      </c>
      <c r="F121" s="76" t="s">
        <v>168</v>
      </c>
      <c r="G121" s="76" t="s">
        <v>169</v>
      </c>
      <c r="H121" s="76" t="s">
        <v>170</v>
      </c>
      <c r="I121" s="76">
        <f t="shared" si="18"/>
        <v>0</v>
      </c>
      <c r="J121" s="76">
        <f t="shared" si="26"/>
        <v>0</v>
      </c>
      <c r="K121" s="76" t="s">
        <v>535</v>
      </c>
      <c r="L121" s="76">
        <f t="shared" si="21"/>
        <v>5.4E-8</v>
      </c>
      <c r="M121" s="76" t="s">
        <v>163</v>
      </c>
      <c r="N121" s="76">
        <f t="shared" si="27"/>
        <v>0</v>
      </c>
      <c r="O121" s="76" t="s">
        <v>535</v>
      </c>
      <c r="P121" s="76" t="s">
        <v>550</v>
      </c>
    </row>
    <row r="122" spans="2:16" ht="12.75" customHeight="1" x14ac:dyDescent="0.2">
      <c r="B122" s="76" t="s">
        <v>548</v>
      </c>
      <c r="C122" s="76">
        <f t="shared" si="17"/>
        <v>5.4E-8</v>
      </c>
      <c r="D122" s="76">
        <v>1</v>
      </c>
      <c r="E122" s="76" t="s">
        <v>933</v>
      </c>
      <c r="F122" s="76" t="s">
        <v>168</v>
      </c>
      <c r="G122" s="76" t="s">
        <v>169</v>
      </c>
      <c r="H122" s="76" t="s">
        <v>170</v>
      </c>
      <c r="I122" s="76">
        <f t="shared" si="18"/>
        <v>0</v>
      </c>
      <c r="J122" s="76">
        <f t="shared" si="26"/>
        <v>0</v>
      </c>
      <c r="K122" s="76" t="s">
        <v>535</v>
      </c>
      <c r="L122" s="76">
        <f t="shared" si="21"/>
        <v>5.4E-8</v>
      </c>
      <c r="M122" s="76" t="s">
        <v>163</v>
      </c>
      <c r="N122" s="76">
        <f t="shared" si="27"/>
        <v>0</v>
      </c>
      <c r="O122" s="76" t="s">
        <v>535</v>
      </c>
      <c r="P122" s="76" t="s">
        <v>550</v>
      </c>
    </row>
    <row r="123" spans="2:16" ht="12.75" customHeight="1" x14ac:dyDescent="0.2">
      <c r="B123" s="76" t="s">
        <v>548</v>
      </c>
      <c r="C123" s="76">
        <f t="shared" si="17"/>
        <v>5.4E-8</v>
      </c>
      <c r="D123" s="76">
        <v>1</v>
      </c>
      <c r="E123" s="76" t="s">
        <v>932</v>
      </c>
      <c r="F123" s="76" t="s">
        <v>168</v>
      </c>
      <c r="G123" s="76" t="s">
        <v>169</v>
      </c>
      <c r="H123" s="76" t="s">
        <v>170</v>
      </c>
      <c r="I123" s="76">
        <f t="shared" si="18"/>
        <v>0</v>
      </c>
      <c r="J123" s="76">
        <f t="shared" si="26"/>
        <v>0</v>
      </c>
      <c r="K123" s="76" t="s">
        <v>535</v>
      </c>
      <c r="L123" s="76">
        <f t="shared" si="21"/>
        <v>5.4E-8</v>
      </c>
      <c r="M123" s="76" t="s">
        <v>163</v>
      </c>
      <c r="N123" s="76">
        <f t="shared" si="27"/>
        <v>0</v>
      </c>
      <c r="O123" s="76" t="s">
        <v>535</v>
      </c>
      <c r="P123" s="76" t="s">
        <v>550</v>
      </c>
    </row>
    <row r="124" spans="2:16" ht="12.75" customHeight="1" x14ac:dyDescent="0.2">
      <c r="B124" s="76" t="s">
        <v>548</v>
      </c>
      <c r="C124" s="76">
        <f t="shared" si="17"/>
        <v>5.4E-8</v>
      </c>
      <c r="D124" s="76">
        <v>1</v>
      </c>
      <c r="E124" s="76" t="s">
        <v>931</v>
      </c>
      <c r="F124" s="76" t="s">
        <v>168</v>
      </c>
      <c r="G124" s="76" t="s">
        <v>169</v>
      </c>
      <c r="H124" s="76" t="s">
        <v>170</v>
      </c>
      <c r="I124" s="76">
        <f t="shared" si="18"/>
        <v>0</v>
      </c>
      <c r="J124" s="76">
        <f t="shared" si="26"/>
        <v>0</v>
      </c>
      <c r="K124" s="76" t="s">
        <v>535</v>
      </c>
      <c r="L124" s="76">
        <f t="shared" si="21"/>
        <v>5.4E-8</v>
      </c>
      <c r="M124" s="76" t="s">
        <v>163</v>
      </c>
      <c r="N124" s="76">
        <f t="shared" si="27"/>
        <v>0</v>
      </c>
      <c r="O124" s="76" t="s">
        <v>535</v>
      </c>
      <c r="P124" s="76" t="s">
        <v>550</v>
      </c>
    </row>
    <row r="125" spans="2:16" ht="12.75" customHeight="1" x14ac:dyDescent="0.2">
      <c r="B125" s="76" t="s">
        <v>548</v>
      </c>
      <c r="C125" s="76">
        <f t="shared" si="17"/>
        <v>5.4E-8</v>
      </c>
      <c r="D125" s="76">
        <v>1</v>
      </c>
      <c r="E125" s="76" t="s">
        <v>930</v>
      </c>
      <c r="F125" s="76" t="s">
        <v>168</v>
      </c>
      <c r="G125" s="76" t="s">
        <v>169</v>
      </c>
      <c r="H125" s="76" t="s">
        <v>170</v>
      </c>
      <c r="I125" s="76">
        <f t="shared" si="18"/>
        <v>0</v>
      </c>
      <c r="J125" s="76">
        <f t="shared" si="26"/>
        <v>0</v>
      </c>
      <c r="K125" s="76" t="s">
        <v>535</v>
      </c>
      <c r="L125" s="76">
        <f t="shared" si="21"/>
        <v>5.4E-8</v>
      </c>
      <c r="M125" s="76" t="s">
        <v>163</v>
      </c>
      <c r="N125" s="76">
        <f t="shared" si="27"/>
        <v>0</v>
      </c>
      <c r="O125" s="76" t="s">
        <v>535</v>
      </c>
      <c r="P125" s="76" t="s">
        <v>550</v>
      </c>
    </row>
    <row r="126" spans="2:16" ht="12.75" customHeight="1" x14ac:dyDescent="0.2">
      <c r="B126" s="76" t="s">
        <v>548</v>
      </c>
      <c r="C126" s="76">
        <f t="shared" si="17"/>
        <v>5.4E-8</v>
      </c>
      <c r="D126" s="76">
        <v>1</v>
      </c>
      <c r="E126" s="76" t="s">
        <v>929</v>
      </c>
      <c r="F126" s="76" t="s">
        <v>168</v>
      </c>
      <c r="G126" s="76" t="s">
        <v>169</v>
      </c>
      <c r="H126" s="76" t="s">
        <v>170</v>
      </c>
      <c r="I126" s="76">
        <f t="shared" si="18"/>
        <v>0</v>
      </c>
      <c r="J126" s="76">
        <f t="shared" si="26"/>
        <v>0</v>
      </c>
      <c r="K126" s="76" t="s">
        <v>535</v>
      </c>
      <c r="L126" s="76">
        <f t="shared" si="21"/>
        <v>5.4E-8</v>
      </c>
      <c r="M126" s="76" t="s">
        <v>163</v>
      </c>
      <c r="N126" s="76">
        <f t="shared" si="27"/>
        <v>0</v>
      </c>
      <c r="O126" s="76" t="s">
        <v>535</v>
      </c>
      <c r="P126" s="76" t="s">
        <v>550</v>
      </c>
    </row>
    <row r="127" spans="2:16" ht="12.75" customHeight="1" x14ac:dyDescent="0.2">
      <c r="B127" s="76" t="s">
        <v>548</v>
      </c>
      <c r="C127" s="76">
        <f t="shared" si="17"/>
        <v>5.4E-8</v>
      </c>
      <c r="D127" s="76">
        <v>1</v>
      </c>
      <c r="E127" s="76" t="s">
        <v>928</v>
      </c>
      <c r="F127" s="76" t="s">
        <v>168</v>
      </c>
      <c r="G127" s="76" t="s">
        <v>169</v>
      </c>
      <c r="H127" s="76" t="s">
        <v>170</v>
      </c>
      <c r="I127" s="76">
        <f t="shared" si="18"/>
        <v>0</v>
      </c>
      <c r="J127" s="76">
        <f t="shared" si="26"/>
        <v>0</v>
      </c>
      <c r="K127" s="76" t="s">
        <v>535</v>
      </c>
      <c r="L127" s="76">
        <f t="shared" si="21"/>
        <v>5.4E-8</v>
      </c>
      <c r="M127" s="76" t="s">
        <v>163</v>
      </c>
      <c r="N127" s="76">
        <f t="shared" si="27"/>
        <v>0</v>
      </c>
      <c r="O127" s="76" t="s">
        <v>535</v>
      </c>
      <c r="P127" s="76" t="s">
        <v>550</v>
      </c>
    </row>
    <row r="128" spans="2:16" ht="12.75" customHeight="1" x14ac:dyDescent="0.2">
      <c r="B128" s="76" t="s">
        <v>548</v>
      </c>
      <c r="C128" s="76">
        <f t="shared" si="17"/>
        <v>5.4E-8</v>
      </c>
      <c r="D128" s="76">
        <v>1</v>
      </c>
      <c r="E128" s="76" t="s">
        <v>927</v>
      </c>
      <c r="F128" s="76" t="s">
        <v>168</v>
      </c>
      <c r="G128" s="76" t="s">
        <v>169</v>
      </c>
      <c r="H128" s="76" t="s">
        <v>170</v>
      </c>
      <c r="I128" s="76">
        <f t="shared" si="18"/>
        <v>0</v>
      </c>
      <c r="J128" s="76">
        <f t="shared" si="26"/>
        <v>0</v>
      </c>
      <c r="K128" s="76" t="s">
        <v>535</v>
      </c>
      <c r="L128" s="76">
        <f t="shared" si="21"/>
        <v>5.4E-8</v>
      </c>
      <c r="M128" s="76" t="s">
        <v>163</v>
      </c>
      <c r="N128" s="76">
        <f t="shared" si="27"/>
        <v>0</v>
      </c>
      <c r="O128" s="76" t="s">
        <v>535</v>
      </c>
      <c r="P128" s="76" t="s">
        <v>550</v>
      </c>
    </row>
    <row r="129" spans="2:16" ht="12.75" customHeight="1" x14ac:dyDescent="0.2">
      <c r="B129" s="76" t="s">
        <v>548</v>
      </c>
      <c r="C129" s="76">
        <f t="shared" si="17"/>
        <v>5.4E-8</v>
      </c>
      <c r="D129" s="76">
        <v>1</v>
      </c>
      <c r="E129" s="76" t="s">
        <v>926</v>
      </c>
      <c r="F129" s="76" t="s">
        <v>168</v>
      </c>
      <c r="G129" s="76" t="s">
        <v>169</v>
      </c>
      <c r="H129" s="76" t="s">
        <v>170</v>
      </c>
      <c r="I129" s="76">
        <f t="shared" si="18"/>
        <v>0</v>
      </c>
      <c r="J129" s="76">
        <f t="shared" si="26"/>
        <v>0</v>
      </c>
      <c r="K129" s="76" t="s">
        <v>535</v>
      </c>
      <c r="L129" s="76">
        <f t="shared" si="21"/>
        <v>5.4E-8</v>
      </c>
      <c r="M129" s="76" t="s">
        <v>163</v>
      </c>
      <c r="N129" s="76">
        <f t="shared" si="27"/>
        <v>0</v>
      </c>
      <c r="O129" s="76" t="s">
        <v>535</v>
      </c>
      <c r="P129" s="76" t="s">
        <v>550</v>
      </c>
    </row>
    <row r="130" spans="2:16" ht="12.75" customHeight="1" x14ac:dyDescent="0.2">
      <c r="B130" s="76" t="s">
        <v>548</v>
      </c>
      <c r="C130" s="76">
        <f t="shared" si="17"/>
        <v>5.4E-8</v>
      </c>
      <c r="D130" s="76">
        <v>1</v>
      </c>
      <c r="E130" s="76" t="s">
        <v>925</v>
      </c>
      <c r="F130" s="76" t="s">
        <v>168</v>
      </c>
      <c r="G130" s="76" t="s">
        <v>169</v>
      </c>
      <c r="H130" s="76" t="s">
        <v>170</v>
      </c>
      <c r="I130" s="76">
        <f t="shared" si="18"/>
        <v>0</v>
      </c>
      <c r="J130" s="76">
        <f t="shared" si="26"/>
        <v>0</v>
      </c>
      <c r="K130" s="76" t="s">
        <v>535</v>
      </c>
      <c r="L130" s="76">
        <f t="shared" si="21"/>
        <v>5.4E-8</v>
      </c>
      <c r="M130" s="76" t="s">
        <v>163</v>
      </c>
      <c r="N130" s="76">
        <f t="shared" si="27"/>
        <v>0</v>
      </c>
      <c r="O130" s="76" t="s">
        <v>535</v>
      </c>
      <c r="P130" s="76" t="s">
        <v>550</v>
      </c>
    </row>
    <row r="131" spans="2:16" ht="12.75" customHeight="1" x14ac:dyDescent="0.2">
      <c r="B131" s="76" t="s">
        <v>548</v>
      </c>
      <c r="C131" s="76">
        <f t="shared" si="17"/>
        <v>5.4E-8</v>
      </c>
      <c r="D131" s="76">
        <v>1</v>
      </c>
      <c r="E131" s="76" t="s">
        <v>943</v>
      </c>
      <c r="F131" s="76" t="s">
        <v>168</v>
      </c>
      <c r="G131" s="76" t="s">
        <v>169</v>
      </c>
      <c r="H131" s="76" t="s">
        <v>170</v>
      </c>
      <c r="I131" s="76">
        <f t="shared" si="18"/>
        <v>0</v>
      </c>
      <c r="J131" s="76">
        <f t="shared" si="26"/>
        <v>0</v>
      </c>
      <c r="K131" s="76" t="s">
        <v>535</v>
      </c>
      <c r="L131" s="76">
        <f t="shared" si="21"/>
        <v>5.4E-8</v>
      </c>
      <c r="M131" s="76" t="s">
        <v>163</v>
      </c>
      <c r="N131" s="76">
        <f t="shared" si="27"/>
        <v>0</v>
      </c>
      <c r="O131" s="76" t="s">
        <v>535</v>
      </c>
      <c r="P131" s="76" t="s">
        <v>550</v>
      </c>
    </row>
    <row r="132" spans="2:16" ht="12.75" customHeight="1" x14ac:dyDescent="0.2">
      <c r="B132" s="76" t="s">
        <v>548</v>
      </c>
      <c r="C132" s="76">
        <f t="shared" si="17"/>
        <v>5.4E-8</v>
      </c>
      <c r="D132" s="76">
        <v>1</v>
      </c>
      <c r="E132" s="76" t="s">
        <v>924</v>
      </c>
      <c r="F132" s="76" t="s">
        <v>168</v>
      </c>
      <c r="G132" s="76" t="s">
        <v>169</v>
      </c>
      <c r="H132" s="76" t="s">
        <v>170</v>
      </c>
      <c r="I132" s="76">
        <f t="shared" si="18"/>
        <v>0</v>
      </c>
      <c r="J132" s="76">
        <f t="shared" si="26"/>
        <v>0</v>
      </c>
      <c r="K132" s="76" t="s">
        <v>535</v>
      </c>
      <c r="L132" s="76">
        <f t="shared" si="21"/>
        <v>5.4E-8</v>
      </c>
      <c r="M132" s="76" t="s">
        <v>163</v>
      </c>
      <c r="N132" s="76">
        <f t="shared" si="27"/>
        <v>0</v>
      </c>
      <c r="O132" s="76" t="s">
        <v>535</v>
      </c>
      <c r="P132" s="76" t="s">
        <v>550</v>
      </c>
    </row>
    <row r="133" spans="2:16" ht="12.75" customHeight="1" x14ac:dyDescent="0.2">
      <c r="B133" s="76" t="s">
        <v>548</v>
      </c>
      <c r="C133" s="76">
        <f t="shared" si="17"/>
        <v>5.4E-8</v>
      </c>
      <c r="D133" s="76">
        <v>1</v>
      </c>
      <c r="E133" s="76" t="s">
        <v>923</v>
      </c>
      <c r="F133" s="76" t="s">
        <v>168</v>
      </c>
      <c r="G133" s="76" t="s">
        <v>169</v>
      </c>
      <c r="H133" s="76" t="s">
        <v>170</v>
      </c>
      <c r="I133" s="76">
        <f t="shared" si="18"/>
        <v>0</v>
      </c>
      <c r="J133" s="76">
        <f t="shared" si="26"/>
        <v>0</v>
      </c>
      <c r="K133" s="76" t="s">
        <v>535</v>
      </c>
      <c r="L133" s="76">
        <f t="shared" si="21"/>
        <v>5.4E-8</v>
      </c>
      <c r="M133" s="76" t="s">
        <v>163</v>
      </c>
      <c r="N133" s="76">
        <f t="shared" si="27"/>
        <v>0</v>
      </c>
      <c r="O133" s="76" t="s">
        <v>535</v>
      </c>
      <c r="P133" s="76" t="s">
        <v>550</v>
      </c>
    </row>
    <row r="134" spans="2:16" ht="12.75" customHeight="1" x14ac:dyDescent="0.2">
      <c r="B134" s="76" t="s">
        <v>548</v>
      </c>
      <c r="C134" s="76">
        <f t="shared" si="17"/>
        <v>5.4E-8</v>
      </c>
      <c r="D134" s="76">
        <v>1</v>
      </c>
      <c r="E134" s="76" t="s">
        <v>922</v>
      </c>
      <c r="F134" s="76" t="s">
        <v>168</v>
      </c>
      <c r="G134" s="76" t="s">
        <v>169</v>
      </c>
      <c r="H134" s="76" t="s">
        <v>170</v>
      </c>
      <c r="I134" s="76">
        <f t="shared" si="18"/>
        <v>0</v>
      </c>
      <c r="J134" s="76">
        <f t="shared" si="26"/>
        <v>0</v>
      </c>
      <c r="K134" s="76" t="s">
        <v>535</v>
      </c>
      <c r="L134" s="76">
        <f t="shared" si="21"/>
        <v>5.4E-8</v>
      </c>
      <c r="M134" s="76" t="s">
        <v>163</v>
      </c>
      <c r="N134" s="76">
        <f t="shared" si="27"/>
        <v>0</v>
      </c>
      <c r="O134" s="76" t="s">
        <v>535</v>
      </c>
      <c r="P134" s="76" t="s">
        <v>550</v>
      </c>
    </row>
    <row r="135" spans="2:16" ht="12.75" customHeight="1" x14ac:dyDescent="0.2">
      <c r="B135" s="76" t="s">
        <v>548</v>
      </c>
      <c r="C135" s="76">
        <f t="shared" si="17"/>
        <v>5.4E-8</v>
      </c>
      <c r="D135" s="76">
        <v>1</v>
      </c>
      <c r="E135" s="76" t="s">
        <v>921</v>
      </c>
      <c r="F135" s="76" t="s">
        <v>168</v>
      </c>
      <c r="G135" s="76" t="s">
        <v>169</v>
      </c>
      <c r="H135" s="76" t="s">
        <v>170</v>
      </c>
      <c r="I135" s="76">
        <f t="shared" si="18"/>
        <v>0</v>
      </c>
      <c r="J135" s="76">
        <f t="shared" si="26"/>
        <v>0</v>
      </c>
      <c r="K135" s="76" t="s">
        <v>535</v>
      </c>
      <c r="L135" s="76">
        <f t="shared" si="21"/>
        <v>5.4E-8</v>
      </c>
      <c r="M135" s="76" t="s">
        <v>163</v>
      </c>
      <c r="N135" s="76">
        <f t="shared" si="27"/>
        <v>0</v>
      </c>
      <c r="O135" s="76" t="s">
        <v>535</v>
      </c>
      <c r="P135" s="76" t="s">
        <v>550</v>
      </c>
    </row>
    <row r="136" spans="2:16" ht="12.75" customHeight="1" x14ac:dyDescent="0.2">
      <c r="B136" s="76" t="s">
        <v>548</v>
      </c>
      <c r="C136" s="76">
        <f t="shared" si="17"/>
        <v>5.4E-8</v>
      </c>
      <c r="D136" s="76">
        <v>1</v>
      </c>
      <c r="E136" s="76" t="s">
        <v>920</v>
      </c>
      <c r="F136" s="76" t="s">
        <v>168</v>
      </c>
      <c r="G136" s="76" t="s">
        <v>169</v>
      </c>
      <c r="H136" s="76" t="s">
        <v>170</v>
      </c>
      <c r="I136" s="76">
        <f t="shared" si="18"/>
        <v>0</v>
      </c>
      <c r="J136" s="76">
        <f t="shared" si="26"/>
        <v>0</v>
      </c>
      <c r="K136" s="76" t="s">
        <v>535</v>
      </c>
      <c r="L136" s="76">
        <f t="shared" si="21"/>
        <v>5.4E-8</v>
      </c>
      <c r="M136" s="76" t="s">
        <v>163</v>
      </c>
      <c r="N136" s="76">
        <f t="shared" si="27"/>
        <v>0</v>
      </c>
      <c r="O136" s="76" t="s">
        <v>535</v>
      </c>
      <c r="P136" s="76" t="s">
        <v>550</v>
      </c>
    </row>
    <row r="137" spans="2:16" ht="12.75" customHeight="1" x14ac:dyDescent="0.2">
      <c r="B137" s="76" t="s">
        <v>548</v>
      </c>
      <c r="C137" s="76">
        <f t="shared" si="17"/>
        <v>5.4E-8</v>
      </c>
      <c r="D137" s="76">
        <v>1</v>
      </c>
      <c r="E137" s="76" t="s">
        <v>919</v>
      </c>
      <c r="F137" s="76" t="s">
        <v>168</v>
      </c>
      <c r="G137" s="76" t="s">
        <v>169</v>
      </c>
      <c r="H137" s="76" t="s">
        <v>170</v>
      </c>
      <c r="I137" s="76">
        <f t="shared" si="18"/>
        <v>0</v>
      </c>
      <c r="J137" s="76">
        <f t="shared" si="26"/>
        <v>0</v>
      </c>
      <c r="K137" s="76" t="s">
        <v>535</v>
      </c>
      <c r="L137" s="76">
        <f t="shared" si="21"/>
        <v>5.4E-8</v>
      </c>
      <c r="M137" s="76" t="s">
        <v>163</v>
      </c>
      <c r="N137" s="76">
        <f t="shared" si="27"/>
        <v>0</v>
      </c>
      <c r="O137" s="76" t="s">
        <v>535</v>
      </c>
      <c r="P137" s="76" t="s">
        <v>550</v>
      </c>
    </row>
    <row r="138" spans="2:16" ht="12.75" customHeight="1" x14ac:dyDescent="0.2">
      <c r="B138" s="76" t="s">
        <v>548</v>
      </c>
      <c r="C138" s="76">
        <f t="shared" si="17"/>
        <v>5.4E-8</v>
      </c>
      <c r="D138" s="76">
        <v>1</v>
      </c>
      <c r="E138" s="76" t="s">
        <v>918</v>
      </c>
      <c r="F138" s="76" t="s">
        <v>168</v>
      </c>
      <c r="G138" s="76" t="s">
        <v>169</v>
      </c>
      <c r="H138" s="76" t="s">
        <v>170</v>
      </c>
      <c r="I138" s="76">
        <f t="shared" si="18"/>
        <v>0</v>
      </c>
      <c r="J138" s="76">
        <f t="shared" si="26"/>
        <v>0</v>
      </c>
      <c r="K138" s="76" t="s">
        <v>535</v>
      </c>
      <c r="L138" s="76">
        <f t="shared" si="21"/>
        <v>5.4E-8</v>
      </c>
      <c r="M138" s="76" t="s">
        <v>163</v>
      </c>
      <c r="N138" s="76">
        <f t="shared" si="27"/>
        <v>0</v>
      </c>
      <c r="O138" s="76" t="s">
        <v>535</v>
      </c>
      <c r="P138" s="76" t="s">
        <v>550</v>
      </c>
    </row>
    <row r="139" spans="2:16" ht="12.75" customHeight="1" x14ac:dyDescent="0.2">
      <c r="B139" s="76" t="s">
        <v>548</v>
      </c>
      <c r="C139" s="76">
        <f t="shared" si="17"/>
        <v>5.4E-8</v>
      </c>
      <c r="D139" s="76">
        <v>1</v>
      </c>
      <c r="E139" s="76" t="s">
        <v>917</v>
      </c>
      <c r="F139" s="76" t="s">
        <v>168</v>
      </c>
      <c r="G139" s="76" t="s">
        <v>169</v>
      </c>
      <c r="H139" s="76" t="s">
        <v>170</v>
      </c>
      <c r="I139" s="76">
        <f t="shared" si="18"/>
        <v>0</v>
      </c>
      <c r="J139" s="76">
        <f t="shared" si="26"/>
        <v>0</v>
      </c>
      <c r="K139" s="76" t="s">
        <v>535</v>
      </c>
      <c r="L139" s="76">
        <f t="shared" si="21"/>
        <v>5.4E-8</v>
      </c>
      <c r="M139" s="76" t="s">
        <v>163</v>
      </c>
      <c r="N139" s="76">
        <f t="shared" si="27"/>
        <v>0</v>
      </c>
      <c r="O139" s="76" t="s">
        <v>535</v>
      </c>
      <c r="P139" s="76" t="s">
        <v>550</v>
      </c>
    </row>
    <row r="140" spans="2:16" ht="12.75" customHeight="1" x14ac:dyDescent="0.2">
      <c r="B140" s="76" t="s">
        <v>548</v>
      </c>
      <c r="C140" s="76">
        <f t="shared" si="17"/>
        <v>5.4E-8</v>
      </c>
      <c r="D140" s="76">
        <v>1</v>
      </c>
      <c r="E140" s="76" t="s">
        <v>916</v>
      </c>
      <c r="F140" s="76" t="s">
        <v>168</v>
      </c>
      <c r="G140" s="76" t="s">
        <v>169</v>
      </c>
      <c r="H140" s="76" t="s">
        <v>170</v>
      </c>
      <c r="I140" s="76">
        <f t="shared" si="18"/>
        <v>0</v>
      </c>
      <c r="J140" s="76">
        <f t="shared" si="26"/>
        <v>0</v>
      </c>
      <c r="K140" s="76" t="s">
        <v>535</v>
      </c>
      <c r="L140" s="76">
        <f t="shared" si="21"/>
        <v>5.4E-8</v>
      </c>
      <c r="M140" s="76" t="s">
        <v>163</v>
      </c>
      <c r="N140" s="76">
        <f t="shared" si="27"/>
        <v>0</v>
      </c>
      <c r="O140" s="76" t="s">
        <v>535</v>
      </c>
      <c r="P140" s="76" t="s">
        <v>550</v>
      </c>
    </row>
    <row r="141" spans="2:16" ht="12.75" customHeight="1" x14ac:dyDescent="0.2">
      <c r="B141" s="76" t="s">
        <v>548</v>
      </c>
      <c r="C141" s="76">
        <f t="shared" si="17"/>
        <v>5.4E-8</v>
      </c>
      <c r="D141" s="76">
        <v>1</v>
      </c>
      <c r="E141" s="76" t="s">
        <v>915</v>
      </c>
      <c r="F141" s="76" t="s">
        <v>168</v>
      </c>
      <c r="G141" s="76" t="s">
        <v>169</v>
      </c>
      <c r="H141" s="76" t="s">
        <v>170</v>
      </c>
      <c r="I141" s="76">
        <f t="shared" si="18"/>
        <v>0</v>
      </c>
      <c r="J141" s="76">
        <f t="shared" si="26"/>
        <v>0</v>
      </c>
      <c r="K141" s="76" t="s">
        <v>535</v>
      </c>
      <c r="L141" s="76">
        <f t="shared" si="21"/>
        <v>5.4E-8</v>
      </c>
      <c r="M141" s="76" t="s">
        <v>163</v>
      </c>
      <c r="N141" s="76">
        <f t="shared" si="27"/>
        <v>0</v>
      </c>
      <c r="O141" s="76" t="s">
        <v>535</v>
      </c>
      <c r="P141" s="76" t="s">
        <v>550</v>
      </c>
    </row>
    <row r="142" spans="2:16" ht="12.75" customHeight="1" x14ac:dyDescent="0.2">
      <c r="B142" s="76" t="s">
        <v>548</v>
      </c>
      <c r="C142" s="76">
        <f t="shared" si="17"/>
        <v>5.4E-8</v>
      </c>
      <c r="D142" s="76">
        <v>1</v>
      </c>
      <c r="E142" s="76" t="s">
        <v>942</v>
      </c>
      <c r="F142" s="76" t="s">
        <v>168</v>
      </c>
      <c r="G142" s="76" t="s">
        <v>169</v>
      </c>
      <c r="H142" s="76" t="s">
        <v>170</v>
      </c>
      <c r="I142" s="76">
        <f t="shared" si="18"/>
        <v>0</v>
      </c>
      <c r="J142" s="76">
        <f t="shared" si="26"/>
        <v>0</v>
      </c>
      <c r="K142" s="76" t="s">
        <v>535</v>
      </c>
      <c r="L142" s="76">
        <f t="shared" si="21"/>
        <v>5.4E-8</v>
      </c>
      <c r="M142" s="76" t="s">
        <v>163</v>
      </c>
      <c r="N142" s="76">
        <f t="shared" si="27"/>
        <v>0</v>
      </c>
      <c r="O142" s="76" t="s">
        <v>535</v>
      </c>
      <c r="P142" s="76" t="s">
        <v>550</v>
      </c>
    </row>
    <row r="143" spans="2:16" ht="12.75" customHeight="1" x14ac:dyDescent="0.2">
      <c r="B143" s="76" t="s">
        <v>548</v>
      </c>
      <c r="C143" s="76">
        <f t="shared" si="17"/>
        <v>5.4E-8</v>
      </c>
      <c r="D143" s="76">
        <v>1</v>
      </c>
      <c r="E143" s="76" t="s">
        <v>914</v>
      </c>
      <c r="F143" s="76" t="s">
        <v>168</v>
      </c>
      <c r="G143" s="76" t="s">
        <v>169</v>
      </c>
      <c r="H143" s="76" t="s">
        <v>170</v>
      </c>
      <c r="I143" s="76">
        <f t="shared" si="18"/>
        <v>0</v>
      </c>
      <c r="J143" s="76">
        <f t="shared" si="26"/>
        <v>0</v>
      </c>
      <c r="K143" s="76" t="s">
        <v>535</v>
      </c>
      <c r="L143" s="76">
        <f t="shared" si="21"/>
        <v>5.4E-8</v>
      </c>
      <c r="M143" s="76" t="s">
        <v>163</v>
      </c>
      <c r="N143" s="76">
        <f t="shared" si="27"/>
        <v>0</v>
      </c>
      <c r="O143" s="76" t="s">
        <v>535</v>
      </c>
      <c r="P143" s="76" t="s">
        <v>550</v>
      </c>
    </row>
    <row r="144" spans="2:16" ht="12.75" customHeight="1" x14ac:dyDescent="0.2">
      <c r="B144" s="76" t="s">
        <v>548</v>
      </c>
      <c r="C144" s="76">
        <f t="shared" si="17"/>
        <v>5.4E-8</v>
      </c>
      <c r="D144" s="76">
        <v>1</v>
      </c>
      <c r="E144" s="76" t="s">
        <v>913</v>
      </c>
      <c r="F144" s="76" t="s">
        <v>168</v>
      </c>
      <c r="G144" s="76" t="s">
        <v>169</v>
      </c>
      <c r="H144" s="76" t="s">
        <v>170</v>
      </c>
      <c r="I144" s="76">
        <f t="shared" si="18"/>
        <v>0</v>
      </c>
      <c r="J144" s="76">
        <f t="shared" si="26"/>
        <v>0</v>
      </c>
      <c r="K144" s="76" t="s">
        <v>535</v>
      </c>
      <c r="L144" s="76">
        <f t="shared" si="21"/>
        <v>5.4E-8</v>
      </c>
      <c r="M144" s="76" t="s">
        <v>163</v>
      </c>
      <c r="N144" s="76">
        <f t="shared" si="27"/>
        <v>0</v>
      </c>
      <c r="O144" s="76" t="s">
        <v>535</v>
      </c>
      <c r="P144" s="76" t="s">
        <v>550</v>
      </c>
    </row>
    <row r="145" spans="2:16" ht="12.75" customHeight="1" x14ac:dyDescent="0.2">
      <c r="B145" s="76" t="s">
        <v>548</v>
      </c>
      <c r="C145" s="76">
        <f t="shared" si="17"/>
        <v>5.4E-8</v>
      </c>
      <c r="D145" s="76">
        <v>1</v>
      </c>
      <c r="E145" s="76" t="s">
        <v>941</v>
      </c>
      <c r="F145" s="76" t="s">
        <v>168</v>
      </c>
      <c r="G145" s="76" t="s">
        <v>169</v>
      </c>
      <c r="H145" s="76" t="s">
        <v>170</v>
      </c>
      <c r="I145" s="76">
        <f t="shared" si="18"/>
        <v>0</v>
      </c>
      <c r="J145" s="76">
        <f t="shared" si="26"/>
        <v>0</v>
      </c>
      <c r="K145" s="76" t="s">
        <v>535</v>
      </c>
      <c r="L145" s="76">
        <f t="shared" si="21"/>
        <v>5.4E-8</v>
      </c>
      <c r="M145" s="76" t="s">
        <v>163</v>
      </c>
      <c r="N145" s="76">
        <f t="shared" si="27"/>
        <v>0</v>
      </c>
      <c r="O145" s="76" t="s">
        <v>535</v>
      </c>
      <c r="P145" s="76" t="s">
        <v>550</v>
      </c>
    </row>
    <row r="146" spans="2:16" ht="12.75" customHeight="1" x14ac:dyDescent="0.2">
      <c r="B146" s="76" t="s">
        <v>548</v>
      </c>
      <c r="C146" s="76">
        <f t="shared" si="17"/>
        <v>5.4E-8</v>
      </c>
      <c r="D146" s="76">
        <v>1</v>
      </c>
      <c r="E146" s="76" t="s">
        <v>940</v>
      </c>
      <c r="F146" s="76" t="s">
        <v>168</v>
      </c>
      <c r="G146" s="76" t="s">
        <v>169</v>
      </c>
      <c r="H146" s="76" t="s">
        <v>170</v>
      </c>
      <c r="I146" s="76">
        <f t="shared" si="18"/>
        <v>0</v>
      </c>
      <c r="J146" s="76">
        <f t="shared" si="26"/>
        <v>0</v>
      </c>
      <c r="K146" s="76" t="s">
        <v>535</v>
      </c>
      <c r="L146" s="76">
        <f t="shared" si="21"/>
        <v>5.4E-8</v>
      </c>
      <c r="M146" s="76" t="s">
        <v>163</v>
      </c>
      <c r="N146" s="76">
        <f t="shared" si="27"/>
        <v>0</v>
      </c>
      <c r="O146" s="76" t="s">
        <v>535</v>
      </c>
      <c r="P146" s="76" t="s">
        <v>550</v>
      </c>
    </row>
    <row r="147" spans="2:16" ht="12.75" customHeight="1" x14ac:dyDescent="0.2">
      <c r="B147" s="76" t="s">
        <v>548</v>
      </c>
      <c r="C147" s="76">
        <f t="shared" si="17"/>
        <v>5.4E-8</v>
      </c>
      <c r="D147" s="76">
        <v>1</v>
      </c>
      <c r="E147" s="76" t="s">
        <v>939</v>
      </c>
      <c r="F147" s="76" t="s">
        <v>168</v>
      </c>
      <c r="G147" s="76" t="s">
        <v>169</v>
      </c>
      <c r="H147" s="76" t="s">
        <v>170</v>
      </c>
      <c r="I147" s="76">
        <f t="shared" si="18"/>
        <v>0</v>
      </c>
      <c r="J147" s="76">
        <f t="shared" si="26"/>
        <v>0</v>
      </c>
      <c r="K147" s="76" t="s">
        <v>535</v>
      </c>
      <c r="L147" s="76">
        <f t="shared" si="21"/>
        <v>5.4E-8</v>
      </c>
      <c r="M147" s="76" t="s">
        <v>163</v>
      </c>
      <c r="N147" s="76">
        <f t="shared" si="27"/>
        <v>0</v>
      </c>
      <c r="O147" s="76" t="s">
        <v>535</v>
      </c>
      <c r="P147" s="76" t="s">
        <v>550</v>
      </c>
    </row>
    <row r="148" spans="2:16" ht="12.75" customHeight="1" x14ac:dyDescent="0.2">
      <c r="B148" s="76" t="s">
        <v>548</v>
      </c>
      <c r="C148" s="76">
        <f t="shared" si="17"/>
        <v>5.4E-8</v>
      </c>
      <c r="D148" s="76">
        <v>1</v>
      </c>
      <c r="E148" s="76" t="s">
        <v>938</v>
      </c>
      <c r="F148" s="76" t="s">
        <v>168</v>
      </c>
      <c r="G148" s="76" t="s">
        <v>169</v>
      </c>
      <c r="H148" s="76" t="s">
        <v>170</v>
      </c>
      <c r="I148" s="76">
        <f t="shared" si="18"/>
        <v>0</v>
      </c>
      <c r="J148" s="76">
        <f t="shared" si="26"/>
        <v>0</v>
      </c>
      <c r="K148" s="76" t="s">
        <v>535</v>
      </c>
      <c r="L148" s="76">
        <f t="shared" si="21"/>
        <v>5.4E-8</v>
      </c>
      <c r="M148" s="76" t="s">
        <v>163</v>
      </c>
      <c r="N148" s="76">
        <f t="shared" si="27"/>
        <v>0</v>
      </c>
      <c r="O148" s="76" t="s">
        <v>535</v>
      </c>
      <c r="P148" s="76" t="s">
        <v>550</v>
      </c>
    </row>
    <row r="149" spans="2:16" ht="12.75" customHeight="1" x14ac:dyDescent="0.2">
      <c r="B149" s="76" t="s">
        <v>548</v>
      </c>
      <c r="C149" s="76">
        <f t="shared" si="17"/>
        <v>5.4E-8</v>
      </c>
      <c r="D149" s="76">
        <v>1</v>
      </c>
      <c r="E149" s="76" t="s">
        <v>937</v>
      </c>
      <c r="F149" s="76" t="s">
        <v>168</v>
      </c>
      <c r="G149" s="76" t="s">
        <v>169</v>
      </c>
      <c r="H149" s="76" t="s">
        <v>170</v>
      </c>
      <c r="I149" s="76">
        <f t="shared" si="18"/>
        <v>0</v>
      </c>
      <c r="J149" s="76">
        <f t="shared" si="26"/>
        <v>0</v>
      </c>
      <c r="K149" s="76" t="s">
        <v>535</v>
      </c>
      <c r="L149" s="76">
        <f t="shared" si="21"/>
        <v>5.4E-8</v>
      </c>
      <c r="M149" s="76" t="s">
        <v>163</v>
      </c>
      <c r="N149" s="76">
        <f t="shared" si="27"/>
        <v>0</v>
      </c>
      <c r="O149" s="76" t="s">
        <v>535</v>
      </c>
      <c r="P149" s="76" t="s">
        <v>550</v>
      </c>
    </row>
    <row r="150" spans="2:16" ht="12.75" customHeight="1" x14ac:dyDescent="0.2">
      <c r="B150" s="76" t="s">
        <v>548</v>
      </c>
      <c r="C150" s="76">
        <f t="shared" si="17"/>
        <v>5.4E-8</v>
      </c>
      <c r="D150" s="76">
        <v>1</v>
      </c>
      <c r="E150" s="76" t="s">
        <v>936</v>
      </c>
      <c r="F150" s="76" t="s">
        <v>168</v>
      </c>
      <c r="G150" s="76" t="s">
        <v>169</v>
      </c>
      <c r="H150" s="76" t="s">
        <v>170</v>
      </c>
      <c r="I150" s="76">
        <f t="shared" si="18"/>
        <v>0</v>
      </c>
      <c r="J150" s="76">
        <f t="shared" si="26"/>
        <v>0</v>
      </c>
      <c r="K150" s="76" t="s">
        <v>535</v>
      </c>
      <c r="L150" s="76">
        <f t="shared" si="21"/>
        <v>5.4E-8</v>
      </c>
      <c r="M150" s="76" t="s">
        <v>163</v>
      </c>
      <c r="N150" s="76">
        <f t="shared" si="27"/>
        <v>0</v>
      </c>
      <c r="O150" s="76" t="s">
        <v>535</v>
      </c>
      <c r="P150" s="76" t="s">
        <v>550</v>
      </c>
    </row>
    <row r="151" spans="2:16" ht="12.75" customHeight="1" x14ac:dyDescent="0.2">
      <c r="B151" s="76" t="s">
        <v>548</v>
      </c>
      <c r="C151" s="76">
        <f t="shared" si="17"/>
        <v>5.4E-8</v>
      </c>
      <c r="D151" s="76">
        <v>1</v>
      </c>
      <c r="E151" s="76" t="s">
        <v>935</v>
      </c>
      <c r="F151" s="76" t="s">
        <v>168</v>
      </c>
      <c r="G151" s="76" t="s">
        <v>169</v>
      </c>
      <c r="H151" s="76" t="s">
        <v>170</v>
      </c>
      <c r="I151" s="76">
        <f t="shared" si="18"/>
        <v>0</v>
      </c>
      <c r="J151" s="76">
        <f t="shared" si="26"/>
        <v>0</v>
      </c>
      <c r="K151" s="76" t="s">
        <v>535</v>
      </c>
      <c r="L151" s="76">
        <f t="shared" si="21"/>
        <v>5.4E-8</v>
      </c>
      <c r="M151" s="76" t="s">
        <v>163</v>
      </c>
      <c r="N151" s="76">
        <f t="shared" si="27"/>
        <v>0</v>
      </c>
      <c r="O151" s="76" t="s">
        <v>535</v>
      </c>
      <c r="P151" s="76" t="s">
        <v>550</v>
      </c>
    </row>
    <row r="152" spans="2:16" ht="12.75" customHeight="1" x14ac:dyDescent="0.2">
      <c r="B152" s="76" t="s">
        <v>548</v>
      </c>
      <c r="C152" s="76">
        <f t="shared" ref="C152:C166" si="28">54*ns</f>
        <v>5.4E-8</v>
      </c>
      <c r="D152" s="76">
        <v>1</v>
      </c>
      <c r="E152" s="76" t="s">
        <v>945</v>
      </c>
      <c r="F152" s="76" t="s">
        <v>168</v>
      </c>
      <c r="G152" s="76" t="s">
        <v>169</v>
      </c>
      <c r="H152" s="76" t="s">
        <v>516</v>
      </c>
      <c r="I152" s="76">
        <f t="shared" ref="I152:I166" si="29">0*C152</f>
        <v>0</v>
      </c>
      <c r="J152" s="76">
        <f>(13/54)*C152</f>
        <v>1.2999999999999999E-8</v>
      </c>
      <c r="K152" s="76">
        <f>(40/54)*C152</f>
        <v>4.0000000000000001E-8</v>
      </c>
      <c r="L152" s="76">
        <f t="shared" ref="L152:L166" si="30">1*C152</f>
        <v>5.4E-8</v>
      </c>
      <c r="M152" s="76" t="s">
        <v>163</v>
      </c>
      <c r="N152" s="76">
        <f t="shared" si="27"/>
        <v>0</v>
      </c>
      <c r="O152" s="76" t="s">
        <v>535</v>
      </c>
      <c r="P152" s="76" t="s">
        <v>549</v>
      </c>
    </row>
    <row r="153" spans="2:16" ht="12.75" customHeight="1" x14ac:dyDescent="0.2">
      <c r="B153" s="76" t="s">
        <v>548</v>
      </c>
      <c r="C153" s="76">
        <f t="shared" si="28"/>
        <v>5.4E-8</v>
      </c>
      <c r="D153" s="76">
        <v>1</v>
      </c>
      <c r="E153" s="76" t="s">
        <v>103</v>
      </c>
      <c r="F153" s="76" t="s">
        <v>168</v>
      </c>
      <c r="G153" s="76" t="s">
        <v>169</v>
      </c>
      <c r="H153" s="76" t="s">
        <v>170</v>
      </c>
      <c r="I153" s="76">
        <f t="shared" si="29"/>
        <v>0</v>
      </c>
      <c r="J153" s="76">
        <f>0*C153</f>
        <v>0</v>
      </c>
      <c r="K153" s="76" t="s">
        <v>535</v>
      </c>
      <c r="L153" s="76">
        <f t="shared" si="30"/>
        <v>5.4E-8</v>
      </c>
      <c r="M153" s="76" t="s">
        <v>163</v>
      </c>
      <c r="N153" s="76">
        <f t="shared" si="27"/>
        <v>0</v>
      </c>
      <c r="O153" s="76" t="s">
        <v>535</v>
      </c>
      <c r="P153" s="76" t="s">
        <v>550</v>
      </c>
    </row>
    <row r="154" spans="2:16" ht="12.75" customHeight="1" x14ac:dyDescent="0.2">
      <c r="B154" s="76" t="s">
        <v>548</v>
      </c>
      <c r="C154" s="76">
        <f t="shared" si="28"/>
        <v>5.4E-8</v>
      </c>
      <c r="D154" s="76">
        <v>1</v>
      </c>
      <c r="E154" s="76" t="s">
        <v>111</v>
      </c>
      <c r="F154" s="76" t="s">
        <v>168</v>
      </c>
      <c r="G154" s="76" t="s">
        <v>169</v>
      </c>
      <c r="H154" s="76" t="s">
        <v>170</v>
      </c>
      <c r="I154" s="76">
        <f t="shared" si="29"/>
        <v>0</v>
      </c>
      <c r="J154" s="76">
        <f t="shared" ref="J154:J158" si="31">0*C154</f>
        <v>0</v>
      </c>
      <c r="K154" s="76" t="s">
        <v>535</v>
      </c>
      <c r="L154" s="76">
        <f t="shared" si="30"/>
        <v>5.4E-8</v>
      </c>
      <c r="M154" s="76" t="s">
        <v>172</v>
      </c>
      <c r="N154" s="76">
        <f>(5/54)*C154</f>
        <v>5.0000000000000001E-9</v>
      </c>
      <c r="O154" s="76" t="s">
        <v>535</v>
      </c>
      <c r="P154" s="76" t="s">
        <v>550</v>
      </c>
    </row>
    <row r="155" spans="2:16" ht="12.75" customHeight="1" x14ac:dyDescent="0.2">
      <c r="B155" s="76" t="s">
        <v>548</v>
      </c>
      <c r="C155" s="76">
        <f t="shared" si="28"/>
        <v>5.4E-8</v>
      </c>
      <c r="D155" s="76">
        <v>1</v>
      </c>
      <c r="E155" s="76" t="s">
        <v>946</v>
      </c>
      <c r="F155" s="76" t="s">
        <v>168</v>
      </c>
      <c r="G155" s="76" t="s">
        <v>169</v>
      </c>
      <c r="H155" s="76" t="s">
        <v>170</v>
      </c>
      <c r="I155" s="76">
        <f t="shared" si="29"/>
        <v>0</v>
      </c>
      <c r="J155" s="76">
        <f t="shared" si="31"/>
        <v>0</v>
      </c>
      <c r="K155" s="76" t="s">
        <v>535</v>
      </c>
      <c r="L155" s="76">
        <f t="shared" si="30"/>
        <v>5.4E-8</v>
      </c>
      <c r="M155" s="76" t="s">
        <v>163</v>
      </c>
      <c r="N155" s="76">
        <f>0*C155</f>
        <v>0</v>
      </c>
      <c r="O155" s="76" t="s">
        <v>535</v>
      </c>
      <c r="P155" s="76" t="s">
        <v>550</v>
      </c>
    </row>
    <row r="156" spans="2:16" ht="12.75" customHeight="1" x14ac:dyDescent="0.2">
      <c r="B156" s="76" t="s">
        <v>548</v>
      </c>
      <c r="C156" s="76">
        <f t="shared" si="28"/>
        <v>5.4E-8</v>
      </c>
      <c r="D156" s="76">
        <v>1</v>
      </c>
      <c r="E156" s="76" t="s">
        <v>120</v>
      </c>
      <c r="F156" s="76" t="s">
        <v>168</v>
      </c>
      <c r="G156" s="76" t="s">
        <v>169</v>
      </c>
      <c r="H156" s="76" t="s">
        <v>170</v>
      </c>
      <c r="I156" s="76">
        <f t="shared" si="29"/>
        <v>0</v>
      </c>
      <c r="J156" s="76">
        <f t="shared" si="31"/>
        <v>0</v>
      </c>
      <c r="K156" s="76" t="s">
        <v>535</v>
      </c>
      <c r="L156" s="76">
        <f t="shared" si="30"/>
        <v>5.4E-8</v>
      </c>
      <c r="M156" s="76" t="s">
        <v>172</v>
      </c>
      <c r="N156" s="76">
        <f>(5/54)*C156</f>
        <v>5.0000000000000001E-9</v>
      </c>
      <c r="O156" s="76" t="s">
        <v>535</v>
      </c>
      <c r="P156" s="76" t="s">
        <v>550</v>
      </c>
    </row>
    <row r="157" spans="2:16" ht="12.75" customHeight="1" x14ac:dyDescent="0.2">
      <c r="B157" s="76" t="s">
        <v>548</v>
      </c>
      <c r="C157" s="76">
        <f t="shared" si="28"/>
        <v>5.4E-8</v>
      </c>
      <c r="D157" s="76">
        <v>1</v>
      </c>
      <c r="E157" s="76" t="s">
        <v>121</v>
      </c>
      <c r="F157" s="76" t="s">
        <v>168</v>
      </c>
      <c r="G157" s="76" t="s">
        <v>169</v>
      </c>
      <c r="H157" s="76" t="s">
        <v>170</v>
      </c>
      <c r="I157" s="76">
        <f t="shared" si="29"/>
        <v>0</v>
      </c>
      <c r="J157" s="76">
        <f t="shared" si="31"/>
        <v>0</v>
      </c>
      <c r="K157" s="76" t="s">
        <v>535</v>
      </c>
      <c r="L157" s="76">
        <f t="shared" si="30"/>
        <v>5.4E-8</v>
      </c>
      <c r="M157" s="76" t="s">
        <v>172</v>
      </c>
      <c r="N157" s="76">
        <f>(5/54)*C157</f>
        <v>5.0000000000000001E-9</v>
      </c>
      <c r="O157" s="76" t="s">
        <v>535</v>
      </c>
      <c r="P157" s="76" t="s">
        <v>550</v>
      </c>
    </row>
    <row r="158" spans="2:16" ht="12.75" customHeight="1" x14ac:dyDescent="0.2">
      <c r="B158" s="76" t="s">
        <v>548</v>
      </c>
      <c r="C158" s="76">
        <f t="shared" si="28"/>
        <v>5.4E-8</v>
      </c>
      <c r="D158" s="76">
        <v>1</v>
      </c>
      <c r="E158" s="76" t="s">
        <v>97</v>
      </c>
      <c r="F158" s="76" t="s">
        <v>168</v>
      </c>
      <c r="G158" s="76" t="s">
        <v>169</v>
      </c>
      <c r="H158" s="76" t="s">
        <v>170</v>
      </c>
      <c r="I158" s="76">
        <f t="shared" si="29"/>
        <v>0</v>
      </c>
      <c r="J158" s="76">
        <f t="shared" si="31"/>
        <v>0</v>
      </c>
      <c r="K158" s="76" t="s">
        <v>535</v>
      </c>
      <c r="L158" s="76">
        <f t="shared" si="30"/>
        <v>5.4E-8</v>
      </c>
      <c r="M158" s="76" t="s">
        <v>163</v>
      </c>
      <c r="N158" s="76">
        <f>0*C158</f>
        <v>0</v>
      </c>
      <c r="O158" s="76" t="s">
        <v>535</v>
      </c>
      <c r="P158" s="76" t="s">
        <v>550</v>
      </c>
    </row>
    <row r="159" spans="2:16" ht="12.75" customHeight="1" x14ac:dyDescent="0.2">
      <c r="B159" s="76" t="s">
        <v>548</v>
      </c>
      <c r="C159" s="76">
        <f t="shared" si="28"/>
        <v>5.4E-8</v>
      </c>
      <c r="D159" s="76">
        <v>1</v>
      </c>
      <c r="E159" s="76" t="s">
        <v>909</v>
      </c>
      <c r="F159" s="76" t="s">
        <v>168</v>
      </c>
      <c r="G159" s="76" t="s">
        <v>169</v>
      </c>
      <c r="H159" s="76" t="s">
        <v>516</v>
      </c>
      <c r="I159" s="76">
        <f t="shared" si="29"/>
        <v>0</v>
      </c>
      <c r="J159" s="76">
        <f>(13/54)*C159</f>
        <v>1.2999999999999999E-8</v>
      </c>
      <c r="K159" s="76">
        <f>(40/54)*C159</f>
        <v>4.0000000000000001E-8</v>
      </c>
      <c r="L159" s="76">
        <f t="shared" si="30"/>
        <v>5.4E-8</v>
      </c>
      <c r="M159" s="76" t="s">
        <v>163</v>
      </c>
      <c r="N159" s="76">
        <f t="shared" ref="N159:N161" si="32">0*C159</f>
        <v>0</v>
      </c>
      <c r="O159" s="76" t="s">
        <v>535</v>
      </c>
      <c r="P159" s="76" t="s">
        <v>549</v>
      </c>
    </row>
    <row r="160" spans="2:16" ht="12.75" customHeight="1" x14ac:dyDescent="0.2">
      <c r="B160" s="76" t="s">
        <v>548</v>
      </c>
      <c r="C160" s="76">
        <f t="shared" si="28"/>
        <v>5.4E-8</v>
      </c>
      <c r="D160" s="76">
        <v>1</v>
      </c>
      <c r="E160" s="76" t="s">
        <v>910</v>
      </c>
      <c r="F160" s="76" t="s">
        <v>168</v>
      </c>
      <c r="G160" s="76" t="s">
        <v>169</v>
      </c>
      <c r="H160" s="76" t="s">
        <v>170</v>
      </c>
      <c r="I160" s="76">
        <f t="shared" si="29"/>
        <v>0</v>
      </c>
      <c r="J160" s="76">
        <f>0*C160</f>
        <v>0</v>
      </c>
      <c r="K160" s="76" t="s">
        <v>535</v>
      </c>
      <c r="L160" s="76">
        <f t="shared" si="30"/>
        <v>5.4E-8</v>
      </c>
      <c r="M160" s="76" t="s">
        <v>163</v>
      </c>
      <c r="N160" s="76">
        <f t="shared" si="32"/>
        <v>0</v>
      </c>
      <c r="O160" s="76" t="s">
        <v>535</v>
      </c>
      <c r="P160" s="76" t="s">
        <v>550</v>
      </c>
    </row>
    <row r="161" spans="2:16" ht="12.75" customHeight="1" x14ac:dyDescent="0.2">
      <c r="B161" s="76" t="s">
        <v>548</v>
      </c>
      <c r="C161" s="76">
        <f t="shared" si="28"/>
        <v>5.4E-8</v>
      </c>
      <c r="D161" s="76">
        <v>1</v>
      </c>
      <c r="E161" s="76" t="s">
        <v>893</v>
      </c>
      <c r="F161" s="76" t="s">
        <v>168</v>
      </c>
      <c r="G161" s="76" t="s">
        <v>169</v>
      </c>
      <c r="H161" s="76" t="s">
        <v>170</v>
      </c>
      <c r="I161" s="76">
        <f t="shared" si="29"/>
        <v>0</v>
      </c>
      <c r="J161" s="76">
        <f t="shared" ref="J161:J166" si="33">0*C161</f>
        <v>0</v>
      </c>
      <c r="K161" s="76" t="s">
        <v>535</v>
      </c>
      <c r="L161" s="76">
        <f t="shared" si="30"/>
        <v>5.4E-8</v>
      </c>
      <c r="M161" s="76" t="s">
        <v>163</v>
      </c>
      <c r="N161" s="76">
        <f t="shared" si="32"/>
        <v>0</v>
      </c>
      <c r="O161" s="76" t="s">
        <v>535</v>
      </c>
      <c r="P161" s="76" t="s">
        <v>549</v>
      </c>
    </row>
    <row r="162" spans="2:16" ht="12.75" customHeight="1" x14ac:dyDescent="0.2">
      <c r="B162" s="76" t="s">
        <v>548</v>
      </c>
      <c r="C162" s="76">
        <f t="shared" si="28"/>
        <v>5.4E-8</v>
      </c>
      <c r="D162" s="76">
        <v>1</v>
      </c>
      <c r="E162" s="76" t="s">
        <v>894</v>
      </c>
      <c r="F162" s="76" t="s">
        <v>168</v>
      </c>
      <c r="G162" s="76" t="s">
        <v>169</v>
      </c>
      <c r="H162" s="76" t="s">
        <v>170</v>
      </c>
      <c r="I162" s="76">
        <f t="shared" si="29"/>
        <v>0</v>
      </c>
      <c r="J162" s="76">
        <f t="shared" si="33"/>
        <v>0</v>
      </c>
      <c r="K162" s="76" t="s">
        <v>535</v>
      </c>
      <c r="L162" s="76">
        <f t="shared" si="30"/>
        <v>5.4E-8</v>
      </c>
      <c r="M162" s="76" t="s">
        <v>163</v>
      </c>
      <c r="N162" s="76">
        <f>(5/54)*C162</f>
        <v>5.0000000000000001E-9</v>
      </c>
      <c r="O162" s="76" t="s">
        <v>535</v>
      </c>
      <c r="P162" s="76" t="s">
        <v>550</v>
      </c>
    </row>
    <row r="163" spans="2:16" ht="12.75" customHeight="1" x14ac:dyDescent="0.2">
      <c r="B163" s="76" t="s">
        <v>548</v>
      </c>
      <c r="C163" s="76">
        <f t="shared" si="28"/>
        <v>5.4E-8</v>
      </c>
      <c r="D163" s="76">
        <v>1</v>
      </c>
      <c r="E163" s="76" t="s">
        <v>895</v>
      </c>
      <c r="F163" s="76" t="s">
        <v>168</v>
      </c>
      <c r="G163" s="76" t="s">
        <v>169</v>
      </c>
      <c r="H163" s="76" t="s">
        <v>170</v>
      </c>
      <c r="I163" s="76">
        <f t="shared" si="29"/>
        <v>0</v>
      </c>
      <c r="J163" s="76">
        <f t="shared" si="33"/>
        <v>0</v>
      </c>
      <c r="K163" s="76" t="s">
        <v>535</v>
      </c>
      <c r="L163" s="76">
        <f t="shared" si="30"/>
        <v>5.4E-8</v>
      </c>
      <c r="M163" s="76" t="s">
        <v>172</v>
      </c>
      <c r="N163" s="76">
        <f>(5/54)*C163</f>
        <v>5.0000000000000001E-9</v>
      </c>
      <c r="O163" s="76" t="s">
        <v>535</v>
      </c>
      <c r="P163" s="76" t="s">
        <v>550</v>
      </c>
    </row>
    <row r="164" spans="2:16" ht="12.75" customHeight="1" x14ac:dyDescent="0.2">
      <c r="B164" s="76" t="s">
        <v>548</v>
      </c>
      <c r="C164" s="76">
        <f t="shared" si="28"/>
        <v>5.4E-8</v>
      </c>
      <c r="D164" s="76">
        <v>1</v>
      </c>
      <c r="E164" s="76" t="s">
        <v>896</v>
      </c>
      <c r="F164" s="76" t="s">
        <v>168</v>
      </c>
      <c r="G164" s="76" t="s">
        <v>169</v>
      </c>
      <c r="H164" s="76" t="s">
        <v>170</v>
      </c>
      <c r="I164" s="76">
        <f t="shared" si="29"/>
        <v>0</v>
      </c>
      <c r="J164" s="76">
        <f t="shared" si="33"/>
        <v>0</v>
      </c>
      <c r="K164" s="76" t="s">
        <v>535</v>
      </c>
      <c r="L164" s="76">
        <f t="shared" si="30"/>
        <v>5.4E-8</v>
      </c>
      <c r="M164" s="76" t="s">
        <v>163</v>
      </c>
      <c r="N164" s="76">
        <f>(5/54)*C164</f>
        <v>5.0000000000000001E-9</v>
      </c>
      <c r="O164" s="76" t="s">
        <v>535</v>
      </c>
      <c r="P164" s="76" t="s">
        <v>550</v>
      </c>
    </row>
    <row r="165" spans="2:16" ht="12.75" customHeight="1" x14ac:dyDescent="0.2">
      <c r="B165" s="76" t="s">
        <v>548</v>
      </c>
      <c r="C165" s="76">
        <f t="shared" si="28"/>
        <v>5.4E-8</v>
      </c>
      <c r="D165" s="76">
        <v>1</v>
      </c>
      <c r="E165" s="76" t="s">
        <v>897</v>
      </c>
      <c r="F165" s="76" t="s">
        <v>168</v>
      </c>
      <c r="G165" s="76" t="s">
        <v>169</v>
      </c>
      <c r="H165" s="76" t="s">
        <v>170</v>
      </c>
      <c r="I165" s="76">
        <f t="shared" si="29"/>
        <v>0</v>
      </c>
      <c r="J165" s="76">
        <f t="shared" si="33"/>
        <v>0</v>
      </c>
      <c r="K165" s="76" t="s">
        <v>535</v>
      </c>
      <c r="L165" s="76">
        <f t="shared" si="30"/>
        <v>5.4E-8</v>
      </c>
      <c r="M165" s="76" t="s">
        <v>163</v>
      </c>
      <c r="N165" s="76">
        <f>(5/54)*C165</f>
        <v>5.0000000000000001E-9</v>
      </c>
      <c r="O165" s="76" t="s">
        <v>535</v>
      </c>
      <c r="P165" s="76" t="s">
        <v>550</v>
      </c>
    </row>
    <row r="166" spans="2:16" ht="12.75" customHeight="1" x14ac:dyDescent="0.2">
      <c r="B166" s="76" t="s">
        <v>548</v>
      </c>
      <c r="C166" s="76">
        <f t="shared" si="28"/>
        <v>5.4E-8</v>
      </c>
      <c r="D166" s="76">
        <v>1</v>
      </c>
      <c r="E166" s="76" t="s">
        <v>109</v>
      </c>
      <c r="F166" s="76" t="s">
        <v>168</v>
      </c>
      <c r="G166" s="76" t="s">
        <v>169</v>
      </c>
      <c r="H166" s="76" t="s">
        <v>170</v>
      </c>
      <c r="I166" s="76">
        <f t="shared" si="29"/>
        <v>0</v>
      </c>
      <c r="J166" s="76">
        <f t="shared" si="33"/>
        <v>0</v>
      </c>
      <c r="K166" s="76" t="s">
        <v>535</v>
      </c>
      <c r="L166" s="76">
        <f t="shared" si="30"/>
        <v>5.4E-8</v>
      </c>
      <c r="M166" s="76" t="s">
        <v>172</v>
      </c>
      <c r="N166" s="76">
        <f>(5/54)*C166</f>
        <v>5.0000000000000001E-9</v>
      </c>
      <c r="O166" s="76" t="s">
        <v>535</v>
      </c>
      <c r="P166" s="76" t="s">
        <v>550</v>
      </c>
    </row>
  </sheetData>
  <autoFilter ref="E6:E7"/>
  <dataValidations count="1">
    <dataValidation type="list" allowBlank="1" showInputMessage="1" showErrorMessage="1" sqref="C3">
      <formula1>"Normal,Extended,Quad"</formula1>
    </dataValidation>
  </dataValidations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outlinePr summaryBelow="0" summaryRight="0"/>
  </sheetPr>
  <dimension ref="A1:P166"/>
  <sheetViews>
    <sheetView showGridLines="0" zoomScaleNormal="100" workbookViewId="0">
      <pane ySplit="6" topLeftCell="A7" activePane="bottomLeft" state="frozen"/>
      <selection pane="bottomLeft" activeCell="B7" sqref="B7"/>
    </sheetView>
  </sheetViews>
  <sheetFormatPr defaultRowHeight="12.75" x14ac:dyDescent="0.2"/>
  <cols>
    <col min="1" max="1" width="9.140625" style="75"/>
    <col min="2" max="3" width="13.42578125" style="75" customWidth="1"/>
    <col min="4" max="4" width="6.28515625" style="75" customWidth="1"/>
    <col min="5" max="5" width="13.42578125" style="75" customWidth="1"/>
    <col min="6" max="8" width="9.140625" style="75"/>
    <col min="9" max="12" width="13.42578125" style="75" customWidth="1"/>
    <col min="13" max="13" width="9.140625" style="75"/>
    <col min="14" max="15" width="13.42578125" style="75" customWidth="1"/>
    <col min="16" max="16" width="42.85546875" style="75" customWidth="1"/>
    <col min="17" max="16384" width="9.140625" style="75"/>
  </cols>
  <sheetData>
    <row r="1" spans="1:16" ht="25.5" customHeight="1" x14ac:dyDescent="0.2">
      <c r="A1" s="75" t="s">
        <v>61</v>
      </c>
      <c r="B1" s="75" t="s">
        <v>146</v>
      </c>
    </row>
    <row r="3" spans="1:16" x14ac:dyDescent="0.2">
      <c r="B3" s="1" t="s">
        <v>147</v>
      </c>
      <c r="C3" s="2" t="s">
        <v>237</v>
      </c>
      <c r="E3" s="1" t="s">
        <v>148</v>
      </c>
      <c r="F3" s="2">
        <f>1*us</f>
        <v>9.9999999999999995E-7</v>
      </c>
      <c r="H3" s="1" t="s">
        <v>149</v>
      </c>
      <c r="I3" s="2">
        <f>1*us</f>
        <v>9.9999999999999995E-7</v>
      </c>
    </row>
    <row r="5" spans="1:16" x14ac:dyDescent="0.2">
      <c r="C5" s="75" t="s">
        <v>150</v>
      </c>
      <c r="E5" s="75" t="s">
        <v>151</v>
      </c>
      <c r="G5" s="75" t="s">
        <v>152</v>
      </c>
      <c r="I5" s="75" t="s">
        <v>153</v>
      </c>
      <c r="M5" s="75" t="s">
        <v>154</v>
      </c>
    </row>
    <row r="6" spans="1:16" x14ac:dyDescent="0.2">
      <c r="B6" s="75" t="s">
        <v>155</v>
      </c>
      <c r="C6" s="75" t="s">
        <v>156</v>
      </c>
      <c r="D6" s="75" t="s">
        <v>157</v>
      </c>
      <c r="E6" s="75" t="s">
        <v>20</v>
      </c>
      <c r="F6" s="75" t="s">
        <v>158</v>
      </c>
      <c r="G6" s="75" t="s">
        <v>159</v>
      </c>
      <c r="H6" s="75" t="s">
        <v>160</v>
      </c>
      <c r="I6" s="75" t="s">
        <v>161</v>
      </c>
      <c r="J6" s="75" t="s">
        <v>152</v>
      </c>
      <c r="K6" s="75" t="s">
        <v>162</v>
      </c>
      <c r="L6" s="75" t="s">
        <v>163</v>
      </c>
      <c r="M6" s="75" t="s">
        <v>164</v>
      </c>
      <c r="N6" s="75" t="s">
        <v>165</v>
      </c>
      <c r="O6" s="75" t="s">
        <v>166</v>
      </c>
      <c r="P6" s="75" t="s">
        <v>4</v>
      </c>
    </row>
    <row r="7" spans="1:16" ht="19.149999999999999" customHeight="1" x14ac:dyDescent="0.2">
      <c r="B7" s="76" t="s">
        <v>547</v>
      </c>
      <c r="C7" s="76">
        <f>54*ns</f>
        <v>5.4E-8</v>
      </c>
      <c r="D7" s="76">
        <v>1</v>
      </c>
      <c r="E7" s="76" t="s">
        <v>95</v>
      </c>
      <c r="F7" s="76" t="s">
        <v>168</v>
      </c>
      <c r="G7" s="76" t="s">
        <v>169</v>
      </c>
      <c r="H7" s="76" t="s">
        <v>515</v>
      </c>
      <c r="I7" s="76">
        <f>0*C7</f>
        <v>0</v>
      </c>
      <c r="J7" s="76">
        <f>(13/54)*C7</f>
        <v>1.2999999999999999E-8</v>
      </c>
      <c r="K7" s="76">
        <f>(40/54)*C7</f>
        <v>4.0000000000000001E-8</v>
      </c>
      <c r="L7" s="76">
        <f>1*C7</f>
        <v>5.4E-8</v>
      </c>
      <c r="M7" s="76" t="s">
        <v>163</v>
      </c>
      <c r="N7" s="76">
        <f>0*C7</f>
        <v>0</v>
      </c>
      <c r="O7" s="76" t="s">
        <v>535</v>
      </c>
      <c r="P7" s="76" t="s">
        <v>537</v>
      </c>
    </row>
    <row r="8" spans="1:16" ht="12.75" customHeight="1" x14ac:dyDescent="0.2">
      <c r="B8" s="76" t="s">
        <v>547</v>
      </c>
      <c r="C8" s="76">
        <f t="shared" ref="C8:C71" si="0">54*ns</f>
        <v>5.4E-8</v>
      </c>
      <c r="D8" s="76">
        <v>1</v>
      </c>
      <c r="E8" s="76" t="s">
        <v>912</v>
      </c>
      <c r="F8" s="76" t="s">
        <v>168</v>
      </c>
      <c r="G8" s="76" t="s">
        <v>169</v>
      </c>
      <c r="H8" s="76" t="s">
        <v>516</v>
      </c>
      <c r="I8" s="76">
        <f t="shared" ref="I8:I71" si="1">0*C8</f>
        <v>0</v>
      </c>
      <c r="J8" s="76">
        <f t="shared" ref="J8:J9" si="2">(13/54)*C8</f>
        <v>1.2999999999999999E-8</v>
      </c>
      <c r="K8" s="76">
        <f t="shared" ref="K8:K9" si="3">(40/54)*C8</f>
        <v>4.0000000000000001E-8</v>
      </c>
      <c r="L8" s="76">
        <f t="shared" ref="L8:L71" si="4">1*C8</f>
        <v>5.4E-8</v>
      </c>
      <c r="M8" s="76" t="s">
        <v>163</v>
      </c>
      <c r="N8" s="76">
        <f t="shared" ref="N8:N9" si="5">0*C8</f>
        <v>0</v>
      </c>
      <c r="O8" s="76" t="s">
        <v>535</v>
      </c>
      <c r="P8" s="76" t="s">
        <v>537</v>
      </c>
    </row>
    <row r="9" spans="1:16" ht="12.75" customHeight="1" x14ac:dyDescent="0.2">
      <c r="B9" s="76" t="s">
        <v>547</v>
      </c>
      <c r="C9" s="76">
        <f t="shared" si="0"/>
        <v>5.4E-8</v>
      </c>
      <c r="D9" s="76">
        <v>1</v>
      </c>
      <c r="E9" s="76" t="s">
        <v>96</v>
      </c>
      <c r="F9" s="76" t="s">
        <v>168</v>
      </c>
      <c r="G9" s="76" t="s">
        <v>169</v>
      </c>
      <c r="H9" s="76" t="s">
        <v>516</v>
      </c>
      <c r="I9" s="76">
        <f t="shared" si="1"/>
        <v>0</v>
      </c>
      <c r="J9" s="76">
        <f t="shared" si="2"/>
        <v>1.2999999999999999E-8</v>
      </c>
      <c r="K9" s="76">
        <f t="shared" si="3"/>
        <v>4.0000000000000001E-8</v>
      </c>
      <c r="L9" s="76">
        <f t="shared" si="4"/>
        <v>5.4E-8</v>
      </c>
      <c r="M9" s="76" t="s">
        <v>163</v>
      </c>
      <c r="N9" s="76">
        <f t="shared" si="5"/>
        <v>0</v>
      </c>
      <c r="O9" s="76" t="s">
        <v>535</v>
      </c>
      <c r="P9" s="76" t="s">
        <v>537</v>
      </c>
    </row>
    <row r="10" spans="1:16" ht="12.75" customHeight="1" x14ac:dyDescent="0.2">
      <c r="B10" s="76" t="s">
        <v>547</v>
      </c>
      <c r="C10" s="76">
        <f t="shared" si="0"/>
        <v>5.4E-8</v>
      </c>
      <c r="D10" s="76">
        <v>1</v>
      </c>
      <c r="E10" s="76" t="s">
        <v>137</v>
      </c>
      <c r="F10" s="76" t="s">
        <v>168</v>
      </c>
      <c r="G10" s="76" t="s">
        <v>169</v>
      </c>
      <c r="H10" s="76" t="s">
        <v>170</v>
      </c>
      <c r="I10" s="76">
        <f t="shared" si="1"/>
        <v>0</v>
      </c>
      <c r="J10" s="76">
        <f>0*C10</f>
        <v>0</v>
      </c>
      <c r="K10" s="76" t="s">
        <v>535</v>
      </c>
      <c r="L10" s="76">
        <f t="shared" si="4"/>
        <v>5.4E-8</v>
      </c>
      <c r="M10" s="76" t="s">
        <v>172</v>
      </c>
      <c r="N10" s="76">
        <f>(5/54)*C10</f>
        <v>5.0000000000000001E-9</v>
      </c>
      <c r="O10" s="76" t="s">
        <v>535</v>
      </c>
      <c r="P10" s="76" t="s">
        <v>536</v>
      </c>
    </row>
    <row r="11" spans="1:16" ht="12.75" customHeight="1" x14ac:dyDescent="0.2">
      <c r="B11" s="76" t="s">
        <v>547</v>
      </c>
      <c r="C11" s="76">
        <f t="shared" si="0"/>
        <v>5.4E-8</v>
      </c>
      <c r="D11" s="76">
        <v>1</v>
      </c>
      <c r="E11" s="76" t="s">
        <v>127</v>
      </c>
      <c r="F11" s="76" t="s">
        <v>168</v>
      </c>
      <c r="G11" s="76" t="s">
        <v>169</v>
      </c>
      <c r="H11" s="76" t="s">
        <v>170</v>
      </c>
      <c r="I11" s="76">
        <f t="shared" si="1"/>
        <v>0</v>
      </c>
      <c r="J11" s="76">
        <f t="shared" ref="J11:J27" si="6">0*C11</f>
        <v>0</v>
      </c>
      <c r="K11" s="76" t="s">
        <v>535</v>
      </c>
      <c r="L11" s="76">
        <f t="shared" si="4"/>
        <v>5.4E-8</v>
      </c>
      <c r="M11" s="76" t="s">
        <v>172</v>
      </c>
      <c r="N11" s="76">
        <f t="shared" ref="N11:N25" si="7">(5/54)*C11</f>
        <v>5.0000000000000001E-9</v>
      </c>
      <c r="O11" s="76" t="s">
        <v>535</v>
      </c>
      <c r="P11" s="76" t="s">
        <v>536</v>
      </c>
    </row>
    <row r="12" spans="1:16" ht="12.75" customHeight="1" x14ac:dyDescent="0.2">
      <c r="B12" s="76" t="s">
        <v>547</v>
      </c>
      <c r="C12" s="76">
        <f t="shared" si="0"/>
        <v>5.4E-8</v>
      </c>
      <c r="D12" s="76">
        <v>1</v>
      </c>
      <c r="E12" s="76" t="s">
        <v>126</v>
      </c>
      <c r="F12" s="76" t="s">
        <v>168</v>
      </c>
      <c r="G12" s="76" t="s">
        <v>169</v>
      </c>
      <c r="H12" s="76" t="s">
        <v>170</v>
      </c>
      <c r="I12" s="76">
        <f t="shared" si="1"/>
        <v>0</v>
      </c>
      <c r="J12" s="76">
        <f t="shared" si="6"/>
        <v>0</v>
      </c>
      <c r="K12" s="76" t="s">
        <v>535</v>
      </c>
      <c r="L12" s="76">
        <f t="shared" si="4"/>
        <v>5.4E-8</v>
      </c>
      <c r="M12" s="76" t="s">
        <v>172</v>
      </c>
      <c r="N12" s="76">
        <f t="shared" si="7"/>
        <v>5.0000000000000001E-9</v>
      </c>
      <c r="O12" s="76" t="s">
        <v>535</v>
      </c>
      <c r="P12" s="76" t="s">
        <v>536</v>
      </c>
    </row>
    <row r="13" spans="1:16" ht="12.75" customHeight="1" x14ac:dyDescent="0.2">
      <c r="B13" s="76" t="s">
        <v>547</v>
      </c>
      <c r="C13" s="76">
        <f t="shared" si="0"/>
        <v>5.4E-8</v>
      </c>
      <c r="D13" s="76">
        <v>1</v>
      </c>
      <c r="E13" s="76" t="s">
        <v>125</v>
      </c>
      <c r="F13" s="76" t="s">
        <v>168</v>
      </c>
      <c r="G13" s="76" t="s">
        <v>169</v>
      </c>
      <c r="H13" s="76" t="s">
        <v>170</v>
      </c>
      <c r="I13" s="76">
        <f t="shared" si="1"/>
        <v>0</v>
      </c>
      <c r="J13" s="76">
        <f t="shared" si="6"/>
        <v>0</v>
      </c>
      <c r="K13" s="76" t="s">
        <v>535</v>
      </c>
      <c r="L13" s="76">
        <f t="shared" si="4"/>
        <v>5.4E-8</v>
      </c>
      <c r="M13" s="76" t="s">
        <v>172</v>
      </c>
      <c r="N13" s="76">
        <f t="shared" si="7"/>
        <v>5.0000000000000001E-9</v>
      </c>
      <c r="O13" s="76" t="s">
        <v>535</v>
      </c>
      <c r="P13" s="76" t="s">
        <v>536</v>
      </c>
    </row>
    <row r="14" spans="1:16" ht="12.75" customHeight="1" x14ac:dyDescent="0.2">
      <c r="B14" s="76" t="s">
        <v>547</v>
      </c>
      <c r="C14" s="76">
        <f t="shared" si="0"/>
        <v>5.4E-8</v>
      </c>
      <c r="D14" s="76">
        <v>1</v>
      </c>
      <c r="E14" s="76" t="s">
        <v>124</v>
      </c>
      <c r="F14" s="76" t="s">
        <v>168</v>
      </c>
      <c r="G14" s="76" t="s">
        <v>169</v>
      </c>
      <c r="H14" s="76" t="s">
        <v>170</v>
      </c>
      <c r="I14" s="76">
        <f t="shared" si="1"/>
        <v>0</v>
      </c>
      <c r="J14" s="76">
        <f t="shared" si="6"/>
        <v>0</v>
      </c>
      <c r="K14" s="76" t="s">
        <v>535</v>
      </c>
      <c r="L14" s="76">
        <f t="shared" si="4"/>
        <v>5.4E-8</v>
      </c>
      <c r="M14" s="76" t="s">
        <v>172</v>
      </c>
      <c r="N14" s="76">
        <f t="shared" si="7"/>
        <v>5.0000000000000001E-9</v>
      </c>
      <c r="O14" s="76" t="s">
        <v>535</v>
      </c>
      <c r="P14" s="76" t="s">
        <v>536</v>
      </c>
    </row>
    <row r="15" spans="1:16" ht="12.75" customHeight="1" x14ac:dyDescent="0.2">
      <c r="B15" s="76" t="s">
        <v>547</v>
      </c>
      <c r="C15" s="76">
        <f t="shared" si="0"/>
        <v>5.4E-8</v>
      </c>
      <c r="D15" s="76">
        <v>1</v>
      </c>
      <c r="E15" s="76" t="s">
        <v>123</v>
      </c>
      <c r="F15" s="76" t="s">
        <v>168</v>
      </c>
      <c r="G15" s="76" t="s">
        <v>169</v>
      </c>
      <c r="H15" s="76" t="s">
        <v>170</v>
      </c>
      <c r="I15" s="76">
        <f t="shared" si="1"/>
        <v>0</v>
      </c>
      <c r="J15" s="76">
        <f t="shared" si="6"/>
        <v>0</v>
      </c>
      <c r="K15" s="76" t="s">
        <v>535</v>
      </c>
      <c r="L15" s="76">
        <f t="shared" si="4"/>
        <v>5.4E-8</v>
      </c>
      <c r="M15" s="76" t="s">
        <v>172</v>
      </c>
      <c r="N15" s="76">
        <f t="shared" si="7"/>
        <v>5.0000000000000001E-9</v>
      </c>
      <c r="O15" s="76" t="s">
        <v>535</v>
      </c>
      <c r="P15" s="76" t="s">
        <v>536</v>
      </c>
    </row>
    <row r="16" spans="1:16" ht="12.75" customHeight="1" x14ac:dyDescent="0.2">
      <c r="B16" s="76" t="s">
        <v>547</v>
      </c>
      <c r="C16" s="76">
        <f t="shared" si="0"/>
        <v>5.4E-8</v>
      </c>
      <c r="D16" s="76">
        <v>1</v>
      </c>
      <c r="E16" s="76" t="s">
        <v>122</v>
      </c>
      <c r="F16" s="76" t="s">
        <v>168</v>
      </c>
      <c r="G16" s="76" t="s">
        <v>169</v>
      </c>
      <c r="H16" s="76" t="s">
        <v>170</v>
      </c>
      <c r="I16" s="76">
        <f t="shared" si="1"/>
        <v>0</v>
      </c>
      <c r="J16" s="76">
        <f t="shared" si="6"/>
        <v>0</v>
      </c>
      <c r="K16" s="76" t="s">
        <v>535</v>
      </c>
      <c r="L16" s="76">
        <f t="shared" si="4"/>
        <v>5.4E-8</v>
      </c>
      <c r="M16" s="76" t="s">
        <v>172</v>
      </c>
      <c r="N16" s="76">
        <f t="shared" si="7"/>
        <v>5.0000000000000001E-9</v>
      </c>
      <c r="O16" s="76" t="s">
        <v>535</v>
      </c>
      <c r="P16" s="76" t="s">
        <v>536</v>
      </c>
    </row>
    <row r="17" spans="2:16" ht="12.75" customHeight="1" x14ac:dyDescent="0.2">
      <c r="B17" s="76" t="s">
        <v>547</v>
      </c>
      <c r="C17" s="76">
        <f t="shared" si="0"/>
        <v>5.4E-8</v>
      </c>
      <c r="D17" s="76">
        <v>1</v>
      </c>
      <c r="E17" s="76" t="s">
        <v>136</v>
      </c>
      <c r="F17" s="76" t="s">
        <v>168</v>
      </c>
      <c r="G17" s="76" t="s">
        <v>169</v>
      </c>
      <c r="H17" s="76" t="s">
        <v>170</v>
      </c>
      <c r="I17" s="76">
        <f t="shared" si="1"/>
        <v>0</v>
      </c>
      <c r="J17" s="76">
        <f t="shared" si="6"/>
        <v>0</v>
      </c>
      <c r="K17" s="76" t="s">
        <v>535</v>
      </c>
      <c r="L17" s="76">
        <f t="shared" si="4"/>
        <v>5.4E-8</v>
      </c>
      <c r="M17" s="76" t="s">
        <v>172</v>
      </c>
      <c r="N17" s="76">
        <f t="shared" si="7"/>
        <v>5.0000000000000001E-9</v>
      </c>
      <c r="O17" s="76" t="s">
        <v>535</v>
      </c>
      <c r="P17" s="76" t="s">
        <v>536</v>
      </c>
    </row>
    <row r="18" spans="2:16" ht="12.75" customHeight="1" x14ac:dyDescent="0.2">
      <c r="B18" s="76" t="s">
        <v>547</v>
      </c>
      <c r="C18" s="76">
        <f t="shared" si="0"/>
        <v>5.4E-8</v>
      </c>
      <c r="D18" s="76">
        <v>1</v>
      </c>
      <c r="E18" s="76" t="s">
        <v>135</v>
      </c>
      <c r="F18" s="76" t="s">
        <v>168</v>
      </c>
      <c r="G18" s="76" t="s">
        <v>169</v>
      </c>
      <c r="H18" s="76" t="s">
        <v>170</v>
      </c>
      <c r="I18" s="76">
        <f t="shared" si="1"/>
        <v>0</v>
      </c>
      <c r="J18" s="76">
        <f t="shared" si="6"/>
        <v>0</v>
      </c>
      <c r="K18" s="76" t="s">
        <v>535</v>
      </c>
      <c r="L18" s="76">
        <f t="shared" si="4"/>
        <v>5.4E-8</v>
      </c>
      <c r="M18" s="76" t="s">
        <v>172</v>
      </c>
      <c r="N18" s="76">
        <f t="shared" si="7"/>
        <v>5.0000000000000001E-9</v>
      </c>
      <c r="O18" s="76" t="s">
        <v>535</v>
      </c>
      <c r="P18" s="76" t="s">
        <v>536</v>
      </c>
    </row>
    <row r="19" spans="2:16" ht="12.75" customHeight="1" x14ac:dyDescent="0.2">
      <c r="B19" s="76" t="s">
        <v>547</v>
      </c>
      <c r="C19" s="76">
        <f t="shared" si="0"/>
        <v>5.4E-8</v>
      </c>
      <c r="D19" s="76">
        <v>1</v>
      </c>
      <c r="E19" s="76" t="s">
        <v>134</v>
      </c>
      <c r="F19" s="76" t="s">
        <v>168</v>
      </c>
      <c r="G19" s="76" t="s">
        <v>169</v>
      </c>
      <c r="H19" s="76" t="s">
        <v>170</v>
      </c>
      <c r="I19" s="76">
        <f t="shared" si="1"/>
        <v>0</v>
      </c>
      <c r="J19" s="76">
        <f t="shared" si="6"/>
        <v>0</v>
      </c>
      <c r="K19" s="76" t="s">
        <v>535</v>
      </c>
      <c r="L19" s="76">
        <f t="shared" si="4"/>
        <v>5.4E-8</v>
      </c>
      <c r="M19" s="76" t="s">
        <v>172</v>
      </c>
      <c r="N19" s="76">
        <f t="shared" si="7"/>
        <v>5.0000000000000001E-9</v>
      </c>
      <c r="O19" s="76" t="s">
        <v>535</v>
      </c>
      <c r="P19" s="76" t="s">
        <v>536</v>
      </c>
    </row>
    <row r="20" spans="2:16" ht="12.75" customHeight="1" x14ac:dyDescent="0.2">
      <c r="B20" s="76" t="s">
        <v>547</v>
      </c>
      <c r="C20" s="76">
        <f t="shared" si="0"/>
        <v>5.4E-8</v>
      </c>
      <c r="D20" s="76">
        <v>1</v>
      </c>
      <c r="E20" s="76" t="s">
        <v>133</v>
      </c>
      <c r="F20" s="76" t="s">
        <v>168</v>
      </c>
      <c r="G20" s="76" t="s">
        <v>169</v>
      </c>
      <c r="H20" s="76" t="s">
        <v>170</v>
      </c>
      <c r="I20" s="76">
        <f t="shared" si="1"/>
        <v>0</v>
      </c>
      <c r="J20" s="76">
        <f t="shared" si="6"/>
        <v>0</v>
      </c>
      <c r="K20" s="76" t="s">
        <v>535</v>
      </c>
      <c r="L20" s="76">
        <f t="shared" si="4"/>
        <v>5.4E-8</v>
      </c>
      <c r="M20" s="76" t="s">
        <v>172</v>
      </c>
      <c r="N20" s="76">
        <f t="shared" si="7"/>
        <v>5.0000000000000001E-9</v>
      </c>
      <c r="O20" s="76" t="s">
        <v>535</v>
      </c>
      <c r="P20" s="76" t="s">
        <v>536</v>
      </c>
    </row>
    <row r="21" spans="2:16" ht="12.75" customHeight="1" x14ac:dyDescent="0.2">
      <c r="B21" s="76" t="s">
        <v>547</v>
      </c>
      <c r="C21" s="76">
        <f t="shared" si="0"/>
        <v>5.4E-8</v>
      </c>
      <c r="D21" s="76">
        <v>1</v>
      </c>
      <c r="E21" s="76" t="s">
        <v>132</v>
      </c>
      <c r="F21" s="76" t="s">
        <v>168</v>
      </c>
      <c r="G21" s="76" t="s">
        <v>169</v>
      </c>
      <c r="H21" s="76" t="s">
        <v>170</v>
      </c>
      <c r="I21" s="76">
        <f t="shared" si="1"/>
        <v>0</v>
      </c>
      <c r="J21" s="76">
        <f t="shared" si="6"/>
        <v>0</v>
      </c>
      <c r="K21" s="76" t="s">
        <v>535</v>
      </c>
      <c r="L21" s="76">
        <f t="shared" si="4"/>
        <v>5.4E-8</v>
      </c>
      <c r="M21" s="76" t="s">
        <v>172</v>
      </c>
      <c r="N21" s="76">
        <f t="shared" si="7"/>
        <v>5.0000000000000001E-9</v>
      </c>
      <c r="O21" s="76" t="s">
        <v>535</v>
      </c>
      <c r="P21" s="76" t="s">
        <v>536</v>
      </c>
    </row>
    <row r="22" spans="2:16" ht="12.75" customHeight="1" x14ac:dyDescent="0.2">
      <c r="B22" s="76" t="s">
        <v>547</v>
      </c>
      <c r="C22" s="76">
        <f t="shared" si="0"/>
        <v>5.4E-8</v>
      </c>
      <c r="D22" s="76">
        <v>1</v>
      </c>
      <c r="E22" s="76" t="s">
        <v>131</v>
      </c>
      <c r="F22" s="76" t="s">
        <v>168</v>
      </c>
      <c r="G22" s="76" t="s">
        <v>169</v>
      </c>
      <c r="H22" s="76" t="s">
        <v>170</v>
      </c>
      <c r="I22" s="76">
        <f t="shared" si="1"/>
        <v>0</v>
      </c>
      <c r="J22" s="76">
        <f t="shared" si="6"/>
        <v>0</v>
      </c>
      <c r="K22" s="76" t="s">
        <v>535</v>
      </c>
      <c r="L22" s="76">
        <f t="shared" si="4"/>
        <v>5.4E-8</v>
      </c>
      <c r="M22" s="76" t="s">
        <v>172</v>
      </c>
      <c r="N22" s="76">
        <f t="shared" si="7"/>
        <v>5.0000000000000001E-9</v>
      </c>
      <c r="O22" s="76" t="s">
        <v>535</v>
      </c>
      <c r="P22" s="76" t="s">
        <v>536</v>
      </c>
    </row>
    <row r="23" spans="2:16" ht="12.75" customHeight="1" x14ac:dyDescent="0.2">
      <c r="B23" s="76" t="s">
        <v>547</v>
      </c>
      <c r="C23" s="76">
        <f t="shared" si="0"/>
        <v>5.4E-8</v>
      </c>
      <c r="D23" s="76">
        <v>1</v>
      </c>
      <c r="E23" s="76" t="s">
        <v>130</v>
      </c>
      <c r="F23" s="76" t="s">
        <v>168</v>
      </c>
      <c r="G23" s="76" t="s">
        <v>169</v>
      </c>
      <c r="H23" s="76" t="s">
        <v>170</v>
      </c>
      <c r="I23" s="76">
        <f t="shared" si="1"/>
        <v>0</v>
      </c>
      <c r="J23" s="76">
        <f t="shared" si="6"/>
        <v>0</v>
      </c>
      <c r="K23" s="76" t="s">
        <v>535</v>
      </c>
      <c r="L23" s="76">
        <f t="shared" si="4"/>
        <v>5.4E-8</v>
      </c>
      <c r="M23" s="76" t="s">
        <v>172</v>
      </c>
      <c r="N23" s="76">
        <f t="shared" si="7"/>
        <v>5.0000000000000001E-9</v>
      </c>
      <c r="O23" s="76" t="s">
        <v>535</v>
      </c>
      <c r="P23" s="76" t="s">
        <v>536</v>
      </c>
    </row>
    <row r="24" spans="2:16" ht="12.75" customHeight="1" x14ac:dyDescent="0.2">
      <c r="B24" s="76" t="s">
        <v>547</v>
      </c>
      <c r="C24" s="76">
        <f t="shared" si="0"/>
        <v>5.4E-8</v>
      </c>
      <c r="D24" s="76">
        <v>1</v>
      </c>
      <c r="E24" s="76" t="s">
        <v>129</v>
      </c>
      <c r="F24" s="76" t="s">
        <v>168</v>
      </c>
      <c r="G24" s="76" t="s">
        <v>169</v>
      </c>
      <c r="H24" s="76" t="s">
        <v>170</v>
      </c>
      <c r="I24" s="76">
        <f t="shared" si="1"/>
        <v>0</v>
      </c>
      <c r="J24" s="76">
        <f t="shared" si="6"/>
        <v>0</v>
      </c>
      <c r="K24" s="76" t="s">
        <v>535</v>
      </c>
      <c r="L24" s="76">
        <f t="shared" si="4"/>
        <v>5.4E-8</v>
      </c>
      <c r="M24" s="76" t="s">
        <v>172</v>
      </c>
      <c r="N24" s="76">
        <f t="shared" si="7"/>
        <v>5.0000000000000001E-9</v>
      </c>
      <c r="O24" s="76" t="s">
        <v>535</v>
      </c>
      <c r="P24" s="76" t="s">
        <v>536</v>
      </c>
    </row>
    <row r="25" spans="2:16" ht="12.75" customHeight="1" x14ac:dyDescent="0.2">
      <c r="B25" s="76" t="s">
        <v>547</v>
      </c>
      <c r="C25" s="76">
        <f t="shared" si="0"/>
        <v>5.4E-8</v>
      </c>
      <c r="D25" s="76">
        <v>1</v>
      </c>
      <c r="E25" s="76" t="s">
        <v>128</v>
      </c>
      <c r="F25" s="76" t="s">
        <v>168</v>
      </c>
      <c r="G25" s="76" t="s">
        <v>169</v>
      </c>
      <c r="H25" s="76" t="s">
        <v>170</v>
      </c>
      <c r="I25" s="76">
        <f t="shared" si="1"/>
        <v>0</v>
      </c>
      <c r="J25" s="76">
        <f t="shared" si="6"/>
        <v>0</v>
      </c>
      <c r="K25" s="76" t="s">
        <v>535</v>
      </c>
      <c r="L25" s="76">
        <f t="shared" si="4"/>
        <v>5.4E-8</v>
      </c>
      <c r="M25" s="76" t="s">
        <v>172</v>
      </c>
      <c r="N25" s="76">
        <f t="shared" si="7"/>
        <v>5.0000000000000001E-9</v>
      </c>
      <c r="O25" s="76" t="s">
        <v>535</v>
      </c>
      <c r="P25" s="76" t="s">
        <v>536</v>
      </c>
    </row>
    <row r="26" spans="2:16" ht="12.75" customHeight="1" x14ac:dyDescent="0.2">
      <c r="B26" s="76" t="s">
        <v>547</v>
      </c>
      <c r="C26" s="76">
        <f t="shared" si="0"/>
        <v>5.4E-8</v>
      </c>
      <c r="D26" s="76">
        <v>1</v>
      </c>
      <c r="E26" s="76" t="s">
        <v>98</v>
      </c>
      <c r="F26" s="76" t="s">
        <v>168</v>
      </c>
      <c r="G26" s="76" t="s">
        <v>169</v>
      </c>
      <c r="H26" s="76" t="s">
        <v>170</v>
      </c>
      <c r="I26" s="76">
        <f t="shared" si="1"/>
        <v>0</v>
      </c>
      <c r="J26" s="76">
        <f t="shared" si="6"/>
        <v>0</v>
      </c>
      <c r="K26" s="76" t="s">
        <v>535</v>
      </c>
      <c r="L26" s="76">
        <f t="shared" si="4"/>
        <v>5.4E-8</v>
      </c>
      <c r="M26" s="76" t="s">
        <v>163</v>
      </c>
      <c r="N26" s="76">
        <f>0*C26</f>
        <v>0</v>
      </c>
      <c r="O26" s="76" t="s">
        <v>535</v>
      </c>
      <c r="P26" s="76" t="s">
        <v>536</v>
      </c>
    </row>
    <row r="27" spans="2:16" ht="12.75" customHeight="1" x14ac:dyDescent="0.2">
      <c r="B27" s="76" t="s">
        <v>547</v>
      </c>
      <c r="C27" s="76">
        <f t="shared" si="0"/>
        <v>5.4E-8</v>
      </c>
      <c r="D27" s="76">
        <v>1</v>
      </c>
      <c r="E27" s="76" t="s">
        <v>99</v>
      </c>
      <c r="F27" s="76" t="s">
        <v>168</v>
      </c>
      <c r="G27" s="76" t="s">
        <v>169</v>
      </c>
      <c r="H27" s="76" t="s">
        <v>170</v>
      </c>
      <c r="I27" s="76">
        <f t="shared" si="1"/>
        <v>0</v>
      </c>
      <c r="J27" s="76">
        <f t="shared" si="6"/>
        <v>0</v>
      </c>
      <c r="K27" s="76" t="s">
        <v>535</v>
      </c>
      <c r="L27" s="76">
        <f t="shared" si="4"/>
        <v>5.4E-8</v>
      </c>
      <c r="M27" s="76" t="s">
        <v>172</v>
      </c>
      <c r="N27" s="76">
        <f>(5/54)*C27</f>
        <v>5.0000000000000001E-9</v>
      </c>
      <c r="O27" s="76" t="s">
        <v>535</v>
      </c>
      <c r="P27" s="76" t="s">
        <v>536</v>
      </c>
    </row>
    <row r="28" spans="2:16" ht="12.75" customHeight="1" x14ac:dyDescent="0.2">
      <c r="B28" s="76" t="s">
        <v>547</v>
      </c>
      <c r="C28" s="76">
        <f t="shared" si="0"/>
        <v>5.4E-8</v>
      </c>
      <c r="D28" s="76">
        <v>1</v>
      </c>
      <c r="E28" s="76" t="s">
        <v>898</v>
      </c>
      <c r="F28" s="76" t="s">
        <v>168</v>
      </c>
      <c r="G28" s="76" t="s">
        <v>169</v>
      </c>
      <c r="H28" s="76" t="s">
        <v>516</v>
      </c>
      <c r="I28" s="76">
        <f t="shared" si="1"/>
        <v>0</v>
      </c>
      <c r="J28" s="76">
        <f>(13/54)*C28</f>
        <v>1.2999999999999999E-8</v>
      </c>
      <c r="K28" s="76">
        <f>(40/54)*C28</f>
        <v>4.0000000000000001E-8</v>
      </c>
      <c r="L28" s="76">
        <f t="shared" si="4"/>
        <v>5.4E-8</v>
      </c>
      <c r="M28" s="76" t="s">
        <v>163</v>
      </c>
      <c r="N28" s="76">
        <f>0*C28</f>
        <v>0</v>
      </c>
      <c r="O28" s="76" t="s">
        <v>535</v>
      </c>
      <c r="P28" s="76" t="s">
        <v>537</v>
      </c>
    </row>
    <row r="29" spans="2:16" ht="12.75" customHeight="1" x14ac:dyDescent="0.2">
      <c r="B29" s="76" t="s">
        <v>547</v>
      </c>
      <c r="C29" s="76">
        <f t="shared" si="0"/>
        <v>5.4E-8</v>
      </c>
      <c r="D29" s="76">
        <v>1</v>
      </c>
      <c r="E29" s="76" t="s">
        <v>899</v>
      </c>
      <c r="F29" s="76" t="s">
        <v>168</v>
      </c>
      <c r="G29" s="76" t="s">
        <v>169</v>
      </c>
      <c r="H29" s="76" t="s">
        <v>516</v>
      </c>
      <c r="I29" s="76">
        <f t="shared" si="1"/>
        <v>0</v>
      </c>
      <c r="J29" s="76">
        <f>(13/54)*C29</f>
        <v>1.2999999999999999E-8</v>
      </c>
      <c r="K29" s="76">
        <f>(40/54)*C29</f>
        <v>4.0000000000000001E-8</v>
      </c>
      <c r="L29" s="76">
        <f t="shared" si="4"/>
        <v>5.4E-8</v>
      </c>
      <c r="M29" s="76" t="s">
        <v>163</v>
      </c>
      <c r="N29" s="76">
        <f t="shared" ref="N29:N37" si="8">0*C29</f>
        <v>0</v>
      </c>
      <c r="O29" s="76" t="s">
        <v>535</v>
      </c>
      <c r="P29" s="76" t="s">
        <v>537</v>
      </c>
    </row>
    <row r="30" spans="2:16" ht="12.75" customHeight="1" x14ac:dyDescent="0.2">
      <c r="B30" s="76" t="s">
        <v>547</v>
      </c>
      <c r="C30" s="76">
        <f t="shared" si="0"/>
        <v>5.4E-8</v>
      </c>
      <c r="D30" s="76">
        <v>1</v>
      </c>
      <c r="E30" s="76" t="s">
        <v>900</v>
      </c>
      <c r="F30" s="76" t="s">
        <v>168</v>
      </c>
      <c r="G30" s="76" t="s">
        <v>169</v>
      </c>
      <c r="H30" s="76" t="s">
        <v>170</v>
      </c>
      <c r="I30" s="76">
        <f t="shared" si="1"/>
        <v>0</v>
      </c>
      <c r="J30" s="76">
        <f>0*C30</f>
        <v>0</v>
      </c>
      <c r="K30" s="76" t="s">
        <v>535</v>
      </c>
      <c r="L30" s="76">
        <f t="shared" si="4"/>
        <v>5.4E-8</v>
      </c>
      <c r="M30" s="76" t="s">
        <v>163</v>
      </c>
      <c r="N30" s="76">
        <f t="shared" si="8"/>
        <v>0</v>
      </c>
      <c r="O30" s="76" t="s">
        <v>535</v>
      </c>
      <c r="P30" s="76" t="s">
        <v>536</v>
      </c>
    </row>
    <row r="31" spans="2:16" ht="12.75" customHeight="1" x14ac:dyDescent="0.2">
      <c r="B31" s="76" t="s">
        <v>547</v>
      </c>
      <c r="C31" s="76">
        <f t="shared" si="0"/>
        <v>5.4E-8</v>
      </c>
      <c r="D31" s="76">
        <v>1</v>
      </c>
      <c r="E31" s="76" t="s">
        <v>901</v>
      </c>
      <c r="F31" s="76" t="s">
        <v>168</v>
      </c>
      <c r="G31" s="76" t="s">
        <v>169</v>
      </c>
      <c r="H31" s="76" t="s">
        <v>170</v>
      </c>
      <c r="I31" s="76">
        <f t="shared" si="1"/>
        <v>0</v>
      </c>
      <c r="J31" s="76">
        <f t="shared" ref="J31:J71" si="9">0*C31</f>
        <v>0</v>
      </c>
      <c r="K31" s="76" t="s">
        <v>535</v>
      </c>
      <c r="L31" s="76">
        <f t="shared" si="4"/>
        <v>5.4E-8</v>
      </c>
      <c r="M31" s="76" t="s">
        <v>163</v>
      </c>
      <c r="N31" s="76">
        <f t="shared" si="8"/>
        <v>0</v>
      </c>
      <c r="O31" s="76" t="s">
        <v>535</v>
      </c>
      <c r="P31" s="76" t="s">
        <v>536</v>
      </c>
    </row>
    <row r="32" spans="2:16" ht="12.75" customHeight="1" x14ac:dyDescent="0.2">
      <c r="B32" s="76" t="s">
        <v>547</v>
      </c>
      <c r="C32" s="76">
        <f t="shared" si="0"/>
        <v>5.4E-8</v>
      </c>
      <c r="D32" s="76">
        <v>1</v>
      </c>
      <c r="E32" s="76" t="s">
        <v>902</v>
      </c>
      <c r="F32" s="76" t="s">
        <v>168</v>
      </c>
      <c r="G32" s="76" t="s">
        <v>169</v>
      </c>
      <c r="H32" s="76" t="s">
        <v>170</v>
      </c>
      <c r="I32" s="76">
        <f t="shared" si="1"/>
        <v>0</v>
      </c>
      <c r="J32" s="76">
        <f t="shared" si="9"/>
        <v>0</v>
      </c>
      <c r="K32" s="76" t="s">
        <v>535</v>
      </c>
      <c r="L32" s="76">
        <f t="shared" si="4"/>
        <v>5.4E-8</v>
      </c>
      <c r="M32" s="76" t="s">
        <v>163</v>
      </c>
      <c r="N32" s="76">
        <f t="shared" si="8"/>
        <v>0</v>
      </c>
      <c r="O32" s="76" t="s">
        <v>535</v>
      </c>
      <c r="P32" s="76" t="s">
        <v>536</v>
      </c>
    </row>
    <row r="33" spans="2:16" ht="12.75" customHeight="1" x14ac:dyDescent="0.2">
      <c r="B33" s="76" t="s">
        <v>547</v>
      </c>
      <c r="C33" s="76">
        <f t="shared" si="0"/>
        <v>5.4E-8</v>
      </c>
      <c r="D33" s="76">
        <v>1</v>
      </c>
      <c r="E33" s="76" t="s">
        <v>903</v>
      </c>
      <c r="F33" s="76" t="s">
        <v>168</v>
      </c>
      <c r="G33" s="76" t="s">
        <v>169</v>
      </c>
      <c r="H33" s="76" t="s">
        <v>170</v>
      </c>
      <c r="I33" s="76">
        <f t="shared" si="1"/>
        <v>0</v>
      </c>
      <c r="J33" s="76">
        <f t="shared" si="9"/>
        <v>0</v>
      </c>
      <c r="K33" s="76" t="s">
        <v>535</v>
      </c>
      <c r="L33" s="76">
        <f t="shared" si="4"/>
        <v>5.4E-8</v>
      </c>
      <c r="M33" s="76" t="s">
        <v>163</v>
      </c>
      <c r="N33" s="76">
        <f t="shared" si="8"/>
        <v>0</v>
      </c>
      <c r="O33" s="76" t="s">
        <v>535</v>
      </c>
      <c r="P33" s="76" t="s">
        <v>536</v>
      </c>
    </row>
    <row r="34" spans="2:16" ht="12.75" customHeight="1" x14ac:dyDescent="0.2">
      <c r="B34" s="76" t="s">
        <v>547</v>
      </c>
      <c r="C34" s="76">
        <f t="shared" si="0"/>
        <v>5.4E-8</v>
      </c>
      <c r="D34" s="76">
        <v>1</v>
      </c>
      <c r="E34" s="76" t="s">
        <v>904</v>
      </c>
      <c r="F34" s="76" t="s">
        <v>168</v>
      </c>
      <c r="G34" s="76" t="s">
        <v>169</v>
      </c>
      <c r="H34" s="76" t="s">
        <v>170</v>
      </c>
      <c r="I34" s="76">
        <f t="shared" si="1"/>
        <v>0</v>
      </c>
      <c r="J34" s="76">
        <f t="shared" si="9"/>
        <v>0</v>
      </c>
      <c r="K34" s="76" t="s">
        <v>535</v>
      </c>
      <c r="L34" s="76">
        <f t="shared" si="4"/>
        <v>5.4E-8</v>
      </c>
      <c r="M34" s="76" t="s">
        <v>163</v>
      </c>
      <c r="N34" s="76">
        <f t="shared" si="8"/>
        <v>0</v>
      </c>
      <c r="O34" s="76" t="s">
        <v>535</v>
      </c>
      <c r="P34" s="76" t="s">
        <v>536</v>
      </c>
    </row>
    <row r="35" spans="2:16" ht="12.75" customHeight="1" x14ac:dyDescent="0.2">
      <c r="B35" s="76" t="s">
        <v>547</v>
      </c>
      <c r="C35" s="76">
        <f t="shared" si="0"/>
        <v>5.4E-8</v>
      </c>
      <c r="D35" s="76">
        <v>1</v>
      </c>
      <c r="E35" s="76" t="s">
        <v>905</v>
      </c>
      <c r="F35" s="76" t="s">
        <v>168</v>
      </c>
      <c r="G35" s="76" t="s">
        <v>169</v>
      </c>
      <c r="H35" s="76" t="s">
        <v>170</v>
      </c>
      <c r="I35" s="76">
        <f t="shared" si="1"/>
        <v>0</v>
      </c>
      <c r="J35" s="76">
        <f t="shared" si="9"/>
        <v>0</v>
      </c>
      <c r="K35" s="76" t="s">
        <v>535</v>
      </c>
      <c r="L35" s="76">
        <f t="shared" si="4"/>
        <v>5.4E-8</v>
      </c>
      <c r="M35" s="76" t="s">
        <v>163</v>
      </c>
      <c r="N35" s="76">
        <f t="shared" si="8"/>
        <v>0</v>
      </c>
      <c r="O35" s="76" t="s">
        <v>535</v>
      </c>
      <c r="P35" s="76" t="s">
        <v>536</v>
      </c>
    </row>
    <row r="36" spans="2:16" ht="12.75" customHeight="1" x14ac:dyDescent="0.2">
      <c r="B36" s="76" t="s">
        <v>547</v>
      </c>
      <c r="C36" s="76">
        <f t="shared" si="0"/>
        <v>5.4E-8</v>
      </c>
      <c r="D36" s="76">
        <v>1</v>
      </c>
      <c r="E36" s="76" t="s">
        <v>906</v>
      </c>
      <c r="F36" s="76" t="s">
        <v>168</v>
      </c>
      <c r="G36" s="76" t="s">
        <v>169</v>
      </c>
      <c r="H36" s="76" t="s">
        <v>170</v>
      </c>
      <c r="I36" s="76">
        <f t="shared" si="1"/>
        <v>0</v>
      </c>
      <c r="J36" s="76">
        <f t="shared" si="9"/>
        <v>0</v>
      </c>
      <c r="K36" s="76" t="s">
        <v>535</v>
      </c>
      <c r="L36" s="76">
        <f t="shared" si="4"/>
        <v>5.4E-8</v>
      </c>
      <c r="M36" s="76" t="s">
        <v>163</v>
      </c>
      <c r="N36" s="76">
        <f t="shared" si="8"/>
        <v>0</v>
      </c>
      <c r="O36" s="76" t="s">
        <v>535</v>
      </c>
      <c r="P36" s="76" t="s">
        <v>536</v>
      </c>
    </row>
    <row r="37" spans="2:16" ht="12.75" customHeight="1" x14ac:dyDescent="0.2">
      <c r="B37" s="76" t="s">
        <v>547</v>
      </c>
      <c r="C37" s="76">
        <f t="shared" si="0"/>
        <v>5.4E-8</v>
      </c>
      <c r="D37" s="76">
        <v>1</v>
      </c>
      <c r="E37" s="76" t="s">
        <v>907</v>
      </c>
      <c r="F37" s="76" t="s">
        <v>168</v>
      </c>
      <c r="G37" s="76" t="s">
        <v>169</v>
      </c>
      <c r="H37" s="76" t="s">
        <v>170</v>
      </c>
      <c r="I37" s="76">
        <f t="shared" si="1"/>
        <v>0</v>
      </c>
      <c r="J37" s="76">
        <f t="shared" si="9"/>
        <v>0</v>
      </c>
      <c r="K37" s="76" t="s">
        <v>535</v>
      </c>
      <c r="L37" s="76">
        <f t="shared" si="4"/>
        <v>5.4E-8</v>
      </c>
      <c r="M37" s="76" t="s">
        <v>163</v>
      </c>
      <c r="N37" s="76">
        <f t="shared" si="8"/>
        <v>0</v>
      </c>
      <c r="O37" s="76" t="s">
        <v>535</v>
      </c>
      <c r="P37" s="76" t="s">
        <v>536</v>
      </c>
    </row>
    <row r="38" spans="2:16" ht="12.75" customHeight="1" x14ac:dyDescent="0.2">
      <c r="B38" s="76" t="s">
        <v>547</v>
      </c>
      <c r="C38" s="76">
        <f t="shared" si="0"/>
        <v>5.4E-8</v>
      </c>
      <c r="D38" s="76">
        <v>1</v>
      </c>
      <c r="E38" s="76" t="s">
        <v>911</v>
      </c>
      <c r="F38" s="76" t="s">
        <v>168</v>
      </c>
      <c r="G38" s="76" t="s">
        <v>169</v>
      </c>
      <c r="H38" s="76" t="s">
        <v>170</v>
      </c>
      <c r="I38" s="76">
        <f t="shared" si="1"/>
        <v>0</v>
      </c>
      <c r="J38" s="76">
        <f t="shared" si="9"/>
        <v>0</v>
      </c>
      <c r="K38" s="76" t="s">
        <v>535</v>
      </c>
      <c r="L38" s="76">
        <f t="shared" si="4"/>
        <v>5.4E-8</v>
      </c>
      <c r="M38" s="76" t="s">
        <v>172</v>
      </c>
      <c r="N38" s="76">
        <f>(5/54)*C38</f>
        <v>5.0000000000000001E-9</v>
      </c>
      <c r="O38" s="76" t="s">
        <v>535</v>
      </c>
      <c r="P38" s="76" t="s">
        <v>536</v>
      </c>
    </row>
    <row r="39" spans="2:16" ht="12.75" customHeight="1" x14ac:dyDescent="0.2">
      <c r="B39" s="76" t="s">
        <v>547</v>
      </c>
      <c r="C39" s="76">
        <f t="shared" si="0"/>
        <v>5.4E-8</v>
      </c>
      <c r="D39" s="76">
        <v>1</v>
      </c>
      <c r="E39" s="76" t="s">
        <v>908</v>
      </c>
      <c r="F39" s="76" t="s">
        <v>168</v>
      </c>
      <c r="G39" s="76" t="s">
        <v>169</v>
      </c>
      <c r="H39" s="76" t="s">
        <v>170</v>
      </c>
      <c r="I39" s="76">
        <f t="shared" si="1"/>
        <v>0</v>
      </c>
      <c r="J39" s="76">
        <f t="shared" si="9"/>
        <v>0</v>
      </c>
      <c r="K39" s="76" t="s">
        <v>535</v>
      </c>
      <c r="L39" s="76">
        <f t="shared" si="4"/>
        <v>5.4E-8</v>
      </c>
      <c r="M39" s="76" t="s">
        <v>163</v>
      </c>
      <c r="N39" s="76">
        <f>0*C39</f>
        <v>0</v>
      </c>
      <c r="O39" s="76" t="s">
        <v>535</v>
      </c>
      <c r="P39" s="76" t="s">
        <v>536</v>
      </c>
    </row>
    <row r="40" spans="2:16" ht="12.75" customHeight="1" x14ac:dyDescent="0.2">
      <c r="B40" s="76" t="s">
        <v>547</v>
      </c>
      <c r="C40" s="76">
        <f t="shared" si="0"/>
        <v>5.4E-8</v>
      </c>
      <c r="D40" s="76">
        <v>1</v>
      </c>
      <c r="E40" s="76" t="s">
        <v>944</v>
      </c>
      <c r="F40" s="76" t="s">
        <v>168</v>
      </c>
      <c r="G40" s="76" t="s">
        <v>169</v>
      </c>
      <c r="H40" s="76" t="s">
        <v>170</v>
      </c>
      <c r="I40" s="76">
        <f t="shared" si="1"/>
        <v>0</v>
      </c>
      <c r="J40" s="76">
        <f t="shared" si="9"/>
        <v>0</v>
      </c>
      <c r="K40" s="76" t="s">
        <v>535</v>
      </c>
      <c r="L40" s="76">
        <f t="shared" si="4"/>
        <v>5.4E-8</v>
      </c>
      <c r="M40" s="76" t="s">
        <v>163</v>
      </c>
      <c r="N40" s="76">
        <f t="shared" ref="N40:N73" si="10">0*C40</f>
        <v>0</v>
      </c>
      <c r="O40" s="76" t="s">
        <v>535</v>
      </c>
      <c r="P40" s="76" t="s">
        <v>536</v>
      </c>
    </row>
    <row r="41" spans="2:16" ht="12.75" customHeight="1" x14ac:dyDescent="0.2">
      <c r="B41" s="76" t="s">
        <v>547</v>
      </c>
      <c r="C41" s="76">
        <f t="shared" si="0"/>
        <v>5.4E-8</v>
      </c>
      <c r="D41" s="76">
        <v>1</v>
      </c>
      <c r="E41" s="76" t="s">
        <v>934</v>
      </c>
      <c r="F41" s="76" t="s">
        <v>168</v>
      </c>
      <c r="G41" s="76" t="s">
        <v>169</v>
      </c>
      <c r="H41" s="76" t="s">
        <v>170</v>
      </c>
      <c r="I41" s="76">
        <f t="shared" si="1"/>
        <v>0</v>
      </c>
      <c r="J41" s="76">
        <f t="shared" si="9"/>
        <v>0</v>
      </c>
      <c r="K41" s="76" t="s">
        <v>535</v>
      </c>
      <c r="L41" s="76">
        <f t="shared" si="4"/>
        <v>5.4E-8</v>
      </c>
      <c r="M41" s="76" t="s">
        <v>163</v>
      </c>
      <c r="N41" s="76">
        <f t="shared" si="10"/>
        <v>0</v>
      </c>
      <c r="O41" s="76" t="s">
        <v>535</v>
      </c>
      <c r="P41" s="76" t="s">
        <v>536</v>
      </c>
    </row>
    <row r="42" spans="2:16" ht="12.75" customHeight="1" x14ac:dyDescent="0.2">
      <c r="B42" s="76" t="s">
        <v>547</v>
      </c>
      <c r="C42" s="76">
        <f t="shared" si="0"/>
        <v>5.4E-8</v>
      </c>
      <c r="D42" s="76">
        <v>1</v>
      </c>
      <c r="E42" s="76" t="s">
        <v>933</v>
      </c>
      <c r="F42" s="76" t="s">
        <v>168</v>
      </c>
      <c r="G42" s="76" t="s">
        <v>169</v>
      </c>
      <c r="H42" s="76" t="s">
        <v>170</v>
      </c>
      <c r="I42" s="76">
        <f t="shared" si="1"/>
        <v>0</v>
      </c>
      <c r="J42" s="76">
        <f t="shared" si="9"/>
        <v>0</v>
      </c>
      <c r="K42" s="76" t="s">
        <v>535</v>
      </c>
      <c r="L42" s="76">
        <f t="shared" si="4"/>
        <v>5.4E-8</v>
      </c>
      <c r="M42" s="76" t="s">
        <v>163</v>
      </c>
      <c r="N42" s="76">
        <f t="shared" si="10"/>
        <v>0</v>
      </c>
      <c r="O42" s="76" t="s">
        <v>535</v>
      </c>
      <c r="P42" s="76" t="s">
        <v>536</v>
      </c>
    </row>
    <row r="43" spans="2:16" ht="12.75" customHeight="1" x14ac:dyDescent="0.2">
      <c r="B43" s="76" t="s">
        <v>547</v>
      </c>
      <c r="C43" s="76">
        <f t="shared" si="0"/>
        <v>5.4E-8</v>
      </c>
      <c r="D43" s="76">
        <v>1</v>
      </c>
      <c r="E43" s="76" t="s">
        <v>932</v>
      </c>
      <c r="F43" s="76" t="s">
        <v>168</v>
      </c>
      <c r="G43" s="76" t="s">
        <v>169</v>
      </c>
      <c r="H43" s="76" t="s">
        <v>170</v>
      </c>
      <c r="I43" s="76">
        <f t="shared" si="1"/>
        <v>0</v>
      </c>
      <c r="J43" s="76">
        <f t="shared" si="9"/>
        <v>0</v>
      </c>
      <c r="K43" s="76" t="s">
        <v>535</v>
      </c>
      <c r="L43" s="76">
        <f t="shared" si="4"/>
        <v>5.4E-8</v>
      </c>
      <c r="M43" s="76" t="s">
        <v>163</v>
      </c>
      <c r="N43" s="76">
        <f t="shared" si="10"/>
        <v>0</v>
      </c>
      <c r="O43" s="76" t="s">
        <v>535</v>
      </c>
      <c r="P43" s="76" t="s">
        <v>536</v>
      </c>
    </row>
    <row r="44" spans="2:16" ht="12.75" customHeight="1" x14ac:dyDescent="0.2">
      <c r="B44" s="76" t="s">
        <v>547</v>
      </c>
      <c r="C44" s="76">
        <f t="shared" si="0"/>
        <v>5.4E-8</v>
      </c>
      <c r="D44" s="76">
        <v>1</v>
      </c>
      <c r="E44" s="76" t="s">
        <v>931</v>
      </c>
      <c r="F44" s="76" t="s">
        <v>168</v>
      </c>
      <c r="G44" s="76" t="s">
        <v>169</v>
      </c>
      <c r="H44" s="76" t="s">
        <v>170</v>
      </c>
      <c r="I44" s="76">
        <f t="shared" si="1"/>
        <v>0</v>
      </c>
      <c r="J44" s="76">
        <f t="shared" si="9"/>
        <v>0</v>
      </c>
      <c r="K44" s="76" t="s">
        <v>535</v>
      </c>
      <c r="L44" s="76">
        <f t="shared" si="4"/>
        <v>5.4E-8</v>
      </c>
      <c r="M44" s="76" t="s">
        <v>163</v>
      </c>
      <c r="N44" s="76">
        <f t="shared" si="10"/>
        <v>0</v>
      </c>
      <c r="O44" s="76" t="s">
        <v>535</v>
      </c>
      <c r="P44" s="76" t="s">
        <v>536</v>
      </c>
    </row>
    <row r="45" spans="2:16" ht="12.75" customHeight="1" x14ac:dyDescent="0.2">
      <c r="B45" s="76" t="s">
        <v>547</v>
      </c>
      <c r="C45" s="76">
        <f t="shared" si="0"/>
        <v>5.4E-8</v>
      </c>
      <c r="D45" s="76">
        <v>1</v>
      </c>
      <c r="E45" s="76" t="s">
        <v>930</v>
      </c>
      <c r="F45" s="76" t="s">
        <v>168</v>
      </c>
      <c r="G45" s="76" t="s">
        <v>169</v>
      </c>
      <c r="H45" s="76" t="s">
        <v>170</v>
      </c>
      <c r="I45" s="76">
        <f t="shared" si="1"/>
        <v>0</v>
      </c>
      <c r="J45" s="76">
        <f t="shared" si="9"/>
        <v>0</v>
      </c>
      <c r="K45" s="76" t="s">
        <v>535</v>
      </c>
      <c r="L45" s="76">
        <f t="shared" si="4"/>
        <v>5.4E-8</v>
      </c>
      <c r="M45" s="76" t="s">
        <v>163</v>
      </c>
      <c r="N45" s="76">
        <f t="shared" si="10"/>
        <v>0</v>
      </c>
      <c r="O45" s="76" t="s">
        <v>535</v>
      </c>
      <c r="P45" s="76" t="s">
        <v>536</v>
      </c>
    </row>
    <row r="46" spans="2:16" ht="12.75" customHeight="1" x14ac:dyDescent="0.2">
      <c r="B46" s="76" t="s">
        <v>547</v>
      </c>
      <c r="C46" s="76">
        <f t="shared" si="0"/>
        <v>5.4E-8</v>
      </c>
      <c r="D46" s="76">
        <v>1</v>
      </c>
      <c r="E46" s="76" t="s">
        <v>929</v>
      </c>
      <c r="F46" s="76" t="s">
        <v>168</v>
      </c>
      <c r="G46" s="76" t="s">
        <v>169</v>
      </c>
      <c r="H46" s="76" t="s">
        <v>170</v>
      </c>
      <c r="I46" s="76">
        <f t="shared" si="1"/>
        <v>0</v>
      </c>
      <c r="J46" s="76">
        <f t="shared" si="9"/>
        <v>0</v>
      </c>
      <c r="K46" s="76" t="s">
        <v>535</v>
      </c>
      <c r="L46" s="76">
        <f t="shared" si="4"/>
        <v>5.4E-8</v>
      </c>
      <c r="M46" s="76" t="s">
        <v>163</v>
      </c>
      <c r="N46" s="76">
        <f t="shared" si="10"/>
        <v>0</v>
      </c>
      <c r="O46" s="76" t="s">
        <v>535</v>
      </c>
      <c r="P46" s="76" t="s">
        <v>536</v>
      </c>
    </row>
    <row r="47" spans="2:16" ht="12.75" customHeight="1" x14ac:dyDescent="0.2">
      <c r="B47" s="76" t="s">
        <v>547</v>
      </c>
      <c r="C47" s="76">
        <f t="shared" si="0"/>
        <v>5.4E-8</v>
      </c>
      <c r="D47" s="76">
        <v>1</v>
      </c>
      <c r="E47" s="76" t="s">
        <v>928</v>
      </c>
      <c r="F47" s="76" t="s">
        <v>168</v>
      </c>
      <c r="G47" s="76" t="s">
        <v>169</v>
      </c>
      <c r="H47" s="76" t="s">
        <v>170</v>
      </c>
      <c r="I47" s="76">
        <f t="shared" si="1"/>
        <v>0</v>
      </c>
      <c r="J47" s="76">
        <f t="shared" si="9"/>
        <v>0</v>
      </c>
      <c r="K47" s="76" t="s">
        <v>535</v>
      </c>
      <c r="L47" s="76">
        <f t="shared" si="4"/>
        <v>5.4E-8</v>
      </c>
      <c r="M47" s="76" t="s">
        <v>163</v>
      </c>
      <c r="N47" s="76">
        <f t="shared" si="10"/>
        <v>0</v>
      </c>
      <c r="O47" s="76" t="s">
        <v>535</v>
      </c>
      <c r="P47" s="76" t="s">
        <v>536</v>
      </c>
    </row>
    <row r="48" spans="2:16" ht="12.75" customHeight="1" x14ac:dyDescent="0.2">
      <c r="B48" s="76" t="s">
        <v>547</v>
      </c>
      <c r="C48" s="76">
        <f t="shared" si="0"/>
        <v>5.4E-8</v>
      </c>
      <c r="D48" s="76">
        <v>1</v>
      </c>
      <c r="E48" s="76" t="s">
        <v>927</v>
      </c>
      <c r="F48" s="76" t="s">
        <v>168</v>
      </c>
      <c r="G48" s="76" t="s">
        <v>169</v>
      </c>
      <c r="H48" s="76" t="s">
        <v>170</v>
      </c>
      <c r="I48" s="76">
        <f t="shared" si="1"/>
        <v>0</v>
      </c>
      <c r="J48" s="76">
        <f t="shared" si="9"/>
        <v>0</v>
      </c>
      <c r="K48" s="76" t="s">
        <v>535</v>
      </c>
      <c r="L48" s="76">
        <f t="shared" si="4"/>
        <v>5.4E-8</v>
      </c>
      <c r="M48" s="76" t="s">
        <v>163</v>
      </c>
      <c r="N48" s="76">
        <f t="shared" si="10"/>
        <v>0</v>
      </c>
      <c r="O48" s="76" t="s">
        <v>535</v>
      </c>
      <c r="P48" s="76" t="s">
        <v>536</v>
      </c>
    </row>
    <row r="49" spans="2:16" ht="12.75" customHeight="1" x14ac:dyDescent="0.2">
      <c r="B49" s="76" t="s">
        <v>547</v>
      </c>
      <c r="C49" s="76">
        <f t="shared" si="0"/>
        <v>5.4E-8</v>
      </c>
      <c r="D49" s="76">
        <v>1</v>
      </c>
      <c r="E49" s="76" t="s">
        <v>926</v>
      </c>
      <c r="F49" s="76" t="s">
        <v>168</v>
      </c>
      <c r="G49" s="76" t="s">
        <v>169</v>
      </c>
      <c r="H49" s="76" t="s">
        <v>170</v>
      </c>
      <c r="I49" s="76">
        <f t="shared" si="1"/>
        <v>0</v>
      </c>
      <c r="J49" s="76">
        <f t="shared" si="9"/>
        <v>0</v>
      </c>
      <c r="K49" s="76" t="s">
        <v>535</v>
      </c>
      <c r="L49" s="76">
        <f t="shared" si="4"/>
        <v>5.4E-8</v>
      </c>
      <c r="M49" s="76" t="s">
        <v>163</v>
      </c>
      <c r="N49" s="76">
        <f t="shared" si="10"/>
        <v>0</v>
      </c>
      <c r="O49" s="76" t="s">
        <v>535</v>
      </c>
      <c r="P49" s="76" t="s">
        <v>536</v>
      </c>
    </row>
    <row r="50" spans="2:16" ht="12.75" customHeight="1" x14ac:dyDescent="0.2">
      <c r="B50" s="76" t="s">
        <v>547</v>
      </c>
      <c r="C50" s="76">
        <f t="shared" si="0"/>
        <v>5.4E-8</v>
      </c>
      <c r="D50" s="76">
        <v>1</v>
      </c>
      <c r="E50" s="76" t="s">
        <v>925</v>
      </c>
      <c r="F50" s="76" t="s">
        <v>168</v>
      </c>
      <c r="G50" s="76" t="s">
        <v>169</v>
      </c>
      <c r="H50" s="76" t="s">
        <v>170</v>
      </c>
      <c r="I50" s="76">
        <f t="shared" si="1"/>
        <v>0</v>
      </c>
      <c r="J50" s="76">
        <f t="shared" si="9"/>
        <v>0</v>
      </c>
      <c r="K50" s="76" t="s">
        <v>535</v>
      </c>
      <c r="L50" s="76">
        <f t="shared" si="4"/>
        <v>5.4E-8</v>
      </c>
      <c r="M50" s="76" t="s">
        <v>163</v>
      </c>
      <c r="N50" s="76">
        <f t="shared" si="10"/>
        <v>0</v>
      </c>
      <c r="O50" s="76" t="s">
        <v>535</v>
      </c>
      <c r="P50" s="76" t="s">
        <v>536</v>
      </c>
    </row>
    <row r="51" spans="2:16" ht="12.75" customHeight="1" x14ac:dyDescent="0.2">
      <c r="B51" s="76" t="s">
        <v>547</v>
      </c>
      <c r="C51" s="76">
        <f t="shared" si="0"/>
        <v>5.4E-8</v>
      </c>
      <c r="D51" s="76">
        <v>1</v>
      </c>
      <c r="E51" s="76" t="s">
        <v>943</v>
      </c>
      <c r="F51" s="76" t="s">
        <v>168</v>
      </c>
      <c r="G51" s="76" t="s">
        <v>169</v>
      </c>
      <c r="H51" s="76" t="s">
        <v>170</v>
      </c>
      <c r="I51" s="76">
        <f t="shared" si="1"/>
        <v>0</v>
      </c>
      <c r="J51" s="76">
        <f t="shared" si="9"/>
        <v>0</v>
      </c>
      <c r="K51" s="76" t="s">
        <v>535</v>
      </c>
      <c r="L51" s="76">
        <f t="shared" si="4"/>
        <v>5.4E-8</v>
      </c>
      <c r="M51" s="76" t="s">
        <v>163</v>
      </c>
      <c r="N51" s="76">
        <f t="shared" si="10"/>
        <v>0</v>
      </c>
      <c r="O51" s="76" t="s">
        <v>535</v>
      </c>
      <c r="P51" s="76" t="s">
        <v>536</v>
      </c>
    </row>
    <row r="52" spans="2:16" ht="12.75" customHeight="1" x14ac:dyDescent="0.2">
      <c r="B52" s="76" t="s">
        <v>547</v>
      </c>
      <c r="C52" s="76">
        <f t="shared" si="0"/>
        <v>5.4E-8</v>
      </c>
      <c r="D52" s="76">
        <v>1</v>
      </c>
      <c r="E52" s="76" t="s">
        <v>924</v>
      </c>
      <c r="F52" s="76" t="s">
        <v>168</v>
      </c>
      <c r="G52" s="76" t="s">
        <v>169</v>
      </c>
      <c r="H52" s="76" t="s">
        <v>170</v>
      </c>
      <c r="I52" s="76">
        <f t="shared" si="1"/>
        <v>0</v>
      </c>
      <c r="J52" s="76">
        <f t="shared" si="9"/>
        <v>0</v>
      </c>
      <c r="K52" s="76" t="s">
        <v>535</v>
      </c>
      <c r="L52" s="76">
        <f t="shared" si="4"/>
        <v>5.4E-8</v>
      </c>
      <c r="M52" s="76" t="s">
        <v>163</v>
      </c>
      <c r="N52" s="76">
        <f t="shared" si="10"/>
        <v>0</v>
      </c>
      <c r="O52" s="76" t="s">
        <v>535</v>
      </c>
      <c r="P52" s="76" t="s">
        <v>536</v>
      </c>
    </row>
    <row r="53" spans="2:16" ht="12.75" customHeight="1" x14ac:dyDescent="0.2">
      <c r="B53" s="76" t="s">
        <v>547</v>
      </c>
      <c r="C53" s="76">
        <f t="shared" si="0"/>
        <v>5.4E-8</v>
      </c>
      <c r="D53" s="76">
        <v>1</v>
      </c>
      <c r="E53" s="76" t="s">
        <v>923</v>
      </c>
      <c r="F53" s="76" t="s">
        <v>168</v>
      </c>
      <c r="G53" s="76" t="s">
        <v>169</v>
      </c>
      <c r="H53" s="76" t="s">
        <v>170</v>
      </c>
      <c r="I53" s="76">
        <f t="shared" si="1"/>
        <v>0</v>
      </c>
      <c r="J53" s="76">
        <f t="shared" si="9"/>
        <v>0</v>
      </c>
      <c r="K53" s="76" t="s">
        <v>535</v>
      </c>
      <c r="L53" s="76">
        <f t="shared" si="4"/>
        <v>5.4E-8</v>
      </c>
      <c r="M53" s="76" t="s">
        <v>163</v>
      </c>
      <c r="N53" s="76">
        <f t="shared" si="10"/>
        <v>0</v>
      </c>
      <c r="O53" s="76" t="s">
        <v>535</v>
      </c>
      <c r="P53" s="76" t="s">
        <v>536</v>
      </c>
    </row>
    <row r="54" spans="2:16" ht="12.75" customHeight="1" x14ac:dyDescent="0.2">
      <c r="B54" s="76" t="s">
        <v>547</v>
      </c>
      <c r="C54" s="76">
        <f t="shared" si="0"/>
        <v>5.4E-8</v>
      </c>
      <c r="D54" s="76">
        <v>1</v>
      </c>
      <c r="E54" s="76" t="s">
        <v>922</v>
      </c>
      <c r="F54" s="76" t="s">
        <v>168</v>
      </c>
      <c r="G54" s="76" t="s">
        <v>169</v>
      </c>
      <c r="H54" s="76" t="s">
        <v>170</v>
      </c>
      <c r="I54" s="76">
        <f t="shared" si="1"/>
        <v>0</v>
      </c>
      <c r="J54" s="76">
        <f t="shared" si="9"/>
        <v>0</v>
      </c>
      <c r="K54" s="76" t="s">
        <v>535</v>
      </c>
      <c r="L54" s="76">
        <f t="shared" si="4"/>
        <v>5.4E-8</v>
      </c>
      <c r="M54" s="76" t="s">
        <v>163</v>
      </c>
      <c r="N54" s="76">
        <f t="shared" si="10"/>
        <v>0</v>
      </c>
      <c r="O54" s="76" t="s">
        <v>535</v>
      </c>
      <c r="P54" s="76" t="s">
        <v>536</v>
      </c>
    </row>
    <row r="55" spans="2:16" ht="12.75" customHeight="1" x14ac:dyDescent="0.2">
      <c r="B55" s="76" t="s">
        <v>547</v>
      </c>
      <c r="C55" s="76">
        <f t="shared" si="0"/>
        <v>5.4E-8</v>
      </c>
      <c r="D55" s="76">
        <v>1</v>
      </c>
      <c r="E55" s="76" t="s">
        <v>921</v>
      </c>
      <c r="F55" s="76" t="s">
        <v>168</v>
      </c>
      <c r="G55" s="76" t="s">
        <v>169</v>
      </c>
      <c r="H55" s="76" t="s">
        <v>170</v>
      </c>
      <c r="I55" s="76">
        <f t="shared" si="1"/>
        <v>0</v>
      </c>
      <c r="J55" s="76">
        <f t="shared" si="9"/>
        <v>0</v>
      </c>
      <c r="K55" s="76" t="s">
        <v>535</v>
      </c>
      <c r="L55" s="76">
        <f t="shared" si="4"/>
        <v>5.4E-8</v>
      </c>
      <c r="M55" s="76" t="s">
        <v>163</v>
      </c>
      <c r="N55" s="76">
        <f t="shared" si="10"/>
        <v>0</v>
      </c>
      <c r="O55" s="76" t="s">
        <v>535</v>
      </c>
      <c r="P55" s="76" t="s">
        <v>536</v>
      </c>
    </row>
    <row r="56" spans="2:16" ht="12.75" customHeight="1" x14ac:dyDescent="0.2">
      <c r="B56" s="76" t="s">
        <v>547</v>
      </c>
      <c r="C56" s="76">
        <f t="shared" si="0"/>
        <v>5.4E-8</v>
      </c>
      <c r="D56" s="76">
        <v>1</v>
      </c>
      <c r="E56" s="76" t="s">
        <v>920</v>
      </c>
      <c r="F56" s="76" t="s">
        <v>168</v>
      </c>
      <c r="G56" s="76" t="s">
        <v>169</v>
      </c>
      <c r="H56" s="76" t="s">
        <v>170</v>
      </c>
      <c r="I56" s="76">
        <f t="shared" si="1"/>
        <v>0</v>
      </c>
      <c r="J56" s="76">
        <f t="shared" si="9"/>
        <v>0</v>
      </c>
      <c r="K56" s="76" t="s">
        <v>535</v>
      </c>
      <c r="L56" s="76">
        <f t="shared" si="4"/>
        <v>5.4E-8</v>
      </c>
      <c r="M56" s="76" t="s">
        <v>163</v>
      </c>
      <c r="N56" s="76">
        <f t="shared" si="10"/>
        <v>0</v>
      </c>
      <c r="O56" s="76" t="s">
        <v>535</v>
      </c>
      <c r="P56" s="76" t="s">
        <v>536</v>
      </c>
    </row>
    <row r="57" spans="2:16" ht="12.75" customHeight="1" x14ac:dyDescent="0.2">
      <c r="B57" s="76" t="s">
        <v>547</v>
      </c>
      <c r="C57" s="76">
        <f t="shared" si="0"/>
        <v>5.4E-8</v>
      </c>
      <c r="D57" s="76">
        <v>1</v>
      </c>
      <c r="E57" s="76" t="s">
        <v>919</v>
      </c>
      <c r="F57" s="76" t="s">
        <v>168</v>
      </c>
      <c r="G57" s="76" t="s">
        <v>169</v>
      </c>
      <c r="H57" s="76" t="s">
        <v>170</v>
      </c>
      <c r="I57" s="76">
        <f t="shared" si="1"/>
        <v>0</v>
      </c>
      <c r="J57" s="76">
        <f t="shared" si="9"/>
        <v>0</v>
      </c>
      <c r="K57" s="76" t="s">
        <v>535</v>
      </c>
      <c r="L57" s="76">
        <f t="shared" si="4"/>
        <v>5.4E-8</v>
      </c>
      <c r="M57" s="76" t="s">
        <v>163</v>
      </c>
      <c r="N57" s="76">
        <f t="shared" si="10"/>
        <v>0</v>
      </c>
      <c r="O57" s="76" t="s">
        <v>535</v>
      </c>
      <c r="P57" s="76" t="s">
        <v>536</v>
      </c>
    </row>
    <row r="58" spans="2:16" ht="12.75" customHeight="1" x14ac:dyDescent="0.2">
      <c r="B58" s="76" t="s">
        <v>547</v>
      </c>
      <c r="C58" s="76">
        <f t="shared" si="0"/>
        <v>5.4E-8</v>
      </c>
      <c r="D58" s="76">
        <v>1</v>
      </c>
      <c r="E58" s="76" t="s">
        <v>918</v>
      </c>
      <c r="F58" s="76" t="s">
        <v>168</v>
      </c>
      <c r="G58" s="76" t="s">
        <v>169</v>
      </c>
      <c r="H58" s="76" t="s">
        <v>170</v>
      </c>
      <c r="I58" s="76">
        <f t="shared" si="1"/>
        <v>0</v>
      </c>
      <c r="J58" s="76">
        <f t="shared" si="9"/>
        <v>0</v>
      </c>
      <c r="K58" s="76" t="s">
        <v>535</v>
      </c>
      <c r="L58" s="76">
        <f t="shared" si="4"/>
        <v>5.4E-8</v>
      </c>
      <c r="M58" s="76" t="s">
        <v>163</v>
      </c>
      <c r="N58" s="76">
        <f t="shared" si="10"/>
        <v>0</v>
      </c>
      <c r="O58" s="76" t="s">
        <v>535</v>
      </c>
      <c r="P58" s="76" t="s">
        <v>536</v>
      </c>
    </row>
    <row r="59" spans="2:16" ht="12.75" customHeight="1" x14ac:dyDescent="0.2">
      <c r="B59" s="76" t="s">
        <v>547</v>
      </c>
      <c r="C59" s="76">
        <f t="shared" si="0"/>
        <v>5.4E-8</v>
      </c>
      <c r="D59" s="76">
        <v>1</v>
      </c>
      <c r="E59" s="76" t="s">
        <v>917</v>
      </c>
      <c r="F59" s="76" t="s">
        <v>168</v>
      </c>
      <c r="G59" s="76" t="s">
        <v>169</v>
      </c>
      <c r="H59" s="76" t="s">
        <v>170</v>
      </c>
      <c r="I59" s="76">
        <f t="shared" si="1"/>
        <v>0</v>
      </c>
      <c r="J59" s="76">
        <f t="shared" si="9"/>
        <v>0</v>
      </c>
      <c r="K59" s="76" t="s">
        <v>535</v>
      </c>
      <c r="L59" s="76">
        <f t="shared" si="4"/>
        <v>5.4E-8</v>
      </c>
      <c r="M59" s="76" t="s">
        <v>163</v>
      </c>
      <c r="N59" s="76">
        <f t="shared" si="10"/>
        <v>0</v>
      </c>
      <c r="O59" s="76" t="s">
        <v>535</v>
      </c>
      <c r="P59" s="76" t="s">
        <v>536</v>
      </c>
    </row>
    <row r="60" spans="2:16" ht="12.75" customHeight="1" x14ac:dyDescent="0.2">
      <c r="B60" s="76" t="s">
        <v>547</v>
      </c>
      <c r="C60" s="76">
        <f t="shared" si="0"/>
        <v>5.4E-8</v>
      </c>
      <c r="D60" s="76">
        <v>1</v>
      </c>
      <c r="E60" s="76" t="s">
        <v>916</v>
      </c>
      <c r="F60" s="76" t="s">
        <v>168</v>
      </c>
      <c r="G60" s="76" t="s">
        <v>169</v>
      </c>
      <c r="H60" s="76" t="s">
        <v>170</v>
      </c>
      <c r="I60" s="76">
        <f t="shared" si="1"/>
        <v>0</v>
      </c>
      <c r="J60" s="76">
        <f t="shared" si="9"/>
        <v>0</v>
      </c>
      <c r="K60" s="76" t="s">
        <v>535</v>
      </c>
      <c r="L60" s="76">
        <f t="shared" si="4"/>
        <v>5.4E-8</v>
      </c>
      <c r="M60" s="76" t="s">
        <v>163</v>
      </c>
      <c r="N60" s="76">
        <f t="shared" si="10"/>
        <v>0</v>
      </c>
      <c r="O60" s="76" t="s">
        <v>535</v>
      </c>
      <c r="P60" s="76" t="s">
        <v>536</v>
      </c>
    </row>
    <row r="61" spans="2:16" ht="12.75" customHeight="1" x14ac:dyDescent="0.2">
      <c r="B61" s="76" t="s">
        <v>547</v>
      </c>
      <c r="C61" s="76">
        <f t="shared" si="0"/>
        <v>5.4E-8</v>
      </c>
      <c r="D61" s="76">
        <v>1</v>
      </c>
      <c r="E61" s="76" t="s">
        <v>915</v>
      </c>
      <c r="F61" s="76" t="s">
        <v>168</v>
      </c>
      <c r="G61" s="76" t="s">
        <v>169</v>
      </c>
      <c r="H61" s="76" t="s">
        <v>170</v>
      </c>
      <c r="I61" s="76">
        <f t="shared" si="1"/>
        <v>0</v>
      </c>
      <c r="J61" s="76">
        <f t="shared" si="9"/>
        <v>0</v>
      </c>
      <c r="K61" s="76" t="s">
        <v>535</v>
      </c>
      <c r="L61" s="76">
        <f t="shared" si="4"/>
        <v>5.4E-8</v>
      </c>
      <c r="M61" s="76" t="s">
        <v>163</v>
      </c>
      <c r="N61" s="76">
        <f t="shared" si="10"/>
        <v>0</v>
      </c>
      <c r="O61" s="76" t="s">
        <v>535</v>
      </c>
      <c r="P61" s="76" t="s">
        <v>536</v>
      </c>
    </row>
    <row r="62" spans="2:16" ht="12.75" customHeight="1" x14ac:dyDescent="0.2">
      <c r="B62" s="76" t="s">
        <v>547</v>
      </c>
      <c r="C62" s="76">
        <f t="shared" si="0"/>
        <v>5.4E-8</v>
      </c>
      <c r="D62" s="76">
        <v>1</v>
      </c>
      <c r="E62" s="76" t="s">
        <v>942</v>
      </c>
      <c r="F62" s="76" t="s">
        <v>168</v>
      </c>
      <c r="G62" s="76" t="s">
        <v>169</v>
      </c>
      <c r="H62" s="76" t="s">
        <v>170</v>
      </c>
      <c r="I62" s="76">
        <f t="shared" si="1"/>
        <v>0</v>
      </c>
      <c r="J62" s="76">
        <f t="shared" si="9"/>
        <v>0</v>
      </c>
      <c r="K62" s="76" t="s">
        <v>535</v>
      </c>
      <c r="L62" s="76">
        <f t="shared" si="4"/>
        <v>5.4E-8</v>
      </c>
      <c r="M62" s="76" t="s">
        <v>163</v>
      </c>
      <c r="N62" s="76">
        <f t="shared" si="10"/>
        <v>0</v>
      </c>
      <c r="O62" s="76" t="s">
        <v>535</v>
      </c>
      <c r="P62" s="76" t="s">
        <v>536</v>
      </c>
    </row>
    <row r="63" spans="2:16" ht="12.75" customHeight="1" x14ac:dyDescent="0.2">
      <c r="B63" s="76" t="s">
        <v>547</v>
      </c>
      <c r="C63" s="76">
        <f t="shared" si="0"/>
        <v>5.4E-8</v>
      </c>
      <c r="D63" s="76">
        <v>1</v>
      </c>
      <c r="E63" s="76" t="s">
        <v>914</v>
      </c>
      <c r="F63" s="76" t="s">
        <v>168</v>
      </c>
      <c r="G63" s="76" t="s">
        <v>169</v>
      </c>
      <c r="H63" s="76" t="s">
        <v>170</v>
      </c>
      <c r="I63" s="76">
        <f t="shared" si="1"/>
        <v>0</v>
      </c>
      <c r="J63" s="76">
        <f t="shared" si="9"/>
        <v>0</v>
      </c>
      <c r="K63" s="76" t="s">
        <v>535</v>
      </c>
      <c r="L63" s="76">
        <f t="shared" si="4"/>
        <v>5.4E-8</v>
      </c>
      <c r="M63" s="76" t="s">
        <v>163</v>
      </c>
      <c r="N63" s="76">
        <f t="shared" si="10"/>
        <v>0</v>
      </c>
      <c r="O63" s="76" t="s">
        <v>535</v>
      </c>
      <c r="P63" s="76" t="s">
        <v>536</v>
      </c>
    </row>
    <row r="64" spans="2:16" ht="12.75" customHeight="1" x14ac:dyDescent="0.2">
      <c r="B64" s="76" t="s">
        <v>547</v>
      </c>
      <c r="C64" s="76">
        <f t="shared" si="0"/>
        <v>5.4E-8</v>
      </c>
      <c r="D64" s="76">
        <v>1</v>
      </c>
      <c r="E64" s="76" t="s">
        <v>913</v>
      </c>
      <c r="F64" s="76" t="s">
        <v>168</v>
      </c>
      <c r="G64" s="76" t="s">
        <v>169</v>
      </c>
      <c r="H64" s="76" t="s">
        <v>170</v>
      </c>
      <c r="I64" s="76">
        <f t="shared" si="1"/>
        <v>0</v>
      </c>
      <c r="J64" s="76">
        <f t="shared" si="9"/>
        <v>0</v>
      </c>
      <c r="K64" s="76" t="s">
        <v>535</v>
      </c>
      <c r="L64" s="76">
        <f t="shared" si="4"/>
        <v>5.4E-8</v>
      </c>
      <c r="M64" s="76" t="s">
        <v>163</v>
      </c>
      <c r="N64" s="76">
        <f t="shared" si="10"/>
        <v>0</v>
      </c>
      <c r="O64" s="76" t="s">
        <v>535</v>
      </c>
      <c r="P64" s="76" t="s">
        <v>536</v>
      </c>
    </row>
    <row r="65" spans="2:16" ht="12.75" customHeight="1" x14ac:dyDescent="0.2">
      <c r="B65" s="76" t="s">
        <v>547</v>
      </c>
      <c r="C65" s="76">
        <f t="shared" si="0"/>
        <v>5.4E-8</v>
      </c>
      <c r="D65" s="76">
        <v>1</v>
      </c>
      <c r="E65" s="76" t="s">
        <v>941</v>
      </c>
      <c r="F65" s="76" t="s">
        <v>168</v>
      </c>
      <c r="G65" s="76" t="s">
        <v>169</v>
      </c>
      <c r="H65" s="76" t="s">
        <v>170</v>
      </c>
      <c r="I65" s="76">
        <f t="shared" si="1"/>
        <v>0</v>
      </c>
      <c r="J65" s="76">
        <f t="shared" si="9"/>
        <v>0</v>
      </c>
      <c r="K65" s="76" t="s">
        <v>535</v>
      </c>
      <c r="L65" s="76">
        <f t="shared" si="4"/>
        <v>5.4E-8</v>
      </c>
      <c r="M65" s="76" t="s">
        <v>163</v>
      </c>
      <c r="N65" s="76">
        <f t="shared" si="10"/>
        <v>0</v>
      </c>
      <c r="O65" s="76" t="s">
        <v>535</v>
      </c>
      <c r="P65" s="76" t="s">
        <v>536</v>
      </c>
    </row>
    <row r="66" spans="2:16" ht="12.75" customHeight="1" x14ac:dyDescent="0.2">
      <c r="B66" s="76" t="s">
        <v>547</v>
      </c>
      <c r="C66" s="76">
        <f t="shared" si="0"/>
        <v>5.4E-8</v>
      </c>
      <c r="D66" s="76">
        <v>1</v>
      </c>
      <c r="E66" s="76" t="s">
        <v>940</v>
      </c>
      <c r="F66" s="76" t="s">
        <v>168</v>
      </c>
      <c r="G66" s="76" t="s">
        <v>169</v>
      </c>
      <c r="H66" s="76" t="s">
        <v>170</v>
      </c>
      <c r="I66" s="76">
        <f t="shared" si="1"/>
        <v>0</v>
      </c>
      <c r="J66" s="76">
        <f t="shared" si="9"/>
        <v>0</v>
      </c>
      <c r="K66" s="76" t="s">
        <v>535</v>
      </c>
      <c r="L66" s="76">
        <f t="shared" si="4"/>
        <v>5.4E-8</v>
      </c>
      <c r="M66" s="76" t="s">
        <v>163</v>
      </c>
      <c r="N66" s="76">
        <f t="shared" si="10"/>
        <v>0</v>
      </c>
      <c r="O66" s="76" t="s">
        <v>535</v>
      </c>
      <c r="P66" s="76" t="s">
        <v>536</v>
      </c>
    </row>
    <row r="67" spans="2:16" ht="12.75" customHeight="1" x14ac:dyDescent="0.2">
      <c r="B67" s="76" t="s">
        <v>547</v>
      </c>
      <c r="C67" s="76">
        <f t="shared" si="0"/>
        <v>5.4E-8</v>
      </c>
      <c r="D67" s="76">
        <v>1</v>
      </c>
      <c r="E67" s="76" t="s">
        <v>939</v>
      </c>
      <c r="F67" s="76" t="s">
        <v>168</v>
      </c>
      <c r="G67" s="76" t="s">
        <v>169</v>
      </c>
      <c r="H67" s="76" t="s">
        <v>170</v>
      </c>
      <c r="I67" s="76">
        <f t="shared" si="1"/>
        <v>0</v>
      </c>
      <c r="J67" s="76">
        <f t="shared" si="9"/>
        <v>0</v>
      </c>
      <c r="K67" s="76" t="s">
        <v>535</v>
      </c>
      <c r="L67" s="76">
        <f t="shared" si="4"/>
        <v>5.4E-8</v>
      </c>
      <c r="M67" s="76" t="s">
        <v>163</v>
      </c>
      <c r="N67" s="76">
        <f t="shared" si="10"/>
        <v>0</v>
      </c>
      <c r="O67" s="76" t="s">
        <v>535</v>
      </c>
      <c r="P67" s="76" t="s">
        <v>536</v>
      </c>
    </row>
    <row r="68" spans="2:16" ht="12.75" customHeight="1" x14ac:dyDescent="0.2">
      <c r="B68" s="76" t="s">
        <v>547</v>
      </c>
      <c r="C68" s="76">
        <f t="shared" si="0"/>
        <v>5.4E-8</v>
      </c>
      <c r="D68" s="76">
        <v>1</v>
      </c>
      <c r="E68" s="76" t="s">
        <v>938</v>
      </c>
      <c r="F68" s="76" t="s">
        <v>168</v>
      </c>
      <c r="G68" s="76" t="s">
        <v>169</v>
      </c>
      <c r="H68" s="76" t="s">
        <v>170</v>
      </c>
      <c r="I68" s="76">
        <f t="shared" si="1"/>
        <v>0</v>
      </c>
      <c r="J68" s="76">
        <f t="shared" si="9"/>
        <v>0</v>
      </c>
      <c r="K68" s="76" t="s">
        <v>535</v>
      </c>
      <c r="L68" s="76">
        <f t="shared" si="4"/>
        <v>5.4E-8</v>
      </c>
      <c r="M68" s="76" t="s">
        <v>163</v>
      </c>
      <c r="N68" s="76">
        <f t="shared" si="10"/>
        <v>0</v>
      </c>
      <c r="O68" s="76" t="s">
        <v>535</v>
      </c>
      <c r="P68" s="76" t="s">
        <v>536</v>
      </c>
    </row>
    <row r="69" spans="2:16" ht="12.75" customHeight="1" x14ac:dyDescent="0.2">
      <c r="B69" s="76" t="s">
        <v>547</v>
      </c>
      <c r="C69" s="76">
        <f t="shared" si="0"/>
        <v>5.4E-8</v>
      </c>
      <c r="D69" s="76">
        <v>1</v>
      </c>
      <c r="E69" s="76" t="s">
        <v>937</v>
      </c>
      <c r="F69" s="76" t="s">
        <v>168</v>
      </c>
      <c r="G69" s="76" t="s">
        <v>169</v>
      </c>
      <c r="H69" s="76" t="s">
        <v>170</v>
      </c>
      <c r="I69" s="76">
        <f t="shared" si="1"/>
        <v>0</v>
      </c>
      <c r="J69" s="76">
        <f t="shared" si="9"/>
        <v>0</v>
      </c>
      <c r="K69" s="76" t="s">
        <v>535</v>
      </c>
      <c r="L69" s="76">
        <f t="shared" si="4"/>
        <v>5.4E-8</v>
      </c>
      <c r="M69" s="76" t="s">
        <v>163</v>
      </c>
      <c r="N69" s="76">
        <f t="shared" si="10"/>
        <v>0</v>
      </c>
      <c r="O69" s="76" t="s">
        <v>535</v>
      </c>
      <c r="P69" s="76" t="s">
        <v>536</v>
      </c>
    </row>
    <row r="70" spans="2:16" ht="12.75" customHeight="1" x14ac:dyDescent="0.2">
      <c r="B70" s="76" t="s">
        <v>547</v>
      </c>
      <c r="C70" s="76">
        <f t="shared" si="0"/>
        <v>5.4E-8</v>
      </c>
      <c r="D70" s="76">
        <v>1</v>
      </c>
      <c r="E70" s="76" t="s">
        <v>936</v>
      </c>
      <c r="F70" s="76" t="s">
        <v>168</v>
      </c>
      <c r="G70" s="76" t="s">
        <v>169</v>
      </c>
      <c r="H70" s="76" t="s">
        <v>170</v>
      </c>
      <c r="I70" s="76">
        <f t="shared" si="1"/>
        <v>0</v>
      </c>
      <c r="J70" s="76">
        <f t="shared" si="9"/>
        <v>0</v>
      </c>
      <c r="K70" s="76" t="s">
        <v>535</v>
      </c>
      <c r="L70" s="76">
        <f t="shared" si="4"/>
        <v>5.4E-8</v>
      </c>
      <c r="M70" s="76" t="s">
        <v>163</v>
      </c>
      <c r="N70" s="76">
        <f t="shared" si="10"/>
        <v>0</v>
      </c>
      <c r="O70" s="76" t="s">
        <v>535</v>
      </c>
      <c r="P70" s="76" t="s">
        <v>536</v>
      </c>
    </row>
    <row r="71" spans="2:16" ht="12.75" customHeight="1" x14ac:dyDescent="0.2">
      <c r="B71" s="76" t="s">
        <v>547</v>
      </c>
      <c r="C71" s="76">
        <f t="shared" si="0"/>
        <v>5.4E-8</v>
      </c>
      <c r="D71" s="76">
        <v>1</v>
      </c>
      <c r="E71" s="76" t="s">
        <v>935</v>
      </c>
      <c r="F71" s="76" t="s">
        <v>168</v>
      </c>
      <c r="G71" s="76" t="s">
        <v>169</v>
      </c>
      <c r="H71" s="76" t="s">
        <v>170</v>
      </c>
      <c r="I71" s="76">
        <f t="shared" si="1"/>
        <v>0</v>
      </c>
      <c r="J71" s="76">
        <f t="shared" si="9"/>
        <v>0</v>
      </c>
      <c r="K71" s="76" t="s">
        <v>535</v>
      </c>
      <c r="L71" s="76">
        <f t="shared" si="4"/>
        <v>5.4E-8</v>
      </c>
      <c r="M71" s="76" t="s">
        <v>163</v>
      </c>
      <c r="N71" s="76">
        <f t="shared" si="10"/>
        <v>0</v>
      </c>
      <c r="O71" s="76" t="s">
        <v>535</v>
      </c>
      <c r="P71" s="76" t="s">
        <v>536</v>
      </c>
    </row>
    <row r="72" spans="2:16" ht="12.75" customHeight="1" x14ac:dyDescent="0.2">
      <c r="B72" s="76" t="s">
        <v>547</v>
      </c>
      <c r="C72" s="76">
        <f t="shared" ref="C72:C86" si="11">54*ns</f>
        <v>5.4E-8</v>
      </c>
      <c r="D72" s="76">
        <v>1</v>
      </c>
      <c r="E72" s="76" t="s">
        <v>945</v>
      </c>
      <c r="F72" s="76" t="s">
        <v>168</v>
      </c>
      <c r="G72" s="76" t="s">
        <v>169</v>
      </c>
      <c r="H72" s="76" t="s">
        <v>516</v>
      </c>
      <c r="I72" s="76">
        <f t="shared" ref="I72:I135" si="12">0*C72</f>
        <v>0</v>
      </c>
      <c r="J72" s="76">
        <f>(13/54)*C72</f>
        <v>1.2999999999999999E-8</v>
      </c>
      <c r="K72" s="76">
        <f>(40/54)*C72</f>
        <v>4.0000000000000001E-8</v>
      </c>
      <c r="L72" s="76">
        <f t="shared" ref="L72:L135" si="13">1*C72</f>
        <v>5.4E-8</v>
      </c>
      <c r="M72" s="76" t="s">
        <v>163</v>
      </c>
      <c r="N72" s="76">
        <f t="shared" si="10"/>
        <v>0</v>
      </c>
      <c r="O72" s="76" t="s">
        <v>535</v>
      </c>
      <c r="P72" s="76" t="s">
        <v>537</v>
      </c>
    </row>
    <row r="73" spans="2:16" ht="12.75" customHeight="1" x14ac:dyDescent="0.2">
      <c r="B73" s="76" t="s">
        <v>547</v>
      </c>
      <c r="C73" s="76">
        <f t="shared" si="11"/>
        <v>5.4E-8</v>
      </c>
      <c r="D73" s="76">
        <v>1</v>
      </c>
      <c r="E73" s="76" t="s">
        <v>103</v>
      </c>
      <c r="F73" s="76" t="s">
        <v>168</v>
      </c>
      <c r="G73" s="76" t="s">
        <v>169</v>
      </c>
      <c r="H73" s="76" t="s">
        <v>170</v>
      </c>
      <c r="I73" s="76">
        <f t="shared" si="12"/>
        <v>0</v>
      </c>
      <c r="J73" s="76">
        <f>0*C73</f>
        <v>0</v>
      </c>
      <c r="K73" s="76" t="s">
        <v>535</v>
      </c>
      <c r="L73" s="76">
        <f t="shared" si="13"/>
        <v>5.4E-8</v>
      </c>
      <c r="M73" s="76" t="s">
        <v>163</v>
      </c>
      <c r="N73" s="76">
        <f t="shared" si="10"/>
        <v>0</v>
      </c>
      <c r="O73" s="76" t="s">
        <v>535</v>
      </c>
      <c r="P73" s="76" t="s">
        <v>536</v>
      </c>
    </row>
    <row r="74" spans="2:16" ht="12.75" customHeight="1" x14ac:dyDescent="0.2">
      <c r="B74" s="76" t="s">
        <v>547</v>
      </c>
      <c r="C74" s="76">
        <f t="shared" si="11"/>
        <v>5.4E-8</v>
      </c>
      <c r="D74" s="76">
        <v>1</v>
      </c>
      <c r="E74" s="76" t="s">
        <v>111</v>
      </c>
      <c r="F74" s="76" t="s">
        <v>168</v>
      </c>
      <c r="G74" s="76" t="s">
        <v>169</v>
      </c>
      <c r="H74" s="76" t="s">
        <v>170</v>
      </c>
      <c r="I74" s="76">
        <f t="shared" si="12"/>
        <v>0</v>
      </c>
      <c r="J74" s="76">
        <f t="shared" ref="J74:J78" si="14">0*C74</f>
        <v>0</v>
      </c>
      <c r="K74" s="76" t="s">
        <v>535</v>
      </c>
      <c r="L74" s="76">
        <f t="shared" si="13"/>
        <v>5.4E-8</v>
      </c>
      <c r="M74" s="76" t="s">
        <v>172</v>
      </c>
      <c r="N74" s="76">
        <f>(5/54)*C74</f>
        <v>5.0000000000000001E-9</v>
      </c>
      <c r="O74" s="76" t="s">
        <v>535</v>
      </c>
      <c r="P74" s="76" t="s">
        <v>536</v>
      </c>
    </row>
    <row r="75" spans="2:16" ht="12.75" customHeight="1" x14ac:dyDescent="0.2">
      <c r="B75" s="76" t="s">
        <v>547</v>
      </c>
      <c r="C75" s="76">
        <f t="shared" si="11"/>
        <v>5.4E-8</v>
      </c>
      <c r="D75" s="76">
        <v>1</v>
      </c>
      <c r="E75" s="76" t="s">
        <v>946</v>
      </c>
      <c r="F75" s="76" t="s">
        <v>168</v>
      </c>
      <c r="G75" s="76" t="s">
        <v>169</v>
      </c>
      <c r="H75" s="76" t="s">
        <v>170</v>
      </c>
      <c r="I75" s="76">
        <f t="shared" si="12"/>
        <v>0</v>
      </c>
      <c r="J75" s="76">
        <f t="shared" si="14"/>
        <v>0</v>
      </c>
      <c r="K75" s="76" t="s">
        <v>535</v>
      </c>
      <c r="L75" s="76">
        <f t="shared" si="13"/>
        <v>5.4E-8</v>
      </c>
      <c r="M75" s="76" t="s">
        <v>163</v>
      </c>
      <c r="N75" s="76">
        <f>0*C75</f>
        <v>0</v>
      </c>
      <c r="O75" s="76" t="s">
        <v>535</v>
      </c>
      <c r="P75" s="76" t="s">
        <v>536</v>
      </c>
    </row>
    <row r="76" spans="2:16" ht="12.75" customHeight="1" x14ac:dyDescent="0.2">
      <c r="B76" s="76" t="s">
        <v>547</v>
      </c>
      <c r="C76" s="76">
        <f t="shared" si="11"/>
        <v>5.4E-8</v>
      </c>
      <c r="D76" s="76">
        <v>1</v>
      </c>
      <c r="E76" s="76" t="s">
        <v>120</v>
      </c>
      <c r="F76" s="76" t="s">
        <v>168</v>
      </c>
      <c r="G76" s="76" t="s">
        <v>169</v>
      </c>
      <c r="H76" s="76" t="s">
        <v>170</v>
      </c>
      <c r="I76" s="76">
        <f t="shared" si="12"/>
        <v>0</v>
      </c>
      <c r="J76" s="76">
        <f t="shared" si="14"/>
        <v>0</v>
      </c>
      <c r="K76" s="76" t="s">
        <v>535</v>
      </c>
      <c r="L76" s="76">
        <f t="shared" si="13"/>
        <v>5.4E-8</v>
      </c>
      <c r="M76" s="76" t="s">
        <v>172</v>
      </c>
      <c r="N76" s="76">
        <f>(5/54)*C76</f>
        <v>5.0000000000000001E-9</v>
      </c>
      <c r="O76" s="76" t="s">
        <v>535</v>
      </c>
      <c r="P76" s="76" t="s">
        <v>536</v>
      </c>
    </row>
    <row r="77" spans="2:16" ht="12.75" customHeight="1" x14ac:dyDescent="0.2">
      <c r="B77" s="76" t="s">
        <v>547</v>
      </c>
      <c r="C77" s="76">
        <f t="shared" si="11"/>
        <v>5.4E-8</v>
      </c>
      <c r="D77" s="76">
        <v>1</v>
      </c>
      <c r="E77" s="76" t="s">
        <v>121</v>
      </c>
      <c r="F77" s="76" t="s">
        <v>168</v>
      </c>
      <c r="G77" s="76" t="s">
        <v>169</v>
      </c>
      <c r="H77" s="76" t="s">
        <v>170</v>
      </c>
      <c r="I77" s="76">
        <f t="shared" si="12"/>
        <v>0</v>
      </c>
      <c r="J77" s="76">
        <f t="shared" si="14"/>
        <v>0</v>
      </c>
      <c r="K77" s="76" t="s">
        <v>535</v>
      </c>
      <c r="L77" s="76">
        <f t="shared" si="13"/>
        <v>5.4E-8</v>
      </c>
      <c r="M77" s="76" t="s">
        <v>172</v>
      </c>
      <c r="N77" s="76">
        <f>(5/54)*C77</f>
        <v>5.0000000000000001E-9</v>
      </c>
      <c r="O77" s="76" t="s">
        <v>535</v>
      </c>
      <c r="P77" s="76" t="s">
        <v>536</v>
      </c>
    </row>
    <row r="78" spans="2:16" ht="12.75" customHeight="1" x14ac:dyDescent="0.2">
      <c r="B78" s="76" t="s">
        <v>547</v>
      </c>
      <c r="C78" s="76">
        <f t="shared" si="11"/>
        <v>5.4E-8</v>
      </c>
      <c r="D78" s="76">
        <v>1</v>
      </c>
      <c r="E78" s="76" t="s">
        <v>97</v>
      </c>
      <c r="F78" s="76" t="s">
        <v>168</v>
      </c>
      <c r="G78" s="76" t="s">
        <v>169</v>
      </c>
      <c r="H78" s="76" t="s">
        <v>170</v>
      </c>
      <c r="I78" s="76">
        <f t="shared" si="12"/>
        <v>0</v>
      </c>
      <c r="J78" s="76">
        <f t="shared" si="14"/>
        <v>0</v>
      </c>
      <c r="K78" s="76" t="s">
        <v>535</v>
      </c>
      <c r="L78" s="76">
        <f t="shared" si="13"/>
        <v>5.4E-8</v>
      </c>
      <c r="M78" s="76" t="s">
        <v>163</v>
      </c>
      <c r="N78" s="76">
        <f>0*C78</f>
        <v>0</v>
      </c>
      <c r="O78" s="76" t="s">
        <v>535</v>
      </c>
      <c r="P78" s="76" t="s">
        <v>536</v>
      </c>
    </row>
    <row r="79" spans="2:16" ht="12.75" customHeight="1" x14ac:dyDescent="0.2">
      <c r="B79" s="76" t="s">
        <v>547</v>
      </c>
      <c r="C79" s="76">
        <f t="shared" si="11"/>
        <v>5.4E-8</v>
      </c>
      <c r="D79" s="76">
        <v>1</v>
      </c>
      <c r="E79" s="76" t="s">
        <v>909</v>
      </c>
      <c r="F79" s="76" t="s">
        <v>168</v>
      </c>
      <c r="G79" s="76" t="s">
        <v>169</v>
      </c>
      <c r="H79" s="76" t="s">
        <v>516</v>
      </c>
      <c r="I79" s="76">
        <f t="shared" si="12"/>
        <v>0</v>
      </c>
      <c r="J79" s="76">
        <f>(13/54)*C79</f>
        <v>1.2999999999999999E-8</v>
      </c>
      <c r="K79" s="76">
        <f>(40/54)*C79</f>
        <v>4.0000000000000001E-8</v>
      </c>
      <c r="L79" s="76">
        <f t="shared" si="13"/>
        <v>5.4E-8</v>
      </c>
      <c r="M79" s="76" t="s">
        <v>163</v>
      </c>
      <c r="N79" s="76">
        <f t="shared" ref="N79:N81" si="15">0*C79</f>
        <v>0</v>
      </c>
      <c r="O79" s="76" t="s">
        <v>535</v>
      </c>
      <c r="P79" s="76" t="s">
        <v>537</v>
      </c>
    </row>
    <row r="80" spans="2:16" ht="12.75" customHeight="1" x14ac:dyDescent="0.2">
      <c r="B80" s="76" t="s">
        <v>547</v>
      </c>
      <c r="C80" s="76">
        <f t="shared" si="11"/>
        <v>5.4E-8</v>
      </c>
      <c r="D80" s="76">
        <v>1</v>
      </c>
      <c r="E80" s="76" t="s">
        <v>910</v>
      </c>
      <c r="F80" s="76" t="s">
        <v>168</v>
      </c>
      <c r="G80" s="76" t="s">
        <v>169</v>
      </c>
      <c r="H80" s="76" t="s">
        <v>170</v>
      </c>
      <c r="I80" s="76">
        <f t="shared" si="12"/>
        <v>0</v>
      </c>
      <c r="J80" s="76">
        <f>0*C80</f>
        <v>0</v>
      </c>
      <c r="K80" s="76" t="s">
        <v>535</v>
      </c>
      <c r="L80" s="76">
        <f t="shared" si="13"/>
        <v>5.4E-8</v>
      </c>
      <c r="M80" s="76" t="s">
        <v>163</v>
      </c>
      <c r="N80" s="76">
        <f t="shared" si="15"/>
        <v>0</v>
      </c>
      <c r="O80" s="76" t="s">
        <v>535</v>
      </c>
      <c r="P80" s="76" t="s">
        <v>536</v>
      </c>
    </row>
    <row r="81" spans="2:16" ht="12.75" customHeight="1" x14ac:dyDescent="0.2">
      <c r="B81" s="76" t="s">
        <v>547</v>
      </c>
      <c r="C81" s="76">
        <f t="shared" si="11"/>
        <v>5.4E-8</v>
      </c>
      <c r="D81" s="76">
        <v>1</v>
      </c>
      <c r="E81" s="76" t="s">
        <v>893</v>
      </c>
      <c r="F81" s="76" t="s">
        <v>168</v>
      </c>
      <c r="G81" s="76" t="s">
        <v>169</v>
      </c>
      <c r="H81" s="76" t="s">
        <v>516</v>
      </c>
      <c r="I81" s="76">
        <f t="shared" si="12"/>
        <v>0</v>
      </c>
      <c r="J81" s="76">
        <f>(12/54)*C81</f>
        <v>1.2E-8</v>
      </c>
      <c r="K81" s="76">
        <f>(37/54)*C81</f>
        <v>3.7E-8</v>
      </c>
      <c r="L81" s="76">
        <f t="shared" si="13"/>
        <v>5.4E-8</v>
      </c>
      <c r="M81" s="76" t="s">
        <v>163</v>
      </c>
      <c r="N81" s="76">
        <f t="shared" si="15"/>
        <v>0</v>
      </c>
      <c r="O81" s="76" t="s">
        <v>535</v>
      </c>
      <c r="P81" s="76" t="s">
        <v>537</v>
      </c>
    </row>
    <row r="82" spans="2:16" ht="12.75" customHeight="1" x14ac:dyDescent="0.2">
      <c r="B82" s="76" t="s">
        <v>547</v>
      </c>
      <c r="C82" s="76">
        <f t="shared" si="11"/>
        <v>5.4E-8</v>
      </c>
      <c r="D82" s="76">
        <v>1</v>
      </c>
      <c r="E82" s="76" t="s">
        <v>894</v>
      </c>
      <c r="F82" s="76" t="s">
        <v>168</v>
      </c>
      <c r="G82" s="76" t="s">
        <v>169</v>
      </c>
      <c r="H82" s="76" t="s">
        <v>170</v>
      </c>
      <c r="I82" s="76">
        <f t="shared" si="12"/>
        <v>0</v>
      </c>
      <c r="J82" s="76">
        <f>0*C82</f>
        <v>0</v>
      </c>
      <c r="K82" s="76" t="s">
        <v>535</v>
      </c>
      <c r="L82" s="76">
        <f t="shared" si="13"/>
        <v>5.4E-8</v>
      </c>
      <c r="M82" s="76" t="s">
        <v>163</v>
      </c>
      <c r="N82" s="76">
        <f>(5/54)*C82</f>
        <v>5.0000000000000001E-9</v>
      </c>
      <c r="O82" s="76" t="s">
        <v>535</v>
      </c>
      <c r="P82" s="76" t="s">
        <v>536</v>
      </c>
    </row>
    <row r="83" spans="2:16" ht="12.75" customHeight="1" x14ac:dyDescent="0.2">
      <c r="B83" s="76" t="s">
        <v>547</v>
      </c>
      <c r="C83" s="76">
        <f t="shared" si="11"/>
        <v>5.4E-8</v>
      </c>
      <c r="D83" s="76">
        <v>1</v>
      </c>
      <c r="E83" s="76" t="s">
        <v>895</v>
      </c>
      <c r="F83" s="76" t="s">
        <v>168</v>
      </c>
      <c r="G83" s="76" t="s">
        <v>169</v>
      </c>
      <c r="H83" s="76" t="s">
        <v>170</v>
      </c>
      <c r="I83" s="76">
        <f t="shared" si="12"/>
        <v>0</v>
      </c>
      <c r="J83" s="76">
        <f t="shared" ref="J83:J86" si="16">0*C83</f>
        <v>0</v>
      </c>
      <c r="K83" s="76" t="s">
        <v>535</v>
      </c>
      <c r="L83" s="76">
        <f t="shared" si="13"/>
        <v>5.4E-8</v>
      </c>
      <c r="M83" s="76" t="s">
        <v>172</v>
      </c>
      <c r="N83" s="76">
        <f>(5/54)*C83</f>
        <v>5.0000000000000001E-9</v>
      </c>
      <c r="O83" s="76" t="s">
        <v>535</v>
      </c>
      <c r="P83" s="76" t="s">
        <v>536</v>
      </c>
    </row>
    <row r="84" spans="2:16" ht="12.75" customHeight="1" x14ac:dyDescent="0.2">
      <c r="B84" s="76" t="s">
        <v>547</v>
      </c>
      <c r="C84" s="76">
        <f t="shared" si="11"/>
        <v>5.4E-8</v>
      </c>
      <c r="D84" s="76">
        <v>1</v>
      </c>
      <c r="E84" s="76" t="s">
        <v>896</v>
      </c>
      <c r="F84" s="76" t="s">
        <v>168</v>
      </c>
      <c r="G84" s="76" t="s">
        <v>169</v>
      </c>
      <c r="H84" s="76" t="s">
        <v>170</v>
      </c>
      <c r="I84" s="76">
        <f t="shared" si="12"/>
        <v>0</v>
      </c>
      <c r="J84" s="76">
        <f t="shared" si="16"/>
        <v>0</v>
      </c>
      <c r="K84" s="76" t="s">
        <v>535</v>
      </c>
      <c r="L84" s="76">
        <f t="shared" si="13"/>
        <v>5.4E-8</v>
      </c>
      <c r="M84" s="76" t="s">
        <v>163</v>
      </c>
      <c r="N84" s="76">
        <f>(5/54)*C84</f>
        <v>5.0000000000000001E-9</v>
      </c>
      <c r="O84" s="76" t="s">
        <v>535</v>
      </c>
      <c r="P84" s="76" t="s">
        <v>536</v>
      </c>
    </row>
    <row r="85" spans="2:16" ht="12.75" customHeight="1" x14ac:dyDescent="0.2">
      <c r="B85" s="76" t="s">
        <v>547</v>
      </c>
      <c r="C85" s="76">
        <f t="shared" si="11"/>
        <v>5.4E-8</v>
      </c>
      <c r="D85" s="76">
        <v>1</v>
      </c>
      <c r="E85" s="76" t="s">
        <v>897</v>
      </c>
      <c r="F85" s="76" t="s">
        <v>168</v>
      </c>
      <c r="G85" s="76" t="s">
        <v>169</v>
      </c>
      <c r="H85" s="76" t="s">
        <v>170</v>
      </c>
      <c r="I85" s="76">
        <f t="shared" si="12"/>
        <v>0</v>
      </c>
      <c r="J85" s="76">
        <f t="shared" si="16"/>
        <v>0</v>
      </c>
      <c r="K85" s="76" t="s">
        <v>535</v>
      </c>
      <c r="L85" s="76">
        <f t="shared" si="13"/>
        <v>5.4E-8</v>
      </c>
      <c r="M85" s="76" t="s">
        <v>163</v>
      </c>
      <c r="N85" s="76">
        <f>(5/54)*C85</f>
        <v>5.0000000000000001E-9</v>
      </c>
      <c r="O85" s="76" t="s">
        <v>535</v>
      </c>
      <c r="P85" s="76" t="s">
        <v>536</v>
      </c>
    </row>
    <row r="86" spans="2:16" ht="12.75" customHeight="1" x14ac:dyDescent="0.2">
      <c r="B86" s="76" t="s">
        <v>547</v>
      </c>
      <c r="C86" s="76">
        <f t="shared" si="11"/>
        <v>5.4E-8</v>
      </c>
      <c r="D86" s="76">
        <v>1</v>
      </c>
      <c r="E86" s="76" t="s">
        <v>109</v>
      </c>
      <c r="F86" s="76" t="s">
        <v>168</v>
      </c>
      <c r="G86" s="76" t="s">
        <v>169</v>
      </c>
      <c r="H86" s="76" t="s">
        <v>170</v>
      </c>
      <c r="I86" s="76">
        <f t="shared" si="12"/>
        <v>0</v>
      </c>
      <c r="J86" s="76">
        <f t="shared" si="16"/>
        <v>0</v>
      </c>
      <c r="K86" s="76" t="s">
        <v>535</v>
      </c>
      <c r="L86" s="76">
        <f t="shared" si="13"/>
        <v>5.4E-8</v>
      </c>
      <c r="M86" s="76" t="s">
        <v>172</v>
      </c>
      <c r="N86" s="76">
        <f>(5/54)*C86</f>
        <v>5.0000000000000001E-9</v>
      </c>
      <c r="O86" s="76" t="s">
        <v>535</v>
      </c>
      <c r="P86" s="76" t="s">
        <v>536</v>
      </c>
    </row>
    <row r="87" spans="2:16" ht="19.149999999999999" customHeight="1" x14ac:dyDescent="0.2">
      <c r="B87" s="76" t="s">
        <v>548</v>
      </c>
      <c r="C87" s="76">
        <f>54*ns</f>
        <v>5.4E-8</v>
      </c>
      <c r="D87" s="76">
        <v>1</v>
      </c>
      <c r="E87" s="76" t="s">
        <v>95</v>
      </c>
      <c r="F87" s="76" t="s">
        <v>168</v>
      </c>
      <c r="G87" s="76" t="s">
        <v>169</v>
      </c>
      <c r="H87" s="76" t="s">
        <v>170</v>
      </c>
      <c r="I87" s="76">
        <f t="shared" si="12"/>
        <v>0</v>
      </c>
      <c r="J87" s="76">
        <f>0*C87</f>
        <v>0</v>
      </c>
      <c r="K87" s="76" t="s">
        <v>535</v>
      </c>
      <c r="L87" s="76">
        <f t="shared" si="13"/>
        <v>5.4E-8</v>
      </c>
      <c r="M87" s="76" t="s">
        <v>163</v>
      </c>
      <c r="N87" s="76">
        <f>0*C87</f>
        <v>0</v>
      </c>
      <c r="O87" s="76" t="s">
        <v>535</v>
      </c>
      <c r="P87" s="76" t="s">
        <v>549</v>
      </c>
    </row>
    <row r="88" spans="2:16" ht="12.75" customHeight="1" x14ac:dyDescent="0.2">
      <c r="B88" s="76" t="s">
        <v>548</v>
      </c>
      <c r="C88" s="76">
        <f t="shared" ref="C88:C151" si="17">54*ns</f>
        <v>5.4E-8</v>
      </c>
      <c r="D88" s="76">
        <v>1</v>
      </c>
      <c r="E88" s="76" t="s">
        <v>912</v>
      </c>
      <c r="F88" s="76" t="s">
        <v>168</v>
      </c>
      <c r="G88" s="76" t="s">
        <v>169</v>
      </c>
      <c r="H88" s="76" t="s">
        <v>170</v>
      </c>
      <c r="I88" s="76">
        <f t="shared" si="12"/>
        <v>0</v>
      </c>
      <c r="J88" s="76">
        <f>0*C88</f>
        <v>0</v>
      </c>
      <c r="K88" s="76" t="s">
        <v>535</v>
      </c>
      <c r="L88" s="76">
        <f t="shared" si="13"/>
        <v>5.4E-8</v>
      </c>
      <c r="M88" s="76" t="s">
        <v>163</v>
      </c>
      <c r="N88" s="76">
        <f t="shared" ref="N88:N89" si="18">0*C88</f>
        <v>0</v>
      </c>
      <c r="O88" s="76" t="s">
        <v>535</v>
      </c>
      <c r="P88" s="76" t="s">
        <v>549</v>
      </c>
    </row>
    <row r="89" spans="2:16" ht="12.75" customHeight="1" x14ac:dyDescent="0.2">
      <c r="B89" s="76" t="s">
        <v>548</v>
      </c>
      <c r="C89" s="76">
        <f t="shared" si="17"/>
        <v>5.4E-8</v>
      </c>
      <c r="D89" s="76">
        <v>1</v>
      </c>
      <c r="E89" s="76" t="s">
        <v>96</v>
      </c>
      <c r="F89" s="76" t="s">
        <v>168</v>
      </c>
      <c r="G89" s="76" t="s">
        <v>169</v>
      </c>
      <c r="H89" s="76" t="s">
        <v>516</v>
      </c>
      <c r="I89" s="76">
        <f t="shared" si="12"/>
        <v>0</v>
      </c>
      <c r="J89" s="76">
        <f>(13/54)*C89</f>
        <v>1.2999999999999999E-8</v>
      </c>
      <c r="K89" s="76">
        <f>(40/54)*C89</f>
        <v>4.0000000000000001E-8</v>
      </c>
      <c r="L89" s="76">
        <f t="shared" si="13"/>
        <v>5.4E-8</v>
      </c>
      <c r="M89" s="76" t="s">
        <v>163</v>
      </c>
      <c r="N89" s="76">
        <f t="shared" si="18"/>
        <v>0</v>
      </c>
      <c r="O89" s="76" t="s">
        <v>535</v>
      </c>
      <c r="P89" s="76" t="s">
        <v>549</v>
      </c>
    </row>
    <row r="90" spans="2:16" ht="12.75" customHeight="1" x14ac:dyDescent="0.2">
      <c r="B90" s="76" t="s">
        <v>548</v>
      </c>
      <c r="C90" s="76">
        <f t="shared" si="17"/>
        <v>5.4E-8</v>
      </c>
      <c r="D90" s="76">
        <v>1</v>
      </c>
      <c r="E90" s="76" t="s">
        <v>137</v>
      </c>
      <c r="F90" s="76" t="s">
        <v>168</v>
      </c>
      <c r="G90" s="76" t="s">
        <v>169</v>
      </c>
      <c r="H90" s="76" t="s">
        <v>170</v>
      </c>
      <c r="I90" s="76">
        <f t="shared" si="12"/>
        <v>0</v>
      </c>
      <c r="J90" s="76">
        <f>0*C90</f>
        <v>0</v>
      </c>
      <c r="K90" s="76" t="s">
        <v>535</v>
      </c>
      <c r="L90" s="76">
        <f t="shared" si="13"/>
        <v>5.4E-8</v>
      </c>
      <c r="M90" s="76" t="s">
        <v>172</v>
      </c>
      <c r="N90" s="76">
        <f>(5/54)*C90</f>
        <v>5.0000000000000001E-9</v>
      </c>
      <c r="O90" s="76" t="s">
        <v>535</v>
      </c>
      <c r="P90" s="76" t="s">
        <v>550</v>
      </c>
    </row>
    <row r="91" spans="2:16" ht="12.75" customHeight="1" x14ac:dyDescent="0.2">
      <c r="B91" s="76" t="s">
        <v>548</v>
      </c>
      <c r="C91" s="76">
        <f t="shared" si="17"/>
        <v>5.4E-8</v>
      </c>
      <c r="D91" s="76">
        <v>1</v>
      </c>
      <c r="E91" s="76" t="s">
        <v>127</v>
      </c>
      <c r="F91" s="76" t="s">
        <v>168</v>
      </c>
      <c r="G91" s="76" t="s">
        <v>169</v>
      </c>
      <c r="H91" s="76" t="s">
        <v>170</v>
      </c>
      <c r="I91" s="76">
        <f t="shared" si="12"/>
        <v>0</v>
      </c>
      <c r="J91" s="76">
        <f t="shared" ref="J91:J151" si="19">0*C91</f>
        <v>0</v>
      </c>
      <c r="K91" s="76" t="s">
        <v>535</v>
      </c>
      <c r="L91" s="76">
        <f t="shared" si="13"/>
        <v>5.4E-8</v>
      </c>
      <c r="M91" s="76" t="s">
        <v>172</v>
      </c>
      <c r="N91" s="76">
        <f t="shared" ref="N91:N105" si="20">(5/54)*C91</f>
        <v>5.0000000000000001E-9</v>
      </c>
      <c r="O91" s="76" t="s">
        <v>535</v>
      </c>
      <c r="P91" s="76" t="s">
        <v>550</v>
      </c>
    </row>
    <row r="92" spans="2:16" ht="12.75" customHeight="1" x14ac:dyDescent="0.2">
      <c r="B92" s="76" t="s">
        <v>548</v>
      </c>
      <c r="C92" s="76">
        <f t="shared" si="17"/>
        <v>5.4E-8</v>
      </c>
      <c r="D92" s="76">
        <v>1</v>
      </c>
      <c r="E92" s="76" t="s">
        <v>126</v>
      </c>
      <c r="F92" s="76" t="s">
        <v>168</v>
      </c>
      <c r="G92" s="76" t="s">
        <v>169</v>
      </c>
      <c r="H92" s="76" t="s">
        <v>170</v>
      </c>
      <c r="I92" s="76">
        <f t="shared" si="12"/>
        <v>0</v>
      </c>
      <c r="J92" s="76">
        <f t="shared" si="19"/>
        <v>0</v>
      </c>
      <c r="K92" s="76" t="s">
        <v>535</v>
      </c>
      <c r="L92" s="76">
        <f t="shared" si="13"/>
        <v>5.4E-8</v>
      </c>
      <c r="M92" s="76" t="s">
        <v>172</v>
      </c>
      <c r="N92" s="76">
        <f t="shared" si="20"/>
        <v>5.0000000000000001E-9</v>
      </c>
      <c r="O92" s="76" t="s">
        <v>535</v>
      </c>
      <c r="P92" s="76" t="s">
        <v>550</v>
      </c>
    </row>
    <row r="93" spans="2:16" ht="12.75" customHeight="1" x14ac:dyDescent="0.2">
      <c r="B93" s="76" t="s">
        <v>548</v>
      </c>
      <c r="C93" s="76">
        <f t="shared" si="17"/>
        <v>5.4E-8</v>
      </c>
      <c r="D93" s="76">
        <v>1</v>
      </c>
      <c r="E93" s="76" t="s">
        <v>125</v>
      </c>
      <c r="F93" s="76" t="s">
        <v>168</v>
      </c>
      <c r="G93" s="76" t="s">
        <v>169</v>
      </c>
      <c r="H93" s="76" t="s">
        <v>170</v>
      </c>
      <c r="I93" s="76">
        <f t="shared" si="12"/>
        <v>0</v>
      </c>
      <c r="J93" s="76">
        <f t="shared" si="19"/>
        <v>0</v>
      </c>
      <c r="K93" s="76" t="s">
        <v>535</v>
      </c>
      <c r="L93" s="76">
        <f t="shared" si="13"/>
        <v>5.4E-8</v>
      </c>
      <c r="M93" s="76" t="s">
        <v>172</v>
      </c>
      <c r="N93" s="76">
        <f t="shared" si="20"/>
        <v>5.0000000000000001E-9</v>
      </c>
      <c r="O93" s="76" t="s">
        <v>535</v>
      </c>
      <c r="P93" s="76" t="s">
        <v>550</v>
      </c>
    </row>
    <row r="94" spans="2:16" ht="12.75" customHeight="1" x14ac:dyDescent="0.2">
      <c r="B94" s="76" t="s">
        <v>548</v>
      </c>
      <c r="C94" s="76">
        <f t="shared" si="17"/>
        <v>5.4E-8</v>
      </c>
      <c r="D94" s="76">
        <v>1</v>
      </c>
      <c r="E94" s="76" t="s">
        <v>124</v>
      </c>
      <c r="F94" s="76" t="s">
        <v>168</v>
      </c>
      <c r="G94" s="76" t="s">
        <v>169</v>
      </c>
      <c r="H94" s="76" t="s">
        <v>170</v>
      </c>
      <c r="I94" s="76">
        <f t="shared" si="12"/>
        <v>0</v>
      </c>
      <c r="J94" s="76">
        <f t="shared" si="19"/>
        <v>0</v>
      </c>
      <c r="K94" s="76" t="s">
        <v>535</v>
      </c>
      <c r="L94" s="76">
        <f t="shared" si="13"/>
        <v>5.4E-8</v>
      </c>
      <c r="M94" s="76" t="s">
        <v>172</v>
      </c>
      <c r="N94" s="76">
        <f t="shared" si="20"/>
        <v>5.0000000000000001E-9</v>
      </c>
      <c r="O94" s="76" t="s">
        <v>535</v>
      </c>
      <c r="P94" s="76" t="s">
        <v>550</v>
      </c>
    </row>
    <row r="95" spans="2:16" ht="12.75" customHeight="1" x14ac:dyDescent="0.2">
      <c r="B95" s="76" t="s">
        <v>548</v>
      </c>
      <c r="C95" s="76">
        <f t="shared" si="17"/>
        <v>5.4E-8</v>
      </c>
      <c r="D95" s="76">
        <v>1</v>
      </c>
      <c r="E95" s="76" t="s">
        <v>123</v>
      </c>
      <c r="F95" s="76" t="s">
        <v>168</v>
      </c>
      <c r="G95" s="76" t="s">
        <v>169</v>
      </c>
      <c r="H95" s="76" t="s">
        <v>170</v>
      </c>
      <c r="I95" s="76">
        <f t="shared" si="12"/>
        <v>0</v>
      </c>
      <c r="J95" s="76">
        <f t="shared" si="19"/>
        <v>0</v>
      </c>
      <c r="K95" s="76" t="s">
        <v>535</v>
      </c>
      <c r="L95" s="76">
        <f t="shared" si="13"/>
        <v>5.4E-8</v>
      </c>
      <c r="M95" s="76" t="s">
        <v>172</v>
      </c>
      <c r="N95" s="76">
        <f t="shared" si="20"/>
        <v>5.0000000000000001E-9</v>
      </c>
      <c r="O95" s="76" t="s">
        <v>535</v>
      </c>
      <c r="P95" s="76" t="s">
        <v>550</v>
      </c>
    </row>
    <row r="96" spans="2:16" ht="12.75" customHeight="1" x14ac:dyDescent="0.2">
      <c r="B96" s="76" t="s">
        <v>548</v>
      </c>
      <c r="C96" s="76">
        <f t="shared" si="17"/>
        <v>5.4E-8</v>
      </c>
      <c r="D96" s="76">
        <v>1</v>
      </c>
      <c r="E96" s="76" t="s">
        <v>122</v>
      </c>
      <c r="F96" s="76" t="s">
        <v>168</v>
      </c>
      <c r="G96" s="76" t="s">
        <v>169</v>
      </c>
      <c r="H96" s="76" t="s">
        <v>170</v>
      </c>
      <c r="I96" s="76">
        <f t="shared" si="12"/>
        <v>0</v>
      </c>
      <c r="J96" s="76">
        <f t="shared" si="19"/>
        <v>0</v>
      </c>
      <c r="K96" s="76" t="s">
        <v>535</v>
      </c>
      <c r="L96" s="76">
        <f t="shared" si="13"/>
        <v>5.4E-8</v>
      </c>
      <c r="M96" s="76" t="s">
        <v>172</v>
      </c>
      <c r="N96" s="76">
        <f t="shared" si="20"/>
        <v>5.0000000000000001E-9</v>
      </c>
      <c r="O96" s="76" t="s">
        <v>535</v>
      </c>
      <c r="P96" s="76" t="s">
        <v>550</v>
      </c>
    </row>
    <row r="97" spans="2:16" ht="12.75" customHeight="1" x14ac:dyDescent="0.2">
      <c r="B97" s="76" t="s">
        <v>548</v>
      </c>
      <c r="C97" s="76">
        <f t="shared" si="17"/>
        <v>5.4E-8</v>
      </c>
      <c r="D97" s="76">
        <v>1</v>
      </c>
      <c r="E97" s="76" t="s">
        <v>136</v>
      </c>
      <c r="F97" s="76" t="s">
        <v>168</v>
      </c>
      <c r="G97" s="76" t="s">
        <v>169</v>
      </c>
      <c r="H97" s="76" t="s">
        <v>170</v>
      </c>
      <c r="I97" s="76">
        <f t="shared" si="12"/>
        <v>0</v>
      </c>
      <c r="J97" s="76">
        <f t="shared" si="19"/>
        <v>0</v>
      </c>
      <c r="K97" s="76" t="s">
        <v>535</v>
      </c>
      <c r="L97" s="76">
        <f t="shared" si="13"/>
        <v>5.4E-8</v>
      </c>
      <c r="M97" s="76" t="s">
        <v>172</v>
      </c>
      <c r="N97" s="76">
        <f t="shared" si="20"/>
        <v>5.0000000000000001E-9</v>
      </c>
      <c r="O97" s="76" t="s">
        <v>535</v>
      </c>
      <c r="P97" s="76" t="s">
        <v>550</v>
      </c>
    </row>
    <row r="98" spans="2:16" ht="12.75" customHeight="1" x14ac:dyDescent="0.2">
      <c r="B98" s="76" t="s">
        <v>548</v>
      </c>
      <c r="C98" s="76">
        <f t="shared" si="17"/>
        <v>5.4E-8</v>
      </c>
      <c r="D98" s="76">
        <v>1</v>
      </c>
      <c r="E98" s="76" t="s">
        <v>135</v>
      </c>
      <c r="F98" s="76" t="s">
        <v>168</v>
      </c>
      <c r="G98" s="76" t="s">
        <v>169</v>
      </c>
      <c r="H98" s="76" t="s">
        <v>170</v>
      </c>
      <c r="I98" s="76">
        <f t="shared" si="12"/>
        <v>0</v>
      </c>
      <c r="J98" s="76">
        <f t="shared" si="19"/>
        <v>0</v>
      </c>
      <c r="K98" s="76" t="s">
        <v>535</v>
      </c>
      <c r="L98" s="76">
        <f t="shared" si="13"/>
        <v>5.4E-8</v>
      </c>
      <c r="M98" s="76" t="s">
        <v>172</v>
      </c>
      <c r="N98" s="76">
        <f t="shared" si="20"/>
        <v>5.0000000000000001E-9</v>
      </c>
      <c r="O98" s="76" t="s">
        <v>535</v>
      </c>
      <c r="P98" s="76" t="s">
        <v>550</v>
      </c>
    </row>
    <row r="99" spans="2:16" ht="12.75" customHeight="1" x14ac:dyDescent="0.2">
      <c r="B99" s="76" t="s">
        <v>548</v>
      </c>
      <c r="C99" s="76">
        <f t="shared" si="17"/>
        <v>5.4E-8</v>
      </c>
      <c r="D99" s="76">
        <v>1</v>
      </c>
      <c r="E99" s="76" t="s">
        <v>134</v>
      </c>
      <c r="F99" s="76" t="s">
        <v>168</v>
      </c>
      <c r="G99" s="76" t="s">
        <v>169</v>
      </c>
      <c r="H99" s="76" t="s">
        <v>170</v>
      </c>
      <c r="I99" s="76">
        <f t="shared" si="12"/>
        <v>0</v>
      </c>
      <c r="J99" s="76">
        <f t="shared" si="19"/>
        <v>0</v>
      </c>
      <c r="K99" s="76" t="s">
        <v>535</v>
      </c>
      <c r="L99" s="76">
        <f t="shared" si="13"/>
        <v>5.4E-8</v>
      </c>
      <c r="M99" s="76" t="s">
        <v>172</v>
      </c>
      <c r="N99" s="76">
        <f t="shared" si="20"/>
        <v>5.0000000000000001E-9</v>
      </c>
      <c r="O99" s="76" t="s">
        <v>535</v>
      </c>
      <c r="P99" s="76" t="s">
        <v>550</v>
      </c>
    </row>
    <row r="100" spans="2:16" ht="12.75" customHeight="1" x14ac:dyDescent="0.2">
      <c r="B100" s="76" t="s">
        <v>548</v>
      </c>
      <c r="C100" s="76">
        <f t="shared" si="17"/>
        <v>5.4E-8</v>
      </c>
      <c r="D100" s="76">
        <v>1</v>
      </c>
      <c r="E100" s="76" t="s">
        <v>133</v>
      </c>
      <c r="F100" s="76" t="s">
        <v>168</v>
      </c>
      <c r="G100" s="76" t="s">
        <v>169</v>
      </c>
      <c r="H100" s="76" t="s">
        <v>170</v>
      </c>
      <c r="I100" s="76">
        <f t="shared" si="12"/>
        <v>0</v>
      </c>
      <c r="J100" s="76">
        <f t="shared" si="19"/>
        <v>0</v>
      </c>
      <c r="K100" s="76" t="s">
        <v>535</v>
      </c>
      <c r="L100" s="76">
        <f t="shared" si="13"/>
        <v>5.4E-8</v>
      </c>
      <c r="M100" s="76" t="s">
        <v>172</v>
      </c>
      <c r="N100" s="76">
        <f t="shared" si="20"/>
        <v>5.0000000000000001E-9</v>
      </c>
      <c r="O100" s="76" t="s">
        <v>535</v>
      </c>
      <c r="P100" s="76" t="s">
        <v>550</v>
      </c>
    </row>
    <row r="101" spans="2:16" ht="12.75" customHeight="1" x14ac:dyDescent="0.2">
      <c r="B101" s="76" t="s">
        <v>548</v>
      </c>
      <c r="C101" s="76">
        <f t="shared" si="17"/>
        <v>5.4E-8</v>
      </c>
      <c r="D101" s="76">
        <v>1</v>
      </c>
      <c r="E101" s="76" t="s">
        <v>132</v>
      </c>
      <c r="F101" s="76" t="s">
        <v>168</v>
      </c>
      <c r="G101" s="76" t="s">
        <v>169</v>
      </c>
      <c r="H101" s="76" t="s">
        <v>170</v>
      </c>
      <c r="I101" s="76">
        <f t="shared" si="12"/>
        <v>0</v>
      </c>
      <c r="J101" s="76">
        <f t="shared" si="19"/>
        <v>0</v>
      </c>
      <c r="K101" s="76" t="s">
        <v>535</v>
      </c>
      <c r="L101" s="76">
        <f t="shared" si="13"/>
        <v>5.4E-8</v>
      </c>
      <c r="M101" s="76" t="s">
        <v>172</v>
      </c>
      <c r="N101" s="76">
        <f t="shared" si="20"/>
        <v>5.0000000000000001E-9</v>
      </c>
      <c r="O101" s="76" t="s">
        <v>535</v>
      </c>
      <c r="P101" s="76" t="s">
        <v>550</v>
      </c>
    </row>
    <row r="102" spans="2:16" ht="12.75" customHeight="1" x14ac:dyDescent="0.2">
      <c r="B102" s="76" t="s">
        <v>548</v>
      </c>
      <c r="C102" s="76">
        <f t="shared" si="17"/>
        <v>5.4E-8</v>
      </c>
      <c r="D102" s="76">
        <v>1</v>
      </c>
      <c r="E102" s="76" t="s">
        <v>131</v>
      </c>
      <c r="F102" s="76" t="s">
        <v>168</v>
      </c>
      <c r="G102" s="76" t="s">
        <v>169</v>
      </c>
      <c r="H102" s="76" t="s">
        <v>170</v>
      </c>
      <c r="I102" s="76">
        <f t="shared" si="12"/>
        <v>0</v>
      </c>
      <c r="J102" s="76">
        <f t="shared" si="19"/>
        <v>0</v>
      </c>
      <c r="K102" s="76" t="s">
        <v>535</v>
      </c>
      <c r="L102" s="76">
        <f t="shared" si="13"/>
        <v>5.4E-8</v>
      </c>
      <c r="M102" s="76" t="s">
        <v>172</v>
      </c>
      <c r="N102" s="76">
        <f t="shared" si="20"/>
        <v>5.0000000000000001E-9</v>
      </c>
      <c r="O102" s="76" t="s">
        <v>535</v>
      </c>
      <c r="P102" s="76" t="s">
        <v>550</v>
      </c>
    </row>
    <row r="103" spans="2:16" ht="12.75" customHeight="1" x14ac:dyDescent="0.2">
      <c r="B103" s="76" t="s">
        <v>548</v>
      </c>
      <c r="C103" s="76">
        <f t="shared" si="17"/>
        <v>5.4E-8</v>
      </c>
      <c r="D103" s="76">
        <v>1</v>
      </c>
      <c r="E103" s="76" t="s">
        <v>130</v>
      </c>
      <c r="F103" s="76" t="s">
        <v>168</v>
      </c>
      <c r="G103" s="76" t="s">
        <v>169</v>
      </c>
      <c r="H103" s="76" t="s">
        <v>170</v>
      </c>
      <c r="I103" s="76">
        <f t="shared" si="12"/>
        <v>0</v>
      </c>
      <c r="J103" s="76">
        <f t="shared" si="19"/>
        <v>0</v>
      </c>
      <c r="K103" s="76" t="s">
        <v>535</v>
      </c>
      <c r="L103" s="76">
        <f t="shared" si="13"/>
        <v>5.4E-8</v>
      </c>
      <c r="M103" s="76" t="s">
        <v>172</v>
      </c>
      <c r="N103" s="76">
        <f t="shared" si="20"/>
        <v>5.0000000000000001E-9</v>
      </c>
      <c r="O103" s="76" t="s">
        <v>535</v>
      </c>
      <c r="P103" s="76" t="s">
        <v>550</v>
      </c>
    </row>
    <row r="104" spans="2:16" ht="12.75" customHeight="1" x14ac:dyDescent="0.2">
      <c r="B104" s="76" t="s">
        <v>548</v>
      </c>
      <c r="C104" s="76">
        <f t="shared" si="17"/>
        <v>5.4E-8</v>
      </c>
      <c r="D104" s="76">
        <v>1</v>
      </c>
      <c r="E104" s="76" t="s">
        <v>129</v>
      </c>
      <c r="F104" s="76" t="s">
        <v>168</v>
      </c>
      <c r="G104" s="76" t="s">
        <v>169</v>
      </c>
      <c r="H104" s="76" t="s">
        <v>170</v>
      </c>
      <c r="I104" s="76">
        <f t="shared" si="12"/>
        <v>0</v>
      </c>
      <c r="J104" s="76">
        <f t="shared" si="19"/>
        <v>0</v>
      </c>
      <c r="K104" s="76" t="s">
        <v>535</v>
      </c>
      <c r="L104" s="76">
        <f t="shared" si="13"/>
        <v>5.4E-8</v>
      </c>
      <c r="M104" s="76" t="s">
        <v>172</v>
      </c>
      <c r="N104" s="76">
        <f t="shared" si="20"/>
        <v>5.0000000000000001E-9</v>
      </c>
      <c r="O104" s="76" t="s">
        <v>535</v>
      </c>
      <c r="P104" s="76" t="s">
        <v>550</v>
      </c>
    </row>
    <row r="105" spans="2:16" ht="12.75" customHeight="1" x14ac:dyDescent="0.2">
      <c r="B105" s="76" t="s">
        <v>548</v>
      </c>
      <c r="C105" s="76">
        <f t="shared" si="17"/>
        <v>5.4E-8</v>
      </c>
      <c r="D105" s="76">
        <v>1</v>
      </c>
      <c r="E105" s="76" t="s">
        <v>128</v>
      </c>
      <c r="F105" s="76" t="s">
        <v>168</v>
      </c>
      <c r="G105" s="76" t="s">
        <v>169</v>
      </c>
      <c r="H105" s="76" t="s">
        <v>170</v>
      </c>
      <c r="I105" s="76">
        <f t="shared" si="12"/>
        <v>0</v>
      </c>
      <c r="J105" s="76">
        <f t="shared" si="19"/>
        <v>0</v>
      </c>
      <c r="K105" s="76" t="s">
        <v>535</v>
      </c>
      <c r="L105" s="76">
        <f t="shared" si="13"/>
        <v>5.4E-8</v>
      </c>
      <c r="M105" s="76" t="s">
        <v>172</v>
      </c>
      <c r="N105" s="76">
        <f t="shared" si="20"/>
        <v>5.0000000000000001E-9</v>
      </c>
      <c r="O105" s="76" t="s">
        <v>535</v>
      </c>
      <c r="P105" s="76" t="s">
        <v>550</v>
      </c>
    </row>
    <row r="106" spans="2:16" ht="12.75" customHeight="1" x14ac:dyDescent="0.2">
      <c r="B106" s="76" t="s">
        <v>548</v>
      </c>
      <c r="C106" s="76">
        <f t="shared" si="17"/>
        <v>5.4E-8</v>
      </c>
      <c r="D106" s="76">
        <v>1</v>
      </c>
      <c r="E106" s="76" t="s">
        <v>98</v>
      </c>
      <c r="F106" s="76" t="s">
        <v>168</v>
      </c>
      <c r="G106" s="76" t="s">
        <v>169</v>
      </c>
      <c r="H106" s="76" t="s">
        <v>170</v>
      </c>
      <c r="I106" s="76">
        <f t="shared" si="12"/>
        <v>0</v>
      </c>
      <c r="J106" s="76">
        <f t="shared" si="19"/>
        <v>0</v>
      </c>
      <c r="K106" s="76" t="s">
        <v>535</v>
      </c>
      <c r="L106" s="76">
        <f t="shared" si="13"/>
        <v>5.4E-8</v>
      </c>
      <c r="M106" s="76" t="s">
        <v>163</v>
      </c>
      <c r="N106" s="76">
        <f>0*C106</f>
        <v>0</v>
      </c>
      <c r="O106" s="76" t="s">
        <v>535</v>
      </c>
      <c r="P106" s="76" t="s">
        <v>550</v>
      </c>
    </row>
    <row r="107" spans="2:16" ht="12.75" customHeight="1" x14ac:dyDescent="0.2">
      <c r="B107" s="76" t="s">
        <v>548</v>
      </c>
      <c r="C107" s="76">
        <f t="shared" si="17"/>
        <v>5.4E-8</v>
      </c>
      <c r="D107" s="76">
        <v>1</v>
      </c>
      <c r="E107" s="76" t="s">
        <v>99</v>
      </c>
      <c r="F107" s="76" t="s">
        <v>168</v>
      </c>
      <c r="G107" s="76" t="s">
        <v>169</v>
      </c>
      <c r="H107" s="76" t="s">
        <v>170</v>
      </c>
      <c r="I107" s="76">
        <f t="shared" si="12"/>
        <v>0</v>
      </c>
      <c r="J107" s="76">
        <f t="shared" si="19"/>
        <v>0</v>
      </c>
      <c r="K107" s="76" t="s">
        <v>535</v>
      </c>
      <c r="L107" s="76">
        <f t="shared" si="13"/>
        <v>5.4E-8</v>
      </c>
      <c r="M107" s="76" t="s">
        <v>172</v>
      </c>
      <c r="N107" s="76">
        <f>(5/54)*C107</f>
        <v>5.0000000000000001E-9</v>
      </c>
      <c r="O107" s="76" t="s">
        <v>535</v>
      </c>
      <c r="P107" s="76" t="s">
        <v>550</v>
      </c>
    </row>
    <row r="108" spans="2:16" ht="12.75" customHeight="1" x14ac:dyDescent="0.2">
      <c r="B108" s="76" t="s">
        <v>548</v>
      </c>
      <c r="C108" s="76">
        <f t="shared" si="17"/>
        <v>5.4E-8</v>
      </c>
      <c r="D108" s="76">
        <v>1</v>
      </c>
      <c r="E108" s="76" t="s">
        <v>898</v>
      </c>
      <c r="F108" s="76" t="s">
        <v>168</v>
      </c>
      <c r="G108" s="76" t="s">
        <v>169</v>
      </c>
      <c r="H108" s="76" t="s">
        <v>170</v>
      </c>
      <c r="I108" s="76">
        <f t="shared" si="12"/>
        <v>0</v>
      </c>
      <c r="J108" s="76">
        <f t="shared" si="19"/>
        <v>0</v>
      </c>
      <c r="K108" s="76" t="s">
        <v>535</v>
      </c>
      <c r="L108" s="76">
        <f t="shared" si="13"/>
        <v>5.4E-8</v>
      </c>
      <c r="M108" s="76" t="s">
        <v>163</v>
      </c>
      <c r="N108" s="76">
        <f>0*C108</f>
        <v>0</v>
      </c>
      <c r="O108" s="76" t="s">
        <v>535</v>
      </c>
      <c r="P108" s="76" t="s">
        <v>549</v>
      </c>
    </row>
    <row r="109" spans="2:16" ht="12.75" customHeight="1" x14ac:dyDescent="0.2">
      <c r="B109" s="76" t="s">
        <v>548</v>
      </c>
      <c r="C109" s="76">
        <f t="shared" si="17"/>
        <v>5.4E-8</v>
      </c>
      <c r="D109" s="76">
        <v>1</v>
      </c>
      <c r="E109" s="76" t="s">
        <v>899</v>
      </c>
      <c r="F109" s="76" t="s">
        <v>168</v>
      </c>
      <c r="G109" s="76" t="s">
        <v>169</v>
      </c>
      <c r="H109" s="76" t="s">
        <v>170</v>
      </c>
      <c r="I109" s="76">
        <f t="shared" si="12"/>
        <v>0</v>
      </c>
      <c r="J109" s="76">
        <f t="shared" si="19"/>
        <v>0</v>
      </c>
      <c r="K109" s="76" t="s">
        <v>535</v>
      </c>
      <c r="L109" s="76">
        <f t="shared" si="13"/>
        <v>5.4E-8</v>
      </c>
      <c r="M109" s="76" t="s">
        <v>163</v>
      </c>
      <c r="N109" s="76">
        <f t="shared" ref="N109:N117" si="21">0*C109</f>
        <v>0</v>
      </c>
      <c r="O109" s="76" t="s">
        <v>535</v>
      </c>
      <c r="P109" s="76" t="s">
        <v>549</v>
      </c>
    </row>
    <row r="110" spans="2:16" ht="12.75" customHeight="1" x14ac:dyDescent="0.2">
      <c r="B110" s="76" t="s">
        <v>548</v>
      </c>
      <c r="C110" s="76">
        <f t="shared" si="17"/>
        <v>5.4E-8</v>
      </c>
      <c r="D110" s="76">
        <v>1</v>
      </c>
      <c r="E110" s="76" t="s">
        <v>900</v>
      </c>
      <c r="F110" s="76" t="s">
        <v>168</v>
      </c>
      <c r="G110" s="76" t="s">
        <v>169</v>
      </c>
      <c r="H110" s="76" t="s">
        <v>170</v>
      </c>
      <c r="I110" s="76">
        <f t="shared" si="12"/>
        <v>0</v>
      </c>
      <c r="J110" s="76">
        <f t="shared" si="19"/>
        <v>0</v>
      </c>
      <c r="K110" s="76" t="s">
        <v>535</v>
      </c>
      <c r="L110" s="76">
        <f t="shared" si="13"/>
        <v>5.4E-8</v>
      </c>
      <c r="M110" s="76" t="s">
        <v>163</v>
      </c>
      <c r="N110" s="76">
        <f t="shared" si="21"/>
        <v>0</v>
      </c>
      <c r="O110" s="76" t="s">
        <v>535</v>
      </c>
      <c r="P110" s="76" t="s">
        <v>550</v>
      </c>
    </row>
    <row r="111" spans="2:16" ht="12.75" customHeight="1" x14ac:dyDescent="0.2">
      <c r="B111" s="76" t="s">
        <v>548</v>
      </c>
      <c r="C111" s="76">
        <f t="shared" si="17"/>
        <v>5.4E-8</v>
      </c>
      <c r="D111" s="76">
        <v>1</v>
      </c>
      <c r="E111" s="76" t="s">
        <v>901</v>
      </c>
      <c r="F111" s="76" t="s">
        <v>168</v>
      </c>
      <c r="G111" s="76" t="s">
        <v>169</v>
      </c>
      <c r="H111" s="76" t="s">
        <v>170</v>
      </c>
      <c r="I111" s="76">
        <f t="shared" si="12"/>
        <v>0</v>
      </c>
      <c r="J111" s="76">
        <f t="shared" si="19"/>
        <v>0</v>
      </c>
      <c r="K111" s="76" t="s">
        <v>535</v>
      </c>
      <c r="L111" s="76">
        <f t="shared" si="13"/>
        <v>5.4E-8</v>
      </c>
      <c r="M111" s="76" t="s">
        <v>163</v>
      </c>
      <c r="N111" s="76">
        <f t="shared" si="21"/>
        <v>0</v>
      </c>
      <c r="O111" s="76" t="s">
        <v>535</v>
      </c>
      <c r="P111" s="76" t="s">
        <v>550</v>
      </c>
    </row>
    <row r="112" spans="2:16" ht="12.75" customHeight="1" x14ac:dyDescent="0.2">
      <c r="B112" s="76" t="s">
        <v>548</v>
      </c>
      <c r="C112" s="76">
        <f t="shared" si="17"/>
        <v>5.4E-8</v>
      </c>
      <c r="D112" s="76">
        <v>1</v>
      </c>
      <c r="E112" s="76" t="s">
        <v>902</v>
      </c>
      <c r="F112" s="76" t="s">
        <v>168</v>
      </c>
      <c r="G112" s="76" t="s">
        <v>169</v>
      </c>
      <c r="H112" s="76" t="s">
        <v>170</v>
      </c>
      <c r="I112" s="76">
        <f t="shared" si="12"/>
        <v>0</v>
      </c>
      <c r="J112" s="76">
        <f t="shared" si="19"/>
        <v>0</v>
      </c>
      <c r="K112" s="76" t="s">
        <v>535</v>
      </c>
      <c r="L112" s="76">
        <f t="shared" si="13"/>
        <v>5.4E-8</v>
      </c>
      <c r="M112" s="76" t="s">
        <v>163</v>
      </c>
      <c r="N112" s="76">
        <f t="shared" si="21"/>
        <v>0</v>
      </c>
      <c r="O112" s="76" t="s">
        <v>535</v>
      </c>
      <c r="P112" s="76" t="s">
        <v>550</v>
      </c>
    </row>
    <row r="113" spans="2:16" ht="12.75" customHeight="1" x14ac:dyDescent="0.2">
      <c r="B113" s="76" t="s">
        <v>548</v>
      </c>
      <c r="C113" s="76">
        <f t="shared" si="17"/>
        <v>5.4E-8</v>
      </c>
      <c r="D113" s="76">
        <v>1</v>
      </c>
      <c r="E113" s="76" t="s">
        <v>903</v>
      </c>
      <c r="F113" s="76" t="s">
        <v>168</v>
      </c>
      <c r="G113" s="76" t="s">
        <v>169</v>
      </c>
      <c r="H113" s="76" t="s">
        <v>170</v>
      </c>
      <c r="I113" s="76">
        <f t="shared" si="12"/>
        <v>0</v>
      </c>
      <c r="J113" s="76">
        <f t="shared" si="19"/>
        <v>0</v>
      </c>
      <c r="K113" s="76" t="s">
        <v>535</v>
      </c>
      <c r="L113" s="76">
        <f t="shared" si="13"/>
        <v>5.4E-8</v>
      </c>
      <c r="M113" s="76" t="s">
        <v>163</v>
      </c>
      <c r="N113" s="76">
        <f t="shared" si="21"/>
        <v>0</v>
      </c>
      <c r="O113" s="76" t="s">
        <v>535</v>
      </c>
      <c r="P113" s="76" t="s">
        <v>550</v>
      </c>
    </row>
    <row r="114" spans="2:16" ht="12.75" customHeight="1" x14ac:dyDescent="0.2">
      <c r="B114" s="76" t="s">
        <v>548</v>
      </c>
      <c r="C114" s="76">
        <f t="shared" si="17"/>
        <v>5.4E-8</v>
      </c>
      <c r="D114" s="76">
        <v>1</v>
      </c>
      <c r="E114" s="76" t="s">
        <v>904</v>
      </c>
      <c r="F114" s="76" t="s">
        <v>168</v>
      </c>
      <c r="G114" s="76" t="s">
        <v>169</v>
      </c>
      <c r="H114" s="76" t="s">
        <v>170</v>
      </c>
      <c r="I114" s="76">
        <f t="shared" si="12"/>
        <v>0</v>
      </c>
      <c r="J114" s="76">
        <f t="shared" si="19"/>
        <v>0</v>
      </c>
      <c r="K114" s="76" t="s">
        <v>535</v>
      </c>
      <c r="L114" s="76">
        <f t="shared" si="13"/>
        <v>5.4E-8</v>
      </c>
      <c r="M114" s="76" t="s">
        <v>163</v>
      </c>
      <c r="N114" s="76">
        <f t="shared" si="21"/>
        <v>0</v>
      </c>
      <c r="O114" s="76" t="s">
        <v>535</v>
      </c>
      <c r="P114" s="76" t="s">
        <v>550</v>
      </c>
    </row>
    <row r="115" spans="2:16" ht="12.75" customHeight="1" x14ac:dyDescent="0.2">
      <c r="B115" s="76" t="s">
        <v>548</v>
      </c>
      <c r="C115" s="76">
        <f t="shared" si="17"/>
        <v>5.4E-8</v>
      </c>
      <c r="D115" s="76">
        <v>1</v>
      </c>
      <c r="E115" s="76" t="s">
        <v>905</v>
      </c>
      <c r="F115" s="76" t="s">
        <v>168</v>
      </c>
      <c r="G115" s="76" t="s">
        <v>169</v>
      </c>
      <c r="H115" s="76" t="s">
        <v>170</v>
      </c>
      <c r="I115" s="76">
        <f t="shared" si="12"/>
        <v>0</v>
      </c>
      <c r="J115" s="76">
        <f t="shared" si="19"/>
        <v>0</v>
      </c>
      <c r="K115" s="76" t="s">
        <v>535</v>
      </c>
      <c r="L115" s="76">
        <f t="shared" si="13"/>
        <v>5.4E-8</v>
      </c>
      <c r="M115" s="76" t="s">
        <v>163</v>
      </c>
      <c r="N115" s="76">
        <f t="shared" si="21"/>
        <v>0</v>
      </c>
      <c r="O115" s="76" t="s">
        <v>535</v>
      </c>
      <c r="P115" s="76" t="s">
        <v>550</v>
      </c>
    </row>
    <row r="116" spans="2:16" ht="12.75" customHeight="1" x14ac:dyDescent="0.2">
      <c r="B116" s="76" t="s">
        <v>548</v>
      </c>
      <c r="C116" s="76">
        <f t="shared" si="17"/>
        <v>5.4E-8</v>
      </c>
      <c r="D116" s="76">
        <v>1</v>
      </c>
      <c r="E116" s="76" t="s">
        <v>906</v>
      </c>
      <c r="F116" s="76" t="s">
        <v>168</v>
      </c>
      <c r="G116" s="76" t="s">
        <v>169</v>
      </c>
      <c r="H116" s="76" t="s">
        <v>170</v>
      </c>
      <c r="I116" s="76">
        <f t="shared" si="12"/>
        <v>0</v>
      </c>
      <c r="J116" s="76">
        <f t="shared" si="19"/>
        <v>0</v>
      </c>
      <c r="K116" s="76" t="s">
        <v>535</v>
      </c>
      <c r="L116" s="76">
        <f t="shared" si="13"/>
        <v>5.4E-8</v>
      </c>
      <c r="M116" s="76" t="s">
        <v>163</v>
      </c>
      <c r="N116" s="76">
        <f t="shared" si="21"/>
        <v>0</v>
      </c>
      <c r="O116" s="76" t="s">
        <v>535</v>
      </c>
      <c r="P116" s="76" t="s">
        <v>550</v>
      </c>
    </row>
    <row r="117" spans="2:16" ht="12.75" customHeight="1" x14ac:dyDescent="0.2">
      <c r="B117" s="76" t="s">
        <v>548</v>
      </c>
      <c r="C117" s="76">
        <f t="shared" si="17"/>
        <v>5.4E-8</v>
      </c>
      <c r="D117" s="76">
        <v>1</v>
      </c>
      <c r="E117" s="76" t="s">
        <v>907</v>
      </c>
      <c r="F117" s="76" t="s">
        <v>168</v>
      </c>
      <c r="G117" s="76" t="s">
        <v>169</v>
      </c>
      <c r="H117" s="76" t="s">
        <v>170</v>
      </c>
      <c r="I117" s="76">
        <f t="shared" si="12"/>
        <v>0</v>
      </c>
      <c r="J117" s="76">
        <f t="shared" si="19"/>
        <v>0</v>
      </c>
      <c r="K117" s="76" t="s">
        <v>535</v>
      </c>
      <c r="L117" s="76">
        <f t="shared" si="13"/>
        <v>5.4E-8</v>
      </c>
      <c r="M117" s="76" t="s">
        <v>163</v>
      </c>
      <c r="N117" s="76">
        <f t="shared" si="21"/>
        <v>0</v>
      </c>
      <c r="O117" s="76" t="s">
        <v>535</v>
      </c>
      <c r="P117" s="76" t="s">
        <v>550</v>
      </c>
    </row>
    <row r="118" spans="2:16" ht="12.75" customHeight="1" x14ac:dyDescent="0.2">
      <c r="B118" s="76" t="s">
        <v>548</v>
      </c>
      <c r="C118" s="76">
        <f t="shared" si="17"/>
        <v>5.4E-8</v>
      </c>
      <c r="D118" s="76">
        <v>1</v>
      </c>
      <c r="E118" s="76" t="s">
        <v>911</v>
      </c>
      <c r="F118" s="76" t="s">
        <v>168</v>
      </c>
      <c r="G118" s="76" t="s">
        <v>169</v>
      </c>
      <c r="H118" s="76" t="s">
        <v>170</v>
      </c>
      <c r="I118" s="76">
        <f t="shared" si="12"/>
        <v>0</v>
      </c>
      <c r="J118" s="76">
        <f t="shared" si="19"/>
        <v>0</v>
      </c>
      <c r="K118" s="76" t="s">
        <v>535</v>
      </c>
      <c r="L118" s="76">
        <f t="shared" si="13"/>
        <v>5.4E-8</v>
      </c>
      <c r="M118" s="76" t="s">
        <v>172</v>
      </c>
      <c r="N118" s="76">
        <f>(5/54)*C118</f>
        <v>5.0000000000000001E-9</v>
      </c>
      <c r="O118" s="76" t="s">
        <v>535</v>
      </c>
      <c r="P118" s="76" t="s">
        <v>550</v>
      </c>
    </row>
    <row r="119" spans="2:16" ht="12.75" customHeight="1" x14ac:dyDescent="0.2">
      <c r="B119" s="76" t="s">
        <v>548</v>
      </c>
      <c r="C119" s="76">
        <f t="shared" si="17"/>
        <v>5.4E-8</v>
      </c>
      <c r="D119" s="76">
        <v>1</v>
      </c>
      <c r="E119" s="76" t="s">
        <v>908</v>
      </c>
      <c r="F119" s="76" t="s">
        <v>168</v>
      </c>
      <c r="G119" s="76" t="s">
        <v>169</v>
      </c>
      <c r="H119" s="76" t="s">
        <v>170</v>
      </c>
      <c r="I119" s="76">
        <f t="shared" si="12"/>
        <v>0</v>
      </c>
      <c r="J119" s="76">
        <f t="shared" si="19"/>
        <v>0</v>
      </c>
      <c r="K119" s="76" t="s">
        <v>535</v>
      </c>
      <c r="L119" s="76">
        <f t="shared" si="13"/>
        <v>5.4E-8</v>
      </c>
      <c r="M119" s="76" t="s">
        <v>163</v>
      </c>
      <c r="N119" s="76">
        <f>0*C119</f>
        <v>0</v>
      </c>
      <c r="O119" s="76" t="s">
        <v>535</v>
      </c>
      <c r="P119" s="76" t="s">
        <v>550</v>
      </c>
    </row>
    <row r="120" spans="2:16" ht="12.75" customHeight="1" x14ac:dyDescent="0.2">
      <c r="B120" s="76" t="s">
        <v>548</v>
      </c>
      <c r="C120" s="76">
        <f t="shared" si="17"/>
        <v>5.4E-8</v>
      </c>
      <c r="D120" s="76">
        <v>1</v>
      </c>
      <c r="E120" s="76" t="s">
        <v>944</v>
      </c>
      <c r="F120" s="76" t="s">
        <v>168</v>
      </c>
      <c r="G120" s="76" t="s">
        <v>169</v>
      </c>
      <c r="H120" s="76" t="s">
        <v>170</v>
      </c>
      <c r="I120" s="76">
        <f t="shared" si="12"/>
        <v>0</v>
      </c>
      <c r="J120" s="76">
        <f t="shared" si="19"/>
        <v>0</v>
      </c>
      <c r="K120" s="76" t="s">
        <v>535</v>
      </c>
      <c r="L120" s="76">
        <f t="shared" si="13"/>
        <v>5.4E-8</v>
      </c>
      <c r="M120" s="76" t="s">
        <v>163</v>
      </c>
      <c r="N120" s="76">
        <f t="shared" ref="N120:N153" si="22">0*C120</f>
        <v>0</v>
      </c>
      <c r="O120" s="76" t="s">
        <v>535</v>
      </c>
      <c r="P120" s="76" t="s">
        <v>550</v>
      </c>
    </row>
    <row r="121" spans="2:16" ht="12.75" customHeight="1" x14ac:dyDescent="0.2">
      <c r="B121" s="76" t="s">
        <v>548</v>
      </c>
      <c r="C121" s="76">
        <f t="shared" si="17"/>
        <v>5.4E-8</v>
      </c>
      <c r="D121" s="76">
        <v>1</v>
      </c>
      <c r="E121" s="76" t="s">
        <v>934</v>
      </c>
      <c r="F121" s="76" t="s">
        <v>168</v>
      </c>
      <c r="G121" s="76" t="s">
        <v>169</v>
      </c>
      <c r="H121" s="76" t="s">
        <v>170</v>
      </c>
      <c r="I121" s="76">
        <f t="shared" si="12"/>
        <v>0</v>
      </c>
      <c r="J121" s="76">
        <f t="shared" si="19"/>
        <v>0</v>
      </c>
      <c r="K121" s="76" t="s">
        <v>535</v>
      </c>
      <c r="L121" s="76">
        <f t="shared" si="13"/>
        <v>5.4E-8</v>
      </c>
      <c r="M121" s="76" t="s">
        <v>163</v>
      </c>
      <c r="N121" s="76">
        <f t="shared" si="22"/>
        <v>0</v>
      </c>
      <c r="O121" s="76" t="s">
        <v>535</v>
      </c>
      <c r="P121" s="76" t="s">
        <v>550</v>
      </c>
    </row>
    <row r="122" spans="2:16" ht="12.75" customHeight="1" x14ac:dyDescent="0.2">
      <c r="B122" s="76" t="s">
        <v>548</v>
      </c>
      <c r="C122" s="76">
        <f t="shared" si="17"/>
        <v>5.4E-8</v>
      </c>
      <c r="D122" s="76">
        <v>1</v>
      </c>
      <c r="E122" s="76" t="s">
        <v>933</v>
      </c>
      <c r="F122" s="76" t="s">
        <v>168</v>
      </c>
      <c r="G122" s="76" t="s">
        <v>169</v>
      </c>
      <c r="H122" s="76" t="s">
        <v>170</v>
      </c>
      <c r="I122" s="76">
        <f t="shared" si="12"/>
        <v>0</v>
      </c>
      <c r="J122" s="76">
        <f t="shared" si="19"/>
        <v>0</v>
      </c>
      <c r="K122" s="76" t="s">
        <v>535</v>
      </c>
      <c r="L122" s="76">
        <f t="shared" si="13"/>
        <v>5.4E-8</v>
      </c>
      <c r="M122" s="76" t="s">
        <v>163</v>
      </c>
      <c r="N122" s="76">
        <f t="shared" si="22"/>
        <v>0</v>
      </c>
      <c r="O122" s="76" t="s">
        <v>535</v>
      </c>
      <c r="P122" s="76" t="s">
        <v>550</v>
      </c>
    </row>
    <row r="123" spans="2:16" ht="12.75" customHeight="1" x14ac:dyDescent="0.2">
      <c r="B123" s="76" t="s">
        <v>548</v>
      </c>
      <c r="C123" s="76">
        <f t="shared" si="17"/>
        <v>5.4E-8</v>
      </c>
      <c r="D123" s="76">
        <v>1</v>
      </c>
      <c r="E123" s="76" t="s">
        <v>932</v>
      </c>
      <c r="F123" s="76" t="s">
        <v>168</v>
      </c>
      <c r="G123" s="76" t="s">
        <v>169</v>
      </c>
      <c r="H123" s="76" t="s">
        <v>170</v>
      </c>
      <c r="I123" s="76">
        <f t="shared" si="12"/>
        <v>0</v>
      </c>
      <c r="J123" s="76">
        <f t="shared" si="19"/>
        <v>0</v>
      </c>
      <c r="K123" s="76" t="s">
        <v>535</v>
      </c>
      <c r="L123" s="76">
        <f t="shared" si="13"/>
        <v>5.4E-8</v>
      </c>
      <c r="M123" s="76" t="s">
        <v>163</v>
      </c>
      <c r="N123" s="76">
        <f t="shared" si="22"/>
        <v>0</v>
      </c>
      <c r="O123" s="76" t="s">
        <v>535</v>
      </c>
      <c r="P123" s="76" t="s">
        <v>550</v>
      </c>
    </row>
    <row r="124" spans="2:16" ht="12.75" customHeight="1" x14ac:dyDescent="0.2">
      <c r="B124" s="76" t="s">
        <v>548</v>
      </c>
      <c r="C124" s="76">
        <f t="shared" si="17"/>
        <v>5.4E-8</v>
      </c>
      <c r="D124" s="76">
        <v>1</v>
      </c>
      <c r="E124" s="76" t="s">
        <v>931</v>
      </c>
      <c r="F124" s="76" t="s">
        <v>168</v>
      </c>
      <c r="G124" s="76" t="s">
        <v>169</v>
      </c>
      <c r="H124" s="76" t="s">
        <v>170</v>
      </c>
      <c r="I124" s="76">
        <f t="shared" si="12"/>
        <v>0</v>
      </c>
      <c r="J124" s="76">
        <f t="shared" si="19"/>
        <v>0</v>
      </c>
      <c r="K124" s="76" t="s">
        <v>535</v>
      </c>
      <c r="L124" s="76">
        <f t="shared" si="13"/>
        <v>5.4E-8</v>
      </c>
      <c r="M124" s="76" t="s">
        <v>163</v>
      </c>
      <c r="N124" s="76">
        <f t="shared" si="22"/>
        <v>0</v>
      </c>
      <c r="O124" s="76" t="s">
        <v>535</v>
      </c>
      <c r="P124" s="76" t="s">
        <v>550</v>
      </c>
    </row>
    <row r="125" spans="2:16" ht="12.75" customHeight="1" x14ac:dyDescent="0.2">
      <c r="B125" s="76" t="s">
        <v>548</v>
      </c>
      <c r="C125" s="76">
        <f t="shared" si="17"/>
        <v>5.4E-8</v>
      </c>
      <c r="D125" s="76">
        <v>1</v>
      </c>
      <c r="E125" s="76" t="s">
        <v>930</v>
      </c>
      <c r="F125" s="76" t="s">
        <v>168</v>
      </c>
      <c r="G125" s="76" t="s">
        <v>169</v>
      </c>
      <c r="H125" s="76" t="s">
        <v>170</v>
      </c>
      <c r="I125" s="76">
        <f t="shared" si="12"/>
        <v>0</v>
      </c>
      <c r="J125" s="76">
        <f t="shared" si="19"/>
        <v>0</v>
      </c>
      <c r="K125" s="76" t="s">
        <v>535</v>
      </c>
      <c r="L125" s="76">
        <f t="shared" si="13"/>
        <v>5.4E-8</v>
      </c>
      <c r="M125" s="76" t="s">
        <v>163</v>
      </c>
      <c r="N125" s="76">
        <f t="shared" si="22"/>
        <v>0</v>
      </c>
      <c r="O125" s="76" t="s">
        <v>535</v>
      </c>
      <c r="P125" s="76" t="s">
        <v>550</v>
      </c>
    </row>
    <row r="126" spans="2:16" ht="12.75" customHeight="1" x14ac:dyDescent="0.2">
      <c r="B126" s="76" t="s">
        <v>548</v>
      </c>
      <c r="C126" s="76">
        <f t="shared" si="17"/>
        <v>5.4E-8</v>
      </c>
      <c r="D126" s="76">
        <v>1</v>
      </c>
      <c r="E126" s="76" t="s">
        <v>929</v>
      </c>
      <c r="F126" s="76" t="s">
        <v>168</v>
      </c>
      <c r="G126" s="76" t="s">
        <v>169</v>
      </c>
      <c r="H126" s="76" t="s">
        <v>170</v>
      </c>
      <c r="I126" s="76">
        <f t="shared" si="12"/>
        <v>0</v>
      </c>
      <c r="J126" s="76">
        <f t="shared" si="19"/>
        <v>0</v>
      </c>
      <c r="K126" s="76" t="s">
        <v>535</v>
      </c>
      <c r="L126" s="76">
        <f t="shared" si="13"/>
        <v>5.4E-8</v>
      </c>
      <c r="M126" s="76" t="s">
        <v>163</v>
      </c>
      <c r="N126" s="76">
        <f t="shared" si="22"/>
        <v>0</v>
      </c>
      <c r="O126" s="76" t="s">
        <v>535</v>
      </c>
      <c r="P126" s="76" t="s">
        <v>550</v>
      </c>
    </row>
    <row r="127" spans="2:16" ht="12.75" customHeight="1" x14ac:dyDescent="0.2">
      <c r="B127" s="76" t="s">
        <v>548</v>
      </c>
      <c r="C127" s="76">
        <f t="shared" si="17"/>
        <v>5.4E-8</v>
      </c>
      <c r="D127" s="76">
        <v>1</v>
      </c>
      <c r="E127" s="76" t="s">
        <v>928</v>
      </c>
      <c r="F127" s="76" t="s">
        <v>168</v>
      </c>
      <c r="G127" s="76" t="s">
        <v>169</v>
      </c>
      <c r="H127" s="76" t="s">
        <v>170</v>
      </c>
      <c r="I127" s="76">
        <f t="shared" si="12"/>
        <v>0</v>
      </c>
      <c r="J127" s="76">
        <f t="shared" si="19"/>
        <v>0</v>
      </c>
      <c r="K127" s="76" t="s">
        <v>535</v>
      </c>
      <c r="L127" s="76">
        <f t="shared" si="13"/>
        <v>5.4E-8</v>
      </c>
      <c r="M127" s="76" t="s">
        <v>163</v>
      </c>
      <c r="N127" s="76">
        <f t="shared" si="22"/>
        <v>0</v>
      </c>
      <c r="O127" s="76" t="s">
        <v>535</v>
      </c>
      <c r="P127" s="76" t="s">
        <v>550</v>
      </c>
    </row>
    <row r="128" spans="2:16" ht="12.75" customHeight="1" x14ac:dyDescent="0.2">
      <c r="B128" s="76" t="s">
        <v>548</v>
      </c>
      <c r="C128" s="76">
        <f t="shared" si="17"/>
        <v>5.4E-8</v>
      </c>
      <c r="D128" s="76">
        <v>1</v>
      </c>
      <c r="E128" s="76" t="s">
        <v>927</v>
      </c>
      <c r="F128" s="76" t="s">
        <v>168</v>
      </c>
      <c r="G128" s="76" t="s">
        <v>169</v>
      </c>
      <c r="H128" s="76" t="s">
        <v>170</v>
      </c>
      <c r="I128" s="76">
        <f t="shared" si="12"/>
        <v>0</v>
      </c>
      <c r="J128" s="76">
        <f t="shared" si="19"/>
        <v>0</v>
      </c>
      <c r="K128" s="76" t="s">
        <v>535</v>
      </c>
      <c r="L128" s="76">
        <f t="shared" si="13"/>
        <v>5.4E-8</v>
      </c>
      <c r="M128" s="76" t="s">
        <v>163</v>
      </c>
      <c r="N128" s="76">
        <f t="shared" si="22"/>
        <v>0</v>
      </c>
      <c r="O128" s="76" t="s">
        <v>535</v>
      </c>
      <c r="P128" s="76" t="s">
        <v>550</v>
      </c>
    </row>
    <row r="129" spans="2:16" ht="12.75" customHeight="1" x14ac:dyDescent="0.2">
      <c r="B129" s="76" t="s">
        <v>548</v>
      </c>
      <c r="C129" s="76">
        <f t="shared" si="17"/>
        <v>5.4E-8</v>
      </c>
      <c r="D129" s="76">
        <v>1</v>
      </c>
      <c r="E129" s="76" t="s">
        <v>926</v>
      </c>
      <c r="F129" s="76" t="s">
        <v>168</v>
      </c>
      <c r="G129" s="76" t="s">
        <v>169</v>
      </c>
      <c r="H129" s="76" t="s">
        <v>170</v>
      </c>
      <c r="I129" s="76">
        <f t="shared" si="12"/>
        <v>0</v>
      </c>
      <c r="J129" s="76">
        <f t="shared" si="19"/>
        <v>0</v>
      </c>
      <c r="K129" s="76" t="s">
        <v>535</v>
      </c>
      <c r="L129" s="76">
        <f t="shared" si="13"/>
        <v>5.4E-8</v>
      </c>
      <c r="M129" s="76" t="s">
        <v>163</v>
      </c>
      <c r="N129" s="76">
        <f t="shared" si="22"/>
        <v>0</v>
      </c>
      <c r="O129" s="76" t="s">
        <v>535</v>
      </c>
      <c r="P129" s="76" t="s">
        <v>550</v>
      </c>
    </row>
    <row r="130" spans="2:16" ht="12.75" customHeight="1" x14ac:dyDescent="0.2">
      <c r="B130" s="76" t="s">
        <v>548</v>
      </c>
      <c r="C130" s="76">
        <f t="shared" si="17"/>
        <v>5.4E-8</v>
      </c>
      <c r="D130" s="76">
        <v>1</v>
      </c>
      <c r="E130" s="76" t="s">
        <v>925</v>
      </c>
      <c r="F130" s="76" t="s">
        <v>168</v>
      </c>
      <c r="G130" s="76" t="s">
        <v>169</v>
      </c>
      <c r="H130" s="76" t="s">
        <v>170</v>
      </c>
      <c r="I130" s="76">
        <f t="shared" si="12"/>
        <v>0</v>
      </c>
      <c r="J130" s="76">
        <f t="shared" si="19"/>
        <v>0</v>
      </c>
      <c r="K130" s="76" t="s">
        <v>535</v>
      </c>
      <c r="L130" s="76">
        <f t="shared" si="13"/>
        <v>5.4E-8</v>
      </c>
      <c r="M130" s="76" t="s">
        <v>163</v>
      </c>
      <c r="N130" s="76">
        <f t="shared" si="22"/>
        <v>0</v>
      </c>
      <c r="O130" s="76" t="s">
        <v>535</v>
      </c>
      <c r="P130" s="76" t="s">
        <v>550</v>
      </c>
    </row>
    <row r="131" spans="2:16" ht="12.75" customHeight="1" x14ac:dyDescent="0.2">
      <c r="B131" s="76" t="s">
        <v>548</v>
      </c>
      <c r="C131" s="76">
        <f t="shared" si="17"/>
        <v>5.4E-8</v>
      </c>
      <c r="D131" s="76">
        <v>1</v>
      </c>
      <c r="E131" s="76" t="s">
        <v>943</v>
      </c>
      <c r="F131" s="76" t="s">
        <v>168</v>
      </c>
      <c r="G131" s="76" t="s">
        <v>169</v>
      </c>
      <c r="H131" s="76" t="s">
        <v>170</v>
      </c>
      <c r="I131" s="76">
        <f t="shared" si="12"/>
        <v>0</v>
      </c>
      <c r="J131" s="76">
        <f t="shared" si="19"/>
        <v>0</v>
      </c>
      <c r="K131" s="76" t="s">
        <v>535</v>
      </c>
      <c r="L131" s="76">
        <f t="shared" si="13"/>
        <v>5.4E-8</v>
      </c>
      <c r="M131" s="76" t="s">
        <v>163</v>
      </c>
      <c r="N131" s="76">
        <f t="shared" si="22"/>
        <v>0</v>
      </c>
      <c r="O131" s="76" t="s">
        <v>535</v>
      </c>
      <c r="P131" s="76" t="s">
        <v>550</v>
      </c>
    </row>
    <row r="132" spans="2:16" ht="12.75" customHeight="1" x14ac:dyDescent="0.2">
      <c r="B132" s="76" t="s">
        <v>548</v>
      </c>
      <c r="C132" s="76">
        <f t="shared" si="17"/>
        <v>5.4E-8</v>
      </c>
      <c r="D132" s="76">
        <v>1</v>
      </c>
      <c r="E132" s="76" t="s">
        <v>924</v>
      </c>
      <c r="F132" s="76" t="s">
        <v>168</v>
      </c>
      <c r="G132" s="76" t="s">
        <v>169</v>
      </c>
      <c r="H132" s="76" t="s">
        <v>170</v>
      </c>
      <c r="I132" s="76">
        <f t="shared" si="12"/>
        <v>0</v>
      </c>
      <c r="J132" s="76">
        <f t="shared" si="19"/>
        <v>0</v>
      </c>
      <c r="K132" s="76" t="s">
        <v>535</v>
      </c>
      <c r="L132" s="76">
        <f t="shared" si="13"/>
        <v>5.4E-8</v>
      </c>
      <c r="M132" s="76" t="s">
        <v>163</v>
      </c>
      <c r="N132" s="76">
        <f t="shared" si="22"/>
        <v>0</v>
      </c>
      <c r="O132" s="76" t="s">
        <v>535</v>
      </c>
      <c r="P132" s="76" t="s">
        <v>550</v>
      </c>
    </row>
    <row r="133" spans="2:16" ht="12.75" customHeight="1" x14ac:dyDescent="0.2">
      <c r="B133" s="76" t="s">
        <v>548</v>
      </c>
      <c r="C133" s="76">
        <f t="shared" si="17"/>
        <v>5.4E-8</v>
      </c>
      <c r="D133" s="76">
        <v>1</v>
      </c>
      <c r="E133" s="76" t="s">
        <v>923</v>
      </c>
      <c r="F133" s="76" t="s">
        <v>168</v>
      </c>
      <c r="G133" s="76" t="s">
        <v>169</v>
      </c>
      <c r="H133" s="76" t="s">
        <v>170</v>
      </c>
      <c r="I133" s="76">
        <f t="shared" si="12"/>
        <v>0</v>
      </c>
      <c r="J133" s="76">
        <f t="shared" si="19"/>
        <v>0</v>
      </c>
      <c r="K133" s="76" t="s">
        <v>535</v>
      </c>
      <c r="L133" s="76">
        <f t="shared" si="13"/>
        <v>5.4E-8</v>
      </c>
      <c r="M133" s="76" t="s">
        <v>163</v>
      </c>
      <c r="N133" s="76">
        <f t="shared" si="22"/>
        <v>0</v>
      </c>
      <c r="O133" s="76" t="s">
        <v>535</v>
      </c>
      <c r="P133" s="76" t="s">
        <v>550</v>
      </c>
    </row>
    <row r="134" spans="2:16" ht="12.75" customHeight="1" x14ac:dyDescent="0.2">
      <c r="B134" s="76" t="s">
        <v>548</v>
      </c>
      <c r="C134" s="76">
        <f t="shared" si="17"/>
        <v>5.4E-8</v>
      </c>
      <c r="D134" s="76">
        <v>1</v>
      </c>
      <c r="E134" s="76" t="s">
        <v>922</v>
      </c>
      <c r="F134" s="76" t="s">
        <v>168</v>
      </c>
      <c r="G134" s="76" t="s">
        <v>169</v>
      </c>
      <c r="H134" s="76" t="s">
        <v>170</v>
      </c>
      <c r="I134" s="76">
        <f t="shared" si="12"/>
        <v>0</v>
      </c>
      <c r="J134" s="76">
        <f t="shared" si="19"/>
        <v>0</v>
      </c>
      <c r="K134" s="76" t="s">
        <v>535</v>
      </c>
      <c r="L134" s="76">
        <f t="shared" si="13"/>
        <v>5.4E-8</v>
      </c>
      <c r="M134" s="76" t="s">
        <v>163</v>
      </c>
      <c r="N134" s="76">
        <f t="shared" si="22"/>
        <v>0</v>
      </c>
      <c r="O134" s="76" t="s">
        <v>535</v>
      </c>
      <c r="P134" s="76" t="s">
        <v>550</v>
      </c>
    </row>
    <row r="135" spans="2:16" ht="12.75" customHeight="1" x14ac:dyDescent="0.2">
      <c r="B135" s="76" t="s">
        <v>548</v>
      </c>
      <c r="C135" s="76">
        <f t="shared" si="17"/>
        <v>5.4E-8</v>
      </c>
      <c r="D135" s="76">
        <v>1</v>
      </c>
      <c r="E135" s="76" t="s">
        <v>921</v>
      </c>
      <c r="F135" s="76" t="s">
        <v>168</v>
      </c>
      <c r="G135" s="76" t="s">
        <v>169</v>
      </c>
      <c r="H135" s="76" t="s">
        <v>170</v>
      </c>
      <c r="I135" s="76">
        <f t="shared" si="12"/>
        <v>0</v>
      </c>
      <c r="J135" s="76">
        <f t="shared" si="19"/>
        <v>0</v>
      </c>
      <c r="K135" s="76" t="s">
        <v>535</v>
      </c>
      <c r="L135" s="76">
        <f t="shared" si="13"/>
        <v>5.4E-8</v>
      </c>
      <c r="M135" s="76" t="s">
        <v>163</v>
      </c>
      <c r="N135" s="76">
        <f t="shared" si="22"/>
        <v>0</v>
      </c>
      <c r="O135" s="76" t="s">
        <v>535</v>
      </c>
      <c r="P135" s="76" t="s">
        <v>550</v>
      </c>
    </row>
    <row r="136" spans="2:16" ht="12.75" customHeight="1" x14ac:dyDescent="0.2">
      <c r="B136" s="76" t="s">
        <v>548</v>
      </c>
      <c r="C136" s="76">
        <f t="shared" si="17"/>
        <v>5.4E-8</v>
      </c>
      <c r="D136" s="76">
        <v>1</v>
      </c>
      <c r="E136" s="76" t="s">
        <v>920</v>
      </c>
      <c r="F136" s="76" t="s">
        <v>168</v>
      </c>
      <c r="G136" s="76" t="s">
        <v>169</v>
      </c>
      <c r="H136" s="76" t="s">
        <v>170</v>
      </c>
      <c r="I136" s="76">
        <f t="shared" ref="I136:I166" si="23">0*C136</f>
        <v>0</v>
      </c>
      <c r="J136" s="76">
        <f t="shared" si="19"/>
        <v>0</v>
      </c>
      <c r="K136" s="76" t="s">
        <v>535</v>
      </c>
      <c r="L136" s="76">
        <f t="shared" ref="L136:L166" si="24">1*C136</f>
        <v>5.4E-8</v>
      </c>
      <c r="M136" s="76" t="s">
        <v>163</v>
      </c>
      <c r="N136" s="76">
        <f t="shared" si="22"/>
        <v>0</v>
      </c>
      <c r="O136" s="76" t="s">
        <v>535</v>
      </c>
      <c r="P136" s="76" t="s">
        <v>550</v>
      </c>
    </row>
    <row r="137" spans="2:16" ht="12.75" customHeight="1" x14ac:dyDescent="0.2">
      <c r="B137" s="76" t="s">
        <v>548</v>
      </c>
      <c r="C137" s="76">
        <f t="shared" si="17"/>
        <v>5.4E-8</v>
      </c>
      <c r="D137" s="76">
        <v>1</v>
      </c>
      <c r="E137" s="76" t="s">
        <v>919</v>
      </c>
      <c r="F137" s="76" t="s">
        <v>168</v>
      </c>
      <c r="G137" s="76" t="s">
        <v>169</v>
      </c>
      <c r="H137" s="76" t="s">
        <v>170</v>
      </c>
      <c r="I137" s="76">
        <f t="shared" si="23"/>
        <v>0</v>
      </c>
      <c r="J137" s="76">
        <f t="shared" si="19"/>
        <v>0</v>
      </c>
      <c r="K137" s="76" t="s">
        <v>535</v>
      </c>
      <c r="L137" s="76">
        <f t="shared" si="24"/>
        <v>5.4E-8</v>
      </c>
      <c r="M137" s="76" t="s">
        <v>163</v>
      </c>
      <c r="N137" s="76">
        <f t="shared" si="22"/>
        <v>0</v>
      </c>
      <c r="O137" s="76" t="s">
        <v>535</v>
      </c>
      <c r="P137" s="76" t="s">
        <v>550</v>
      </c>
    </row>
    <row r="138" spans="2:16" ht="12.75" customHeight="1" x14ac:dyDescent="0.2">
      <c r="B138" s="76" t="s">
        <v>548</v>
      </c>
      <c r="C138" s="76">
        <f t="shared" si="17"/>
        <v>5.4E-8</v>
      </c>
      <c r="D138" s="76">
        <v>1</v>
      </c>
      <c r="E138" s="76" t="s">
        <v>918</v>
      </c>
      <c r="F138" s="76" t="s">
        <v>168</v>
      </c>
      <c r="G138" s="76" t="s">
        <v>169</v>
      </c>
      <c r="H138" s="76" t="s">
        <v>170</v>
      </c>
      <c r="I138" s="76">
        <f t="shared" si="23"/>
        <v>0</v>
      </c>
      <c r="J138" s="76">
        <f t="shared" si="19"/>
        <v>0</v>
      </c>
      <c r="K138" s="76" t="s">
        <v>535</v>
      </c>
      <c r="L138" s="76">
        <f t="shared" si="24"/>
        <v>5.4E-8</v>
      </c>
      <c r="M138" s="76" t="s">
        <v>163</v>
      </c>
      <c r="N138" s="76">
        <f t="shared" si="22"/>
        <v>0</v>
      </c>
      <c r="O138" s="76" t="s">
        <v>535</v>
      </c>
      <c r="P138" s="76" t="s">
        <v>550</v>
      </c>
    </row>
    <row r="139" spans="2:16" ht="12.75" customHeight="1" x14ac:dyDescent="0.2">
      <c r="B139" s="76" t="s">
        <v>548</v>
      </c>
      <c r="C139" s="76">
        <f t="shared" si="17"/>
        <v>5.4E-8</v>
      </c>
      <c r="D139" s="76">
        <v>1</v>
      </c>
      <c r="E139" s="76" t="s">
        <v>917</v>
      </c>
      <c r="F139" s="76" t="s">
        <v>168</v>
      </c>
      <c r="G139" s="76" t="s">
        <v>169</v>
      </c>
      <c r="H139" s="76" t="s">
        <v>170</v>
      </c>
      <c r="I139" s="76">
        <f t="shared" si="23"/>
        <v>0</v>
      </c>
      <c r="J139" s="76">
        <f t="shared" si="19"/>
        <v>0</v>
      </c>
      <c r="K139" s="76" t="s">
        <v>535</v>
      </c>
      <c r="L139" s="76">
        <f t="shared" si="24"/>
        <v>5.4E-8</v>
      </c>
      <c r="M139" s="76" t="s">
        <v>163</v>
      </c>
      <c r="N139" s="76">
        <f t="shared" si="22"/>
        <v>0</v>
      </c>
      <c r="O139" s="76" t="s">
        <v>535</v>
      </c>
      <c r="P139" s="76" t="s">
        <v>550</v>
      </c>
    </row>
    <row r="140" spans="2:16" ht="12.75" customHeight="1" x14ac:dyDescent="0.2">
      <c r="B140" s="76" t="s">
        <v>548</v>
      </c>
      <c r="C140" s="76">
        <f t="shared" si="17"/>
        <v>5.4E-8</v>
      </c>
      <c r="D140" s="76">
        <v>1</v>
      </c>
      <c r="E140" s="76" t="s">
        <v>916</v>
      </c>
      <c r="F140" s="76" t="s">
        <v>168</v>
      </c>
      <c r="G140" s="76" t="s">
        <v>169</v>
      </c>
      <c r="H140" s="76" t="s">
        <v>170</v>
      </c>
      <c r="I140" s="76">
        <f t="shared" si="23"/>
        <v>0</v>
      </c>
      <c r="J140" s="76">
        <f t="shared" si="19"/>
        <v>0</v>
      </c>
      <c r="K140" s="76" t="s">
        <v>535</v>
      </c>
      <c r="L140" s="76">
        <f t="shared" si="24"/>
        <v>5.4E-8</v>
      </c>
      <c r="M140" s="76" t="s">
        <v>163</v>
      </c>
      <c r="N140" s="76">
        <f t="shared" si="22"/>
        <v>0</v>
      </c>
      <c r="O140" s="76" t="s">
        <v>535</v>
      </c>
      <c r="P140" s="76" t="s">
        <v>550</v>
      </c>
    </row>
    <row r="141" spans="2:16" ht="12.75" customHeight="1" x14ac:dyDescent="0.2">
      <c r="B141" s="76" t="s">
        <v>548</v>
      </c>
      <c r="C141" s="76">
        <f t="shared" si="17"/>
        <v>5.4E-8</v>
      </c>
      <c r="D141" s="76">
        <v>1</v>
      </c>
      <c r="E141" s="76" t="s">
        <v>915</v>
      </c>
      <c r="F141" s="76" t="s">
        <v>168</v>
      </c>
      <c r="G141" s="76" t="s">
        <v>169</v>
      </c>
      <c r="H141" s="76" t="s">
        <v>170</v>
      </c>
      <c r="I141" s="76">
        <f t="shared" si="23"/>
        <v>0</v>
      </c>
      <c r="J141" s="76">
        <f t="shared" si="19"/>
        <v>0</v>
      </c>
      <c r="K141" s="76" t="s">
        <v>535</v>
      </c>
      <c r="L141" s="76">
        <f t="shared" si="24"/>
        <v>5.4E-8</v>
      </c>
      <c r="M141" s="76" t="s">
        <v>163</v>
      </c>
      <c r="N141" s="76">
        <f t="shared" si="22"/>
        <v>0</v>
      </c>
      <c r="O141" s="76" t="s">
        <v>535</v>
      </c>
      <c r="P141" s="76" t="s">
        <v>550</v>
      </c>
    </row>
    <row r="142" spans="2:16" ht="12.75" customHeight="1" x14ac:dyDescent="0.2">
      <c r="B142" s="76" t="s">
        <v>548</v>
      </c>
      <c r="C142" s="76">
        <f t="shared" si="17"/>
        <v>5.4E-8</v>
      </c>
      <c r="D142" s="76">
        <v>1</v>
      </c>
      <c r="E142" s="76" t="s">
        <v>942</v>
      </c>
      <c r="F142" s="76" t="s">
        <v>168</v>
      </c>
      <c r="G142" s="76" t="s">
        <v>169</v>
      </c>
      <c r="H142" s="76" t="s">
        <v>170</v>
      </c>
      <c r="I142" s="76">
        <f t="shared" si="23"/>
        <v>0</v>
      </c>
      <c r="J142" s="76">
        <f t="shared" si="19"/>
        <v>0</v>
      </c>
      <c r="K142" s="76" t="s">
        <v>535</v>
      </c>
      <c r="L142" s="76">
        <f t="shared" si="24"/>
        <v>5.4E-8</v>
      </c>
      <c r="M142" s="76" t="s">
        <v>163</v>
      </c>
      <c r="N142" s="76">
        <f t="shared" si="22"/>
        <v>0</v>
      </c>
      <c r="O142" s="76" t="s">
        <v>535</v>
      </c>
      <c r="P142" s="76" t="s">
        <v>550</v>
      </c>
    </row>
    <row r="143" spans="2:16" ht="12.75" customHeight="1" x14ac:dyDescent="0.2">
      <c r="B143" s="76" t="s">
        <v>548</v>
      </c>
      <c r="C143" s="76">
        <f t="shared" si="17"/>
        <v>5.4E-8</v>
      </c>
      <c r="D143" s="76">
        <v>1</v>
      </c>
      <c r="E143" s="76" t="s">
        <v>914</v>
      </c>
      <c r="F143" s="76" t="s">
        <v>168</v>
      </c>
      <c r="G143" s="76" t="s">
        <v>169</v>
      </c>
      <c r="H143" s="76" t="s">
        <v>170</v>
      </c>
      <c r="I143" s="76">
        <f t="shared" si="23"/>
        <v>0</v>
      </c>
      <c r="J143" s="76">
        <f t="shared" si="19"/>
        <v>0</v>
      </c>
      <c r="K143" s="76" t="s">
        <v>535</v>
      </c>
      <c r="L143" s="76">
        <f t="shared" si="24"/>
        <v>5.4E-8</v>
      </c>
      <c r="M143" s="76" t="s">
        <v>163</v>
      </c>
      <c r="N143" s="76">
        <f t="shared" si="22"/>
        <v>0</v>
      </c>
      <c r="O143" s="76" t="s">
        <v>535</v>
      </c>
      <c r="P143" s="76" t="s">
        <v>550</v>
      </c>
    </row>
    <row r="144" spans="2:16" ht="12.75" customHeight="1" x14ac:dyDescent="0.2">
      <c r="B144" s="76" t="s">
        <v>548</v>
      </c>
      <c r="C144" s="76">
        <f t="shared" si="17"/>
        <v>5.4E-8</v>
      </c>
      <c r="D144" s="76">
        <v>1</v>
      </c>
      <c r="E144" s="76" t="s">
        <v>913</v>
      </c>
      <c r="F144" s="76" t="s">
        <v>168</v>
      </c>
      <c r="G144" s="76" t="s">
        <v>169</v>
      </c>
      <c r="H144" s="76" t="s">
        <v>170</v>
      </c>
      <c r="I144" s="76">
        <f t="shared" si="23"/>
        <v>0</v>
      </c>
      <c r="J144" s="76">
        <f t="shared" si="19"/>
        <v>0</v>
      </c>
      <c r="K144" s="76" t="s">
        <v>535</v>
      </c>
      <c r="L144" s="76">
        <f t="shared" si="24"/>
        <v>5.4E-8</v>
      </c>
      <c r="M144" s="76" t="s">
        <v>163</v>
      </c>
      <c r="N144" s="76">
        <f t="shared" si="22"/>
        <v>0</v>
      </c>
      <c r="O144" s="76" t="s">
        <v>535</v>
      </c>
      <c r="P144" s="76" t="s">
        <v>550</v>
      </c>
    </row>
    <row r="145" spans="2:16" ht="12.75" customHeight="1" x14ac:dyDescent="0.2">
      <c r="B145" s="76" t="s">
        <v>548</v>
      </c>
      <c r="C145" s="76">
        <f t="shared" si="17"/>
        <v>5.4E-8</v>
      </c>
      <c r="D145" s="76">
        <v>1</v>
      </c>
      <c r="E145" s="76" t="s">
        <v>941</v>
      </c>
      <c r="F145" s="76" t="s">
        <v>168</v>
      </c>
      <c r="G145" s="76" t="s">
        <v>169</v>
      </c>
      <c r="H145" s="76" t="s">
        <v>170</v>
      </c>
      <c r="I145" s="76">
        <f t="shared" si="23"/>
        <v>0</v>
      </c>
      <c r="J145" s="76">
        <f t="shared" si="19"/>
        <v>0</v>
      </c>
      <c r="K145" s="76" t="s">
        <v>535</v>
      </c>
      <c r="L145" s="76">
        <f t="shared" si="24"/>
        <v>5.4E-8</v>
      </c>
      <c r="M145" s="76" t="s">
        <v>163</v>
      </c>
      <c r="N145" s="76">
        <f t="shared" si="22"/>
        <v>0</v>
      </c>
      <c r="O145" s="76" t="s">
        <v>535</v>
      </c>
      <c r="P145" s="76" t="s">
        <v>550</v>
      </c>
    </row>
    <row r="146" spans="2:16" ht="12.75" customHeight="1" x14ac:dyDescent="0.2">
      <c r="B146" s="76" t="s">
        <v>548</v>
      </c>
      <c r="C146" s="76">
        <f t="shared" si="17"/>
        <v>5.4E-8</v>
      </c>
      <c r="D146" s="76">
        <v>1</v>
      </c>
      <c r="E146" s="76" t="s">
        <v>940</v>
      </c>
      <c r="F146" s="76" t="s">
        <v>168</v>
      </c>
      <c r="G146" s="76" t="s">
        <v>169</v>
      </c>
      <c r="H146" s="76" t="s">
        <v>170</v>
      </c>
      <c r="I146" s="76">
        <f t="shared" si="23"/>
        <v>0</v>
      </c>
      <c r="J146" s="76">
        <f t="shared" si="19"/>
        <v>0</v>
      </c>
      <c r="K146" s="76" t="s">
        <v>535</v>
      </c>
      <c r="L146" s="76">
        <f t="shared" si="24"/>
        <v>5.4E-8</v>
      </c>
      <c r="M146" s="76" t="s">
        <v>163</v>
      </c>
      <c r="N146" s="76">
        <f t="shared" si="22"/>
        <v>0</v>
      </c>
      <c r="O146" s="76" t="s">
        <v>535</v>
      </c>
      <c r="P146" s="76" t="s">
        <v>550</v>
      </c>
    </row>
    <row r="147" spans="2:16" ht="12.75" customHeight="1" x14ac:dyDescent="0.2">
      <c r="B147" s="76" t="s">
        <v>548</v>
      </c>
      <c r="C147" s="76">
        <f t="shared" si="17"/>
        <v>5.4E-8</v>
      </c>
      <c r="D147" s="76">
        <v>1</v>
      </c>
      <c r="E147" s="76" t="s">
        <v>939</v>
      </c>
      <c r="F147" s="76" t="s">
        <v>168</v>
      </c>
      <c r="G147" s="76" t="s">
        <v>169</v>
      </c>
      <c r="H147" s="76" t="s">
        <v>170</v>
      </c>
      <c r="I147" s="76">
        <f t="shared" si="23"/>
        <v>0</v>
      </c>
      <c r="J147" s="76">
        <f t="shared" si="19"/>
        <v>0</v>
      </c>
      <c r="K147" s="76" t="s">
        <v>535</v>
      </c>
      <c r="L147" s="76">
        <f t="shared" si="24"/>
        <v>5.4E-8</v>
      </c>
      <c r="M147" s="76" t="s">
        <v>163</v>
      </c>
      <c r="N147" s="76">
        <f t="shared" si="22"/>
        <v>0</v>
      </c>
      <c r="O147" s="76" t="s">
        <v>535</v>
      </c>
      <c r="P147" s="76" t="s">
        <v>550</v>
      </c>
    </row>
    <row r="148" spans="2:16" ht="12.75" customHeight="1" x14ac:dyDescent="0.2">
      <c r="B148" s="76" t="s">
        <v>548</v>
      </c>
      <c r="C148" s="76">
        <f t="shared" si="17"/>
        <v>5.4E-8</v>
      </c>
      <c r="D148" s="76">
        <v>1</v>
      </c>
      <c r="E148" s="76" t="s">
        <v>938</v>
      </c>
      <c r="F148" s="76" t="s">
        <v>168</v>
      </c>
      <c r="G148" s="76" t="s">
        <v>169</v>
      </c>
      <c r="H148" s="76" t="s">
        <v>170</v>
      </c>
      <c r="I148" s="76">
        <f t="shared" si="23"/>
        <v>0</v>
      </c>
      <c r="J148" s="76">
        <f t="shared" si="19"/>
        <v>0</v>
      </c>
      <c r="K148" s="76" t="s">
        <v>535</v>
      </c>
      <c r="L148" s="76">
        <f t="shared" si="24"/>
        <v>5.4E-8</v>
      </c>
      <c r="M148" s="76" t="s">
        <v>163</v>
      </c>
      <c r="N148" s="76">
        <f t="shared" si="22"/>
        <v>0</v>
      </c>
      <c r="O148" s="76" t="s">
        <v>535</v>
      </c>
      <c r="P148" s="76" t="s">
        <v>550</v>
      </c>
    </row>
    <row r="149" spans="2:16" ht="12.75" customHeight="1" x14ac:dyDescent="0.2">
      <c r="B149" s="76" t="s">
        <v>548</v>
      </c>
      <c r="C149" s="76">
        <f t="shared" si="17"/>
        <v>5.4E-8</v>
      </c>
      <c r="D149" s="76">
        <v>1</v>
      </c>
      <c r="E149" s="76" t="s">
        <v>937</v>
      </c>
      <c r="F149" s="76" t="s">
        <v>168</v>
      </c>
      <c r="G149" s="76" t="s">
        <v>169</v>
      </c>
      <c r="H149" s="76" t="s">
        <v>170</v>
      </c>
      <c r="I149" s="76">
        <f t="shared" si="23"/>
        <v>0</v>
      </c>
      <c r="J149" s="76">
        <f t="shared" si="19"/>
        <v>0</v>
      </c>
      <c r="K149" s="76" t="s">
        <v>535</v>
      </c>
      <c r="L149" s="76">
        <f t="shared" si="24"/>
        <v>5.4E-8</v>
      </c>
      <c r="M149" s="76" t="s">
        <v>163</v>
      </c>
      <c r="N149" s="76">
        <f t="shared" si="22"/>
        <v>0</v>
      </c>
      <c r="O149" s="76" t="s">
        <v>535</v>
      </c>
      <c r="P149" s="76" t="s">
        <v>550</v>
      </c>
    </row>
    <row r="150" spans="2:16" ht="12.75" customHeight="1" x14ac:dyDescent="0.2">
      <c r="B150" s="76" t="s">
        <v>548</v>
      </c>
      <c r="C150" s="76">
        <f t="shared" si="17"/>
        <v>5.4E-8</v>
      </c>
      <c r="D150" s="76">
        <v>1</v>
      </c>
      <c r="E150" s="76" t="s">
        <v>936</v>
      </c>
      <c r="F150" s="76" t="s">
        <v>168</v>
      </c>
      <c r="G150" s="76" t="s">
        <v>169</v>
      </c>
      <c r="H150" s="76" t="s">
        <v>170</v>
      </c>
      <c r="I150" s="76">
        <f t="shared" si="23"/>
        <v>0</v>
      </c>
      <c r="J150" s="76">
        <f t="shared" si="19"/>
        <v>0</v>
      </c>
      <c r="K150" s="76" t="s">
        <v>535</v>
      </c>
      <c r="L150" s="76">
        <f t="shared" si="24"/>
        <v>5.4E-8</v>
      </c>
      <c r="M150" s="76" t="s">
        <v>163</v>
      </c>
      <c r="N150" s="76">
        <f t="shared" si="22"/>
        <v>0</v>
      </c>
      <c r="O150" s="76" t="s">
        <v>535</v>
      </c>
      <c r="P150" s="76" t="s">
        <v>550</v>
      </c>
    </row>
    <row r="151" spans="2:16" ht="12.75" customHeight="1" x14ac:dyDescent="0.2">
      <c r="B151" s="76" t="s">
        <v>548</v>
      </c>
      <c r="C151" s="76">
        <f t="shared" si="17"/>
        <v>5.4E-8</v>
      </c>
      <c r="D151" s="76">
        <v>1</v>
      </c>
      <c r="E151" s="76" t="s">
        <v>935</v>
      </c>
      <c r="F151" s="76" t="s">
        <v>168</v>
      </c>
      <c r="G151" s="76" t="s">
        <v>169</v>
      </c>
      <c r="H151" s="76" t="s">
        <v>170</v>
      </c>
      <c r="I151" s="76">
        <f t="shared" si="23"/>
        <v>0</v>
      </c>
      <c r="J151" s="76">
        <f t="shared" si="19"/>
        <v>0</v>
      </c>
      <c r="K151" s="76" t="s">
        <v>535</v>
      </c>
      <c r="L151" s="76">
        <f t="shared" si="24"/>
        <v>5.4E-8</v>
      </c>
      <c r="M151" s="76" t="s">
        <v>163</v>
      </c>
      <c r="N151" s="76">
        <f t="shared" si="22"/>
        <v>0</v>
      </c>
      <c r="O151" s="76" t="s">
        <v>535</v>
      </c>
      <c r="P151" s="76" t="s">
        <v>550</v>
      </c>
    </row>
    <row r="152" spans="2:16" ht="12.75" customHeight="1" x14ac:dyDescent="0.2">
      <c r="B152" s="76" t="s">
        <v>548</v>
      </c>
      <c r="C152" s="76">
        <f t="shared" ref="C152:C166" si="25">54*ns</f>
        <v>5.4E-8</v>
      </c>
      <c r="D152" s="76">
        <v>1</v>
      </c>
      <c r="E152" s="76" t="s">
        <v>945</v>
      </c>
      <c r="F152" s="76" t="s">
        <v>168</v>
      </c>
      <c r="G152" s="76" t="s">
        <v>169</v>
      </c>
      <c r="H152" s="76" t="s">
        <v>516</v>
      </c>
      <c r="I152" s="76">
        <f t="shared" si="23"/>
        <v>0</v>
      </c>
      <c r="J152" s="76">
        <f>(13/54)*C152</f>
        <v>1.2999999999999999E-8</v>
      </c>
      <c r="K152" s="76">
        <f>(40/54)*C152</f>
        <v>4.0000000000000001E-8</v>
      </c>
      <c r="L152" s="76">
        <f t="shared" si="24"/>
        <v>5.4E-8</v>
      </c>
      <c r="M152" s="76" t="s">
        <v>163</v>
      </c>
      <c r="N152" s="76">
        <f t="shared" si="22"/>
        <v>0</v>
      </c>
      <c r="O152" s="76" t="s">
        <v>535</v>
      </c>
      <c r="P152" s="76" t="s">
        <v>549</v>
      </c>
    </row>
    <row r="153" spans="2:16" ht="12.75" customHeight="1" x14ac:dyDescent="0.2">
      <c r="B153" s="76" t="s">
        <v>548</v>
      </c>
      <c r="C153" s="76">
        <f t="shared" si="25"/>
        <v>5.4E-8</v>
      </c>
      <c r="D153" s="76">
        <v>1</v>
      </c>
      <c r="E153" s="76" t="s">
        <v>103</v>
      </c>
      <c r="F153" s="76" t="s">
        <v>168</v>
      </c>
      <c r="G153" s="76" t="s">
        <v>169</v>
      </c>
      <c r="H153" s="76" t="s">
        <v>170</v>
      </c>
      <c r="I153" s="76">
        <f t="shared" si="23"/>
        <v>0</v>
      </c>
      <c r="J153" s="76">
        <f>0*C153</f>
        <v>0</v>
      </c>
      <c r="K153" s="76" t="s">
        <v>535</v>
      </c>
      <c r="L153" s="76">
        <f t="shared" si="24"/>
        <v>5.4E-8</v>
      </c>
      <c r="M153" s="76" t="s">
        <v>163</v>
      </c>
      <c r="N153" s="76">
        <f t="shared" si="22"/>
        <v>0</v>
      </c>
      <c r="O153" s="76" t="s">
        <v>535</v>
      </c>
      <c r="P153" s="76" t="s">
        <v>550</v>
      </c>
    </row>
    <row r="154" spans="2:16" ht="12.75" customHeight="1" x14ac:dyDescent="0.2">
      <c r="B154" s="76" t="s">
        <v>548</v>
      </c>
      <c r="C154" s="76">
        <f t="shared" si="25"/>
        <v>5.4E-8</v>
      </c>
      <c r="D154" s="76">
        <v>1</v>
      </c>
      <c r="E154" s="76" t="s">
        <v>111</v>
      </c>
      <c r="F154" s="76" t="s">
        <v>168</v>
      </c>
      <c r="G154" s="76" t="s">
        <v>169</v>
      </c>
      <c r="H154" s="76" t="s">
        <v>170</v>
      </c>
      <c r="I154" s="76">
        <f t="shared" si="23"/>
        <v>0</v>
      </c>
      <c r="J154" s="76">
        <f t="shared" ref="J154:J166" si="26">0*C154</f>
        <v>0</v>
      </c>
      <c r="K154" s="76" t="s">
        <v>535</v>
      </c>
      <c r="L154" s="76">
        <f t="shared" si="24"/>
        <v>5.4E-8</v>
      </c>
      <c r="M154" s="76" t="s">
        <v>172</v>
      </c>
      <c r="N154" s="76">
        <f>(5/54)*C154</f>
        <v>5.0000000000000001E-9</v>
      </c>
      <c r="O154" s="76" t="s">
        <v>535</v>
      </c>
      <c r="P154" s="76" t="s">
        <v>550</v>
      </c>
    </row>
    <row r="155" spans="2:16" ht="12.75" customHeight="1" x14ac:dyDescent="0.2">
      <c r="B155" s="76" t="s">
        <v>548</v>
      </c>
      <c r="C155" s="76">
        <f t="shared" si="25"/>
        <v>5.4E-8</v>
      </c>
      <c r="D155" s="76">
        <v>1</v>
      </c>
      <c r="E155" s="76" t="s">
        <v>946</v>
      </c>
      <c r="F155" s="76" t="s">
        <v>168</v>
      </c>
      <c r="G155" s="76" t="s">
        <v>169</v>
      </c>
      <c r="H155" s="76" t="s">
        <v>170</v>
      </c>
      <c r="I155" s="76">
        <f t="shared" si="23"/>
        <v>0</v>
      </c>
      <c r="J155" s="76">
        <f t="shared" si="26"/>
        <v>0</v>
      </c>
      <c r="K155" s="76" t="s">
        <v>535</v>
      </c>
      <c r="L155" s="76">
        <f t="shared" si="24"/>
        <v>5.4E-8</v>
      </c>
      <c r="M155" s="76" t="s">
        <v>163</v>
      </c>
      <c r="N155" s="76">
        <f>0*C155</f>
        <v>0</v>
      </c>
      <c r="O155" s="76" t="s">
        <v>535</v>
      </c>
      <c r="P155" s="76" t="s">
        <v>550</v>
      </c>
    </row>
    <row r="156" spans="2:16" ht="12.75" customHeight="1" x14ac:dyDescent="0.2">
      <c r="B156" s="76" t="s">
        <v>548</v>
      </c>
      <c r="C156" s="76">
        <f t="shared" si="25"/>
        <v>5.4E-8</v>
      </c>
      <c r="D156" s="76">
        <v>1</v>
      </c>
      <c r="E156" s="76" t="s">
        <v>120</v>
      </c>
      <c r="F156" s="76" t="s">
        <v>168</v>
      </c>
      <c r="G156" s="76" t="s">
        <v>169</v>
      </c>
      <c r="H156" s="76" t="s">
        <v>170</v>
      </c>
      <c r="I156" s="76">
        <f t="shared" si="23"/>
        <v>0</v>
      </c>
      <c r="J156" s="76">
        <f t="shared" si="26"/>
        <v>0</v>
      </c>
      <c r="K156" s="76" t="s">
        <v>535</v>
      </c>
      <c r="L156" s="76">
        <f t="shared" si="24"/>
        <v>5.4E-8</v>
      </c>
      <c r="M156" s="76" t="s">
        <v>172</v>
      </c>
      <c r="N156" s="76">
        <f>(5/54)*C165</f>
        <v>5.0000000000000001E-9</v>
      </c>
      <c r="O156" s="76" t="s">
        <v>535</v>
      </c>
      <c r="P156" s="76" t="s">
        <v>550</v>
      </c>
    </row>
    <row r="157" spans="2:16" ht="12.75" customHeight="1" x14ac:dyDescent="0.2">
      <c r="B157" s="76" t="s">
        <v>548</v>
      </c>
      <c r="C157" s="76">
        <f t="shared" si="25"/>
        <v>5.4E-8</v>
      </c>
      <c r="D157" s="76">
        <v>1</v>
      </c>
      <c r="E157" s="76" t="s">
        <v>121</v>
      </c>
      <c r="F157" s="76" t="s">
        <v>168</v>
      </c>
      <c r="G157" s="76" t="s">
        <v>169</v>
      </c>
      <c r="H157" s="76" t="s">
        <v>170</v>
      </c>
      <c r="I157" s="76">
        <f t="shared" si="23"/>
        <v>0</v>
      </c>
      <c r="J157" s="76">
        <f t="shared" si="26"/>
        <v>0</v>
      </c>
      <c r="K157" s="76" t="s">
        <v>535</v>
      </c>
      <c r="L157" s="76">
        <f t="shared" si="24"/>
        <v>5.4E-8</v>
      </c>
      <c r="M157" s="76" t="s">
        <v>172</v>
      </c>
      <c r="N157" s="76">
        <f>(5/54)*C166</f>
        <v>5.0000000000000001E-9</v>
      </c>
      <c r="O157" s="76" t="s">
        <v>535</v>
      </c>
      <c r="P157" s="76" t="s">
        <v>550</v>
      </c>
    </row>
    <row r="158" spans="2:16" ht="12.75" customHeight="1" x14ac:dyDescent="0.2">
      <c r="B158" s="76" t="s">
        <v>548</v>
      </c>
      <c r="C158" s="76">
        <f t="shared" si="25"/>
        <v>5.4E-8</v>
      </c>
      <c r="D158" s="76">
        <v>1</v>
      </c>
      <c r="E158" s="76" t="s">
        <v>97</v>
      </c>
      <c r="F158" s="76" t="s">
        <v>168</v>
      </c>
      <c r="G158" s="76" t="s">
        <v>169</v>
      </c>
      <c r="H158" s="76" t="s">
        <v>170</v>
      </c>
      <c r="I158" s="76">
        <f t="shared" si="23"/>
        <v>0</v>
      </c>
      <c r="J158" s="76">
        <f t="shared" si="26"/>
        <v>0</v>
      </c>
      <c r="K158" s="76" t="s">
        <v>535</v>
      </c>
      <c r="L158" s="76">
        <f t="shared" si="24"/>
        <v>5.4E-8</v>
      </c>
      <c r="M158" s="76" t="s">
        <v>163</v>
      </c>
      <c r="N158" s="76">
        <f>0*C158</f>
        <v>0</v>
      </c>
      <c r="O158" s="76" t="s">
        <v>535</v>
      </c>
      <c r="P158" s="76" t="s">
        <v>550</v>
      </c>
    </row>
    <row r="159" spans="2:16" ht="12.75" customHeight="1" x14ac:dyDescent="0.2">
      <c r="B159" s="76" t="s">
        <v>548</v>
      </c>
      <c r="C159" s="76">
        <f t="shared" si="25"/>
        <v>5.4E-8</v>
      </c>
      <c r="D159" s="76">
        <v>1</v>
      </c>
      <c r="E159" s="76" t="s">
        <v>909</v>
      </c>
      <c r="F159" s="76" t="s">
        <v>168</v>
      </c>
      <c r="G159" s="76" t="s">
        <v>169</v>
      </c>
      <c r="H159" s="76" t="s">
        <v>170</v>
      </c>
      <c r="I159" s="76">
        <f t="shared" si="23"/>
        <v>0</v>
      </c>
      <c r="J159" s="76">
        <f t="shared" si="26"/>
        <v>0</v>
      </c>
      <c r="K159" s="76" t="s">
        <v>535</v>
      </c>
      <c r="L159" s="76">
        <f t="shared" si="24"/>
        <v>5.4E-8</v>
      </c>
      <c r="M159" s="76" t="s">
        <v>163</v>
      </c>
      <c r="N159" s="76">
        <f t="shared" ref="N159:N161" si="27">0*C159</f>
        <v>0</v>
      </c>
      <c r="O159" s="76" t="s">
        <v>535</v>
      </c>
      <c r="P159" s="76" t="s">
        <v>549</v>
      </c>
    </row>
    <row r="160" spans="2:16" ht="12.75" customHeight="1" x14ac:dyDescent="0.2">
      <c r="B160" s="76" t="s">
        <v>548</v>
      </c>
      <c r="C160" s="76">
        <f t="shared" si="25"/>
        <v>5.4E-8</v>
      </c>
      <c r="D160" s="76">
        <v>1</v>
      </c>
      <c r="E160" s="76" t="s">
        <v>910</v>
      </c>
      <c r="F160" s="76" t="s">
        <v>168</v>
      </c>
      <c r="G160" s="76" t="s">
        <v>169</v>
      </c>
      <c r="H160" s="76" t="s">
        <v>170</v>
      </c>
      <c r="I160" s="76">
        <f t="shared" si="23"/>
        <v>0</v>
      </c>
      <c r="J160" s="76">
        <f t="shared" si="26"/>
        <v>0</v>
      </c>
      <c r="K160" s="76" t="s">
        <v>535</v>
      </c>
      <c r="L160" s="76">
        <f t="shared" si="24"/>
        <v>5.4E-8</v>
      </c>
      <c r="M160" s="76" t="s">
        <v>163</v>
      </c>
      <c r="N160" s="76">
        <f t="shared" si="27"/>
        <v>0</v>
      </c>
      <c r="O160" s="76" t="s">
        <v>535</v>
      </c>
      <c r="P160" s="76" t="s">
        <v>550</v>
      </c>
    </row>
    <row r="161" spans="2:16" ht="12.75" customHeight="1" x14ac:dyDescent="0.2">
      <c r="B161" s="76" t="s">
        <v>548</v>
      </c>
      <c r="C161" s="76">
        <f t="shared" si="25"/>
        <v>5.4E-8</v>
      </c>
      <c r="D161" s="76">
        <v>1</v>
      </c>
      <c r="E161" s="76" t="s">
        <v>893</v>
      </c>
      <c r="F161" s="76" t="s">
        <v>168</v>
      </c>
      <c r="G161" s="76" t="s">
        <v>169</v>
      </c>
      <c r="H161" s="76" t="s">
        <v>170</v>
      </c>
      <c r="I161" s="76">
        <f t="shared" si="23"/>
        <v>0</v>
      </c>
      <c r="J161" s="76">
        <f t="shared" si="26"/>
        <v>0</v>
      </c>
      <c r="K161" s="76" t="s">
        <v>535</v>
      </c>
      <c r="L161" s="76">
        <f t="shared" si="24"/>
        <v>5.4E-8</v>
      </c>
      <c r="M161" s="76" t="s">
        <v>163</v>
      </c>
      <c r="N161" s="76">
        <f t="shared" si="27"/>
        <v>0</v>
      </c>
      <c r="O161" s="76" t="s">
        <v>535</v>
      </c>
      <c r="P161" s="76" t="s">
        <v>549</v>
      </c>
    </row>
    <row r="162" spans="2:16" ht="12.75" customHeight="1" x14ac:dyDescent="0.2">
      <c r="B162" s="76" t="s">
        <v>548</v>
      </c>
      <c r="C162" s="76">
        <f t="shared" si="25"/>
        <v>5.4E-8</v>
      </c>
      <c r="D162" s="76">
        <v>1</v>
      </c>
      <c r="E162" s="76" t="s">
        <v>894</v>
      </c>
      <c r="F162" s="76" t="s">
        <v>168</v>
      </c>
      <c r="G162" s="76" t="s">
        <v>169</v>
      </c>
      <c r="H162" s="76" t="s">
        <v>170</v>
      </c>
      <c r="I162" s="76">
        <f t="shared" si="23"/>
        <v>0</v>
      </c>
      <c r="J162" s="76">
        <f t="shared" si="26"/>
        <v>0</v>
      </c>
      <c r="K162" s="76" t="s">
        <v>535</v>
      </c>
      <c r="L162" s="76">
        <f t="shared" si="24"/>
        <v>5.4E-8</v>
      </c>
      <c r="M162" s="76" t="s">
        <v>163</v>
      </c>
      <c r="N162" s="76">
        <f>(5/54)*C162</f>
        <v>5.0000000000000001E-9</v>
      </c>
      <c r="O162" s="76" t="s">
        <v>535</v>
      </c>
      <c r="P162" s="76" t="s">
        <v>550</v>
      </c>
    </row>
    <row r="163" spans="2:16" ht="12.75" customHeight="1" x14ac:dyDescent="0.2">
      <c r="B163" s="76" t="s">
        <v>548</v>
      </c>
      <c r="C163" s="76">
        <f t="shared" si="25"/>
        <v>5.4E-8</v>
      </c>
      <c r="D163" s="76">
        <v>1</v>
      </c>
      <c r="E163" s="76" t="s">
        <v>895</v>
      </c>
      <c r="F163" s="76" t="s">
        <v>168</v>
      </c>
      <c r="G163" s="76" t="s">
        <v>169</v>
      </c>
      <c r="H163" s="76" t="s">
        <v>170</v>
      </c>
      <c r="I163" s="76">
        <f t="shared" si="23"/>
        <v>0</v>
      </c>
      <c r="J163" s="76">
        <f t="shared" si="26"/>
        <v>0</v>
      </c>
      <c r="K163" s="76" t="s">
        <v>535</v>
      </c>
      <c r="L163" s="76">
        <f t="shared" si="24"/>
        <v>5.4E-8</v>
      </c>
      <c r="M163" s="76" t="s">
        <v>172</v>
      </c>
      <c r="N163" s="76">
        <f>(5/54)*C163</f>
        <v>5.0000000000000001E-9</v>
      </c>
      <c r="O163" s="76" t="s">
        <v>535</v>
      </c>
      <c r="P163" s="76" t="s">
        <v>550</v>
      </c>
    </row>
    <row r="164" spans="2:16" ht="12.75" customHeight="1" x14ac:dyDescent="0.2">
      <c r="B164" s="76" t="s">
        <v>548</v>
      </c>
      <c r="C164" s="76">
        <f t="shared" si="25"/>
        <v>5.4E-8</v>
      </c>
      <c r="D164" s="76">
        <v>1</v>
      </c>
      <c r="E164" s="76" t="s">
        <v>896</v>
      </c>
      <c r="F164" s="76" t="s">
        <v>168</v>
      </c>
      <c r="G164" s="76" t="s">
        <v>169</v>
      </c>
      <c r="H164" s="76" t="s">
        <v>170</v>
      </c>
      <c r="I164" s="76">
        <f t="shared" si="23"/>
        <v>0</v>
      </c>
      <c r="J164" s="76">
        <f t="shared" si="26"/>
        <v>0</v>
      </c>
      <c r="K164" s="76" t="s">
        <v>535</v>
      </c>
      <c r="L164" s="76">
        <f t="shared" si="24"/>
        <v>5.4E-8</v>
      </c>
      <c r="M164" s="76" t="s">
        <v>163</v>
      </c>
      <c r="N164" s="76">
        <f>(5/54)*C164</f>
        <v>5.0000000000000001E-9</v>
      </c>
      <c r="O164" s="76" t="s">
        <v>535</v>
      </c>
      <c r="P164" s="76" t="s">
        <v>550</v>
      </c>
    </row>
    <row r="165" spans="2:16" ht="12.75" customHeight="1" x14ac:dyDescent="0.2">
      <c r="B165" s="76" t="s">
        <v>548</v>
      </c>
      <c r="C165" s="76">
        <f t="shared" si="25"/>
        <v>5.4E-8</v>
      </c>
      <c r="D165" s="76">
        <v>1</v>
      </c>
      <c r="E165" s="76" t="s">
        <v>897</v>
      </c>
      <c r="F165" s="76" t="s">
        <v>168</v>
      </c>
      <c r="G165" s="76" t="s">
        <v>169</v>
      </c>
      <c r="H165" s="76" t="s">
        <v>170</v>
      </c>
      <c r="I165" s="76">
        <f t="shared" si="23"/>
        <v>0</v>
      </c>
      <c r="J165" s="76">
        <f t="shared" si="26"/>
        <v>0</v>
      </c>
      <c r="K165" s="76" t="s">
        <v>535</v>
      </c>
      <c r="L165" s="76">
        <f t="shared" si="24"/>
        <v>5.4E-8</v>
      </c>
      <c r="M165" s="76" t="s">
        <v>163</v>
      </c>
      <c r="N165" s="76">
        <f>(5/54)*C165</f>
        <v>5.0000000000000001E-9</v>
      </c>
      <c r="O165" s="76" t="s">
        <v>535</v>
      </c>
      <c r="P165" s="76" t="s">
        <v>550</v>
      </c>
    </row>
    <row r="166" spans="2:16" ht="12.75" customHeight="1" x14ac:dyDescent="0.2">
      <c r="B166" s="76" t="s">
        <v>548</v>
      </c>
      <c r="C166" s="76">
        <f t="shared" si="25"/>
        <v>5.4E-8</v>
      </c>
      <c r="D166" s="76">
        <v>1</v>
      </c>
      <c r="E166" s="76" t="s">
        <v>109</v>
      </c>
      <c r="F166" s="76" t="s">
        <v>168</v>
      </c>
      <c r="G166" s="76" t="s">
        <v>169</v>
      </c>
      <c r="H166" s="76" t="s">
        <v>170</v>
      </c>
      <c r="I166" s="76">
        <f t="shared" si="23"/>
        <v>0</v>
      </c>
      <c r="J166" s="76">
        <f t="shared" si="26"/>
        <v>0</v>
      </c>
      <c r="K166" s="76" t="s">
        <v>535</v>
      </c>
      <c r="L166" s="76">
        <f t="shared" si="24"/>
        <v>5.4E-8</v>
      </c>
      <c r="M166" s="76" t="s">
        <v>172</v>
      </c>
      <c r="N166" s="76">
        <f>(5/54)*C166</f>
        <v>5.0000000000000001E-9</v>
      </c>
      <c r="O166" s="76" t="s">
        <v>535</v>
      </c>
      <c r="P166" s="76" t="s">
        <v>550</v>
      </c>
    </row>
  </sheetData>
  <autoFilter ref="E6:E7"/>
  <dataValidations count="1">
    <dataValidation type="list" allowBlank="1" showInputMessage="1" showErrorMessage="1" sqref="C3">
      <formula1>"Normal,Extended,Quad"</formula1>
    </dataValidation>
  </dataValidations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outlinePr summaryBelow="0" summaryRight="0"/>
  </sheetPr>
  <dimension ref="A1:P166"/>
  <sheetViews>
    <sheetView showGridLines="0" zoomScaleNormal="100" workbookViewId="0">
      <pane ySplit="6" topLeftCell="A130" activePane="bottomLeft" state="frozen"/>
      <selection pane="bottomLeft" activeCell="B7" sqref="B7"/>
    </sheetView>
  </sheetViews>
  <sheetFormatPr defaultRowHeight="12.75" x14ac:dyDescent="0.2"/>
  <cols>
    <col min="1" max="1" width="9.140625" style="75"/>
    <col min="2" max="3" width="13.42578125" style="75" customWidth="1"/>
    <col min="4" max="4" width="6.28515625" style="75" customWidth="1"/>
    <col min="5" max="5" width="13.42578125" style="75" customWidth="1"/>
    <col min="6" max="8" width="9.140625" style="75"/>
    <col min="9" max="12" width="13.42578125" style="75" customWidth="1"/>
    <col min="13" max="13" width="9.140625" style="75"/>
    <col min="14" max="15" width="13.42578125" style="75" customWidth="1"/>
    <col min="16" max="16" width="42.85546875" style="75" customWidth="1"/>
    <col min="17" max="16384" width="9.140625" style="75"/>
  </cols>
  <sheetData>
    <row r="1" spans="1:16" ht="25.5" customHeight="1" x14ac:dyDescent="0.2">
      <c r="A1" s="75" t="s">
        <v>61</v>
      </c>
      <c r="B1" s="75" t="s">
        <v>146</v>
      </c>
    </row>
    <row r="3" spans="1:16" x14ac:dyDescent="0.2">
      <c r="B3" s="1" t="s">
        <v>147</v>
      </c>
      <c r="C3" s="2" t="s">
        <v>237</v>
      </c>
      <c r="E3" s="1" t="s">
        <v>148</v>
      </c>
      <c r="F3" s="2">
        <f>1*us</f>
        <v>9.9999999999999995E-7</v>
      </c>
      <c r="H3" s="1" t="s">
        <v>149</v>
      </c>
      <c r="I3" s="2">
        <f>1*us</f>
        <v>9.9999999999999995E-7</v>
      </c>
    </row>
    <row r="5" spans="1:16" x14ac:dyDescent="0.2">
      <c r="C5" s="75" t="s">
        <v>150</v>
      </c>
      <c r="E5" s="75" t="s">
        <v>151</v>
      </c>
      <c r="G5" s="75" t="s">
        <v>152</v>
      </c>
      <c r="I5" s="75" t="s">
        <v>153</v>
      </c>
      <c r="M5" s="75" t="s">
        <v>154</v>
      </c>
    </row>
    <row r="6" spans="1:16" x14ac:dyDescent="0.2">
      <c r="B6" s="75" t="s">
        <v>155</v>
      </c>
      <c r="C6" s="75" t="s">
        <v>156</v>
      </c>
      <c r="D6" s="75" t="s">
        <v>157</v>
      </c>
      <c r="E6" s="75" t="s">
        <v>20</v>
      </c>
      <c r="F6" s="75" t="s">
        <v>158</v>
      </c>
      <c r="G6" s="75" t="s">
        <v>159</v>
      </c>
      <c r="H6" s="75" t="s">
        <v>160</v>
      </c>
      <c r="I6" s="75" t="s">
        <v>161</v>
      </c>
      <c r="J6" s="75" t="s">
        <v>152</v>
      </c>
      <c r="K6" s="75" t="s">
        <v>162</v>
      </c>
      <c r="L6" s="75" t="s">
        <v>163</v>
      </c>
      <c r="M6" s="75" t="s">
        <v>164</v>
      </c>
      <c r="N6" s="75" t="s">
        <v>165</v>
      </c>
      <c r="O6" s="75" t="s">
        <v>166</v>
      </c>
      <c r="P6" s="75" t="s">
        <v>4</v>
      </c>
    </row>
    <row r="7" spans="1:16" ht="19.149999999999999" customHeight="1" x14ac:dyDescent="0.2">
      <c r="B7" s="76" t="s">
        <v>547</v>
      </c>
      <c r="C7" s="76">
        <f t="shared" ref="C7:C38" si="0">54*ns</f>
        <v>5.4E-8</v>
      </c>
      <c r="D7" s="76">
        <v>1</v>
      </c>
      <c r="E7" s="76" t="s">
        <v>95</v>
      </c>
      <c r="F7" s="76" t="s">
        <v>168</v>
      </c>
      <c r="G7" s="76" t="s">
        <v>169</v>
      </c>
      <c r="H7" s="76" t="s">
        <v>515</v>
      </c>
      <c r="I7" s="76">
        <f>0*C7</f>
        <v>0</v>
      </c>
      <c r="J7" s="76">
        <f>(13/54)*C7</f>
        <v>1.2999999999999999E-8</v>
      </c>
      <c r="K7" s="76">
        <f>(40/54)*C7</f>
        <v>4.0000000000000001E-8</v>
      </c>
      <c r="L7" s="76">
        <f>1*C7</f>
        <v>5.4E-8</v>
      </c>
      <c r="M7" s="76" t="s">
        <v>163</v>
      </c>
      <c r="N7" s="76">
        <f>0*C7</f>
        <v>0</v>
      </c>
      <c r="O7" s="76" t="s">
        <v>535</v>
      </c>
      <c r="P7" s="76" t="s">
        <v>537</v>
      </c>
    </row>
    <row r="8" spans="1:16" ht="12.75" customHeight="1" x14ac:dyDescent="0.2">
      <c r="B8" s="76" t="s">
        <v>547</v>
      </c>
      <c r="C8" s="76">
        <f t="shared" si="0"/>
        <v>5.4E-8</v>
      </c>
      <c r="D8" s="76">
        <v>1</v>
      </c>
      <c r="E8" s="76" t="s">
        <v>912</v>
      </c>
      <c r="F8" s="76" t="s">
        <v>168</v>
      </c>
      <c r="G8" s="76" t="s">
        <v>169</v>
      </c>
      <c r="H8" s="76" t="s">
        <v>516</v>
      </c>
      <c r="I8" s="76">
        <f>0*C8</f>
        <v>0</v>
      </c>
      <c r="J8" s="76">
        <f>(13/54)*C8</f>
        <v>1.2999999999999999E-8</v>
      </c>
      <c r="K8" s="76">
        <f t="shared" ref="K8" si="1">(40/54)*C8</f>
        <v>4.0000000000000001E-8</v>
      </c>
      <c r="L8" s="76">
        <f t="shared" ref="L8:L71" si="2">1*C8</f>
        <v>5.4E-8</v>
      </c>
      <c r="M8" s="76" t="s">
        <v>163</v>
      </c>
      <c r="N8" s="76">
        <f>0*C8</f>
        <v>0</v>
      </c>
      <c r="O8" s="76" t="s">
        <v>535</v>
      </c>
      <c r="P8" s="76" t="s">
        <v>537</v>
      </c>
    </row>
    <row r="9" spans="1:16" ht="12.75" customHeight="1" x14ac:dyDescent="0.2">
      <c r="B9" s="76" t="s">
        <v>547</v>
      </c>
      <c r="C9" s="76">
        <f t="shared" si="0"/>
        <v>5.4E-8</v>
      </c>
      <c r="D9" s="76">
        <v>1</v>
      </c>
      <c r="E9" s="76" t="s">
        <v>96</v>
      </c>
      <c r="F9" s="76" t="s">
        <v>168</v>
      </c>
      <c r="G9" s="76" t="s">
        <v>169</v>
      </c>
      <c r="H9" s="76" t="s">
        <v>516</v>
      </c>
      <c r="I9" s="76">
        <f>0*C9</f>
        <v>0</v>
      </c>
      <c r="J9" s="76">
        <f>(13/54)*C9</f>
        <v>1.2999999999999999E-8</v>
      </c>
      <c r="K9" s="76">
        <f>(40/54)*C9</f>
        <v>4.0000000000000001E-8</v>
      </c>
      <c r="L9" s="76">
        <f>1*C9</f>
        <v>5.4E-8</v>
      </c>
      <c r="M9" s="76" t="s">
        <v>163</v>
      </c>
      <c r="N9" s="76">
        <f>0*C9</f>
        <v>0</v>
      </c>
      <c r="O9" s="76" t="s">
        <v>535</v>
      </c>
      <c r="P9" s="76" t="s">
        <v>537</v>
      </c>
    </row>
    <row r="10" spans="1:16" ht="12.75" customHeight="1" x14ac:dyDescent="0.2">
      <c r="B10" s="76" t="s">
        <v>547</v>
      </c>
      <c r="C10" s="76">
        <f t="shared" si="0"/>
        <v>5.4E-8</v>
      </c>
      <c r="D10" s="76">
        <v>1</v>
      </c>
      <c r="E10" s="76" t="s">
        <v>137</v>
      </c>
      <c r="F10" s="76" t="s">
        <v>168</v>
      </c>
      <c r="G10" s="76" t="s">
        <v>169</v>
      </c>
      <c r="H10" s="76" t="s">
        <v>170</v>
      </c>
      <c r="I10" s="76">
        <f t="shared" ref="I10:I72" si="3">0*C10</f>
        <v>0</v>
      </c>
      <c r="J10" s="76">
        <f>0*C10</f>
        <v>0</v>
      </c>
      <c r="K10" s="76" t="s">
        <v>535</v>
      </c>
      <c r="L10" s="76">
        <f t="shared" si="2"/>
        <v>5.4E-8</v>
      </c>
      <c r="M10" s="76" t="s">
        <v>172</v>
      </c>
      <c r="N10" s="76">
        <f>(5/54)*C10</f>
        <v>5.0000000000000001E-9</v>
      </c>
      <c r="O10" s="76" t="s">
        <v>535</v>
      </c>
      <c r="P10" s="76" t="s">
        <v>536</v>
      </c>
    </row>
    <row r="11" spans="1:16" ht="12.75" customHeight="1" x14ac:dyDescent="0.2">
      <c r="B11" s="76" t="s">
        <v>547</v>
      </c>
      <c r="C11" s="76">
        <f t="shared" si="0"/>
        <v>5.4E-8</v>
      </c>
      <c r="D11" s="76">
        <v>1</v>
      </c>
      <c r="E11" s="76" t="s">
        <v>127</v>
      </c>
      <c r="F11" s="76" t="s">
        <v>168</v>
      </c>
      <c r="G11" s="76" t="s">
        <v>169</v>
      </c>
      <c r="H11" s="76" t="s">
        <v>170</v>
      </c>
      <c r="I11" s="76">
        <f t="shared" si="3"/>
        <v>0</v>
      </c>
      <c r="J11" s="76">
        <f t="shared" ref="J11:J27" si="4">0*C11</f>
        <v>0</v>
      </c>
      <c r="K11" s="76" t="s">
        <v>535</v>
      </c>
      <c r="L11" s="76">
        <f t="shared" si="2"/>
        <v>5.4E-8</v>
      </c>
      <c r="M11" s="76" t="s">
        <v>172</v>
      </c>
      <c r="N11" s="76">
        <f t="shared" ref="N11:N25" si="5">(5/54)*C11</f>
        <v>5.0000000000000001E-9</v>
      </c>
      <c r="O11" s="76" t="s">
        <v>535</v>
      </c>
      <c r="P11" s="76" t="s">
        <v>536</v>
      </c>
    </row>
    <row r="12" spans="1:16" ht="12.75" customHeight="1" x14ac:dyDescent="0.2">
      <c r="B12" s="76" t="s">
        <v>547</v>
      </c>
      <c r="C12" s="76">
        <f t="shared" si="0"/>
        <v>5.4E-8</v>
      </c>
      <c r="D12" s="76">
        <v>1</v>
      </c>
      <c r="E12" s="76" t="s">
        <v>126</v>
      </c>
      <c r="F12" s="76" t="s">
        <v>168</v>
      </c>
      <c r="G12" s="76" t="s">
        <v>169</v>
      </c>
      <c r="H12" s="76" t="s">
        <v>170</v>
      </c>
      <c r="I12" s="76">
        <f t="shared" si="3"/>
        <v>0</v>
      </c>
      <c r="J12" s="76">
        <f t="shared" si="4"/>
        <v>0</v>
      </c>
      <c r="K12" s="76" t="s">
        <v>535</v>
      </c>
      <c r="L12" s="76">
        <f t="shared" si="2"/>
        <v>5.4E-8</v>
      </c>
      <c r="M12" s="76" t="s">
        <v>172</v>
      </c>
      <c r="N12" s="76">
        <f t="shared" si="5"/>
        <v>5.0000000000000001E-9</v>
      </c>
      <c r="O12" s="76" t="s">
        <v>535</v>
      </c>
      <c r="P12" s="76" t="s">
        <v>536</v>
      </c>
    </row>
    <row r="13" spans="1:16" ht="12.75" customHeight="1" x14ac:dyDescent="0.2">
      <c r="B13" s="76" t="s">
        <v>547</v>
      </c>
      <c r="C13" s="76">
        <f t="shared" si="0"/>
        <v>5.4E-8</v>
      </c>
      <c r="D13" s="76">
        <v>1</v>
      </c>
      <c r="E13" s="76" t="s">
        <v>125</v>
      </c>
      <c r="F13" s="76" t="s">
        <v>168</v>
      </c>
      <c r="G13" s="76" t="s">
        <v>169</v>
      </c>
      <c r="H13" s="76" t="s">
        <v>170</v>
      </c>
      <c r="I13" s="76">
        <f t="shared" si="3"/>
        <v>0</v>
      </c>
      <c r="J13" s="76">
        <f t="shared" si="4"/>
        <v>0</v>
      </c>
      <c r="K13" s="76" t="s">
        <v>535</v>
      </c>
      <c r="L13" s="76">
        <f t="shared" si="2"/>
        <v>5.4E-8</v>
      </c>
      <c r="M13" s="76" t="s">
        <v>172</v>
      </c>
      <c r="N13" s="76">
        <f t="shared" si="5"/>
        <v>5.0000000000000001E-9</v>
      </c>
      <c r="O13" s="76" t="s">
        <v>535</v>
      </c>
      <c r="P13" s="76" t="s">
        <v>536</v>
      </c>
    </row>
    <row r="14" spans="1:16" ht="12.75" customHeight="1" x14ac:dyDescent="0.2">
      <c r="B14" s="76" t="s">
        <v>547</v>
      </c>
      <c r="C14" s="76">
        <f t="shared" si="0"/>
        <v>5.4E-8</v>
      </c>
      <c r="D14" s="76">
        <v>1</v>
      </c>
      <c r="E14" s="76" t="s">
        <v>124</v>
      </c>
      <c r="F14" s="76" t="s">
        <v>168</v>
      </c>
      <c r="G14" s="76" t="s">
        <v>169</v>
      </c>
      <c r="H14" s="76" t="s">
        <v>170</v>
      </c>
      <c r="I14" s="76">
        <f t="shared" si="3"/>
        <v>0</v>
      </c>
      <c r="J14" s="76">
        <f t="shared" si="4"/>
        <v>0</v>
      </c>
      <c r="K14" s="76" t="s">
        <v>535</v>
      </c>
      <c r="L14" s="76">
        <f t="shared" si="2"/>
        <v>5.4E-8</v>
      </c>
      <c r="M14" s="76" t="s">
        <v>172</v>
      </c>
      <c r="N14" s="76">
        <f t="shared" si="5"/>
        <v>5.0000000000000001E-9</v>
      </c>
      <c r="O14" s="76" t="s">
        <v>535</v>
      </c>
      <c r="P14" s="76" t="s">
        <v>536</v>
      </c>
    </row>
    <row r="15" spans="1:16" ht="12.75" customHeight="1" x14ac:dyDescent="0.2">
      <c r="B15" s="76" t="s">
        <v>547</v>
      </c>
      <c r="C15" s="76">
        <f t="shared" si="0"/>
        <v>5.4E-8</v>
      </c>
      <c r="D15" s="76">
        <v>1</v>
      </c>
      <c r="E15" s="76" t="s">
        <v>123</v>
      </c>
      <c r="F15" s="76" t="s">
        <v>168</v>
      </c>
      <c r="G15" s="76" t="s">
        <v>169</v>
      </c>
      <c r="H15" s="76" t="s">
        <v>170</v>
      </c>
      <c r="I15" s="76">
        <f t="shared" si="3"/>
        <v>0</v>
      </c>
      <c r="J15" s="76">
        <f t="shared" si="4"/>
        <v>0</v>
      </c>
      <c r="K15" s="76" t="s">
        <v>535</v>
      </c>
      <c r="L15" s="76">
        <f t="shared" si="2"/>
        <v>5.4E-8</v>
      </c>
      <c r="M15" s="76" t="s">
        <v>172</v>
      </c>
      <c r="N15" s="76">
        <f t="shared" si="5"/>
        <v>5.0000000000000001E-9</v>
      </c>
      <c r="O15" s="76" t="s">
        <v>535</v>
      </c>
      <c r="P15" s="76" t="s">
        <v>536</v>
      </c>
    </row>
    <row r="16" spans="1:16" ht="12.75" customHeight="1" x14ac:dyDescent="0.2">
      <c r="B16" s="76" t="s">
        <v>547</v>
      </c>
      <c r="C16" s="76">
        <f t="shared" si="0"/>
        <v>5.4E-8</v>
      </c>
      <c r="D16" s="76">
        <v>1</v>
      </c>
      <c r="E16" s="76" t="s">
        <v>122</v>
      </c>
      <c r="F16" s="76" t="s">
        <v>168</v>
      </c>
      <c r="G16" s="76" t="s">
        <v>169</v>
      </c>
      <c r="H16" s="76" t="s">
        <v>170</v>
      </c>
      <c r="I16" s="76">
        <f t="shared" si="3"/>
        <v>0</v>
      </c>
      <c r="J16" s="76">
        <f t="shared" si="4"/>
        <v>0</v>
      </c>
      <c r="K16" s="76" t="s">
        <v>535</v>
      </c>
      <c r="L16" s="76">
        <f t="shared" si="2"/>
        <v>5.4E-8</v>
      </c>
      <c r="M16" s="76" t="s">
        <v>172</v>
      </c>
      <c r="N16" s="76">
        <f t="shared" si="5"/>
        <v>5.0000000000000001E-9</v>
      </c>
      <c r="O16" s="76" t="s">
        <v>535</v>
      </c>
      <c r="P16" s="76" t="s">
        <v>536</v>
      </c>
    </row>
    <row r="17" spans="2:16" ht="12.75" customHeight="1" x14ac:dyDescent="0.2">
      <c r="B17" s="76" t="s">
        <v>547</v>
      </c>
      <c r="C17" s="76">
        <f t="shared" si="0"/>
        <v>5.4E-8</v>
      </c>
      <c r="D17" s="76">
        <v>1</v>
      </c>
      <c r="E17" s="76" t="s">
        <v>136</v>
      </c>
      <c r="F17" s="76" t="s">
        <v>168</v>
      </c>
      <c r="G17" s="76" t="s">
        <v>169</v>
      </c>
      <c r="H17" s="76" t="s">
        <v>170</v>
      </c>
      <c r="I17" s="76">
        <f t="shared" si="3"/>
        <v>0</v>
      </c>
      <c r="J17" s="76">
        <f t="shared" si="4"/>
        <v>0</v>
      </c>
      <c r="K17" s="76" t="s">
        <v>535</v>
      </c>
      <c r="L17" s="76">
        <f t="shared" si="2"/>
        <v>5.4E-8</v>
      </c>
      <c r="M17" s="76" t="s">
        <v>172</v>
      </c>
      <c r="N17" s="76">
        <f t="shared" si="5"/>
        <v>5.0000000000000001E-9</v>
      </c>
      <c r="O17" s="76" t="s">
        <v>535</v>
      </c>
      <c r="P17" s="76" t="s">
        <v>536</v>
      </c>
    </row>
    <row r="18" spans="2:16" ht="12.75" customHeight="1" x14ac:dyDescent="0.2">
      <c r="B18" s="76" t="s">
        <v>547</v>
      </c>
      <c r="C18" s="76">
        <f t="shared" si="0"/>
        <v>5.4E-8</v>
      </c>
      <c r="D18" s="76">
        <v>1</v>
      </c>
      <c r="E18" s="76" t="s">
        <v>135</v>
      </c>
      <c r="F18" s="76" t="s">
        <v>168</v>
      </c>
      <c r="G18" s="76" t="s">
        <v>169</v>
      </c>
      <c r="H18" s="76" t="s">
        <v>170</v>
      </c>
      <c r="I18" s="76">
        <f t="shared" si="3"/>
        <v>0</v>
      </c>
      <c r="J18" s="76">
        <f t="shared" si="4"/>
        <v>0</v>
      </c>
      <c r="K18" s="76" t="s">
        <v>535</v>
      </c>
      <c r="L18" s="76">
        <f t="shared" si="2"/>
        <v>5.4E-8</v>
      </c>
      <c r="M18" s="76" t="s">
        <v>172</v>
      </c>
      <c r="N18" s="76">
        <f t="shared" si="5"/>
        <v>5.0000000000000001E-9</v>
      </c>
      <c r="O18" s="76" t="s">
        <v>535</v>
      </c>
      <c r="P18" s="76" t="s">
        <v>536</v>
      </c>
    </row>
    <row r="19" spans="2:16" ht="12.75" customHeight="1" x14ac:dyDescent="0.2">
      <c r="B19" s="76" t="s">
        <v>547</v>
      </c>
      <c r="C19" s="76">
        <f t="shared" si="0"/>
        <v>5.4E-8</v>
      </c>
      <c r="D19" s="76">
        <v>1</v>
      </c>
      <c r="E19" s="76" t="s">
        <v>134</v>
      </c>
      <c r="F19" s="76" t="s">
        <v>168</v>
      </c>
      <c r="G19" s="76" t="s">
        <v>169</v>
      </c>
      <c r="H19" s="76" t="s">
        <v>170</v>
      </c>
      <c r="I19" s="76">
        <f t="shared" si="3"/>
        <v>0</v>
      </c>
      <c r="J19" s="76">
        <f t="shared" si="4"/>
        <v>0</v>
      </c>
      <c r="K19" s="76" t="s">
        <v>535</v>
      </c>
      <c r="L19" s="76">
        <f t="shared" si="2"/>
        <v>5.4E-8</v>
      </c>
      <c r="M19" s="76" t="s">
        <v>172</v>
      </c>
      <c r="N19" s="76">
        <f t="shared" si="5"/>
        <v>5.0000000000000001E-9</v>
      </c>
      <c r="O19" s="76" t="s">
        <v>535</v>
      </c>
      <c r="P19" s="76" t="s">
        <v>536</v>
      </c>
    </row>
    <row r="20" spans="2:16" ht="12.75" customHeight="1" x14ac:dyDescent="0.2">
      <c r="B20" s="76" t="s">
        <v>547</v>
      </c>
      <c r="C20" s="76">
        <f t="shared" si="0"/>
        <v>5.4E-8</v>
      </c>
      <c r="D20" s="76">
        <v>1</v>
      </c>
      <c r="E20" s="76" t="s">
        <v>133</v>
      </c>
      <c r="F20" s="76" t="s">
        <v>168</v>
      </c>
      <c r="G20" s="76" t="s">
        <v>169</v>
      </c>
      <c r="H20" s="76" t="s">
        <v>170</v>
      </c>
      <c r="I20" s="76">
        <f t="shared" si="3"/>
        <v>0</v>
      </c>
      <c r="J20" s="76">
        <f t="shared" si="4"/>
        <v>0</v>
      </c>
      <c r="K20" s="76" t="s">
        <v>535</v>
      </c>
      <c r="L20" s="76">
        <f t="shared" si="2"/>
        <v>5.4E-8</v>
      </c>
      <c r="M20" s="76" t="s">
        <v>172</v>
      </c>
      <c r="N20" s="76">
        <f t="shared" si="5"/>
        <v>5.0000000000000001E-9</v>
      </c>
      <c r="O20" s="76" t="s">
        <v>535</v>
      </c>
      <c r="P20" s="76" t="s">
        <v>536</v>
      </c>
    </row>
    <row r="21" spans="2:16" ht="12.75" customHeight="1" x14ac:dyDescent="0.2">
      <c r="B21" s="76" t="s">
        <v>547</v>
      </c>
      <c r="C21" s="76">
        <f t="shared" si="0"/>
        <v>5.4E-8</v>
      </c>
      <c r="D21" s="76">
        <v>1</v>
      </c>
      <c r="E21" s="76" t="s">
        <v>132</v>
      </c>
      <c r="F21" s="76" t="s">
        <v>168</v>
      </c>
      <c r="G21" s="76" t="s">
        <v>169</v>
      </c>
      <c r="H21" s="76" t="s">
        <v>170</v>
      </c>
      <c r="I21" s="76">
        <f t="shared" si="3"/>
        <v>0</v>
      </c>
      <c r="J21" s="76">
        <f t="shared" si="4"/>
        <v>0</v>
      </c>
      <c r="K21" s="76" t="s">
        <v>535</v>
      </c>
      <c r="L21" s="76">
        <f t="shared" si="2"/>
        <v>5.4E-8</v>
      </c>
      <c r="M21" s="76" t="s">
        <v>172</v>
      </c>
      <c r="N21" s="76">
        <f t="shared" si="5"/>
        <v>5.0000000000000001E-9</v>
      </c>
      <c r="O21" s="76" t="s">
        <v>535</v>
      </c>
      <c r="P21" s="76" t="s">
        <v>536</v>
      </c>
    </row>
    <row r="22" spans="2:16" ht="12.75" customHeight="1" x14ac:dyDescent="0.2">
      <c r="B22" s="76" t="s">
        <v>547</v>
      </c>
      <c r="C22" s="76">
        <f t="shared" si="0"/>
        <v>5.4E-8</v>
      </c>
      <c r="D22" s="76">
        <v>1</v>
      </c>
      <c r="E22" s="76" t="s">
        <v>131</v>
      </c>
      <c r="F22" s="76" t="s">
        <v>168</v>
      </c>
      <c r="G22" s="76" t="s">
        <v>169</v>
      </c>
      <c r="H22" s="76" t="s">
        <v>170</v>
      </c>
      <c r="I22" s="76">
        <f t="shared" si="3"/>
        <v>0</v>
      </c>
      <c r="J22" s="76">
        <f t="shared" si="4"/>
        <v>0</v>
      </c>
      <c r="K22" s="76" t="s">
        <v>535</v>
      </c>
      <c r="L22" s="76">
        <f t="shared" si="2"/>
        <v>5.4E-8</v>
      </c>
      <c r="M22" s="76" t="s">
        <v>172</v>
      </c>
      <c r="N22" s="76">
        <f t="shared" si="5"/>
        <v>5.0000000000000001E-9</v>
      </c>
      <c r="O22" s="76" t="s">
        <v>535</v>
      </c>
      <c r="P22" s="76" t="s">
        <v>536</v>
      </c>
    </row>
    <row r="23" spans="2:16" ht="12.75" customHeight="1" x14ac:dyDescent="0.2">
      <c r="B23" s="76" t="s">
        <v>547</v>
      </c>
      <c r="C23" s="76">
        <f t="shared" si="0"/>
        <v>5.4E-8</v>
      </c>
      <c r="D23" s="76">
        <v>1</v>
      </c>
      <c r="E23" s="76" t="s">
        <v>130</v>
      </c>
      <c r="F23" s="76" t="s">
        <v>168</v>
      </c>
      <c r="G23" s="76" t="s">
        <v>169</v>
      </c>
      <c r="H23" s="76" t="s">
        <v>170</v>
      </c>
      <c r="I23" s="76">
        <f t="shared" si="3"/>
        <v>0</v>
      </c>
      <c r="J23" s="76">
        <f t="shared" si="4"/>
        <v>0</v>
      </c>
      <c r="K23" s="76" t="s">
        <v>535</v>
      </c>
      <c r="L23" s="76">
        <f t="shared" si="2"/>
        <v>5.4E-8</v>
      </c>
      <c r="M23" s="76" t="s">
        <v>172</v>
      </c>
      <c r="N23" s="76">
        <f t="shared" si="5"/>
        <v>5.0000000000000001E-9</v>
      </c>
      <c r="O23" s="76" t="s">
        <v>535</v>
      </c>
      <c r="P23" s="76" t="s">
        <v>536</v>
      </c>
    </row>
    <row r="24" spans="2:16" ht="12.75" customHeight="1" x14ac:dyDescent="0.2">
      <c r="B24" s="76" t="s">
        <v>547</v>
      </c>
      <c r="C24" s="76">
        <f t="shared" si="0"/>
        <v>5.4E-8</v>
      </c>
      <c r="D24" s="76">
        <v>1</v>
      </c>
      <c r="E24" s="76" t="s">
        <v>129</v>
      </c>
      <c r="F24" s="76" t="s">
        <v>168</v>
      </c>
      <c r="G24" s="76" t="s">
        <v>169</v>
      </c>
      <c r="H24" s="76" t="s">
        <v>170</v>
      </c>
      <c r="I24" s="76">
        <f t="shared" si="3"/>
        <v>0</v>
      </c>
      <c r="J24" s="76">
        <f t="shared" si="4"/>
        <v>0</v>
      </c>
      <c r="K24" s="76" t="s">
        <v>535</v>
      </c>
      <c r="L24" s="76">
        <f t="shared" si="2"/>
        <v>5.4E-8</v>
      </c>
      <c r="M24" s="76" t="s">
        <v>172</v>
      </c>
      <c r="N24" s="76">
        <f t="shared" si="5"/>
        <v>5.0000000000000001E-9</v>
      </c>
      <c r="O24" s="76" t="s">
        <v>535</v>
      </c>
      <c r="P24" s="76" t="s">
        <v>536</v>
      </c>
    </row>
    <row r="25" spans="2:16" ht="12.75" customHeight="1" x14ac:dyDescent="0.2">
      <c r="B25" s="76" t="s">
        <v>547</v>
      </c>
      <c r="C25" s="76">
        <f t="shared" si="0"/>
        <v>5.4E-8</v>
      </c>
      <c r="D25" s="76">
        <v>1</v>
      </c>
      <c r="E25" s="76" t="s">
        <v>128</v>
      </c>
      <c r="F25" s="76" t="s">
        <v>168</v>
      </c>
      <c r="G25" s="76" t="s">
        <v>169</v>
      </c>
      <c r="H25" s="76" t="s">
        <v>170</v>
      </c>
      <c r="I25" s="76">
        <f t="shared" si="3"/>
        <v>0</v>
      </c>
      <c r="J25" s="76">
        <f t="shared" si="4"/>
        <v>0</v>
      </c>
      <c r="K25" s="76" t="s">
        <v>535</v>
      </c>
      <c r="L25" s="76">
        <f t="shared" si="2"/>
        <v>5.4E-8</v>
      </c>
      <c r="M25" s="76" t="s">
        <v>172</v>
      </c>
      <c r="N25" s="76">
        <f t="shared" si="5"/>
        <v>5.0000000000000001E-9</v>
      </c>
      <c r="O25" s="76" t="s">
        <v>535</v>
      </c>
      <c r="P25" s="76" t="s">
        <v>536</v>
      </c>
    </row>
    <row r="26" spans="2:16" ht="12.75" customHeight="1" x14ac:dyDescent="0.2">
      <c r="B26" s="76" t="s">
        <v>547</v>
      </c>
      <c r="C26" s="76">
        <f t="shared" si="0"/>
        <v>5.4E-8</v>
      </c>
      <c r="D26" s="76">
        <v>1</v>
      </c>
      <c r="E26" s="76" t="s">
        <v>98</v>
      </c>
      <c r="F26" s="76" t="s">
        <v>168</v>
      </c>
      <c r="G26" s="76" t="s">
        <v>169</v>
      </c>
      <c r="H26" s="76" t="s">
        <v>170</v>
      </c>
      <c r="I26" s="76">
        <f t="shared" si="3"/>
        <v>0</v>
      </c>
      <c r="J26" s="76">
        <f t="shared" si="4"/>
        <v>0</v>
      </c>
      <c r="K26" s="76" t="s">
        <v>535</v>
      </c>
      <c r="L26" s="76">
        <f t="shared" si="2"/>
        <v>5.4E-8</v>
      </c>
      <c r="M26" s="76" t="s">
        <v>163</v>
      </c>
      <c r="N26" s="76">
        <f>0*C26</f>
        <v>0</v>
      </c>
      <c r="O26" s="76" t="s">
        <v>535</v>
      </c>
      <c r="P26" s="76" t="s">
        <v>536</v>
      </c>
    </row>
    <row r="27" spans="2:16" ht="12.75" customHeight="1" x14ac:dyDescent="0.2">
      <c r="B27" s="76" t="s">
        <v>547</v>
      </c>
      <c r="C27" s="76">
        <f t="shared" si="0"/>
        <v>5.4E-8</v>
      </c>
      <c r="D27" s="76">
        <v>1</v>
      </c>
      <c r="E27" s="76" t="s">
        <v>99</v>
      </c>
      <c r="F27" s="76" t="s">
        <v>168</v>
      </c>
      <c r="G27" s="76" t="s">
        <v>169</v>
      </c>
      <c r="H27" s="76" t="s">
        <v>170</v>
      </c>
      <c r="I27" s="76">
        <f t="shared" si="3"/>
        <v>0</v>
      </c>
      <c r="J27" s="76">
        <f t="shared" si="4"/>
        <v>0</v>
      </c>
      <c r="K27" s="76" t="s">
        <v>535</v>
      </c>
      <c r="L27" s="76">
        <f t="shared" si="2"/>
        <v>5.4E-8</v>
      </c>
      <c r="M27" s="76" t="s">
        <v>172</v>
      </c>
      <c r="N27" s="76">
        <f>(5/54)*C27</f>
        <v>5.0000000000000001E-9</v>
      </c>
      <c r="O27" s="76" t="s">
        <v>535</v>
      </c>
      <c r="P27" s="76" t="s">
        <v>536</v>
      </c>
    </row>
    <row r="28" spans="2:16" ht="12.75" customHeight="1" x14ac:dyDescent="0.2">
      <c r="B28" s="76" t="s">
        <v>547</v>
      </c>
      <c r="C28" s="76">
        <f t="shared" si="0"/>
        <v>5.4E-8</v>
      </c>
      <c r="D28" s="76">
        <v>1</v>
      </c>
      <c r="E28" s="76" t="s">
        <v>898</v>
      </c>
      <c r="F28" s="76" t="s">
        <v>168</v>
      </c>
      <c r="G28" s="76" t="s">
        <v>169</v>
      </c>
      <c r="H28" s="76" t="s">
        <v>516</v>
      </c>
      <c r="I28" s="76">
        <f t="shared" si="3"/>
        <v>0</v>
      </c>
      <c r="J28" s="76">
        <f>(13/54)*C28</f>
        <v>1.2999999999999999E-8</v>
      </c>
      <c r="K28" s="76">
        <f>(40/54)*C28</f>
        <v>4.0000000000000001E-8</v>
      </c>
      <c r="L28" s="76">
        <f t="shared" si="2"/>
        <v>5.4E-8</v>
      </c>
      <c r="M28" s="76" t="s">
        <v>163</v>
      </c>
      <c r="N28" s="76">
        <f>0*C28</f>
        <v>0</v>
      </c>
      <c r="O28" s="76" t="s">
        <v>535</v>
      </c>
      <c r="P28" s="76" t="s">
        <v>537</v>
      </c>
    </row>
    <row r="29" spans="2:16" ht="12.75" customHeight="1" x14ac:dyDescent="0.2">
      <c r="B29" s="76" t="s">
        <v>547</v>
      </c>
      <c r="C29" s="76">
        <f t="shared" si="0"/>
        <v>5.4E-8</v>
      </c>
      <c r="D29" s="76">
        <v>1</v>
      </c>
      <c r="E29" s="76" t="s">
        <v>899</v>
      </c>
      <c r="F29" s="76" t="s">
        <v>168</v>
      </c>
      <c r="G29" s="76" t="s">
        <v>169</v>
      </c>
      <c r="H29" s="76" t="s">
        <v>516</v>
      </c>
      <c r="I29" s="76">
        <f t="shared" si="3"/>
        <v>0</v>
      </c>
      <c r="J29" s="76">
        <f>(13/54)*C29</f>
        <v>1.2999999999999999E-8</v>
      </c>
      <c r="K29" s="76">
        <f>(40/54)*C29</f>
        <v>4.0000000000000001E-8</v>
      </c>
      <c r="L29" s="76">
        <f t="shared" si="2"/>
        <v>5.4E-8</v>
      </c>
      <c r="M29" s="76" t="s">
        <v>163</v>
      </c>
      <c r="N29" s="76">
        <f t="shared" ref="N29:N37" si="6">0*C29</f>
        <v>0</v>
      </c>
      <c r="O29" s="76" t="s">
        <v>535</v>
      </c>
      <c r="P29" s="76" t="s">
        <v>537</v>
      </c>
    </row>
    <row r="30" spans="2:16" ht="12.75" customHeight="1" x14ac:dyDescent="0.2">
      <c r="B30" s="76" t="s">
        <v>547</v>
      </c>
      <c r="C30" s="76">
        <f t="shared" si="0"/>
        <v>5.4E-8</v>
      </c>
      <c r="D30" s="76">
        <v>1</v>
      </c>
      <c r="E30" s="76" t="s">
        <v>900</v>
      </c>
      <c r="F30" s="76" t="s">
        <v>168</v>
      </c>
      <c r="G30" s="76" t="s">
        <v>169</v>
      </c>
      <c r="H30" s="76" t="s">
        <v>170</v>
      </c>
      <c r="I30" s="76">
        <f t="shared" si="3"/>
        <v>0</v>
      </c>
      <c r="J30" s="76">
        <f>0*C30</f>
        <v>0</v>
      </c>
      <c r="K30" s="76" t="s">
        <v>535</v>
      </c>
      <c r="L30" s="76">
        <f t="shared" si="2"/>
        <v>5.4E-8</v>
      </c>
      <c r="M30" s="76" t="s">
        <v>163</v>
      </c>
      <c r="N30" s="76">
        <f t="shared" si="6"/>
        <v>0</v>
      </c>
      <c r="O30" s="76" t="s">
        <v>535</v>
      </c>
      <c r="P30" s="76" t="s">
        <v>536</v>
      </c>
    </row>
    <row r="31" spans="2:16" ht="12.75" customHeight="1" x14ac:dyDescent="0.2">
      <c r="B31" s="76" t="s">
        <v>547</v>
      </c>
      <c r="C31" s="76">
        <f t="shared" si="0"/>
        <v>5.4E-8</v>
      </c>
      <c r="D31" s="76">
        <v>1</v>
      </c>
      <c r="E31" s="76" t="s">
        <v>901</v>
      </c>
      <c r="F31" s="76" t="s">
        <v>168</v>
      </c>
      <c r="G31" s="76" t="s">
        <v>169</v>
      </c>
      <c r="H31" s="76" t="s">
        <v>170</v>
      </c>
      <c r="I31" s="76">
        <f t="shared" si="3"/>
        <v>0</v>
      </c>
      <c r="J31" s="76">
        <f t="shared" ref="J31:J71" si="7">0*C31</f>
        <v>0</v>
      </c>
      <c r="K31" s="76" t="s">
        <v>535</v>
      </c>
      <c r="L31" s="76">
        <f t="shared" si="2"/>
        <v>5.4E-8</v>
      </c>
      <c r="M31" s="76" t="s">
        <v>163</v>
      </c>
      <c r="N31" s="76">
        <f t="shared" si="6"/>
        <v>0</v>
      </c>
      <c r="O31" s="76" t="s">
        <v>535</v>
      </c>
      <c r="P31" s="76" t="s">
        <v>536</v>
      </c>
    </row>
    <row r="32" spans="2:16" ht="12.75" customHeight="1" x14ac:dyDescent="0.2">
      <c r="B32" s="76" t="s">
        <v>547</v>
      </c>
      <c r="C32" s="76">
        <f t="shared" si="0"/>
        <v>5.4E-8</v>
      </c>
      <c r="D32" s="76">
        <v>1</v>
      </c>
      <c r="E32" s="76" t="s">
        <v>902</v>
      </c>
      <c r="F32" s="76" t="s">
        <v>168</v>
      </c>
      <c r="G32" s="76" t="s">
        <v>169</v>
      </c>
      <c r="H32" s="76" t="s">
        <v>170</v>
      </c>
      <c r="I32" s="76">
        <f t="shared" si="3"/>
        <v>0</v>
      </c>
      <c r="J32" s="76">
        <f t="shared" si="7"/>
        <v>0</v>
      </c>
      <c r="K32" s="76" t="s">
        <v>535</v>
      </c>
      <c r="L32" s="76">
        <f t="shared" si="2"/>
        <v>5.4E-8</v>
      </c>
      <c r="M32" s="76" t="s">
        <v>163</v>
      </c>
      <c r="N32" s="76">
        <f t="shared" si="6"/>
        <v>0</v>
      </c>
      <c r="O32" s="76" t="s">
        <v>535</v>
      </c>
      <c r="P32" s="76" t="s">
        <v>536</v>
      </c>
    </row>
    <row r="33" spans="2:16" ht="12.75" customHeight="1" x14ac:dyDescent="0.2">
      <c r="B33" s="76" t="s">
        <v>547</v>
      </c>
      <c r="C33" s="76">
        <f t="shared" si="0"/>
        <v>5.4E-8</v>
      </c>
      <c r="D33" s="76">
        <v>1</v>
      </c>
      <c r="E33" s="76" t="s">
        <v>903</v>
      </c>
      <c r="F33" s="76" t="s">
        <v>168</v>
      </c>
      <c r="G33" s="76" t="s">
        <v>169</v>
      </c>
      <c r="H33" s="76" t="s">
        <v>170</v>
      </c>
      <c r="I33" s="76">
        <f t="shared" si="3"/>
        <v>0</v>
      </c>
      <c r="J33" s="76">
        <f t="shared" si="7"/>
        <v>0</v>
      </c>
      <c r="K33" s="76" t="s">
        <v>535</v>
      </c>
      <c r="L33" s="76">
        <f t="shared" si="2"/>
        <v>5.4E-8</v>
      </c>
      <c r="M33" s="76" t="s">
        <v>163</v>
      </c>
      <c r="N33" s="76">
        <f t="shared" si="6"/>
        <v>0</v>
      </c>
      <c r="O33" s="76" t="s">
        <v>535</v>
      </c>
      <c r="P33" s="76" t="s">
        <v>536</v>
      </c>
    </row>
    <row r="34" spans="2:16" ht="12.75" customHeight="1" x14ac:dyDescent="0.2">
      <c r="B34" s="76" t="s">
        <v>547</v>
      </c>
      <c r="C34" s="76">
        <f t="shared" si="0"/>
        <v>5.4E-8</v>
      </c>
      <c r="D34" s="76">
        <v>1</v>
      </c>
      <c r="E34" s="76" t="s">
        <v>904</v>
      </c>
      <c r="F34" s="76" t="s">
        <v>168</v>
      </c>
      <c r="G34" s="76" t="s">
        <v>169</v>
      </c>
      <c r="H34" s="76" t="s">
        <v>170</v>
      </c>
      <c r="I34" s="76">
        <f t="shared" si="3"/>
        <v>0</v>
      </c>
      <c r="J34" s="76">
        <f t="shared" si="7"/>
        <v>0</v>
      </c>
      <c r="K34" s="76" t="s">
        <v>535</v>
      </c>
      <c r="L34" s="76">
        <f t="shared" si="2"/>
        <v>5.4E-8</v>
      </c>
      <c r="M34" s="76" t="s">
        <v>163</v>
      </c>
      <c r="N34" s="76">
        <f t="shared" si="6"/>
        <v>0</v>
      </c>
      <c r="O34" s="76" t="s">
        <v>535</v>
      </c>
      <c r="P34" s="76" t="s">
        <v>536</v>
      </c>
    </row>
    <row r="35" spans="2:16" ht="12.75" customHeight="1" x14ac:dyDescent="0.2">
      <c r="B35" s="76" t="s">
        <v>547</v>
      </c>
      <c r="C35" s="76">
        <f t="shared" si="0"/>
        <v>5.4E-8</v>
      </c>
      <c r="D35" s="76">
        <v>1</v>
      </c>
      <c r="E35" s="76" t="s">
        <v>905</v>
      </c>
      <c r="F35" s="76" t="s">
        <v>168</v>
      </c>
      <c r="G35" s="76" t="s">
        <v>169</v>
      </c>
      <c r="H35" s="76" t="s">
        <v>170</v>
      </c>
      <c r="I35" s="76">
        <f t="shared" si="3"/>
        <v>0</v>
      </c>
      <c r="J35" s="76">
        <f t="shared" si="7"/>
        <v>0</v>
      </c>
      <c r="K35" s="76" t="s">
        <v>535</v>
      </c>
      <c r="L35" s="76">
        <f t="shared" si="2"/>
        <v>5.4E-8</v>
      </c>
      <c r="M35" s="76" t="s">
        <v>163</v>
      </c>
      <c r="N35" s="76">
        <f t="shared" si="6"/>
        <v>0</v>
      </c>
      <c r="O35" s="76" t="s">
        <v>535</v>
      </c>
      <c r="P35" s="76" t="s">
        <v>536</v>
      </c>
    </row>
    <row r="36" spans="2:16" ht="12.75" customHeight="1" x14ac:dyDescent="0.2">
      <c r="B36" s="76" t="s">
        <v>547</v>
      </c>
      <c r="C36" s="76">
        <f t="shared" si="0"/>
        <v>5.4E-8</v>
      </c>
      <c r="D36" s="76">
        <v>1</v>
      </c>
      <c r="E36" s="76" t="s">
        <v>906</v>
      </c>
      <c r="F36" s="76" t="s">
        <v>168</v>
      </c>
      <c r="G36" s="76" t="s">
        <v>169</v>
      </c>
      <c r="H36" s="76" t="s">
        <v>170</v>
      </c>
      <c r="I36" s="76">
        <f t="shared" si="3"/>
        <v>0</v>
      </c>
      <c r="J36" s="76">
        <f t="shared" si="7"/>
        <v>0</v>
      </c>
      <c r="K36" s="76" t="s">
        <v>535</v>
      </c>
      <c r="L36" s="76">
        <f t="shared" si="2"/>
        <v>5.4E-8</v>
      </c>
      <c r="M36" s="76" t="s">
        <v>163</v>
      </c>
      <c r="N36" s="76">
        <f t="shared" si="6"/>
        <v>0</v>
      </c>
      <c r="O36" s="76" t="s">
        <v>535</v>
      </c>
      <c r="P36" s="76" t="s">
        <v>536</v>
      </c>
    </row>
    <row r="37" spans="2:16" ht="12.75" customHeight="1" x14ac:dyDescent="0.2">
      <c r="B37" s="76" t="s">
        <v>547</v>
      </c>
      <c r="C37" s="76">
        <f t="shared" si="0"/>
        <v>5.4E-8</v>
      </c>
      <c r="D37" s="76">
        <v>1</v>
      </c>
      <c r="E37" s="76" t="s">
        <v>907</v>
      </c>
      <c r="F37" s="76" t="s">
        <v>168</v>
      </c>
      <c r="G37" s="76" t="s">
        <v>169</v>
      </c>
      <c r="H37" s="76" t="s">
        <v>170</v>
      </c>
      <c r="I37" s="76">
        <f t="shared" si="3"/>
        <v>0</v>
      </c>
      <c r="J37" s="76">
        <f t="shared" si="7"/>
        <v>0</v>
      </c>
      <c r="K37" s="76" t="s">
        <v>535</v>
      </c>
      <c r="L37" s="76">
        <f t="shared" si="2"/>
        <v>5.4E-8</v>
      </c>
      <c r="M37" s="76" t="s">
        <v>163</v>
      </c>
      <c r="N37" s="76">
        <f t="shared" si="6"/>
        <v>0</v>
      </c>
      <c r="O37" s="76" t="s">
        <v>535</v>
      </c>
      <c r="P37" s="76" t="s">
        <v>536</v>
      </c>
    </row>
    <row r="38" spans="2:16" ht="12.75" customHeight="1" x14ac:dyDescent="0.2">
      <c r="B38" s="76" t="s">
        <v>547</v>
      </c>
      <c r="C38" s="76">
        <f t="shared" si="0"/>
        <v>5.4E-8</v>
      </c>
      <c r="D38" s="76">
        <v>1</v>
      </c>
      <c r="E38" s="76" t="s">
        <v>911</v>
      </c>
      <c r="F38" s="76" t="s">
        <v>168</v>
      </c>
      <c r="G38" s="76" t="s">
        <v>169</v>
      </c>
      <c r="H38" s="76" t="s">
        <v>170</v>
      </c>
      <c r="I38" s="76">
        <f t="shared" si="3"/>
        <v>0</v>
      </c>
      <c r="J38" s="76">
        <f t="shared" si="7"/>
        <v>0</v>
      </c>
      <c r="K38" s="76" t="s">
        <v>535</v>
      </c>
      <c r="L38" s="76">
        <f t="shared" si="2"/>
        <v>5.4E-8</v>
      </c>
      <c r="M38" s="76" t="s">
        <v>172</v>
      </c>
      <c r="N38" s="76">
        <f>(5/54)*C38</f>
        <v>5.0000000000000001E-9</v>
      </c>
      <c r="O38" s="76" t="s">
        <v>535</v>
      </c>
      <c r="P38" s="76" t="s">
        <v>536</v>
      </c>
    </row>
    <row r="39" spans="2:16" ht="12.75" customHeight="1" x14ac:dyDescent="0.2">
      <c r="B39" s="76" t="s">
        <v>547</v>
      </c>
      <c r="C39" s="76">
        <f t="shared" ref="C39:C70" si="8">54*ns</f>
        <v>5.4E-8</v>
      </c>
      <c r="D39" s="76">
        <v>1</v>
      </c>
      <c r="E39" s="76" t="s">
        <v>908</v>
      </c>
      <c r="F39" s="76" t="s">
        <v>168</v>
      </c>
      <c r="G39" s="76" t="s">
        <v>169</v>
      </c>
      <c r="H39" s="76" t="s">
        <v>170</v>
      </c>
      <c r="I39" s="76">
        <f t="shared" si="3"/>
        <v>0</v>
      </c>
      <c r="J39" s="76">
        <f t="shared" si="7"/>
        <v>0</v>
      </c>
      <c r="K39" s="76" t="s">
        <v>535</v>
      </c>
      <c r="L39" s="76">
        <f t="shared" si="2"/>
        <v>5.4E-8</v>
      </c>
      <c r="M39" s="76" t="s">
        <v>163</v>
      </c>
      <c r="N39" s="76">
        <f>0*C39</f>
        <v>0</v>
      </c>
      <c r="O39" s="76" t="s">
        <v>535</v>
      </c>
      <c r="P39" s="76" t="s">
        <v>536</v>
      </c>
    </row>
    <row r="40" spans="2:16" ht="12.75" customHeight="1" x14ac:dyDescent="0.2">
      <c r="B40" s="76" t="s">
        <v>547</v>
      </c>
      <c r="C40" s="76">
        <f t="shared" si="8"/>
        <v>5.4E-8</v>
      </c>
      <c r="D40" s="76">
        <v>1</v>
      </c>
      <c r="E40" s="76" t="s">
        <v>944</v>
      </c>
      <c r="F40" s="76" t="s">
        <v>168</v>
      </c>
      <c r="G40" s="76" t="s">
        <v>169</v>
      </c>
      <c r="H40" s="76" t="s">
        <v>170</v>
      </c>
      <c r="I40" s="76">
        <f t="shared" si="3"/>
        <v>0</v>
      </c>
      <c r="J40" s="76">
        <f t="shared" si="7"/>
        <v>0</v>
      </c>
      <c r="K40" s="76" t="s">
        <v>535</v>
      </c>
      <c r="L40" s="76">
        <f t="shared" si="2"/>
        <v>5.4E-8</v>
      </c>
      <c r="M40" s="76" t="s">
        <v>163</v>
      </c>
      <c r="N40" s="76">
        <f t="shared" ref="N40:N73" si="9">0*C40</f>
        <v>0</v>
      </c>
      <c r="O40" s="76" t="s">
        <v>535</v>
      </c>
      <c r="P40" s="76" t="s">
        <v>536</v>
      </c>
    </row>
    <row r="41" spans="2:16" ht="12.75" customHeight="1" x14ac:dyDescent="0.2">
      <c r="B41" s="76" t="s">
        <v>547</v>
      </c>
      <c r="C41" s="76">
        <f t="shared" si="8"/>
        <v>5.4E-8</v>
      </c>
      <c r="D41" s="76">
        <v>1</v>
      </c>
      <c r="E41" s="76" t="s">
        <v>934</v>
      </c>
      <c r="F41" s="76" t="s">
        <v>168</v>
      </c>
      <c r="G41" s="76" t="s">
        <v>169</v>
      </c>
      <c r="H41" s="76" t="s">
        <v>170</v>
      </c>
      <c r="I41" s="76">
        <f t="shared" si="3"/>
        <v>0</v>
      </c>
      <c r="J41" s="76">
        <f t="shared" si="7"/>
        <v>0</v>
      </c>
      <c r="K41" s="76" t="s">
        <v>535</v>
      </c>
      <c r="L41" s="76">
        <f t="shared" si="2"/>
        <v>5.4E-8</v>
      </c>
      <c r="M41" s="76" t="s">
        <v>163</v>
      </c>
      <c r="N41" s="76">
        <f t="shared" si="9"/>
        <v>0</v>
      </c>
      <c r="O41" s="76" t="s">
        <v>535</v>
      </c>
      <c r="P41" s="76" t="s">
        <v>536</v>
      </c>
    </row>
    <row r="42" spans="2:16" ht="12.75" customHeight="1" x14ac:dyDescent="0.2">
      <c r="B42" s="76" t="s">
        <v>547</v>
      </c>
      <c r="C42" s="76">
        <f t="shared" si="8"/>
        <v>5.4E-8</v>
      </c>
      <c r="D42" s="76">
        <v>1</v>
      </c>
      <c r="E42" s="76" t="s">
        <v>933</v>
      </c>
      <c r="F42" s="76" t="s">
        <v>168</v>
      </c>
      <c r="G42" s="76" t="s">
        <v>169</v>
      </c>
      <c r="H42" s="76" t="s">
        <v>170</v>
      </c>
      <c r="I42" s="76">
        <f t="shared" si="3"/>
        <v>0</v>
      </c>
      <c r="J42" s="76">
        <f t="shared" si="7"/>
        <v>0</v>
      </c>
      <c r="K42" s="76" t="s">
        <v>535</v>
      </c>
      <c r="L42" s="76">
        <f t="shared" si="2"/>
        <v>5.4E-8</v>
      </c>
      <c r="M42" s="76" t="s">
        <v>163</v>
      </c>
      <c r="N42" s="76">
        <f t="shared" si="9"/>
        <v>0</v>
      </c>
      <c r="O42" s="76" t="s">
        <v>535</v>
      </c>
      <c r="P42" s="76" t="s">
        <v>536</v>
      </c>
    </row>
    <row r="43" spans="2:16" ht="12.75" customHeight="1" x14ac:dyDescent="0.2">
      <c r="B43" s="76" t="s">
        <v>547</v>
      </c>
      <c r="C43" s="76">
        <f t="shared" si="8"/>
        <v>5.4E-8</v>
      </c>
      <c r="D43" s="76">
        <v>1</v>
      </c>
      <c r="E43" s="76" t="s">
        <v>932</v>
      </c>
      <c r="F43" s="76" t="s">
        <v>168</v>
      </c>
      <c r="G43" s="76" t="s">
        <v>169</v>
      </c>
      <c r="H43" s="76" t="s">
        <v>170</v>
      </c>
      <c r="I43" s="76">
        <f t="shared" si="3"/>
        <v>0</v>
      </c>
      <c r="J43" s="76">
        <f t="shared" si="7"/>
        <v>0</v>
      </c>
      <c r="K43" s="76" t="s">
        <v>535</v>
      </c>
      <c r="L43" s="76">
        <f t="shared" si="2"/>
        <v>5.4E-8</v>
      </c>
      <c r="M43" s="76" t="s">
        <v>163</v>
      </c>
      <c r="N43" s="76">
        <f t="shared" si="9"/>
        <v>0</v>
      </c>
      <c r="O43" s="76" t="s">
        <v>535</v>
      </c>
      <c r="P43" s="76" t="s">
        <v>536</v>
      </c>
    </row>
    <row r="44" spans="2:16" ht="12.75" customHeight="1" x14ac:dyDescent="0.2">
      <c r="B44" s="76" t="s">
        <v>547</v>
      </c>
      <c r="C44" s="76">
        <f t="shared" si="8"/>
        <v>5.4E-8</v>
      </c>
      <c r="D44" s="76">
        <v>1</v>
      </c>
      <c r="E44" s="76" t="s">
        <v>931</v>
      </c>
      <c r="F44" s="76" t="s">
        <v>168</v>
      </c>
      <c r="G44" s="76" t="s">
        <v>169</v>
      </c>
      <c r="H44" s="76" t="s">
        <v>170</v>
      </c>
      <c r="I44" s="76">
        <f t="shared" si="3"/>
        <v>0</v>
      </c>
      <c r="J44" s="76">
        <f t="shared" si="7"/>
        <v>0</v>
      </c>
      <c r="K44" s="76" t="s">
        <v>535</v>
      </c>
      <c r="L44" s="76">
        <f t="shared" si="2"/>
        <v>5.4E-8</v>
      </c>
      <c r="M44" s="76" t="s">
        <v>163</v>
      </c>
      <c r="N44" s="76">
        <f t="shared" si="9"/>
        <v>0</v>
      </c>
      <c r="O44" s="76" t="s">
        <v>535</v>
      </c>
      <c r="P44" s="76" t="s">
        <v>536</v>
      </c>
    </row>
    <row r="45" spans="2:16" ht="12.75" customHeight="1" x14ac:dyDescent="0.2">
      <c r="B45" s="76" t="s">
        <v>547</v>
      </c>
      <c r="C45" s="76">
        <f t="shared" si="8"/>
        <v>5.4E-8</v>
      </c>
      <c r="D45" s="76">
        <v>1</v>
      </c>
      <c r="E45" s="76" t="s">
        <v>930</v>
      </c>
      <c r="F45" s="76" t="s">
        <v>168</v>
      </c>
      <c r="G45" s="76" t="s">
        <v>169</v>
      </c>
      <c r="H45" s="76" t="s">
        <v>170</v>
      </c>
      <c r="I45" s="76">
        <f t="shared" si="3"/>
        <v>0</v>
      </c>
      <c r="J45" s="76">
        <f t="shared" si="7"/>
        <v>0</v>
      </c>
      <c r="K45" s="76" t="s">
        <v>535</v>
      </c>
      <c r="L45" s="76">
        <f t="shared" si="2"/>
        <v>5.4E-8</v>
      </c>
      <c r="M45" s="76" t="s">
        <v>163</v>
      </c>
      <c r="N45" s="76">
        <f t="shared" si="9"/>
        <v>0</v>
      </c>
      <c r="O45" s="76" t="s">
        <v>535</v>
      </c>
      <c r="P45" s="76" t="s">
        <v>536</v>
      </c>
    </row>
    <row r="46" spans="2:16" ht="12.75" customHeight="1" x14ac:dyDescent="0.2">
      <c r="B46" s="76" t="s">
        <v>547</v>
      </c>
      <c r="C46" s="76">
        <f t="shared" si="8"/>
        <v>5.4E-8</v>
      </c>
      <c r="D46" s="76">
        <v>1</v>
      </c>
      <c r="E46" s="76" t="s">
        <v>929</v>
      </c>
      <c r="F46" s="76" t="s">
        <v>168</v>
      </c>
      <c r="G46" s="76" t="s">
        <v>169</v>
      </c>
      <c r="H46" s="76" t="s">
        <v>170</v>
      </c>
      <c r="I46" s="76">
        <f t="shared" si="3"/>
        <v>0</v>
      </c>
      <c r="J46" s="76">
        <f t="shared" si="7"/>
        <v>0</v>
      </c>
      <c r="K46" s="76" t="s">
        <v>535</v>
      </c>
      <c r="L46" s="76">
        <f t="shared" si="2"/>
        <v>5.4E-8</v>
      </c>
      <c r="M46" s="76" t="s">
        <v>163</v>
      </c>
      <c r="N46" s="76">
        <f t="shared" si="9"/>
        <v>0</v>
      </c>
      <c r="O46" s="76" t="s">
        <v>535</v>
      </c>
      <c r="P46" s="76" t="s">
        <v>536</v>
      </c>
    </row>
    <row r="47" spans="2:16" ht="12.75" customHeight="1" x14ac:dyDescent="0.2">
      <c r="B47" s="76" t="s">
        <v>547</v>
      </c>
      <c r="C47" s="76">
        <f t="shared" si="8"/>
        <v>5.4E-8</v>
      </c>
      <c r="D47" s="76">
        <v>1</v>
      </c>
      <c r="E47" s="76" t="s">
        <v>928</v>
      </c>
      <c r="F47" s="76" t="s">
        <v>168</v>
      </c>
      <c r="G47" s="76" t="s">
        <v>169</v>
      </c>
      <c r="H47" s="76" t="s">
        <v>170</v>
      </c>
      <c r="I47" s="76">
        <f t="shared" si="3"/>
        <v>0</v>
      </c>
      <c r="J47" s="76">
        <f t="shared" si="7"/>
        <v>0</v>
      </c>
      <c r="K47" s="76" t="s">
        <v>535</v>
      </c>
      <c r="L47" s="76">
        <f t="shared" si="2"/>
        <v>5.4E-8</v>
      </c>
      <c r="M47" s="76" t="s">
        <v>163</v>
      </c>
      <c r="N47" s="76">
        <f t="shared" si="9"/>
        <v>0</v>
      </c>
      <c r="O47" s="76" t="s">
        <v>535</v>
      </c>
      <c r="P47" s="76" t="s">
        <v>536</v>
      </c>
    </row>
    <row r="48" spans="2:16" ht="12.75" customHeight="1" x14ac:dyDescent="0.2">
      <c r="B48" s="76" t="s">
        <v>547</v>
      </c>
      <c r="C48" s="76">
        <f t="shared" si="8"/>
        <v>5.4E-8</v>
      </c>
      <c r="D48" s="76">
        <v>1</v>
      </c>
      <c r="E48" s="76" t="s">
        <v>927</v>
      </c>
      <c r="F48" s="76" t="s">
        <v>168</v>
      </c>
      <c r="G48" s="76" t="s">
        <v>169</v>
      </c>
      <c r="H48" s="76" t="s">
        <v>170</v>
      </c>
      <c r="I48" s="76">
        <f t="shared" si="3"/>
        <v>0</v>
      </c>
      <c r="J48" s="76">
        <f t="shared" si="7"/>
        <v>0</v>
      </c>
      <c r="K48" s="76" t="s">
        <v>535</v>
      </c>
      <c r="L48" s="76">
        <f t="shared" si="2"/>
        <v>5.4E-8</v>
      </c>
      <c r="M48" s="76" t="s">
        <v>163</v>
      </c>
      <c r="N48" s="76">
        <f t="shared" si="9"/>
        <v>0</v>
      </c>
      <c r="O48" s="76" t="s">
        <v>535</v>
      </c>
      <c r="P48" s="76" t="s">
        <v>536</v>
      </c>
    </row>
    <row r="49" spans="2:16" ht="12.75" customHeight="1" x14ac:dyDescent="0.2">
      <c r="B49" s="76" t="s">
        <v>547</v>
      </c>
      <c r="C49" s="76">
        <f t="shared" si="8"/>
        <v>5.4E-8</v>
      </c>
      <c r="D49" s="76">
        <v>1</v>
      </c>
      <c r="E49" s="76" t="s">
        <v>926</v>
      </c>
      <c r="F49" s="76" t="s">
        <v>168</v>
      </c>
      <c r="G49" s="76" t="s">
        <v>169</v>
      </c>
      <c r="H49" s="76" t="s">
        <v>170</v>
      </c>
      <c r="I49" s="76">
        <f t="shared" si="3"/>
        <v>0</v>
      </c>
      <c r="J49" s="76">
        <f t="shared" si="7"/>
        <v>0</v>
      </c>
      <c r="K49" s="76" t="s">
        <v>535</v>
      </c>
      <c r="L49" s="76">
        <f t="shared" si="2"/>
        <v>5.4E-8</v>
      </c>
      <c r="M49" s="76" t="s">
        <v>163</v>
      </c>
      <c r="N49" s="76">
        <f t="shared" si="9"/>
        <v>0</v>
      </c>
      <c r="O49" s="76" t="s">
        <v>535</v>
      </c>
      <c r="P49" s="76" t="s">
        <v>536</v>
      </c>
    </row>
    <row r="50" spans="2:16" ht="12.75" customHeight="1" x14ac:dyDescent="0.2">
      <c r="B50" s="76" t="s">
        <v>547</v>
      </c>
      <c r="C50" s="76">
        <f t="shared" si="8"/>
        <v>5.4E-8</v>
      </c>
      <c r="D50" s="76">
        <v>1</v>
      </c>
      <c r="E50" s="76" t="s">
        <v>925</v>
      </c>
      <c r="F50" s="76" t="s">
        <v>168</v>
      </c>
      <c r="G50" s="76" t="s">
        <v>169</v>
      </c>
      <c r="H50" s="76" t="s">
        <v>170</v>
      </c>
      <c r="I50" s="76">
        <f t="shared" si="3"/>
        <v>0</v>
      </c>
      <c r="J50" s="76">
        <f t="shared" si="7"/>
        <v>0</v>
      </c>
      <c r="K50" s="76" t="s">
        <v>535</v>
      </c>
      <c r="L50" s="76">
        <f t="shared" si="2"/>
        <v>5.4E-8</v>
      </c>
      <c r="M50" s="76" t="s">
        <v>163</v>
      </c>
      <c r="N50" s="76">
        <f t="shared" si="9"/>
        <v>0</v>
      </c>
      <c r="O50" s="76" t="s">
        <v>535</v>
      </c>
      <c r="P50" s="76" t="s">
        <v>536</v>
      </c>
    </row>
    <row r="51" spans="2:16" ht="12.75" customHeight="1" x14ac:dyDescent="0.2">
      <c r="B51" s="76" t="s">
        <v>547</v>
      </c>
      <c r="C51" s="76">
        <f t="shared" si="8"/>
        <v>5.4E-8</v>
      </c>
      <c r="D51" s="76">
        <v>1</v>
      </c>
      <c r="E51" s="76" t="s">
        <v>943</v>
      </c>
      <c r="F51" s="76" t="s">
        <v>168</v>
      </c>
      <c r="G51" s="76" t="s">
        <v>169</v>
      </c>
      <c r="H51" s="76" t="s">
        <v>170</v>
      </c>
      <c r="I51" s="76">
        <f t="shared" si="3"/>
        <v>0</v>
      </c>
      <c r="J51" s="76">
        <f t="shared" si="7"/>
        <v>0</v>
      </c>
      <c r="K51" s="76" t="s">
        <v>535</v>
      </c>
      <c r="L51" s="76">
        <f t="shared" si="2"/>
        <v>5.4E-8</v>
      </c>
      <c r="M51" s="76" t="s">
        <v>163</v>
      </c>
      <c r="N51" s="76">
        <f t="shared" si="9"/>
        <v>0</v>
      </c>
      <c r="O51" s="76" t="s">
        <v>535</v>
      </c>
      <c r="P51" s="76" t="s">
        <v>536</v>
      </c>
    </row>
    <row r="52" spans="2:16" ht="12.75" customHeight="1" x14ac:dyDescent="0.2">
      <c r="B52" s="76" t="s">
        <v>547</v>
      </c>
      <c r="C52" s="76">
        <f t="shared" si="8"/>
        <v>5.4E-8</v>
      </c>
      <c r="D52" s="76">
        <v>1</v>
      </c>
      <c r="E52" s="76" t="s">
        <v>924</v>
      </c>
      <c r="F52" s="76" t="s">
        <v>168</v>
      </c>
      <c r="G52" s="76" t="s">
        <v>169</v>
      </c>
      <c r="H52" s="76" t="s">
        <v>170</v>
      </c>
      <c r="I52" s="76">
        <f t="shared" si="3"/>
        <v>0</v>
      </c>
      <c r="J52" s="76">
        <f t="shared" si="7"/>
        <v>0</v>
      </c>
      <c r="K52" s="76" t="s">
        <v>535</v>
      </c>
      <c r="L52" s="76">
        <f t="shared" si="2"/>
        <v>5.4E-8</v>
      </c>
      <c r="M52" s="76" t="s">
        <v>163</v>
      </c>
      <c r="N52" s="76">
        <f t="shared" si="9"/>
        <v>0</v>
      </c>
      <c r="O52" s="76" t="s">
        <v>535</v>
      </c>
      <c r="P52" s="76" t="s">
        <v>536</v>
      </c>
    </row>
    <row r="53" spans="2:16" ht="12.75" customHeight="1" x14ac:dyDescent="0.2">
      <c r="B53" s="76" t="s">
        <v>547</v>
      </c>
      <c r="C53" s="76">
        <f t="shared" si="8"/>
        <v>5.4E-8</v>
      </c>
      <c r="D53" s="76">
        <v>1</v>
      </c>
      <c r="E53" s="76" t="s">
        <v>923</v>
      </c>
      <c r="F53" s="76" t="s">
        <v>168</v>
      </c>
      <c r="G53" s="76" t="s">
        <v>169</v>
      </c>
      <c r="H53" s="76" t="s">
        <v>170</v>
      </c>
      <c r="I53" s="76">
        <f t="shared" si="3"/>
        <v>0</v>
      </c>
      <c r="J53" s="76">
        <f t="shared" si="7"/>
        <v>0</v>
      </c>
      <c r="K53" s="76" t="s">
        <v>535</v>
      </c>
      <c r="L53" s="76">
        <f t="shared" si="2"/>
        <v>5.4E-8</v>
      </c>
      <c r="M53" s="76" t="s">
        <v>163</v>
      </c>
      <c r="N53" s="76">
        <f t="shared" si="9"/>
        <v>0</v>
      </c>
      <c r="O53" s="76" t="s">
        <v>535</v>
      </c>
      <c r="P53" s="76" t="s">
        <v>536</v>
      </c>
    </row>
    <row r="54" spans="2:16" ht="12.75" customHeight="1" x14ac:dyDescent="0.2">
      <c r="B54" s="76" t="s">
        <v>547</v>
      </c>
      <c r="C54" s="76">
        <f t="shared" si="8"/>
        <v>5.4E-8</v>
      </c>
      <c r="D54" s="76">
        <v>1</v>
      </c>
      <c r="E54" s="76" t="s">
        <v>922</v>
      </c>
      <c r="F54" s="76" t="s">
        <v>168</v>
      </c>
      <c r="G54" s="76" t="s">
        <v>169</v>
      </c>
      <c r="H54" s="76" t="s">
        <v>170</v>
      </c>
      <c r="I54" s="76">
        <f t="shared" si="3"/>
        <v>0</v>
      </c>
      <c r="J54" s="76">
        <f t="shared" si="7"/>
        <v>0</v>
      </c>
      <c r="K54" s="76" t="s">
        <v>535</v>
      </c>
      <c r="L54" s="76">
        <f t="shared" si="2"/>
        <v>5.4E-8</v>
      </c>
      <c r="M54" s="76" t="s">
        <v>163</v>
      </c>
      <c r="N54" s="76">
        <f t="shared" si="9"/>
        <v>0</v>
      </c>
      <c r="O54" s="76" t="s">
        <v>535</v>
      </c>
      <c r="P54" s="76" t="s">
        <v>536</v>
      </c>
    </row>
    <row r="55" spans="2:16" ht="12.75" customHeight="1" x14ac:dyDescent="0.2">
      <c r="B55" s="76" t="s">
        <v>547</v>
      </c>
      <c r="C55" s="76">
        <f t="shared" si="8"/>
        <v>5.4E-8</v>
      </c>
      <c r="D55" s="76">
        <v>1</v>
      </c>
      <c r="E55" s="76" t="s">
        <v>921</v>
      </c>
      <c r="F55" s="76" t="s">
        <v>168</v>
      </c>
      <c r="G55" s="76" t="s">
        <v>169</v>
      </c>
      <c r="H55" s="76" t="s">
        <v>170</v>
      </c>
      <c r="I55" s="76">
        <f t="shared" si="3"/>
        <v>0</v>
      </c>
      <c r="J55" s="76">
        <f t="shared" si="7"/>
        <v>0</v>
      </c>
      <c r="K55" s="76" t="s">
        <v>535</v>
      </c>
      <c r="L55" s="76">
        <f t="shared" si="2"/>
        <v>5.4E-8</v>
      </c>
      <c r="M55" s="76" t="s">
        <v>163</v>
      </c>
      <c r="N55" s="76">
        <f t="shared" si="9"/>
        <v>0</v>
      </c>
      <c r="O55" s="76" t="s">
        <v>535</v>
      </c>
      <c r="P55" s="76" t="s">
        <v>536</v>
      </c>
    </row>
    <row r="56" spans="2:16" ht="12.75" customHeight="1" x14ac:dyDescent="0.2">
      <c r="B56" s="76" t="s">
        <v>547</v>
      </c>
      <c r="C56" s="76">
        <f t="shared" si="8"/>
        <v>5.4E-8</v>
      </c>
      <c r="D56" s="76">
        <v>1</v>
      </c>
      <c r="E56" s="76" t="s">
        <v>920</v>
      </c>
      <c r="F56" s="76" t="s">
        <v>168</v>
      </c>
      <c r="G56" s="76" t="s">
        <v>169</v>
      </c>
      <c r="H56" s="76" t="s">
        <v>170</v>
      </c>
      <c r="I56" s="76">
        <f t="shared" si="3"/>
        <v>0</v>
      </c>
      <c r="J56" s="76">
        <f t="shared" si="7"/>
        <v>0</v>
      </c>
      <c r="K56" s="76" t="s">
        <v>535</v>
      </c>
      <c r="L56" s="76">
        <f t="shared" si="2"/>
        <v>5.4E-8</v>
      </c>
      <c r="M56" s="76" t="s">
        <v>163</v>
      </c>
      <c r="N56" s="76">
        <f t="shared" si="9"/>
        <v>0</v>
      </c>
      <c r="O56" s="76" t="s">
        <v>535</v>
      </c>
      <c r="P56" s="76" t="s">
        <v>536</v>
      </c>
    </row>
    <row r="57" spans="2:16" ht="12.75" customHeight="1" x14ac:dyDescent="0.2">
      <c r="B57" s="76" t="s">
        <v>547</v>
      </c>
      <c r="C57" s="76">
        <f t="shared" si="8"/>
        <v>5.4E-8</v>
      </c>
      <c r="D57" s="76">
        <v>1</v>
      </c>
      <c r="E57" s="76" t="s">
        <v>919</v>
      </c>
      <c r="F57" s="76" t="s">
        <v>168</v>
      </c>
      <c r="G57" s="76" t="s">
        <v>169</v>
      </c>
      <c r="H57" s="76" t="s">
        <v>170</v>
      </c>
      <c r="I57" s="76">
        <f t="shared" si="3"/>
        <v>0</v>
      </c>
      <c r="J57" s="76">
        <f t="shared" si="7"/>
        <v>0</v>
      </c>
      <c r="K57" s="76" t="s">
        <v>535</v>
      </c>
      <c r="L57" s="76">
        <f t="shared" si="2"/>
        <v>5.4E-8</v>
      </c>
      <c r="M57" s="76" t="s">
        <v>163</v>
      </c>
      <c r="N57" s="76">
        <f t="shared" si="9"/>
        <v>0</v>
      </c>
      <c r="O57" s="76" t="s">
        <v>535</v>
      </c>
      <c r="P57" s="76" t="s">
        <v>536</v>
      </c>
    </row>
    <row r="58" spans="2:16" ht="12.75" customHeight="1" x14ac:dyDescent="0.2">
      <c r="B58" s="76" t="s">
        <v>547</v>
      </c>
      <c r="C58" s="76">
        <f t="shared" si="8"/>
        <v>5.4E-8</v>
      </c>
      <c r="D58" s="76">
        <v>1</v>
      </c>
      <c r="E58" s="76" t="s">
        <v>918</v>
      </c>
      <c r="F58" s="76" t="s">
        <v>168</v>
      </c>
      <c r="G58" s="76" t="s">
        <v>169</v>
      </c>
      <c r="H58" s="76" t="s">
        <v>170</v>
      </c>
      <c r="I58" s="76">
        <f t="shared" si="3"/>
        <v>0</v>
      </c>
      <c r="J58" s="76">
        <f t="shared" si="7"/>
        <v>0</v>
      </c>
      <c r="K58" s="76" t="s">
        <v>535</v>
      </c>
      <c r="L58" s="76">
        <f t="shared" si="2"/>
        <v>5.4E-8</v>
      </c>
      <c r="M58" s="76" t="s">
        <v>163</v>
      </c>
      <c r="N58" s="76">
        <f t="shared" si="9"/>
        <v>0</v>
      </c>
      <c r="O58" s="76" t="s">
        <v>535</v>
      </c>
      <c r="P58" s="76" t="s">
        <v>536</v>
      </c>
    </row>
    <row r="59" spans="2:16" ht="12.75" customHeight="1" x14ac:dyDescent="0.2">
      <c r="B59" s="76" t="s">
        <v>547</v>
      </c>
      <c r="C59" s="76">
        <f t="shared" si="8"/>
        <v>5.4E-8</v>
      </c>
      <c r="D59" s="76">
        <v>1</v>
      </c>
      <c r="E59" s="76" t="s">
        <v>917</v>
      </c>
      <c r="F59" s="76" t="s">
        <v>168</v>
      </c>
      <c r="G59" s="76" t="s">
        <v>169</v>
      </c>
      <c r="H59" s="76" t="s">
        <v>170</v>
      </c>
      <c r="I59" s="76">
        <f t="shared" si="3"/>
        <v>0</v>
      </c>
      <c r="J59" s="76">
        <f t="shared" si="7"/>
        <v>0</v>
      </c>
      <c r="K59" s="76" t="s">
        <v>535</v>
      </c>
      <c r="L59" s="76">
        <f t="shared" si="2"/>
        <v>5.4E-8</v>
      </c>
      <c r="M59" s="76" t="s">
        <v>163</v>
      </c>
      <c r="N59" s="76">
        <f t="shared" si="9"/>
        <v>0</v>
      </c>
      <c r="O59" s="76" t="s">
        <v>535</v>
      </c>
      <c r="P59" s="76" t="s">
        <v>536</v>
      </c>
    </row>
    <row r="60" spans="2:16" ht="12.75" customHeight="1" x14ac:dyDescent="0.2">
      <c r="B60" s="76" t="s">
        <v>547</v>
      </c>
      <c r="C60" s="76">
        <f t="shared" si="8"/>
        <v>5.4E-8</v>
      </c>
      <c r="D60" s="76">
        <v>1</v>
      </c>
      <c r="E60" s="76" t="s">
        <v>916</v>
      </c>
      <c r="F60" s="76" t="s">
        <v>168</v>
      </c>
      <c r="G60" s="76" t="s">
        <v>169</v>
      </c>
      <c r="H60" s="76" t="s">
        <v>170</v>
      </c>
      <c r="I60" s="76">
        <f t="shared" si="3"/>
        <v>0</v>
      </c>
      <c r="J60" s="76">
        <f t="shared" si="7"/>
        <v>0</v>
      </c>
      <c r="K60" s="76" t="s">
        <v>535</v>
      </c>
      <c r="L60" s="76">
        <f t="shared" si="2"/>
        <v>5.4E-8</v>
      </c>
      <c r="M60" s="76" t="s">
        <v>163</v>
      </c>
      <c r="N60" s="76">
        <f t="shared" si="9"/>
        <v>0</v>
      </c>
      <c r="O60" s="76" t="s">
        <v>535</v>
      </c>
      <c r="P60" s="76" t="s">
        <v>536</v>
      </c>
    </row>
    <row r="61" spans="2:16" ht="12.75" customHeight="1" x14ac:dyDescent="0.2">
      <c r="B61" s="76" t="s">
        <v>547</v>
      </c>
      <c r="C61" s="76">
        <f t="shared" si="8"/>
        <v>5.4E-8</v>
      </c>
      <c r="D61" s="76">
        <v>1</v>
      </c>
      <c r="E61" s="76" t="s">
        <v>915</v>
      </c>
      <c r="F61" s="76" t="s">
        <v>168</v>
      </c>
      <c r="G61" s="76" t="s">
        <v>169</v>
      </c>
      <c r="H61" s="76" t="s">
        <v>170</v>
      </c>
      <c r="I61" s="76">
        <f t="shared" si="3"/>
        <v>0</v>
      </c>
      <c r="J61" s="76">
        <f t="shared" si="7"/>
        <v>0</v>
      </c>
      <c r="K61" s="76" t="s">
        <v>535</v>
      </c>
      <c r="L61" s="76">
        <f t="shared" si="2"/>
        <v>5.4E-8</v>
      </c>
      <c r="M61" s="76" t="s">
        <v>163</v>
      </c>
      <c r="N61" s="76">
        <f t="shared" si="9"/>
        <v>0</v>
      </c>
      <c r="O61" s="76" t="s">
        <v>535</v>
      </c>
      <c r="P61" s="76" t="s">
        <v>536</v>
      </c>
    </row>
    <row r="62" spans="2:16" ht="12.75" customHeight="1" x14ac:dyDescent="0.2">
      <c r="B62" s="76" t="s">
        <v>547</v>
      </c>
      <c r="C62" s="76">
        <f t="shared" si="8"/>
        <v>5.4E-8</v>
      </c>
      <c r="D62" s="76">
        <v>1</v>
      </c>
      <c r="E62" s="76" t="s">
        <v>942</v>
      </c>
      <c r="F62" s="76" t="s">
        <v>168</v>
      </c>
      <c r="G62" s="76" t="s">
        <v>169</v>
      </c>
      <c r="H62" s="76" t="s">
        <v>170</v>
      </c>
      <c r="I62" s="76">
        <f t="shared" si="3"/>
        <v>0</v>
      </c>
      <c r="J62" s="76">
        <f t="shared" si="7"/>
        <v>0</v>
      </c>
      <c r="K62" s="76" t="s">
        <v>535</v>
      </c>
      <c r="L62" s="76">
        <f t="shared" si="2"/>
        <v>5.4E-8</v>
      </c>
      <c r="M62" s="76" t="s">
        <v>163</v>
      </c>
      <c r="N62" s="76">
        <f t="shared" si="9"/>
        <v>0</v>
      </c>
      <c r="O62" s="76" t="s">
        <v>535</v>
      </c>
      <c r="P62" s="76" t="s">
        <v>536</v>
      </c>
    </row>
    <row r="63" spans="2:16" ht="12.75" customHeight="1" x14ac:dyDescent="0.2">
      <c r="B63" s="76" t="s">
        <v>547</v>
      </c>
      <c r="C63" s="76">
        <f t="shared" si="8"/>
        <v>5.4E-8</v>
      </c>
      <c r="D63" s="76">
        <v>1</v>
      </c>
      <c r="E63" s="76" t="s">
        <v>914</v>
      </c>
      <c r="F63" s="76" t="s">
        <v>168</v>
      </c>
      <c r="G63" s="76" t="s">
        <v>169</v>
      </c>
      <c r="H63" s="76" t="s">
        <v>170</v>
      </c>
      <c r="I63" s="76">
        <f t="shared" si="3"/>
        <v>0</v>
      </c>
      <c r="J63" s="76">
        <f t="shared" si="7"/>
        <v>0</v>
      </c>
      <c r="K63" s="76" t="s">
        <v>535</v>
      </c>
      <c r="L63" s="76">
        <f t="shared" si="2"/>
        <v>5.4E-8</v>
      </c>
      <c r="M63" s="76" t="s">
        <v>163</v>
      </c>
      <c r="N63" s="76">
        <f t="shared" si="9"/>
        <v>0</v>
      </c>
      <c r="O63" s="76" t="s">
        <v>535</v>
      </c>
      <c r="P63" s="76" t="s">
        <v>536</v>
      </c>
    </row>
    <row r="64" spans="2:16" ht="12.75" customHeight="1" x14ac:dyDescent="0.2">
      <c r="B64" s="76" t="s">
        <v>547</v>
      </c>
      <c r="C64" s="76">
        <f t="shared" si="8"/>
        <v>5.4E-8</v>
      </c>
      <c r="D64" s="76">
        <v>1</v>
      </c>
      <c r="E64" s="76" t="s">
        <v>913</v>
      </c>
      <c r="F64" s="76" t="s">
        <v>168</v>
      </c>
      <c r="G64" s="76" t="s">
        <v>169</v>
      </c>
      <c r="H64" s="76" t="s">
        <v>170</v>
      </c>
      <c r="I64" s="76">
        <f t="shared" si="3"/>
        <v>0</v>
      </c>
      <c r="J64" s="76">
        <f t="shared" si="7"/>
        <v>0</v>
      </c>
      <c r="K64" s="76" t="s">
        <v>535</v>
      </c>
      <c r="L64" s="76">
        <f t="shared" si="2"/>
        <v>5.4E-8</v>
      </c>
      <c r="M64" s="76" t="s">
        <v>163</v>
      </c>
      <c r="N64" s="76">
        <f t="shared" si="9"/>
        <v>0</v>
      </c>
      <c r="O64" s="76" t="s">
        <v>535</v>
      </c>
      <c r="P64" s="76" t="s">
        <v>536</v>
      </c>
    </row>
    <row r="65" spans="2:16" ht="12.75" customHeight="1" x14ac:dyDescent="0.2">
      <c r="B65" s="76" t="s">
        <v>547</v>
      </c>
      <c r="C65" s="76">
        <f t="shared" si="8"/>
        <v>5.4E-8</v>
      </c>
      <c r="D65" s="76">
        <v>1</v>
      </c>
      <c r="E65" s="76" t="s">
        <v>941</v>
      </c>
      <c r="F65" s="76" t="s">
        <v>168</v>
      </c>
      <c r="G65" s="76" t="s">
        <v>169</v>
      </c>
      <c r="H65" s="76" t="s">
        <v>170</v>
      </c>
      <c r="I65" s="76">
        <f t="shared" si="3"/>
        <v>0</v>
      </c>
      <c r="J65" s="76">
        <f t="shared" si="7"/>
        <v>0</v>
      </c>
      <c r="K65" s="76" t="s">
        <v>535</v>
      </c>
      <c r="L65" s="76">
        <f t="shared" si="2"/>
        <v>5.4E-8</v>
      </c>
      <c r="M65" s="76" t="s">
        <v>163</v>
      </c>
      <c r="N65" s="76">
        <f t="shared" si="9"/>
        <v>0</v>
      </c>
      <c r="O65" s="76" t="s">
        <v>535</v>
      </c>
      <c r="P65" s="76" t="s">
        <v>536</v>
      </c>
    </row>
    <row r="66" spans="2:16" ht="12.75" customHeight="1" x14ac:dyDescent="0.2">
      <c r="B66" s="76" t="s">
        <v>547</v>
      </c>
      <c r="C66" s="76">
        <f t="shared" si="8"/>
        <v>5.4E-8</v>
      </c>
      <c r="D66" s="76">
        <v>1</v>
      </c>
      <c r="E66" s="76" t="s">
        <v>940</v>
      </c>
      <c r="F66" s="76" t="s">
        <v>168</v>
      </c>
      <c r="G66" s="76" t="s">
        <v>169</v>
      </c>
      <c r="H66" s="76" t="s">
        <v>170</v>
      </c>
      <c r="I66" s="76">
        <f t="shared" si="3"/>
        <v>0</v>
      </c>
      <c r="J66" s="76">
        <f t="shared" si="7"/>
        <v>0</v>
      </c>
      <c r="K66" s="76" t="s">
        <v>535</v>
      </c>
      <c r="L66" s="76">
        <f t="shared" si="2"/>
        <v>5.4E-8</v>
      </c>
      <c r="M66" s="76" t="s">
        <v>163</v>
      </c>
      <c r="N66" s="76">
        <f t="shared" si="9"/>
        <v>0</v>
      </c>
      <c r="O66" s="76" t="s">
        <v>535</v>
      </c>
      <c r="P66" s="76" t="s">
        <v>536</v>
      </c>
    </row>
    <row r="67" spans="2:16" ht="12.75" customHeight="1" x14ac:dyDescent="0.2">
      <c r="B67" s="76" t="s">
        <v>547</v>
      </c>
      <c r="C67" s="76">
        <f t="shared" si="8"/>
        <v>5.4E-8</v>
      </c>
      <c r="D67" s="76">
        <v>1</v>
      </c>
      <c r="E67" s="76" t="s">
        <v>939</v>
      </c>
      <c r="F67" s="76" t="s">
        <v>168</v>
      </c>
      <c r="G67" s="76" t="s">
        <v>169</v>
      </c>
      <c r="H67" s="76" t="s">
        <v>170</v>
      </c>
      <c r="I67" s="76">
        <f t="shared" si="3"/>
        <v>0</v>
      </c>
      <c r="J67" s="76">
        <f t="shared" si="7"/>
        <v>0</v>
      </c>
      <c r="K67" s="76" t="s">
        <v>535</v>
      </c>
      <c r="L67" s="76">
        <f t="shared" si="2"/>
        <v>5.4E-8</v>
      </c>
      <c r="M67" s="76" t="s">
        <v>163</v>
      </c>
      <c r="N67" s="76">
        <f t="shared" si="9"/>
        <v>0</v>
      </c>
      <c r="O67" s="76" t="s">
        <v>535</v>
      </c>
      <c r="P67" s="76" t="s">
        <v>536</v>
      </c>
    </row>
    <row r="68" spans="2:16" ht="12.75" customHeight="1" x14ac:dyDescent="0.2">
      <c r="B68" s="76" t="s">
        <v>547</v>
      </c>
      <c r="C68" s="76">
        <f t="shared" si="8"/>
        <v>5.4E-8</v>
      </c>
      <c r="D68" s="76">
        <v>1</v>
      </c>
      <c r="E68" s="76" t="s">
        <v>938</v>
      </c>
      <c r="F68" s="76" t="s">
        <v>168</v>
      </c>
      <c r="G68" s="76" t="s">
        <v>169</v>
      </c>
      <c r="H68" s="76" t="s">
        <v>170</v>
      </c>
      <c r="I68" s="76">
        <f t="shared" si="3"/>
        <v>0</v>
      </c>
      <c r="J68" s="76">
        <f t="shared" si="7"/>
        <v>0</v>
      </c>
      <c r="K68" s="76" t="s">
        <v>535</v>
      </c>
      <c r="L68" s="76">
        <f t="shared" si="2"/>
        <v>5.4E-8</v>
      </c>
      <c r="M68" s="76" t="s">
        <v>163</v>
      </c>
      <c r="N68" s="76">
        <f t="shared" si="9"/>
        <v>0</v>
      </c>
      <c r="O68" s="76" t="s">
        <v>535</v>
      </c>
      <c r="P68" s="76" t="s">
        <v>536</v>
      </c>
    </row>
    <row r="69" spans="2:16" ht="12.75" customHeight="1" x14ac:dyDescent="0.2">
      <c r="B69" s="76" t="s">
        <v>547</v>
      </c>
      <c r="C69" s="76">
        <f t="shared" si="8"/>
        <v>5.4E-8</v>
      </c>
      <c r="D69" s="76">
        <v>1</v>
      </c>
      <c r="E69" s="76" t="s">
        <v>937</v>
      </c>
      <c r="F69" s="76" t="s">
        <v>168</v>
      </c>
      <c r="G69" s="76" t="s">
        <v>169</v>
      </c>
      <c r="H69" s="76" t="s">
        <v>170</v>
      </c>
      <c r="I69" s="76">
        <f t="shared" si="3"/>
        <v>0</v>
      </c>
      <c r="J69" s="76">
        <f t="shared" si="7"/>
        <v>0</v>
      </c>
      <c r="K69" s="76" t="s">
        <v>535</v>
      </c>
      <c r="L69" s="76">
        <f t="shared" si="2"/>
        <v>5.4E-8</v>
      </c>
      <c r="M69" s="76" t="s">
        <v>163</v>
      </c>
      <c r="N69" s="76">
        <f t="shared" si="9"/>
        <v>0</v>
      </c>
      <c r="O69" s="76" t="s">
        <v>535</v>
      </c>
      <c r="P69" s="76" t="s">
        <v>536</v>
      </c>
    </row>
    <row r="70" spans="2:16" ht="12.75" customHeight="1" x14ac:dyDescent="0.2">
      <c r="B70" s="76" t="s">
        <v>547</v>
      </c>
      <c r="C70" s="76">
        <f t="shared" si="8"/>
        <v>5.4E-8</v>
      </c>
      <c r="D70" s="76">
        <v>1</v>
      </c>
      <c r="E70" s="76" t="s">
        <v>936</v>
      </c>
      <c r="F70" s="76" t="s">
        <v>168</v>
      </c>
      <c r="G70" s="76" t="s">
        <v>169</v>
      </c>
      <c r="H70" s="76" t="s">
        <v>170</v>
      </c>
      <c r="I70" s="76">
        <f t="shared" si="3"/>
        <v>0</v>
      </c>
      <c r="J70" s="76">
        <f t="shared" si="7"/>
        <v>0</v>
      </c>
      <c r="K70" s="76" t="s">
        <v>535</v>
      </c>
      <c r="L70" s="76">
        <f t="shared" si="2"/>
        <v>5.4E-8</v>
      </c>
      <c r="M70" s="76" t="s">
        <v>163</v>
      </c>
      <c r="N70" s="76">
        <f t="shared" si="9"/>
        <v>0</v>
      </c>
      <c r="O70" s="76" t="s">
        <v>535</v>
      </c>
      <c r="P70" s="76" t="s">
        <v>536</v>
      </c>
    </row>
    <row r="71" spans="2:16" ht="12.75" customHeight="1" x14ac:dyDescent="0.2">
      <c r="B71" s="76" t="s">
        <v>547</v>
      </c>
      <c r="C71" s="76">
        <f t="shared" ref="C71:C102" si="10">54*ns</f>
        <v>5.4E-8</v>
      </c>
      <c r="D71" s="76">
        <v>1</v>
      </c>
      <c r="E71" s="76" t="s">
        <v>935</v>
      </c>
      <c r="F71" s="76" t="s">
        <v>168</v>
      </c>
      <c r="G71" s="76" t="s">
        <v>169</v>
      </c>
      <c r="H71" s="76" t="s">
        <v>170</v>
      </c>
      <c r="I71" s="76">
        <f t="shared" si="3"/>
        <v>0</v>
      </c>
      <c r="J71" s="76">
        <f t="shared" si="7"/>
        <v>0</v>
      </c>
      <c r="K71" s="76" t="s">
        <v>535</v>
      </c>
      <c r="L71" s="76">
        <f t="shared" si="2"/>
        <v>5.4E-8</v>
      </c>
      <c r="M71" s="76" t="s">
        <v>163</v>
      </c>
      <c r="N71" s="76">
        <f t="shared" si="9"/>
        <v>0</v>
      </c>
      <c r="O71" s="76" t="s">
        <v>535</v>
      </c>
      <c r="P71" s="76" t="s">
        <v>536</v>
      </c>
    </row>
    <row r="72" spans="2:16" ht="12.75" customHeight="1" x14ac:dyDescent="0.2">
      <c r="B72" s="76" t="s">
        <v>547</v>
      </c>
      <c r="C72" s="76">
        <f t="shared" si="10"/>
        <v>5.4E-8</v>
      </c>
      <c r="D72" s="76">
        <v>1</v>
      </c>
      <c r="E72" s="76" t="s">
        <v>945</v>
      </c>
      <c r="F72" s="76" t="s">
        <v>168</v>
      </c>
      <c r="G72" s="76" t="s">
        <v>169</v>
      </c>
      <c r="H72" s="76" t="s">
        <v>516</v>
      </c>
      <c r="I72" s="76">
        <f t="shared" si="3"/>
        <v>0</v>
      </c>
      <c r="J72" s="76">
        <f>(13/54)*C72</f>
        <v>1.2999999999999999E-8</v>
      </c>
      <c r="K72" s="76">
        <f>(40/54)*C72</f>
        <v>4.0000000000000001E-8</v>
      </c>
      <c r="L72" s="76">
        <f t="shared" ref="L72:L86" si="11">1*C72</f>
        <v>5.4E-8</v>
      </c>
      <c r="M72" s="76" t="s">
        <v>163</v>
      </c>
      <c r="N72" s="76">
        <f t="shared" si="9"/>
        <v>0</v>
      </c>
      <c r="O72" s="76" t="s">
        <v>535</v>
      </c>
      <c r="P72" s="76" t="s">
        <v>537</v>
      </c>
    </row>
    <row r="73" spans="2:16" ht="12.75" customHeight="1" x14ac:dyDescent="0.2">
      <c r="B73" s="76" t="s">
        <v>547</v>
      </c>
      <c r="C73" s="76">
        <f t="shared" si="10"/>
        <v>5.4E-8</v>
      </c>
      <c r="D73" s="76">
        <v>1</v>
      </c>
      <c r="E73" s="76" t="s">
        <v>103</v>
      </c>
      <c r="F73" s="76" t="s">
        <v>168</v>
      </c>
      <c r="G73" s="76" t="s">
        <v>169</v>
      </c>
      <c r="H73" s="76" t="s">
        <v>170</v>
      </c>
      <c r="I73" s="76">
        <f t="shared" ref="I73:I86" si="12">0*C73</f>
        <v>0</v>
      </c>
      <c r="J73" s="76">
        <f t="shared" ref="J73:J77" si="13">0*C73</f>
        <v>0</v>
      </c>
      <c r="K73" s="76" t="s">
        <v>535</v>
      </c>
      <c r="L73" s="76">
        <f t="shared" si="11"/>
        <v>5.4E-8</v>
      </c>
      <c r="M73" s="76" t="s">
        <v>163</v>
      </c>
      <c r="N73" s="76">
        <f t="shared" si="9"/>
        <v>0</v>
      </c>
      <c r="O73" s="76" t="s">
        <v>535</v>
      </c>
      <c r="P73" s="76" t="s">
        <v>536</v>
      </c>
    </row>
    <row r="74" spans="2:16" ht="12.75" customHeight="1" x14ac:dyDescent="0.2">
      <c r="B74" s="76" t="s">
        <v>547</v>
      </c>
      <c r="C74" s="76">
        <f t="shared" si="10"/>
        <v>5.4E-8</v>
      </c>
      <c r="D74" s="76">
        <v>1</v>
      </c>
      <c r="E74" s="76" t="s">
        <v>111</v>
      </c>
      <c r="F74" s="76" t="s">
        <v>168</v>
      </c>
      <c r="G74" s="76" t="s">
        <v>169</v>
      </c>
      <c r="H74" s="76" t="s">
        <v>170</v>
      </c>
      <c r="I74" s="76">
        <f t="shared" si="12"/>
        <v>0</v>
      </c>
      <c r="J74" s="76">
        <f t="shared" si="13"/>
        <v>0</v>
      </c>
      <c r="K74" s="76" t="s">
        <v>535</v>
      </c>
      <c r="L74" s="76">
        <f t="shared" si="11"/>
        <v>5.4E-8</v>
      </c>
      <c r="M74" s="76" t="s">
        <v>172</v>
      </c>
      <c r="N74" s="76">
        <f>(5/54)*C74</f>
        <v>5.0000000000000001E-9</v>
      </c>
      <c r="O74" s="76" t="s">
        <v>535</v>
      </c>
      <c r="P74" s="76" t="s">
        <v>536</v>
      </c>
    </row>
    <row r="75" spans="2:16" ht="12.75" customHeight="1" x14ac:dyDescent="0.2">
      <c r="B75" s="76" t="s">
        <v>547</v>
      </c>
      <c r="C75" s="76">
        <f t="shared" si="10"/>
        <v>5.4E-8</v>
      </c>
      <c r="D75" s="76">
        <v>1</v>
      </c>
      <c r="E75" s="76" t="s">
        <v>946</v>
      </c>
      <c r="F75" s="76" t="s">
        <v>168</v>
      </c>
      <c r="G75" s="76" t="s">
        <v>169</v>
      </c>
      <c r="H75" s="76" t="s">
        <v>170</v>
      </c>
      <c r="I75" s="76">
        <f t="shared" si="12"/>
        <v>0</v>
      </c>
      <c r="J75" s="76">
        <f t="shared" si="13"/>
        <v>0</v>
      </c>
      <c r="K75" s="76" t="s">
        <v>535</v>
      </c>
      <c r="L75" s="76">
        <f t="shared" si="11"/>
        <v>5.4E-8</v>
      </c>
      <c r="M75" s="76" t="s">
        <v>163</v>
      </c>
      <c r="N75" s="76">
        <f>0*C75</f>
        <v>0</v>
      </c>
      <c r="O75" s="76" t="s">
        <v>535</v>
      </c>
      <c r="P75" s="76" t="s">
        <v>536</v>
      </c>
    </row>
    <row r="76" spans="2:16" ht="12.75" customHeight="1" x14ac:dyDescent="0.2">
      <c r="B76" s="76" t="s">
        <v>547</v>
      </c>
      <c r="C76" s="76">
        <f t="shared" si="10"/>
        <v>5.4E-8</v>
      </c>
      <c r="D76" s="76">
        <v>1</v>
      </c>
      <c r="E76" s="76" t="s">
        <v>120</v>
      </c>
      <c r="F76" s="76" t="s">
        <v>168</v>
      </c>
      <c r="G76" s="76" t="s">
        <v>169</v>
      </c>
      <c r="H76" s="76" t="s">
        <v>170</v>
      </c>
      <c r="I76" s="76">
        <f t="shared" si="12"/>
        <v>0</v>
      </c>
      <c r="J76" s="76">
        <f t="shared" si="13"/>
        <v>0</v>
      </c>
      <c r="K76" s="76" t="s">
        <v>535</v>
      </c>
      <c r="L76" s="76">
        <f t="shared" si="11"/>
        <v>5.4E-8</v>
      </c>
      <c r="M76" s="76" t="s">
        <v>172</v>
      </c>
      <c r="N76" s="76">
        <f>(5/54)*C76</f>
        <v>5.0000000000000001E-9</v>
      </c>
      <c r="O76" s="76" t="s">
        <v>535</v>
      </c>
      <c r="P76" s="76" t="s">
        <v>536</v>
      </c>
    </row>
    <row r="77" spans="2:16" ht="12.75" customHeight="1" x14ac:dyDescent="0.2">
      <c r="B77" s="76" t="s">
        <v>547</v>
      </c>
      <c r="C77" s="76">
        <f t="shared" si="10"/>
        <v>5.4E-8</v>
      </c>
      <c r="D77" s="76">
        <v>1</v>
      </c>
      <c r="E77" s="76" t="s">
        <v>121</v>
      </c>
      <c r="F77" s="76" t="s">
        <v>168</v>
      </c>
      <c r="G77" s="76" t="s">
        <v>169</v>
      </c>
      <c r="H77" s="76" t="s">
        <v>170</v>
      </c>
      <c r="I77" s="76">
        <f t="shared" si="12"/>
        <v>0</v>
      </c>
      <c r="J77" s="76">
        <f t="shared" si="13"/>
        <v>0</v>
      </c>
      <c r="K77" s="76" t="s">
        <v>535</v>
      </c>
      <c r="L77" s="76">
        <f t="shared" si="11"/>
        <v>5.4E-8</v>
      </c>
      <c r="M77" s="76" t="s">
        <v>172</v>
      </c>
      <c r="N77" s="76">
        <f>(5/54)*C77</f>
        <v>5.0000000000000001E-9</v>
      </c>
      <c r="O77" s="76" t="s">
        <v>535</v>
      </c>
      <c r="P77" s="76" t="s">
        <v>536</v>
      </c>
    </row>
    <row r="78" spans="2:16" ht="12.75" customHeight="1" x14ac:dyDescent="0.2">
      <c r="B78" s="76" t="s">
        <v>547</v>
      </c>
      <c r="C78" s="76">
        <f t="shared" si="10"/>
        <v>5.4E-8</v>
      </c>
      <c r="D78" s="76">
        <v>1</v>
      </c>
      <c r="E78" s="76" t="s">
        <v>97</v>
      </c>
      <c r="F78" s="76" t="s">
        <v>168</v>
      </c>
      <c r="G78" s="76" t="s">
        <v>169</v>
      </c>
      <c r="H78" s="76" t="s">
        <v>170</v>
      </c>
      <c r="I78" s="76">
        <f t="shared" si="12"/>
        <v>0</v>
      </c>
      <c r="J78" s="76">
        <f>0*C78</f>
        <v>0</v>
      </c>
      <c r="K78" s="76" t="s">
        <v>535</v>
      </c>
      <c r="L78" s="76">
        <f t="shared" si="11"/>
        <v>5.4E-8</v>
      </c>
      <c r="M78" s="76" t="s">
        <v>163</v>
      </c>
      <c r="N78" s="76">
        <f>0*C78</f>
        <v>0</v>
      </c>
      <c r="O78" s="76" t="s">
        <v>535</v>
      </c>
      <c r="P78" s="76" t="s">
        <v>536</v>
      </c>
    </row>
    <row r="79" spans="2:16" ht="12.75" customHeight="1" x14ac:dyDescent="0.2">
      <c r="B79" s="76" t="s">
        <v>547</v>
      </c>
      <c r="C79" s="76">
        <f t="shared" si="10"/>
        <v>5.4E-8</v>
      </c>
      <c r="D79" s="76">
        <v>1</v>
      </c>
      <c r="E79" s="76" t="s">
        <v>909</v>
      </c>
      <c r="F79" s="76" t="s">
        <v>168</v>
      </c>
      <c r="G79" s="76" t="s">
        <v>169</v>
      </c>
      <c r="H79" s="76" t="s">
        <v>516</v>
      </c>
      <c r="I79" s="76">
        <f t="shared" si="12"/>
        <v>0</v>
      </c>
      <c r="J79" s="76">
        <f>(13/54)*C79</f>
        <v>1.2999999999999999E-8</v>
      </c>
      <c r="K79" s="76">
        <f>(40/54)*C79</f>
        <v>4.0000000000000001E-8</v>
      </c>
      <c r="L79" s="76">
        <f t="shared" si="11"/>
        <v>5.4E-8</v>
      </c>
      <c r="M79" s="76" t="s">
        <v>163</v>
      </c>
      <c r="N79" s="76">
        <f t="shared" ref="N79:N81" si="14">0*C79</f>
        <v>0</v>
      </c>
      <c r="O79" s="76" t="s">
        <v>535</v>
      </c>
      <c r="P79" s="76" t="s">
        <v>537</v>
      </c>
    </row>
    <row r="80" spans="2:16" ht="12.75" customHeight="1" x14ac:dyDescent="0.2">
      <c r="B80" s="76" t="s">
        <v>547</v>
      </c>
      <c r="C80" s="76">
        <f t="shared" si="10"/>
        <v>5.4E-8</v>
      </c>
      <c r="D80" s="76">
        <v>1</v>
      </c>
      <c r="E80" s="76" t="s">
        <v>910</v>
      </c>
      <c r="F80" s="76" t="s">
        <v>168</v>
      </c>
      <c r="G80" s="76" t="s">
        <v>169</v>
      </c>
      <c r="H80" s="76" t="s">
        <v>170</v>
      </c>
      <c r="I80" s="76">
        <f t="shared" si="12"/>
        <v>0</v>
      </c>
      <c r="J80" s="76">
        <f>0*C80</f>
        <v>0</v>
      </c>
      <c r="K80" s="76" t="s">
        <v>535</v>
      </c>
      <c r="L80" s="76">
        <f t="shared" si="11"/>
        <v>5.4E-8</v>
      </c>
      <c r="M80" s="76" t="s">
        <v>163</v>
      </c>
      <c r="N80" s="76">
        <f t="shared" si="14"/>
        <v>0</v>
      </c>
      <c r="O80" s="76" t="s">
        <v>535</v>
      </c>
      <c r="P80" s="76" t="s">
        <v>536</v>
      </c>
    </row>
    <row r="81" spans="2:16" ht="12.75" customHeight="1" x14ac:dyDescent="0.2">
      <c r="B81" s="76" t="s">
        <v>547</v>
      </c>
      <c r="C81" s="76">
        <f t="shared" si="10"/>
        <v>5.4E-8</v>
      </c>
      <c r="D81" s="76">
        <v>1</v>
      </c>
      <c r="E81" s="76" t="s">
        <v>893</v>
      </c>
      <c r="F81" s="76" t="s">
        <v>168</v>
      </c>
      <c r="G81" s="76" t="s">
        <v>169</v>
      </c>
      <c r="H81" s="76" t="s">
        <v>516</v>
      </c>
      <c r="I81" s="76">
        <f t="shared" si="12"/>
        <v>0</v>
      </c>
      <c r="J81" s="76">
        <f>(12/54)*C81</f>
        <v>1.2E-8</v>
      </c>
      <c r="K81" s="76">
        <f>(37/54)*C81</f>
        <v>3.7E-8</v>
      </c>
      <c r="L81" s="76">
        <f t="shared" si="11"/>
        <v>5.4E-8</v>
      </c>
      <c r="M81" s="76" t="s">
        <v>163</v>
      </c>
      <c r="N81" s="76">
        <f t="shared" si="14"/>
        <v>0</v>
      </c>
      <c r="O81" s="76" t="s">
        <v>535</v>
      </c>
      <c r="P81" s="76" t="s">
        <v>537</v>
      </c>
    </row>
    <row r="82" spans="2:16" ht="12.75" customHeight="1" x14ac:dyDescent="0.2">
      <c r="B82" s="76" t="s">
        <v>547</v>
      </c>
      <c r="C82" s="76">
        <f t="shared" si="10"/>
        <v>5.4E-8</v>
      </c>
      <c r="D82" s="76">
        <v>1</v>
      </c>
      <c r="E82" s="76" t="s">
        <v>894</v>
      </c>
      <c r="F82" s="76" t="s">
        <v>168</v>
      </c>
      <c r="G82" s="76" t="s">
        <v>169</v>
      </c>
      <c r="H82" s="76" t="s">
        <v>170</v>
      </c>
      <c r="I82" s="76">
        <f t="shared" si="12"/>
        <v>0</v>
      </c>
      <c r="J82" s="76">
        <f t="shared" ref="J82:J85" si="15">0*C82</f>
        <v>0</v>
      </c>
      <c r="K82" s="76" t="s">
        <v>535</v>
      </c>
      <c r="L82" s="76">
        <f t="shared" si="11"/>
        <v>5.4E-8</v>
      </c>
      <c r="M82" s="76" t="s">
        <v>163</v>
      </c>
      <c r="N82" s="76">
        <f>(5/54)*C82</f>
        <v>5.0000000000000001E-9</v>
      </c>
      <c r="O82" s="76" t="s">
        <v>535</v>
      </c>
      <c r="P82" s="76" t="s">
        <v>536</v>
      </c>
    </row>
    <row r="83" spans="2:16" ht="12.75" customHeight="1" x14ac:dyDescent="0.2">
      <c r="B83" s="76" t="s">
        <v>547</v>
      </c>
      <c r="C83" s="76">
        <f t="shared" si="10"/>
        <v>5.4E-8</v>
      </c>
      <c r="D83" s="76">
        <v>1</v>
      </c>
      <c r="E83" s="76" t="s">
        <v>895</v>
      </c>
      <c r="F83" s="76" t="s">
        <v>168</v>
      </c>
      <c r="G83" s="76" t="s">
        <v>169</v>
      </c>
      <c r="H83" s="76" t="s">
        <v>170</v>
      </c>
      <c r="I83" s="76">
        <f t="shared" si="12"/>
        <v>0</v>
      </c>
      <c r="J83" s="76">
        <f t="shared" si="15"/>
        <v>0</v>
      </c>
      <c r="K83" s="76" t="s">
        <v>535</v>
      </c>
      <c r="L83" s="76">
        <f t="shared" si="11"/>
        <v>5.4E-8</v>
      </c>
      <c r="M83" s="76" t="s">
        <v>172</v>
      </c>
      <c r="N83" s="76">
        <f>(5/54)*C83</f>
        <v>5.0000000000000001E-9</v>
      </c>
      <c r="O83" s="76" t="s">
        <v>535</v>
      </c>
      <c r="P83" s="76" t="s">
        <v>536</v>
      </c>
    </row>
    <row r="84" spans="2:16" ht="12.75" customHeight="1" x14ac:dyDescent="0.2">
      <c r="B84" s="76" t="s">
        <v>547</v>
      </c>
      <c r="C84" s="76">
        <f t="shared" si="10"/>
        <v>5.4E-8</v>
      </c>
      <c r="D84" s="76">
        <v>1</v>
      </c>
      <c r="E84" s="76" t="s">
        <v>896</v>
      </c>
      <c r="F84" s="76" t="s">
        <v>168</v>
      </c>
      <c r="G84" s="76" t="s">
        <v>169</v>
      </c>
      <c r="H84" s="76" t="s">
        <v>170</v>
      </c>
      <c r="I84" s="76">
        <f t="shared" si="12"/>
        <v>0</v>
      </c>
      <c r="J84" s="76">
        <f t="shared" si="15"/>
        <v>0</v>
      </c>
      <c r="K84" s="76" t="s">
        <v>535</v>
      </c>
      <c r="L84" s="76">
        <f t="shared" si="11"/>
        <v>5.4E-8</v>
      </c>
      <c r="M84" s="76" t="s">
        <v>163</v>
      </c>
      <c r="N84" s="76">
        <f>(5/54)*C84</f>
        <v>5.0000000000000001E-9</v>
      </c>
      <c r="O84" s="76" t="s">
        <v>535</v>
      </c>
      <c r="P84" s="76" t="s">
        <v>536</v>
      </c>
    </row>
    <row r="85" spans="2:16" ht="12.75" customHeight="1" x14ac:dyDescent="0.2">
      <c r="B85" s="76" t="s">
        <v>547</v>
      </c>
      <c r="C85" s="76">
        <f t="shared" si="10"/>
        <v>5.4E-8</v>
      </c>
      <c r="D85" s="76">
        <v>1</v>
      </c>
      <c r="E85" s="76" t="s">
        <v>897</v>
      </c>
      <c r="F85" s="76" t="s">
        <v>168</v>
      </c>
      <c r="G85" s="76" t="s">
        <v>169</v>
      </c>
      <c r="H85" s="76" t="s">
        <v>170</v>
      </c>
      <c r="I85" s="76">
        <f t="shared" si="12"/>
        <v>0</v>
      </c>
      <c r="J85" s="76">
        <f t="shared" si="15"/>
        <v>0</v>
      </c>
      <c r="K85" s="76" t="s">
        <v>535</v>
      </c>
      <c r="L85" s="76">
        <f t="shared" si="11"/>
        <v>5.4E-8</v>
      </c>
      <c r="M85" s="76" t="s">
        <v>163</v>
      </c>
      <c r="N85" s="76">
        <f>(5/54)*C85</f>
        <v>5.0000000000000001E-9</v>
      </c>
      <c r="O85" s="76" t="s">
        <v>535</v>
      </c>
      <c r="P85" s="76" t="s">
        <v>536</v>
      </c>
    </row>
    <row r="86" spans="2:16" ht="12.75" customHeight="1" x14ac:dyDescent="0.2">
      <c r="B86" s="76" t="s">
        <v>547</v>
      </c>
      <c r="C86" s="76">
        <f t="shared" si="10"/>
        <v>5.4E-8</v>
      </c>
      <c r="D86" s="76">
        <v>1</v>
      </c>
      <c r="E86" s="76" t="s">
        <v>109</v>
      </c>
      <c r="F86" s="76" t="s">
        <v>168</v>
      </c>
      <c r="G86" s="76" t="s">
        <v>169</v>
      </c>
      <c r="H86" s="76" t="s">
        <v>170</v>
      </c>
      <c r="I86" s="76">
        <f t="shared" si="12"/>
        <v>0</v>
      </c>
      <c r="J86" s="76">
        <f>0*C86</f>
        <v>0</v>
      </c>
      <c r="K86" s="76" t="s">
        <v>535</v>
      </c>
      <c r="L86" s="76">
        <f t="shared" si="11"/>
        <v>5.4E-8</v>
      </c>
      <c r="M86" s="76" t="s">
        <v>172</v>
      </c>
      <c r="N86" s="76">
        <f>(5/54)*C86</f>
        <v>5.0000000000000001E-9</v>
      </c>
      <c r="O86" s="76" t="s">
        <v>535</v>
      </c>
      <c r="P86" s="76" t="s">
        <v>536</v>
      </c>
    </row>
    <row r="87" spans="2:16" ht="19.149999999999999" customHeight="1" x14ac:dyDescent="0.2">
      <c r="B87" s="76" t="s">
        <v>548</v>
      </c>
      <c r="C87" s="76">
        <f t="shared" si="10"/>
        <v>5.4E-8</v>
      </c>
      <c r="D87" s="76">
        <v>1</v>
      </c>
      <c r="E87" s="76" t="s">
        <v>95</v>
      </c>
      <c r="F87" s="76" t="s">
        <v>168</v>
      </c>
      <c r="G87" s="76" t="s">
        <v>169</v>
      </c>
      <c r="H87" s="76" t="s">
        <v>515</v>
      </c>
      <c r="I87" s="76">
        <f>0*C7</f>
        <v>0</v>
      </c>
      <c r="J87" s="76">
        <f>(13/54)*C87</f>
        <v>1.2999999999999999E-8</v>
      </c>
      <c r="K87" s="76">
        <f>(40/54)*C87</f>
        <v>4.0000000000000001E-8</v>
      </c>
      <c r="L87" s="76">
        <f>1*C87</f>
        <v>5.4E-8</v>
      </c>
      <c r="M87" s="76" t="s">
        <v>163</v>
      </c>
      <c r="N87" s="76">
        <f>0*C87</f>
        <v>0</v>
      </c>
      <c r="O87" s="76" t="s">
        <v>535</v>
      </c>
      <c r="P87" s="76" t="s">
        <v>549</v>
      </c>
    </row>
    <row r="88" spans="2:16" ht="12.75" customHeight="1" x14ac:dyDescent="0.2">
      <c r="B88" s="76" t="s">
        <v>548</v>
      </c>
      <c r="C88" s="76">
        <f t="shared" si="10"/>
        <v>5.4E-8</v>
      </c>
      <c r="D88" s="76">
        <v>1</v>
      </c>
      <c r="E88" s="76" t="s">
        <v>912</v>
      </c>
      <c r="F88" s="76" t="s">
        <v>168</v>
      </c>
      <c r="G88" s="76" t="s">
        <v>169</v>
      </c>
      <c r="H88" s="76" t="s">
        <v>170</v>
      </c>
      <c r="I88" s="76">
        <f t="shared" ref="I88:I151" si="16">0*C8</f>
        <v>0</v>
      </c>
      <c r="J88" s="76">
        <f>0*C88</f>
        <v>0</v>
      </c>
      <c r="K88" s="76" t="s">
        <v>535</v>
      </c>
      <c r="L88" s="76">
        <f t="shared" ref="L88:L151" si="17">1*C88</f>
        <v>5.4E-8</v>
      </c>
      <c r="M88" s="76" t="s">
        <v>163</v>
      </c>
      <c r="N88" s="76">
        <f>0*C88</f>
        <v>0</v>
      </c>
      <c r="O88" s="76" t="s">
        <v>535</v>
      </c>
      <c r="P88" s="76" t="s">
        <v>549</v>
      </c>
    </row>
    <row r="89" spans="2:16" ht="12.75" customHeight="1" x14ac:dyDescent="0.2">
      <c r="B89" s="76" t="s">
        <v>548</v>
      </c>
      <c r="C89" s="76">
        <f t="shared" si="10"/>
        <v>5.4E-8</v>
      </c>
      <c r="D89" s="76">
        <v>1</v>
      </c>
      <c r="E89" s="76" t="s">
        <v>96</v>
      </c>
      <c r="F89" s="76" t="s">
        <v>168</v>
      </c>
      <c r="G89" s="76" t="s">
        <v>169</v>
      </c>
      <c r="H89" s="76" t="s">
        <v>516</v>
      </c>
      <c r="I89" s="76">
        <f>0*C9</f>
        <v>0</v>
      </c>
      <c r="J89" s="76">
        <f>(13/54)*C89</f>
        <v>1.2999999999999999E-8</v>
      </c>
      <c r="K89" s="76">
        <f>(40/54)*C89</f>
        <v>4.0000000000000001E-8</v>
      </c>
      <c r="L89" s="76">
        <f>1*C89</f>
        <v>5.4E-8</v>
      </c>
      <c r="M89" s="76" t="s">
        <v>163</v>
      </c>
      <c r="N89" s="76">
        <f>0*C99</f>
        <v>0</v>
      </c>
      <c r="O89" s="76" t="s">
        <v>535</v>
      </c>
      <c r="P89" s="76" t="s">
        <v>549</v>
      </c>
    </row>
    <row r="90" spans="2:16" ht="12.75" customHeight="1" x14ac:dyDescent="0.2">
      <c r="B90" s="76" t="s">
        <v>548</v>
      </c>
      <c r="C90" s="76">
        <f t="shared" si="10"/>
        <v>5.4E-8</v>
      </c>
      <c r="D90" s="76">
        <v>1</v>
      </c>
      <c r="E90" s="76" t="s">
        <v>137</v>
      </c>
      <c r="F90" s="76" t="s">
        <v>168</v>
      </c>
      <c r="G90" s="76" t="s">
        <v>169</v>
      </c>
      <c r="H90" s="76" t="s">
        <v>170</v>
      </c>
      <c r="I90" s="76">
        <f t="shared" si="16"/>
        <v>0</v>
      </c>
      <c r="J90" s="76">
        <f>0*C90</f>
        <v>0</v>
      </c>
      <c r="K90" s="76" t="s">
        <v>535</v>
      </c>
      <c r="L90" s="76">
        <f t="shared" si="17"/>
        <v>5.4E-8</v>
      </c>
      <c r="M90" s="76" t="s">
        <v>172</v>
      </c>
      <c r="N90" s="76">
        <f>(5/54)*C90</f>
        <v>5.0000000000000001E-9</v>
      </c>
      <c r="O90" s="76" t="s">
        <v>535</v>
      </c>
      <c r="P90" s="76" t="s">
        <v>550</v>
      </c>
    </row>
    <row r="91" spans="2:16" ht="12.75" customHeight="1" x14ac:dyDescent="0.2">
      <c r="B91" s="76" t="s">
        <v>548</v>
      </c>
      <c r="C91" s="76">
        <f t="shared" si="10"/>
        <v>5.4E-8</v>
      </c>
      <c r="D91" s="76">
        <v>1</v>
      </c>
      <c r="E91" s="76" t="s">
        <v>127</v>
      </c>
      <c r="F91" s="76" t="s">
        <v>168</v>
      </c>
      <c r="G91" s="76" t="s">
        <v>169</v>
      </c>
      <c r="H91" s="76" t="s">
        <v>170</v>
      </c>
      <c r="I91" s="76">
        <f t="shared" si="16"/>
        <v>0</v>
      </c>
      <c r="J91" s="76">
        <f t="shared" ref="J91:J151" si="18">0*C91</f>
        <v>0</v>
      </c>
      <c r="K91" s="76" t="s">
        <v>535</v>
      </c>
      <c r="L91" s="76">
        <f t="shared" si="17"/>
        <v>5.4E-8</v>
      </c>
      <c r="M91" s="76" t="s">
        <v>172</v>
      </c>
      <c r="N91" s="76">
        <f t="shared" ref="N91:N105" si="19">(5/54)*C91</f>
        <v>5.0000000000000001E-9</v>
      </c>
      <c r="O91" s="76" t="s">
        <v>535</v>
      </c>
      <c r="P91" s="76" t="s">
        <v>550</v>
      </c>
    </row>
    <row r="92" spans="2:16" ht="12.75" customHeight="1" x14ac:dyDescent="0.2">
      <c r="B92" s="76" t="s">
        <v>548</v>
      </c>
      <c r="C92" s="76">
        <f t="shared" si="10"/>
        <v>5.4E-8</v>
      </c>
      <c r="D92" s="76">
        <v>1</v>
      </c>
      <c r="E92" s="76" t="s">
        <v>126</v>
      </c>
      <c r="F92" s="76" t="s">
        <v>168</v>
      </c>
      <c r="G92" s="76" t="s">
        <v>169</v>
      </c>
      <c r="H92" s="76" t="s">
        <v>170</v>
      </c>
      <c r="I92" s="76">
        <f t="shared" si="16"/>
        <v>0</v>
      </c>
      <c r="J92" s="76">
        <f t="shared" si="18"/>
        <v>0</v>
      </c>
      <c r="K92" s="76" t="s">
        <v>535</v>
      </c>
      <c r="L92" s="76">
        <f t="shared" si="17"/>
        <v>5.4E-8</v>
      </c>
      <c r="M92" s="76" t="s">
        <v>172</v>
      </c>
      <c r="N92" s="76">
        <f t="shared" si="19"/>
        <v>5.0000000000000001E-9</v>
      </c>
      <c r="O92" s="76" t="s">
        <v>535</v>
      </c>
      <c r="P92" s="76" t="s">
        <v>550</v>
      </c>
    </row>
    <row r="93" spans="2:16" ht="12.75" customHeight="1" x14ac:dyDescent="0.2">
      <c r="B93" s="76" t="s">
        <v>548</v>
      </c>
      <c r="C93" s="76">
        <f t="shared" si="10"/>
        <v>5.4E-8</v>
      </c>
      <c r="D93" s="76">
        <v>1</v>
      </c>
      <c r="E93" s="76" t="s">
        <v>125</v>
      </c>
      <c r="F93" s="76" t="s">
        <v>168</v>
      </c>
      <c r="G93" s="76" t="s">
        <v>169</v>
      </c>
      <c r="H93" s="76" t="s">
        <v>170</v>
      </c>
      <c r="I93" s="76">
        <f t="shared" si="16"/>
        <v>0</v>
      </c>
      <c r="J93" s="76">
        <f t="shared" si="18"/>
        <v>0</v>
      </c>
      <c r="K93" s="76" t="s">
        <v>535</v>
      </c>
      <c r="L93" s="76">
        <f t="shared" si="17"/>
        <v>5.4E-8</v>
      </c>
      <c r="M93" s="76" t="s">
        <v>172</v>
      </c>
      <c r="N93" s="76">
        <f t="shared" si="19"/>
        <v>5.0000000000000001E-9</v>
      </c>
      <c r="O93" s="76" t="s">
        <v>535</v>
      </c>
      <c r="P93" s="76" t="s">
        <v>550</v>
      </c>
    </row>
    <row r="94" spans="2:16" ht="12.75" customHeight="1" x14ac:dyDescent="0.2">
      <c r="B94" s="76" t="s">
        <v>548</v>
      </c>
      <c r="C94" s="76">
        <f t="shared" si="10"/>
        <v>5.4E-8</v>
      </c>
      <c r="D94" s="76">
        <v>1</v>
      </c>
      <c r="E94" s="76" t="s">
        <v>124</v>
      </c>
      <c r="F94" s="76" t="s">
        <v>168</v>
      </c>
      <c r="G94" s="76" t="s">
        <v>169</v>
      </c>
      <c r="H94" s="76" t="s">
        <v>170</v>
      </c>
      <c r="I94" s="76">
        <f t="shared" si="16"/>
        <v>0</v>
      </c>
      <c r="J94" s="76">
        <f t="shared" si="18"/>
        <v>0</v>
      </c>
      <c r="K94" s="76" t="s">
        <v>535</v>
      </c>
      <c r="L94" s="76">
        <f t="shared" si="17"/>
        <v>5.4E-8</v>
      </c>
      <c r="M94" s="76" t="s">
        <v>172</v>
      </c>
      <c r="N94" s="76">
        <f t="shared" si="19"/>
        <v>5.0000000000000001E-9</v>
      </c>
      <c r="O94" s="76" t="s">
        <v>535</v>
      </c>
      <c r="P94" s="76" t="s">
        <v>550</v>
      </c>
    </row>
    <row r="95" spans="2:16" ht="12.75" customHeight="1" x14ac:dyDescent="0.2">
      <c r="B95" s="76" t="s">
        <v>548</v>
      </c>
      <c r="C95" s="76">
        <f t="shared" si="10"/>
        <v>5.4E-8</v>
      </c>
      <c r="D95" s="76">
        <v>1</v>
      </c>
      <c r="E95" s="76" t="s">
        <v>123</v>
      </c>
      <c r="F95" s="76" t="s">
        <v>168</v>
      </c>
      <c r="G95" s="76" t="s">
        <v>169</v>
      </c>
      <c r="H95" s="76" t="s">
        <v>170</v>
      </c>
      <c r="I95" s="76">
        <f t="shared" si="16"/>
        <v>0</v>
      </c>
      <c r="J95" s="76">
        <f t="shared" si="18"/>
        <v>0</v>
      </c>
      <c r="K95" s="76" t="s">
        <v>535</v>
      </c>
      <c r="L95" s="76">
        <f t="shared" si="17"/>
        <v>5.4E-8</v>
      </c>
      <c r="M95" s="76" t="s">
        <v>172</v>
      </c>
      <c r="N95" s="76">
        <f t="shared" si="19"/>
        <v>5.0000000000000001E-9</v>
      </c>
      <c r="O95" s="76" t="s">
        <v>535</v>
      </c>
      <c r="P95" s="76" t="s">
        <v>550</v>
      </c>
    </row>
    <row r="96" spans="2:16" ht="12.75" customHeight="1" x14ac:dyDescent="0.2">
      <c r="B96" s="76" t="s">
        <v>548</v>
      </c>
      <c r="C96" s="76">
        <f t="shared" si="10"/>
        <v>5.4E-8</v>
      </c>
      <c r="D96" s="76">
        <v>1</v>
      </c>
      <c r="E96" s="76" t="s">
        <v>122</v>
      </c>
      <c r="F96" s="76" t="s">
        <v>168</v>
      </c>
      <c r="G96" s="76" t="s">
        <v>169</v>
      </c>
      <c r="H96" s="76" t="s">
        <v>170</v>
      </c>
      <c r="I96" s="76">
        <f t="shared" si="16"/>
        <v>0</v>
      </c>
      <c r="J96" s="76">
        <f t="shared" si="18"/>
        <v>0</v>
      </c>
      <c r="K96" s="76" t="s">
        <v>535</v>
      </c>
      <c r="L96" s="76">
        <f t="shared" si="17"/>
        <v>5.4E-8</v>
      </c>
      <c r="M96" s="76" t="s">
        <v>172</v>
      </c>
      <c r="N96" s="76">
        <f t="shared" si="19"/>
        <v>5.0000000000000001E-9</v>
      </c>
      <c r="O96" s="76" t="s">
        <v>535</v>
      </c>
      <c r="P96" s="76" t="s">
        <v>550</v>
      </c>
    </row>
    <row r="97" spans="2:16" ht="12.75" customHeight="1" x14ac:dyDescent="0.2">
      <c r="B97" s="76" t="s">
        <v>548</v>
      </c>
      <c r="C97" s="76">
        <f t="shared" si="10"/>
        <v>5.4E-8</v>
      </c>
      <c r="D97" s="76">
        <v>1</v>
      </c>
      <c r="E97" s="76" t="s">
        <v>136</v>
      </c>
      <c r="F97" s="76" t="s">
        <v>168</v>
      </c>
      <c r="G97" s="76" t="s">
        <v>169</v>
      </c>
      <c r="H97" s="76" t="s">
        <v>170</v>
      </c>
      <c r="I97" s="76">
        <f t="shared" si="16"/>
        <v>0</v>
      </c>
      <c r="J97" s="76">
        <f t="shared" si="18"/>
        <v>0</v>
      </c>
      <c r="K97" s="76" t="s">
        <v>535</v>
      </c>
      <c r="L97" s="76">
        <f t="shared" si="17"/>
        <v>5.4E-8</v>
      </c>
      <c r="M97" s="76" t="s">
        <v>172</v>
      </c>
      <c r="N97" s="76">
        <f t="shared" si="19"/>
        <v>5.0000000000000001E-9</v>
      </c>
      <c r="O97" s="76" t="s">
        <v>535</v>
      </c>
      <c r="P97" s="76" t="s">
        <v>550</v>
      </c>
    </row>
    <row r="98" spans="2:16" ht="12.75" customHeight="1" x14ac:dyDescent="0.2">
      <c r="B98" s="76" t="s">
        <v>548</v>
      </c>
      <c r="C98" s="76">
        <f t="shared" si="10"/>
        <v>5.4E-8</v>
      </c>
      <c r="D98" s="76">
        <v>1</v>
      </c>
      <c r="E98" s="76" t="s">
        <v>135</v>
      </c>
      <c r="F98" s="76" t="s">
        <v>168</v>
      </c>
      <c r="G98" s="76" t="s">
        <v>169</v>
      </c>
      <c r="H98" s="76" t="s">
        <v>170</v>
      </c>
      <c r="I98" s="76">
        <f t="shared" si="16"/>
        <v>0</v>
      </c>
      <c r="J98" s="76">
        <f t="shared" si="18"/>
        <v>0</v>
      </c>
      <c r="K98" s="76" t="s">
        <v>535</v>
      </c>
      <c r="L98" s="76">
        <f t="shared" si="17"/>
        <v>5.4E-8</v>
      </c>
      <c r="M98" s="76" t="s">
        <v>172</v>
      </c>
      <c r="N98" s="76">
        <f t="shared" si="19"/>
        <v>5.0000000000000001E-9</v>
      </c>
      <c r="O98" s="76" t="s">
        <v>535</v>
      </c>
      <c r="P98" s="76" t="s">
        <v>550</v>
      </c>
    </row>
    <row r="99" spans="2:16" ht="12.75" customHeight="1" x14ac:dyDescent="0.2">
      <c r="B99" s="76" t="s">
        <v>548</v>
      </c>
      <c r="C99" s="76">
        <f t="shared" si="10"/>
        <v>5.4E-8</v>
      </c>
      <c r="D99" s="76">
        <v>1</v>
      </c>
      <c r="E99" s="76" t="s">
        <v>134</v>
      </c>
      <c r="F99" s="76" t="s">
        <v>168</v>
      </c>
      <c r="G99" s="76" t="s">
        <v>169</v>
      </c>
      <c r="H99" s="76" t="s">
        <v>170</v>
      </c>
      <c r="I99" s="76">
        <f t="shared" si="16"/>
        <v>0</v>
      </c>
      <c r="J99" s="76">
        <f t="shared" si="18"/>
        <v>0</v>
      </c>
      <c r="K99" s="76" t="s">
        <v>535</v>
      </c>
      <c r="L99" s="76">
        <f t="shared" si="17"/>
        <v>5.4E-8</v>
      </c>
      <c r="M99" s="76" t="s">
        <v>172</v>
      </c>
      <c r="N99" s="76">
        <f t="shared" si="19"/>
        <v>5.0000000000000001E-9</v>
      </c>
      <c r="O99" s="76" t="s">
        <v>535</v>
      </c>
      <c r="P99" s="76" t="s">
        <v>550</v>
      </c>
    </row>
    <row r="100" spans="2:16" ht="12.75" customHeight="1" x14ac:dyDescent="0.2">
      <c r="B100" s="76" t="s">
        <v>548</v>
      </c>
      <c r="C100" s="76">
        <f t="shared" si="10"/>
        <v>5.4E-8</v>
      </c>
      <c r="D100" s="76">
        <v>1</v>
      </c>
      <c r="E100" s="76" t="s">
        <v>133</v>
      </c>
      <c r="F100" s="76" t="s">
        <v>168</v>
      </c>
      <c r="G100" s="76" t="s">
        <v>169</v>
      </c>
      <c r="H100" s="76" t="s">
        <v>170</v>
      </c>
      <c r="I100" s="76">
        <f t="shared" si="16"/>
        <v>0</v>
      </c>
      <c r="J100" s="76">
        <f t="shared" si="18"/>
        <v>0</v>
      </c>
      <c r="K100" s="76" t="s">
        <v>535</v>
      </c>
      <c r="L100" s="76">
        <f t="shared" si="17"/>
        <v>5.4E-8</v>
      </c>
      <c r="M100" s="76" t="s">
        <v>172</v>
      </c>
      <c r="N100" s="76">
        <f t="shared" si="19"/>
        <v>5.0000000000000001E-9</v>
      </c>
      <c r="O100" s="76" t="s">
        <v>535</v>
      </c>
      <c r="P100" s="76" t="s">
        <v>550</v>
      </c>
    </row>
    <row r="101" spans="2:16" ht="12.75" customHeight="1" x14ac:dyDescent="0.2">
      <c r="B101" s="76" t="s">
        <v>548</v>
      </c>
      <c r="C101" s="76">
        <f t="shared" si="10"/>
        <v>5.4E-8</v>
      </c>
      <c r="D101" s="76">
        <v>1</v>
      </c>
      <c r="E101" s="76" t="s">
        <v>132</v>
      </c>
      <c r="F101" s="76" t="s">
        <v>168</v>
      </c>
      <c r="G101" s="76" t="s">
        <v>169</v>
      </c>
      <c r="H101" s="76" t="s">
        <v>170</v>
      </c>
      <c r="I101" s="76">
        <f t="shared" si="16"/>
        <v>0</v>
      </c>
      <c r="J101" s="76">
        <f t="shared" si="18"/>
        <v>0</v>
      </c>
      <c r="K101" s="76" t="s">
        <v>535</v>
      </c>
      <c r="L101" s="76">
        <f t="shared" si="17"/>
        <v>5.4E-8</v>
      </c>
      <c r="M101" s="76" t="s">
        <v>172</v>
      </c>
      <c r="N101" s="76">
        <f t="shared" si="19"/>
        <v>5.0000000000000001E-9</v>
      </c>
      <c r="O101" s="76" t="s">
        <v>535</v>
      </c>
      <c r="P101" s="76" t="s">
        <v>550</v>
      </c>
    </row>
    <row r="102" spans="2:16" ht="12.75" customHeight="1" x14ac:dyDescent="0.2">
      <c r="B102" s="76" t="s">
        <v>548</v>
      </c>
      <c r="C102" s="76">
        <f t="shared" si="10"/>
        <v>5.4E-8</v>
      </c>
      <c r="D102" s="76">
        <v>1</v>
      </c>
      <c r="E102" s="76" t="s">
        <v>131</v>
      </c>
      <c r="F102" s="76" t="s">
        <v>168</v>
      </c>
      <c r="G102" s="76" t="s">
        <v>169</v>
      </c>
      <c r="H102" s="76" t="s">
        <v>170</v>
      </c>
      <c r="I102" s="76">
        <f t="shared" si="16"/>
        <v>0</v>
      </c>
      <c r="J102" s="76">
        <f t="shared" si="18"/>
        <v>0</v>
      </c>
      <c r="K102" s="76" t="s">
        <v>535</v>
      </c>
      <c r="L102" s="76">
        <f t="shared" si="17"/>
        <v>5.4E-8</v>
      </c>
      <c r="M102" s="76" t="s">
        <v>172</v>
      </c>
      <c r="N102" s="76">
        <f t="shared" si="19"/>
        <v>5.0000000000000001E-9</v>
      </c>
      <c r="O102" s="76" t="s">
        <v>535</v>
      </c>
      <c r="P102" s="76" t="s">
        <v>550</v>
      </c>
    </row>
    <row r="103" spans="2:16" ht="12.75" customHeight="1" x14ac:dyDescent="0.2">
      <c r="B103" s="76" t="s">
        <v>548</v>
      </c>
      <c r="C103" s="76">
        <f t="shared" ref="C103:C134" si="20">54*ns</f>
        <v>5.4E-8</v>
      </c>
      <c r="D103" s="76">
        <v>1</v>
      </c>
      <c r="E103" s="76" t="s">
        <v>130</v>
      </c>
      <c r="F103" s="76" t="s">
        <v>168</v>
      </c>
      <c r="G103" s="76" t="s">
        <v>169</v>
      </c>
      <c r="H103" s="76" t="s">
        <v>170</v>
      </c>
      <c r="I103" s="76">
        <f t="shared" si="16"/>
        <v>0</v>
      </c>
      <c r="J103" s="76">
        <f t="shared" si="18"/>
        <v>0</v>
      </c>
      <c r="K103" s="76" t="s">
        <v>535</v>
      </c>
      <c r="L103" s="76">
        <f t="shared" si="17"/>
        <v>5.4E-8</v>
      </c>
      <c r="M103" s="76" t="s">
        <v>172</v>
      </c>
      <c r="N103" s="76">
        <f t="shared" si="19"/>
        <v>5.0000000000000001E-9</v>
      </c>
      <c r="O103" s="76" t="s">
        <v>535</v>
      </c>
      <c r="P103" s="76" t="s">
        <v>550</v>
      </c>
    </row>
    <row r="104" spans="2:16" ht="12.75" customHeight="1" x14ac:dyDescent="0.2">
      <c r="B104" s="76" t="s">
        <v>548</v>
      </c>
      <c r="C104" s="76">
        <f t="shared" si="20"/>
        <v>5.4E-8</v>
      </c>
      <c r="D104" s="76">
        <v>1</v>
      </c>
      <c r="E104" s="76" t="s">
        <v>129</v>
      </c>
      <c r="F104" s="76" t="s">
        <v>168</v>
      </c>
      <c r="G104" s="76" t="s">
        <v>169</v>
      </c>
      <c r="H104" s="76" t="s">
        <v>170</v>
      </c>
      <c r="I104" s="76">
        <f t="shared" si="16"/>
        <v>0</v>
      </c>
      <c r="J104" s="76">
        <f t="shared" si="18"/>
        <v>0</v>
      </c>
      <c r="K104" s="76" t="s">
        <v>535</v>
      </c>
      <c r="L104" s="76">
        <f t="shared" si="17"/>
        <v>5.4E-8</v>
      </c>
      <c r="M104" s="76" t="s">
        <v>172</v>
      </c>
      <c r="N104" s="76">
        <f t="shared" si="19"/>
        <v>5.0000000000000001E-9</v>
      </c>
      <c r="O104" s="76" t="s">
        <v>535</v>
      </c>
      <c r="P104" s="76" t="s">
        <v>550</v>
      </c>
    </row>
    <row r="105" spans="2:16" ht="12.75" customHeight="1" x14ac:dyDescent="0.2">
      <c r="B105" s="76" t="s">
        <v>548</v>
      </c>
      <c r="C105" s="76">
        <f t="shared" si="20"/>
        <v>5.4E-8</v>
      </c>
      <c r="D105" s="76">
        <v>1</v>
      </c>
      <c r="E105" s="76" t="s">
        <v>128</v>
      </c>
      <c r="F105" s="76" t="s">
        <v>168</v>
      </c>
      <c r="G105" s="76" t="s">
        <v>169</v>
      </c>
      <c r="H105" s="76" t="s">
        <v>170</v>
      </c>
      <c r="I105" s="76">
        <f t="shared" si="16"/>
        <v>0</v>
      </c>
      <c r="J105" s="76">
        <f t="shared" si="18"/>
        <v>0</v>
      </c>
      <c r="K105" s="76" t="s">
        <v>535</v>
      </c>
      <c r="L105" s="76">
        <f t="shared" si="17"/>
        <v>5.4E-8</v>
      </c>
      <c r="M105" s="76" t="s">
        <v>172</v>
      </c>
      <c r="N105" s="76">
        <f t="shared" si="19"/>
        <v>5.0000000000000001E-9</v>
      </c>
      <c r="O105" s="76" t="s">
        <v>535</v>
      </c>
      <c r="P105" s="76" t="s">
        <v>550</v>
      </c>
    </row>
    <row r="106" spans="2:16" ht="12.75" customHeight="1" x14ac:dyDescent="0.2">
      <c r="B106" s="76" t="s">
        <v>548</v>
      </c>
      <c r="C106" s="76">
        <f t="shared" si="20"/>
        <v>5.4E-8</v>
      </c>
      <c r="D106" s="76">
        <v>1</v>
      </c>
      <c r="E106" s="76" t="s">
        <v>98</v>
      </c>
      <c r="F106" s="76" t="s">
        <v>168</v>
      </c>
      <c r="G106" s="76" t="s">
        <v>169</v>
      </c>
      <c r="H106" s="76" t="s">
        <v>170</v>
      </c>
      <c r="I106" s="76">
        <f t="shared" si="16"/>
        <v>0</v>
      </c>
      <c r="J106" s="76">
        <f t="shared" si="18"/>
        <v>0</v>
      </c>
      <c r="K106" s="76" t="s">
        <v>535</v>
      </c>
      <c r="L106" s="76">
        <f t="shared" si="17"/>
        <v>5.4E-8</v>
      </c>
      <c r="M106" s="76" t="s">
        <v>163</v>
      </c>
      <c r="N106" s="76">
        <f>0*C106</f>
        <v>0</v>
      </c>
      <c r="O106" s="76" t="s">
        <v>535</v>
      </c>
      <c r="P106" s="76" t="s">
        <v>550</v>
      </c>
    </row>
    <row r="107" spans="2:16" ht="12.75" customHeight="1" x14ac:dyDescent="0.2">
      <c r="B107" s="76" t="s">
        <v>548</v>
      </c>
      <c r="C107" s="76">
        <f t="shared" si="20"/>
        <v>5.4E-8</v>
      </c>
      <c r="D107" s="76">
        <v>1</v>
      </c>
      <c r="E107" s="76" t="s">
        <v>99</v>
      </c>
      <c r="F107" s="76" t="s">
        <v>168</v>
      </c>
      <c r="G107" s="76" t="s">
        <v>169</v>
      </c>
      <c r="H107" s="76" t="s">
        <v>170</v>
      </c>
      <c r="I107" s="76">
        <f t="shared" si="16"/>
        <v>0</v>
      </c>
      <c r="J107" s="76">
        <f t="shared" si="18"/>
        <v>0</v>
      </c>
      <c r="K107" s="76" t="s">
        <v>535</v>
      </c>
      <c r="L107" s="76">
        <f t="shared" si="17"/>
        <v>5.4E-8</v>
      </c>
      <c r="M107" s="76" t="s">
        <v>172</v>
      </c>
      <c r="N107" s="76">
        <f>(5/54)*C107</f>
        <v>5.0000000000000001E-9</v>
      </c>
      <c r="O107" s="76" t="s">
        <v>535</v>
      </c>
      <c r="P107" s="76" t="s">
        <v>550</v>
      </c>
    </row>
    <row r="108" spans="2:16" ht="12.75" customHeight="1" x14ac:dyDescent="0.2">
      <c r="B108" s="76" t="s">
        <v>548</v>
      </c>
      <c r="C108" s="76">
        <f t="shared" si="20"/>
        <v>5.4E-8</v>
      </c>
      <c r="D108" s="76">
        <v>1</v>
      </c>
      <c r="E108" s="76" t="s">
        <v>898</v>
      </c>
      <c r="F108" s="76" t="s">
        <v>168</v>
      </c>
      <c r="G108" s="76" t="s">
        <v>169</v>
      </c>
      <c r="H108" s="76" t="s">
        <v>170</v>
      </c>
      <c r="I108" s="76">
        <f t="shared" si="16"/>
        <v>0</v>
      </c>
      <c r="J108" s="76">
        <f t="shared" si="18"/>
        <v>0</v>
      </c>
      <c r="K108" s="76" t="s">
        <v>535</v>
      </c>
      <c r="L108" s="76">
        <f t="shared" si="17"/>
        <v>5.4E-8</v>
      </c>
      <c r="M108" s="76" t="s">
        <v>163</v>
      </c>
      <c r="N108" s="76">
        <f>0*C108</f>
        <v>0</v>
      </c>
      <c r="O108" s="76" t="s">
        <v>535</v>
      </c>
      <c r="P108" s="76" t="s">
        <v>549</v>
      </c>
    </row>
    <row r="109" spans="2:16" ht="12.75" customHeight="1" x14ac:dyDescent="0.2">
      <c r="B109" s="76" t="s">
        <v>548</v>
      </c>
      <c r="C109" s="76">
        <f t="shared" si="20"/>
        <v>5.4E-8</v>
      </c>
      <c r="D109" s="76">
        <v>1</v>
      </c>
      <c r="E109" s="76" t="s">
        <v>899</v>
      </c>
      <c r="F109" s="76" t="s">
        <v>168</v>
      </c>
      <c r="G109" s="76" t="s">
        <v>169</v>
      </c>
      <c r="H109" s="76" t="s">
        <v>170</v>
      </c>
      <c r="I109" s="76">
        <f t="shared" si="16"/>
        <v>0</v>
      </c>
      <c r="J109" s="76">
        <f t="shared" si="18"/>
        <v>0</v>
      </c>
      <c r="K109" s="76" t="s">
        <v>535</v>
      </c>
      <c r="L109" s="76">
        <f t="shared" si="17"/>
        <v>5.4E-8</v>
      </c>
      <c r="M109" s="76" t="s">
        <v>163</v>
      </c>
      <c r="N109" s="76">
        <f t="shared" ref="N109:N117" si="21">0*C109</f>
        <v>0</v>
      </c>
      <c r="O109" s="76" t="s">
        <v>535</v>
      </c>
      <c r="P109" s="76" t="s">
        <v>549</v>
      </c>
    </row>
    <row r="110" spans="2:16" ht="12.75" customHeight="1" x14ac:dyDescent="0.2">
      <c r="B110" s="76" t="s">
        <v>548</v>
      </c>
      <c r="C110" s="76">
        <f t="shared" si="20"/>
        <v>5.4E-8</v>
      </c>
      <c r="D110" s="76">
        <v>1</v>
      </c>
      <c r="E110" s="76" t="s">
        <v>900</v>
      </c>
      <c r="F110" s="76" t="s">
        <v>168</v>
      </c>
      <c r="G110" s="76" t="s">
        <v>169</v>
      </c>
      <c r="H110" s="76" t="s">
        <v>170</v>
      </c>
      <c r="I110" s="76">
        <f t="shared" si="16"/>
        <v>0</v>
      </c>
      <c r="J110" s="76">
        <f t="shared" si="18"/>
        <v>0</v>
      </c>
      <c r="K110" s="76" t="s">
        <v>535</v>
      </c>
      <c r="L110" s="76">
        <f t="shared" si="17"/>
        <v>5.4E-8</v>
      </c>
      <c r="M110" s="76" t="s">
        <v>163</v>
      </c>
      <c r="N110" s="76">
        <f t="shared" si="21"/>
        <v>0</v>
      </c>
      <c r="O110" s="76" t="s">
        <v>535</v>
      </c>
      <c r="P110" s="76" t="s">
        <v>550</v>
      </c>
    </row>
    <row r="111" spans="2:16" ht="12.75" customHeight="1" x14ac:dyDescent="0.2">
      <c r="B111" s="76" t="s">
        <v>548</v>
      </c>
      <c r="C111" s="76">
        <f t="shared" si="20"/>
        <v>5.4E-8</v>
      </c>
      <c r="D111" s="76">
        <v>1</v>
      </c>
      <c r="E111" s="76" t="s">
        <v>901</v>
      </c>
      <c r="F111" s="76" t="s">
        <v>168</v>
      </c>
      <c r="G111" s="76" t="s">
        <v>169</v>
      </c>
      <c r="H111" s="76" t="s">
        <v>170</v>
      </c>
      <c r="I111" s="76">
        <f t="shared" si="16"/>
        <v>0</v>
      </c>
      <c r="J111" s="76">
        <f t="shared" si="18"/>
        <v>0</v>
      </c>
      <c r="K111" s="76" t="s">
        <v>535</v>
      </c>
      <c r="L111" s="76">
        <f t="shared" si="17"/>
        <v>5.4E-8</v>
      </c>
      <c r="M111" s="76" t="s">
        <v>163</v>
      </c>
      <c r="N111" s="76">
        <f t="shared" si="21"/>
        <v>0</v>
      </c>
      <c r="O111" s="76" t="s">
        <v>535</v>
      </c>
      <c r="P111" s="76" t="s">
        <v>550</v>
      </c>
    </row>
    <row r="112" spans="2:16" ht="12.75" customHeight="1" x14ac:dyDescent="0.2">
      <c r="B112" s="76" t="s">
        <v>548</v>
      </c>
      <c r="C112" s="76">
        <f t="shared" si="20"/>
        <v>5.4E-8</v>
      </c>
      <c r="D112" s="76">
        <v>1</v>
      </c>
      <c r="E112" s="76" t="s">
        <v>902</v>
      </c>
      <c r="F112" s="76" t="s">
        <v>168</v>
      </c>
      <c r="G112" s="76" t="s">
        <v>169</v>
      </c>
      <c r="H112" s="76" t="s">
        <v>170</v>
      </c>
      <c r="I112" s="76">
        <f t="shared" si="16"/>
        <v>0</v>
      </c>
      <c r="J112" s="76">
        <f t="shared" si="18"/>
        <v>0</v>
      </c>
      <c r="K112" s="76" t="s">
        <v>535</v>
      </c>
      <c r="L112" s="76">
        <f t="shared" si="17"/>
        <v>5.4E-8</v>
      </c>
      <c r="M112" s="76" t="s">
        <v>163</v>
      </c>
      <c r="N112" s="76">
        <f t="shared" si="21"/>
        <v>0</v>
      </c>
      <c r="O112" s="76" t="s">
        <v>535</v>
      </c>
      <c r="P112" s="76" t="s">
        <v>550</v>
      </c>
    </row>
    <row r="113" spans="2:16" ht="12.75" customHeight="1" x14ac:dyDescent="0.2">
      <c r="B113" s="76" t="s">
        <v>548</v>
      </c>
      <c r="C113" s="76">
        <f t="shared" si="20"/>
        <v>5.4E-8</v>
      </c>
      <c r="D113" s="76">
        <v>1</v>
      </c>
      <c r="E113" s="76" t="s">
        <v>903</v>
      </c>
      <c r="F113" s="76" t="s">
        <v>168</v>
      </c>
      <c r="G113" s="76" t="s">
        <v>169</v>
      </c>
      <c r="H113" s="76" t="s">
        <v>170</v>
      </c>
      <c r="I113" s="76">
        <f t="shared" si="16"/>
        <v>0</v>
      </c>
      <c r="J113" s="76">
        <f t="shared" si="18"/>
        <v>0</v>
      </c>
      <c r="K113" s="76" t="s">
        <v>535</v>
      </c>
      <c r="L113" s="76">
        <f t="shared" si="17"/>
        <v>5.4E-8</v>
      </c>
      <c r="M113" s="76" t="s">
        <v>163</v>
      </c>
      <c r="N113" s="76">
        <f t="shared" si="21"/>
        <v>0</v>
      </c>
      <c r="O113" s="76" t="s">
        <v>535</v>
      </c>
      <c r="P113" s="76" t="s">
        <v>550</v>
      </c>
    </row>
    <row r="114" spans="2:16" ht="12.75" customHeight="1" x14ac:dyDescent="0.2">
      <c r="B114" s="76" t="s">
        <v>548</v>
      </c>
      <c r="C114" s="76">
        <f t="shared" si="20"/>
        <v>5.4E-8</v>
      </c>
      <c r="D114" s="76">
        <v>1</v>
      </c>
      <c r="E114" s="76" t="s">
        <v>904</v>
      </c>
      <c r="F114" s="76" t="s">
        <v>168</v>
      </c>
      <c r="G114" s="76" t="s">
        <v>169</v>
      </c>
      <c r="H114" s="76" t="s">
        <v>170</v>
      </c>
      <c r="I114" s="76">
        <f t="shared" si="16"/>
        <v>0</v>
      </c>
      <c r="J114" s="76">
        <f t="shared" si="18"/>
        <v>0</v>
      </c>
      <c r="K114" s="76" t="s">
        <v>535</v>
      </c>
      <c r="L114" s="76">
        <f t="shared" si="17"/>
        <v>5.4E-8</v>
      </c>
      <c r="M114" s="76" t="s">
        <v>163</v>
      </c>
      <c r="N114" s="76">
        <f t="shared" si="21"/>
        <v>0</v>
      </c>
      <c r="O114" s="76" t="s">
        <v>535</v>
      </c>
      <c r="P114" s="76" t="s">
        <v>550</v>
      </c>
    </row>
    <row r="115" spans="2:16" ht="12.75" customHeight="1" x14ac:dyDescent="0.2">
      <c r="B115" s="76" t="s">
        <v>548</v>
      </c>
      <c r="C115" s="76">
        <f t="shared" si="20"/>
        <v>5.4E-8</v>
      </c>
      <c r="D115" s="76">
        <v>1</v>
      </c>
      <c r="E115" s="76" t="s">
        <v>905</v>
      </c>
      <c r="F115" s="76" t="s">
        <v>168</v>
      </c>
      <c r="G115" s="76" t="s">
        <v>169</v>
      </c>
      <c r="H115" s="76" t="s">
        <v>170</v>
      </c>
      <c r="I115" s="76">
        <f t="shared" si="16"/>
        <v>0</v>
      </c>
      <c r="J115" s="76">
        <f t="shared" si="18"/>
        <v>0</v>
      </c>
      <c r="K115" s="76" t="s">
        <v>535</v>
      </c>
      <c r="L115" s="76">
        <f t="shared" si="17"/>
        <v>5.4E-8</v>
      </c>
      <c r="M115" s="76" t="s">
        <v>163</v>
      </c>
      <c r="N115" s="76">
        <f t="shared" si="21"/>
        <v>0</v>
      </c>
      <c r="O115" s="76" t="s">
        <v>535</v>
      </c>
      <c r="P115" s="76" t="s">
        <v>550</v>
      </c>
    </row>
    <row r="116" spans="2:16" ht="12.75" customHeight="1" x14ac:dyDescent="0.2">
      <c r="B116" s="76" t="s">
        <v>548</v>
      </c>
      <c r="C116" s="76">
        <f t="shared" si="20"/>
        <v>5.4E-8</v>
      </c>
      <c r="D116" s="76">
        <v>1</v>
      </c>
      <c r="E116" s="76" t="s">
        <v>906</v>
      </c>
      <c r="F116" s="76" t="s">
        <v>168</v>
      </c>
      <c r="G116" s="76" t="s">
        <v>169</v>
      </c>
      <c r="H116" s="76" t="s">
        <v>170</v>
      </c>
      <c r="I116" s="76">
        <f t="shared" si="16"/>
        <v>0</v>
      </c>
      <c r="J116" s="76">
        <f t="shared" si="18"/>
        <v>0</v>
      </c>
      <c r="K116" s="76" t="s">
        <v>535</v>
      </c>
      <c r="L116" s="76">
        <f t="shared" si="17"/>
        <v>5.4E-8</v>
      </c>
      <c r="M116" s="76" t="s">
        <v>163</v>
      </c>
      <c r="N116" s="76">
        <f t="shared" si="21"/>
        <v>0</v>
      </c>
      <c r="O116" s="76" t="s">
        <v>535</v>
      </c>
      <c r="P116" s="76" t="s">
        <v>550</v>
      </c>
    </row>
    <row r="117" spans="2:16" ht="12.75" customHeight="1" x14ac:dyDescent="0.2">
      <c r="B117" s="76" t="s">
        <v>548</v>
      </c>
      <c r="C117" s="76">
        <f t="shared" si="20"/>
        <v>5.4E-8</v>
      </c>
      <c r="D117" s="76">
        <v>1</v>
      </c>
      <c r="E117" s="76" t="s">
        <v>907</v>
      </c>
      <c r="F117" s="76" t="s">
        <v>168</v>
      </c>
      <c r="G117" s="76" t="s">
        <v>169</v>
      </c>
      <c r="H117" s="76" t="s">
        <v>170</v>
      </c>
      <c r="I117" s="76">
        <f t="shared" si="16"/>
        <v>0</v>
      </c>
      <c r="J117" s="76">
        <f t="shared" si="18"/>
        <v>0</v>
      </c>
      <c r="K117" s="76" t="s">
        <v>535</v>
      </c>
      <c r="L117" s="76">
        <f t="shared" si="17"/>
        <v>5.4E-8</v>
      </c>
      <c r="M117" s="76" t="s">
        <v>163</v>
      </c>
      <c r="N117" s="76">
        <f t="shared" si="21"/>
        <v>0</v>
      </c>
      <c r="O117" s="76" t="s">
        <v>535</v>
      </c>
      <c r="P117" s="76" t="s">
        <v>550</v>
      </c>
    </row>
    <row r="118" spans="2:16" ht="12.75" customHeight="1" x14ac:dyDescent="0.2">
      <c r="B118" s="76" t="s">
        <v>548</v>
      </c>
      <c r="C118" s="76">
        <f t="shared" si="20"/>
        <v>5.4E-8</v>
      </c>
      <c r="D118" s="76">
        <v>1</v>
      </c>
      <c r="E118" s="76" t="s">
        <v>911</v>
      </c>
      <c r="F118" s="76" t="s">
        <v>168</v>
      </c>
      <c r="G118" s="76" t="s">
        <v>169</v>
      </c>
      <c r="H118" s="76" t="s">
        <v>170</v>
      </c>
      <c r="I118" s="76">
        <f t="shared" si="16"/>
        <v>0</v>
      </c>
      <c r="J118" s="76">
        <f t="shared" si="18"/>
        <v>0</v>
      </c>
      <c r="K118" s="76" t="s">
        <v>535</v>
      </c>
      <c r="L118" s="76">
        <f t="shared" si="17"/>
        <v>5.4E-8</v>
      </c>
      <c r="M118" s="76" t="s">
        <v>172</v>
      </c>
      <c r="N118" s="76">
        <f>(5/54)*C118</f>
        <v>5.0000000000000001E-9</v>
      </c>
      <c r="O118" s="76" t="s">
        <v>535</v>
      </c>
      <c r="P118" s="76" t="s">
        <v>550</v>
      </c>
    </row>
    <row r="119" spans="2:16" ht="12.75" customHeight="1" x14ac:dyDescent="0.2">
      <c r="B119" s="76" t="s">
        <v>548</v>
      </c>
      <c r="C119" s="76">
        <f t="shared" si="20"/>
        <v>5.4E-8</v>
      </c>
      <c r="D119" s="76">
        <v>1</v>
      </c>
      <c r="E119" s="76" t="s">
        <v>908</v>
      </c>
      <c r="F119" s="76" t="s">
        <v>168</v>
      </c>
      <c r="G119" s="76" t="s">
        <v>169</v>
      </c>
      <c r="H119" s="76" t="s">
        <v>170</v>
      </c>
      <c r="I119" s="76">
        <f t="shared" si="16"/>
        <v>0</v>
      </c>
      <c r="J119" s="76">
        <f t="shared" si="18"/>
        <v>0</v>
      </c>
      <c r="K119" s="76" t="s">
        <v>535</v>
      </c>
      <c r="L119" s="76">
        <f t="shared" si="17"/>
        <v>5.4E-8</v>
      </c>
      <c r="M119" s="76" t="s">
        <v>163</v>
      </c>
      <c r="N119" s="76">
        <f>0*C119</f>
        <v>0</v>
      </c>
      <c r="O119" s="76" t="s">
        <v>535</v>
      </c>
      <c r="P119" s="76" t="s">
        <v>550</v>
      </c>
    </row>
    <row r="120" spans="2:16" ht="12.75" customHeight="1" x14ac:dyDescent="0.2">
      <c r="B120" s="76" t="s">
        <v>548</v>
      </c>
      <c r="C120" s="76">
        <f t="shared" si="20"/>
        <v>5.4E-8</v>
      </c>
      <c r="D120" s="76">
        <v>1</v>
      </c>
      <c r="E120" s="76" t="s">
        <v>944</v>
      </c>
      <c r="F120" s="76" t="s">
        <v>168</v>
      </c>
      <c r="G120" s="76" t="s">
        <v>169</v>
      </c>
      <c r="H120" s="76" t="s">
        <v>170</v>
      </c>
      <c r="I120" s="76">
        <f t="shared" si="16"/>
        <v>0</v>
      </c>
      <c r="J120" s="76">
        <f t="shared" si="18"/>
        <v>0</v>
      </c>
      <c r="K120" s="76" t="s">
        <v>535</v>
      </c>
      <c r="L120" s="76">
        <f t="shared" si="17"/>
        <v>5.4E-8</v>
      </c>
      <c r="M120" s="76" t="s">
        <v>163</v>
      </c>
      <c r="N120" s="76">
        <f t="shared" ref="N120:N153" si="22">0*C120</f>
        <v>0</v>
      </c>
      <c r="O120" s="76" t="s">
        <v>535</v>
      </c>
      <c r="P120" s="76" t="s">
        <v>550</v>
      </c>
    </row>
    <row r="121" spans="2:16" ht="12.75" customHeight="1" x14ac:dyDescent="0.2">
      <c r="B121" s="76" t="s">
        <v>548</v>
      </c>
      <c r="C121" s="76">
        <f t="shared" si="20"/>
        <v>5.4E-8</v>
      </c>
      <c r="D121" s="76">
        <v>1</v>
      </c>
      <c r="E121" s="76" t="s">
        <v>934</v>
      </c>
      <c r="F121" s="76" t="s">
        <v>168</v>
      </c>
      <c r="G121" s="76" t="s">
        <v>169</v>
      </c>
      <c r="H121" s="76" t="s">
        <v>170</v>
      </c>
      <c r="I121" s="76">
        <f t="shared" si="16"/>
        <v>0</v>
      </c>
      <c r="J121" s="76">
        <f t="shared" si="18"/>
        <v>0</v>
      </c>
      <c r="K121" s="76" t="s">
        <v>535</v>
      </c>
      <c r="L121" s="76">
        <f t="shared" si="17"/>
        <v>5.4E-8</v>
      </c>
      <c r="M121" s="76" t="s">
        <v>163</v>
      </c>
      <c r="N121" s="76">
        <f t="shared" si="22"/>
        <v>0</v>
      </c>
      <c r="O121" s="76" t="s">
        <v>535</v>
      </c>
      <c r="P121" s="76" t="s">
        <v>550</v>
      </c>
    </row>
    <row r="122" spans="2:16" ht="12.75" customHeight="1" x14ac:dyDescent="0.2">
      <c r="B122" s="76" t="s">
        <v>548</v>
      </c>
      <c r="C122" s="76">
        <f t="shared" si="20"/>
        <v>5.4E-8</v>
      </c>
      <c r="D122" s="76">
        <v>1</v>
      </c>
      <c r="E122" s="76" t="s">
        <v>933</v>
      </c>
      <c r="F122" s="76" t="s">
        <v>168</v>
      </c>
      <c r="G122" s="76" t="s">
        <v>169</v>
      </c>
      <c r="H122" s="76" t="s">
        <v>170</v>
      </c>
      <c r="I122" s="76">
        <f t="shared" si="16"/>
        <v>0</v>
      </c>
      <c r="J122" s="76">
        <f t="shared" si="18"/>
        <v>0</v>
      </c>
      <c r="K122" s="76" t="s">
        <v>535</v>
      </c>
      <c r="L122" s="76">
        <f t="shared" si="17"/>
        <v>5.4E-8</v>
      </c>
      <c r="M122" s="76" t="s">
        <v>163</v>
      </c>
      <c r="N122" s="76">
        <f t="shared" si="22"/>
        <v>0</v>
      </c>
      <c r="O122" s="76" t="s">
        <v>535</v>
      </c>
      <c r="P122" s="76" t="s">
        <v>550</v>
      </c>
    </row>
    <row r="123" spans="2:16" ht="12.75" customHeight="1" x14ac:dyDescent="0.2">
      <c r="B123" s="76" t="s">
        <v>548</v>
      </c>
      <c r="C123" s="76">
        <f t="shared" si="20"/>
        <v>5.4E-8</v>
      </c>
      <c r="D123" s="76">
        <v>1</v>
      </c>
      <c r="E123" s="76" t="s">
        <v>932</v>
      </c>
      <c r="F123" s="76" t="s">
        <v>168</v>
      </c>
      <c r="G123" s="76" t="s">
        <v>169</v>
      </c>
      <c r="H123" s="76" t="s">
        <v>170</v>
      </c>
      <c r="I123" s="76">
        <f t="shared" si="16"/>
        <v>0</v>
      </c>
      <c r="J123" s="76">
        <f t="shared" si="18"/>
        <v>0</v>
      </c>
      <c r="K123" s="76" t="s">
        <v>535</v>
      </c>
      <c r="L123" s="76">
        <f t="shared" si="17"/>
        <v>5.4E-8</v>
      </c>
      <c r="M123" s="76" t="s">
        <v>163</v>
      </c>
      <c r="N123" s="76">
        <f t="shared" si="22"/>
        <v>0</v>
      </c>
      <c r="O123" s="76" t="s">
        <v>535</v>
      </c>
      <c r="P123" s="76" t="s">
        <v>550</v>
      </c>
    </row>
    <row r="124" spans="2:16" ht="12.75" customHeight="1" x14ac:dyDescent="0.2">
      <c r="B124" s="76" t="s">
        <v>548</v>
      </c>
      <c r="C124" s="76">
        <f t="shared" si="20"/>
        <v>5.4E-8</v>
      </c>
      <c r="D124" s="76">
        <v>1</v>
      </c>
      <c r="E124" s="76" t="s">
        <v>931</v>
      </c>
      <c r="F124" s="76" t="s">
        <v>168</v>
      </c>
      <c r="G124" s="76" t="s">
        <v>169</v>
      </c>
      <c r="H124" s="76" t="s">
        <v>170</v>
      </c>
      <c r="I124" s="76">
        <f t="shared" si="16"/>
        <v>0</v>
      </c>
      <c r="J124" s="76">
        <f t="shared" si="18"/>
        <v>0</v>
      </c>
      <c r="K124" s="76" t="s">
        <v>535</v>
      </c>
      <c r="L124" s="76">
        <f t="shared" si="17"/>
        <v>5.4E-8</v>
      </c>
      <c r="M124" s="76" t="s">
        <v>163</v>
      </c>
      <c r="N124" s="76">
        <f t="shared" si="22"/>
        <v>0</v>
      </c>
      <c r="O124" s="76" t="s">
        <v>535</v>
      </c>
      <c r="P124" s="76" t="s">
        <v>550</v>
      </c>
    </row>
    <row r="125" spans="2:16" ht="12.75" customHeight="1" x14ac:dyDescent="0.2">
      <c r="B125" s="76" t="s">
        <v>548</v>
      </c>
      <c r="C125" s="76">
        <f t="shared" si="20"/>
        <v>5.4E-8</v>
      </c>
      <c r="D125" s="76">
        <v>1</v>
      </c>
      <c r="E125" s="76" t="s">
        <v>930</v>
      </c>
      <c r="F125" s="76" t="s">
        <v>168</v>
      </c>
      <c r="G125" s="76" t="s">
        <v>169</v>
      </c>
      <c r="H125" s="76" t="s">
        <v>170</v>
      </c>
      <c r="I125" s="76">
        <f t="shared" si="16"/>
        <v>0</v>
      </c>
      <c r="J125" s="76">
        <f t="shared" si="18"/>
        <v>0</v>
      </c>
      <c r="K125" s="76" t="s">
        <v>535</v>
      </c>
      <c r="L125" s="76">
        <f t="shared" si="17"/>
        <v>5.4E-8</v>
      </c>
      <c r="M125" s="76" t="s">
        <v>163</v>
      </c>
      <c r="N125" s="76">
        <f t="shared" si="22"/>
        <v>0</v>
      </c>
      <c r="O125" s="76" t="s">
        <v>535</v>
      </c>
      <c r="P125" s="76" t="s">
        <v>550</v>
      </c>
    </row>
    <row r="126" spans="2:16" ht="12.75" customHeight="1" x14ac:dyDescent="0.2">
      <c r="B126" s="76" t="s">
        <v>548</v>
      </c>
      <c r="C126" s="76">
        <f t="shared" si="20"/>
        <v>5.4E-8</v>
      </c>
      <c r="D126" s="76">
        <v>1</v>
      </c>
      <c r="E126" s="76" t="s">
        <v>929</v>
      </c>
      <c r="F126" s="76" t="s">
        <v>168</v>
      </c>
      <c r="G126" s="76" t="s">
        <v>169</v>
      </c>
      <c r="H126" s="76" t="s">
        <v>170</v>
      </c>
      <c r="I126" s="76">
        <f t="shared" si="16"/>
        <v>0</v>
      </c>
      <c r="J126" s="76">
        <f t="shared" si="18"/>
        <v>0</v>
      </c>
      <c r="K126" s="76" t="s">
        <v>535</v>
      </c>
      <c r="L126" s="76">
        <f t="shared" si="17"/>
        <v>5.4E-8</v>
      </c>
      <c r="M126" s="76" t="s">
        <v>163</v>
      </c>
      <c r="N126" s="76">
        <f t="shared" si="22"/>
        <v>0</v>
      </c>
      <c r="O126" s="76" t="s">
        <v>535</v>
      </c>
      <c r="P126" s="76" t="s">
        <v>550</v>
      </c>
    </row>
    <row r="127" spans="2:16" ht="12.75" customHeight="1" x14ac:dyDescent="0.2">
      <c r="B127" s="76" t="s">
        <v>548</v>
      </c>
      <c r="C127" s="76">
        <f t="shared" si="20"/>
        <v>5.4E-8</v>
      </c>
      <c r="D127" s="76">
        <v>1</v>
      </c>
      <c r="E127" s="76" t="s">
        <v>928</v>
      </c>
      <c r="F127" s="76" t="s">
        <v>168</v>
      </c>
      <c r="G127" s="76" t="s">
        <v>169</v>
      </c>
      <c r="H127" s="76" t="s">
        <v>170</v>
      </c>
      <c r="I127" s="76">
        <f t="shared" si="16"/>
        <v>0</v>
      </c>
      <c r="J127" s="76">
        <f t="shared" si="18"/>
        <v>0</v>
      </c>
      <c r="K127" s="76" t="s">
        <v>535</v>
      </c>
      <c r="L127" s="76">
        <f t="shared" si="17"/>
        <v>5.4E-8</v>
      </c>
      <c r="M127" s="76" t="s">
        <v>163</v>
      </c>
      <c r="N127" s="76">
        <f t="shared" si="22"/>
        <v>0</v>
      </c>
      <c r="O127" s="76" t="s">
        <v>535</v>
      </c>
      <c r="P127" s="76" t="s">
        <v>550</v>
      </c>
    </row>
    <row r="128" spans="2:16" ht="12.75" customHeight="1" x14ac:dyDescent="0.2">
      <c r="B128" s="76" t="s">
        <v>548</v>
      </c>
      <c r="C128" s="76">
        <f t="shared" si="20"/>
        <v>5.4E-8</v>
      </c>
      <c r="D128" s="76">
        <v>1</v>
      </c>
      <c r="E128" s="76" t="s">
        <v>927</v>
      </c>
      <c r="F128" s="76" t="s">
        <v>168</v>
      </c>
      <c r="G128" s="76" t="s">
        <v>169</v>
      </c>
      <c r="H128" s="76" t="s">
        <v>170</v>
      </c>
      <c r="I128" s="76">
        <f t="shared" si="16"/>
        <v>0</v>
      </c>
      <c r="J128" s="76">
        <f t="shared" si="18"/>
        <v>0</v>
      </c>
      <c r="K128" s="76" t="s">
        <v>535</v>
      </c>
      <c r="L128" s="76">
        <f t="shared" si="17"/>
        <v>5.4E-8</v>
      </c>
      <c r="M128" s="76" t="s">
        <v>163</v>
      </c>
      <c r="N128" s="76">
        <f t="shared" si="22"/>
        <v>0</v>
      </c>
      <c r="O128" s="76" t="s">
        <v>535</v>
      </c>
      <c r="P128" s="76" t="s">
        <v>550</v>
      </c>
    </row>
    <row r="129" spans="2:16" ht="12.75" customHeight="1" x14ac:dyDescent="0.2">
      <c r="B129" s="76" t="s">
        <v>548</v>
      </c>
      <c r="C129" s="76">
        <f t="shared" si="20"/>
        <v>5.4E-8</v>
      </c>
      <c r="D129" s="76">
        <v>1</v>
      </c>
      <c r="E129" s="76" t="s">
        <v>926</v>
      </c>
      <c r="F129" s="76" t="s">
        <v>168</v>
      </c>
      <c r="G129" s="76" t="s">
        <v>169</v>
      </c>
      <c r="H129" s="76" t="s">
        <v>170</v>
      </c>
      <c r="I129" s="76">
        <f t="shared" si="16"/>
        <v>0</v>
      </c>
      <c r="J129" s="76">
        <f t="shared" si="18"/>
        <v>0</v>
      </c>
      <c r="K129" s="76" t="s">
        <v>535</v>
      </c>
      <c r="L129" s="76">
        <f t="shared" si="17"/>
        <v>5.4E-8</v>
      </c>
      <c r="M129" s="76" t="s">
        <v>163</v>
      </c>
      <c r="N129" s="76">
        <f t="shared" si="22"/>
        <v>0</v>
      </c>
      <c r="O129" s="76" t="s">
        <v>535</v>
      </c>
      <c r="P129" s="76" t="s">
        <v>550</v>
      </c>
    </row>
    <row r="130" spans="2:16" ht="12.75" customHeight="1" x14ac:dyDescent="0.2">
      <c r="B130" s="76" t="s">
        <v>548</v>
      </c>
      <c r="C130" s="76">
        <f t="shared" si="20"/>
        <v>5.4E-8</v>
      </c>
      <c r="D130" s="76">
        <v>1</v>
      </c>
      <c r="E130" s="76" t="s">
        <v>925</v>
      </c>
      <c r="F130" s="76" t="s">
        <v>168</v>
      </c>
      <c r="G130" s="76" t="s">
        <v>169</v>
      </c>
      <c r="H130" s="76" t="s">
        <v>170</v>
      </c>
      <c r="I130" s="76">
        <f t="shared" si="16"/>
        <v>0</v>
      </c>
      <c r="J130" s="76">
        <f t="shared" si="18"/>
        <v>0</v>
      </c>
      <c r="K130" s="76" t="s">
        <v>535</v>
      </c>
      <c r="L130" s="76">
        <f t="shared" si="17"/>
        <v>5.4E-8</v>
      </c>
      <c r="M130" s="76" t="s">
        <v>163</v>
      </c>
      <c r="N130" s="76">
        <f t="shared" si="22"/>
        <v>0</v>
      </c>
      <c r="O130" s="76" t="s">
        <v>535</v>
      </c>
      <c r="P130" s="76" t="s">
        <v>550</v>
      </c>
    </row>
    <row r="131" spans="2:16" ht="12.75" customHeight="1" x14ac:dyDescent="0.2">
      <c r="B131" s="76" t="s">
        <v>548</v>
      </c>
      <c r="C131" s="76">
        <f t="shared" si="20"/>
        <v>5.4E-8</v>
      </c>
      <c r="D131" s="76">
        <v>1</v>
      </c>
      <c r="E131" s="76" t="s">
        <v>943</v>
      </c>
      <c r="F131" s="76" t="s">
        <v>168</v>
      </c>
      <c r="G131" s="76" t="s">
        <v>169</v>
      </c>
      <c r="H131" s="76" t="s">
        <v>170</v>
      </c>
      <c r="I131" s="76">
        <f t="shared" si="16"/>
        <v>0</v>
      </c>
      <c r="J131" s="76">
        <f t="shared" si="18"/>
        <v>0</v>
      </c>
      <c r="K131" s="76" t="s">
        <v>535</v>
      </c>
      <c r="L131" s="76">
        <f t="shared" si="17"/>
        <v>5.4E-8</v>
      </c>
      <c r="M131" s="76" t="s">
        <v>163</v>
      </c>
      <c r="N131" s="76">
        <f t="shared" si="22"/>
        <v>0</v>
      </c>
      <c r="O131" s="76" t="s">
        <v>535</v>
      </c>
      <c r="P131" s="76" t="s">
        <v>550</v>
      </c>
    </row>
    <row r="132" spans="2:16" ht="12.75" customHeight="1" x14ac:dyDescent="0.2">
      <c r="B132" s="76" t="s">
        <v>548</v>
      </c>
      <c r="C132" s="76">
        <f t="shared" si="20"/>
        <v>5.4E-8</v>
      </c>
      <c r="D132" s="76">
        <v>1</v>
      </c>
      <c r="E132" s="76" t="s">
        <v>924</v>
      </c>
      <c r="F132" s="76" t="s">
        <v>168</v>
      </c>
      <c r="G132" s="76" t="s">
        <v>169</v>
      </c>
      <c r="H132" s="76" t="s">
        <v>170</v>
      </c>
      <c r="I132" s="76">
        <f t="shared" si="16"/>
        <v>0</v>
      </c>
      <c r="J132" s="76">
        <f t="shared" si="18"/>
        <v>0</v>
      </c>
      <c r="K132" s="76" t="s">
        <v>535</v>
      </c>
      <c r="L132" s="76">
        <f t="shared" si="17"/>
        <v>5.4E-8</v>
      </c>
      <c r="M132" s="76" t="s">
        <v>163</v>
      </c>
      <c r="N132" s="76">
        <f t="shared" si="22"/>
        <v>0</v>
      </c>
      <c r="O132" s="76" t="s">
        <v>535</v>
      </c>
      <c r="P132" s="76" t="s">
        <v>550</v>
      </c>
    </row>
    <row r="133" spans="2:16" ht="12.75" customHeight="1" x14ac:dyDescent="0.2">
      <c r="B133" s="76" t="s">
        <v>548</v>
      </c>
      <c r="C133" s="76">
        <f t="shared" si="20"/>
        <v>5.4E-8</v>
      </c>
      <c r="D133" s="76">
        <v>1</v>
      </c>
      <c r="E133" s="76" t="s">
        <v>923</v>
      </c>
      <c r="F133" s="76" t="s">
        <v>168</v>
      </c>
      <c r="G133" s="76" t="s">
        <v>169</v>
      </c>
      <c r="H133" s="76" t="s">
        <v>170</v>
      </c>
      <c r="I133" s="76">
        <f t="shared" si="16"/>
        <v>0</v>
      </c>
      <c r="J133" s="76">
        <f t="shared" si="18"/>
        <v>0</v>
      </c>
      <c r="K133" s="76" t="s">
        <v>535</v>
      </c>
      <c r="L133" s="76">
        <f t="shared" si="17"/>
        <v>5.4E-8</v>
      </c>
      <c r="M133" s="76" t="s">
        <v>163</v>
      </c>
      <c r="N133" s="76">
        <f t="shared" si="22"/>
        <v>0</v>
      </c>
      <c r="O133" s="76" t="s">
        <v>535</v>
      </c>
      <c r="P133" s="76" t="s">
        <v>550</v>
      </c>
    </row>
    <row r="134" spans="2:16" ht="12.75" customHeight="1" x14ac:dyDescent="0.2">
      <c r="B134" s="76" t="s">
        <v>548</v>
      </c>
      <c r="C134" s="76">
        <f t="shared" si="20"/>
        <v>5.4E-8</v>
      </c>
      <c r="D134" s="76">
        <v>1</v>
      </c>
      <c r="E134" s="76" t="s">
        <v>922</v>
      </c>
      <c r="F134" s="76" t="s">
        <v>168</v>
      </c>
      <c r="G134" s="76" t="s">
        <v>169</v>
      </c>
      <c r="H134" s="76" t="s">
        <v>170</v>
      </c>
      <c r="I134" s="76">
        <f t="shared" si="16"/>
        <v>0</v>
      </c>
      <c r="J134" s="76">
        <f t="shared" si="18"/>
        <v>0</v>
      </c>
      <c r="K134" s="76" t="s">
        <v>535</v>
      </c>
      <c r="L134" s="76">
        <f t="shared" si="17"/>
        <v>5.4E-8</v>
      </c>
      <c r="M134" s="76" t="s">
        <v>163</v>
      </c>
      <c r="N134" s="76">
        <f t="shared" si="22"/>
        <v>0</v>
      </c>
      <c r="O134" s="76" t="s">
        <v>535</v>
      </c>
      <c r="P134" s="76" t="s">
        <v>550</v>
      </c>
    </row>
    <row r="135" spans="2:16" ht="12.75" customHeight="1" x14ac:dyDescent="0.2">
      <c r="B135" s="76" t="s">
        <v>548</v>
      </c>
      <c r="C135" s="76">
        <f t="shared" ref="C135:C166" si="23">54*ns</f>
        <v>5.4E-8</v>
      </c>
      <c r="D135" s="76">
        <v>1</v>
      </c>
      <c r="E135" s="76" t="s">
        <v>921</v>
      </c>
      <c r="F135" s="76" t="s">
        <v>168</v>
      </c>
      <c r="G135" s="76" t="s">
        <v>169</v>
      </c>
      <c r="H135" s="76" t="s">
        <v>170</v>
      </c>
      <c r="I135" s="76">
        <f t="shared" si="16"/>
        <v>0</v>
      </c>
      <c r="J135" s="76">
        <f t="shared" si="18"/>
        <v>0</v>
      </c>
      <c r="K135" s="76" t="s">
        <v>535</v>
      </c>
      <c r="L135" s="76">
        <f t="shared" si="17"/>
        <v>5.4E-8</v>
      </c>
      <c r="M135" s="76" t="s">
        <v>163</v>
      </c>
      <c r="N135" s="76">
        <f t="shared" si="22"/>
        <v>0</v>
      </c>
      <c r="O135" s="76" t="s">
        <v>535</v>
      </c>
      <c r="P135" s="76" t="s">
        <v>550</v>
      </c>
    </row>
    <row r="136" spans="2:16" ht="12.75" customHeight="1" x14ac:dyDescent="0.2">
      <c r="B136" s="76" t="s">
        <v>548</v>
      </c>
      <c r="C136" s="76">
        <f t="shared" si="23"/>
        <v>5.4E-8</v>
      </c>
      <c r="D136" s="76">
        <v>1</v>
      </c>
      <c r="E136" s="76" t="s">
        <v>920</v>
      </c>
      <c r="F136" s="76" t="s">
        <v>168</v>
      </c>
      <c r="G136" s="76" t="s">
        <v>169</v>
      </c>
      <c r="H136" s="76" t="s">
        <v>170</v>
      </c>
      <c r="I136" s="76">
        <f t="shared" si="16"/>
        <v>0</v>
      </c>
      <c r="J136" s="76">
        <f t="shared" si="18"/>
        <v>0</v>
      </c>
      <c r="K136" s="76" t="s">
        <v>535</v>
      </c>
      <c r="L136" s="76">
        <f t="shared" si="17"/>
        <v>5.4E-8</v>
      </c>
      <c r="M136" s="76" t="s">
        <v>163</v>
      </c>
      <c r="N136" s="76">
        <f t="shared" si="22"/>
        <v>0</v>
      </c>
      <c r="O136" s="76" t="s">
        <v>535</v>
      </c>
      <c r="P136" s="76" t="s">
        <v>550</v>
      </c>
    </row>
    <row r="137" spans="2:16" ht="12.75" customHeight="1" x14ac:dyDescent="0.2">
      <c r="B137" s="76" t="s">
        <v>548</v>
      </c>
      <c r="C137" s="76">
        <f t="shared" si="23"/>
        <v>5.4E-8</v>
      </c>
      <c r="D137" s="76">
        <v>1</v>
      </c>
      <c r="E137" s="76" t="s">
        <v>919</v>
      </c>
      <c r="F137" s="76" t="s">
        <v>168</v>
      </c>
      <c r="G137" s="76" t="s">
        <v>169</v>
      </c>
      <c r="H137" s="76" t="s">
        <v>170</v>
      </c>
      <c r="I137" s="76">
        <f t="shared" si="16"/>
        <v>0</v>
      </c>
      <c r="J137" s="76">
        <f t="shared" si="18"/>
        <v>0</v>
      </c>
      <c r="K137" s="76" t="s">
        <v>535</v>
      </c>
      <c r="L137" s="76">
        <f t="shared" si="17"/>
        <v>5.4E-8</v>
      </c>
      <c r="M137" s="76" t="s">
        <v>163</v>
      </c>
      <c r="N137" s="76">
        <f t="shared" si="22"/>
        <v>0</v>
      </c>
      <c r="O137" s="76" t="s">
        <v>535</v>
      </c>
      <c r="P137" s="76" t="s">
        <v>550</v>
      </c>
    </row>
    <row r="138" spans="2:16" ht="12.75" customHeight="1" x14ac:dyDescent="0.2">
      <c r="B138" s="76" t="s">
        <v>548</v>
      </c>
      <c r="C138" s="76">
        <f t="shared" si="23"/>
        <v>5.4E-8</v>
      </c>
      <c r="D138" s="76">
        <v>1</v>
      </c>
      <c r="E138" s="76" t="s">
        <v>918</v>
      </c>
      <c r="F138" s="76" t="s">
        <v>168</v>
      </c>
      <c r="G138" s="76" t="s">
        <v>169</v>
      </c>
      <c r="H138" s="76" t="s">
        <v>170</v>
      </c>
      <c r="I138" s="76">
        <f t="shared" si="16"/>
        <v>0</v>
      </c>
      <c r="J138" s="76">
        <f t="shared" si="18"/>
        <v>0</v>
      </c>
      <c r="K138" s="76" t="s">
        <v>535</v>
      </c>
      <c r="L138" s="76">
        <f t="shared" si="17"/>
        <v>5.4E-8</v>
      </c>
      <c r="M138" s="76" t="s">
        <v>163</v>
      </c>
      <c r="N138" s="76">
        <f t="shared" si="22"/>
        <v>0</v>
      </c>
      <c r="O138" s="76" t="s">
        <v>535</v>
      </c>
      <c r="P138" s="76" t="s">
        <v>550</v>
      </c>
    </row>
    <row r="139" spans="2:16" ht="12.75" customHeight="1" x14ac:dyDescent="0.2">
      <c r="B139" s="76" t="s">
        <v>548</v>
      </c>
      <c r="C139" s="76">
        <f t="shared" si="23"/>
        <v>5.4E-8</v>
      </c>
      <c r="D139" s="76">
        <v>1</v>
      </c>
      <c r="E139" s="76" t="s">
        <v>917</v>
      </c>
      <c r="F139" s="76" t="s">
        <v>168</v>
      </c>
      <c r="G139" s="76" t="s">
        <v>169</v>
      </c>
      <c r="H139" s="76" t="s">
        <v>170</v>
      </c>
      <c r="I139" s="76">
        <f t="shared" si="16"/>
        <v>0</v>
      </c>
      <c r="J139" s="76">
        <f t="shared" si="18"/>
        <v>0</v>
      </c>
      <c r="K139" s="76" t="s">
        <v>535</v>
      </c>
      <c r="L139" s="76">
        <f t="shared" si="17"/>
        <v>5.4E-8</v>
      </c>
      <c r="M139" s="76" t="s">
        <v>163</v>
      </c>
      <c r="N139" s="76">
        <f t="shared" si="22"/>
        <v>0</v>
      </c>
      <c r="O139" s="76" t="s">
        <v>535</v>
      </c>
      <c r="P139" s="76" t="s">
        <v>550</v>
      </c>
    </row>
    <row r="140" spans="2:16" ht="12.75" customHeight="1" x14ac:dyDescent="0.2">
      <c r="B140" s="76" t="s">
        <v>548</v>
      </c>
      <c r="C140" s="76">
        <f t="shared" si="23"/>
        <v>5.4E-8</v>
      </c>
      <c r="D140" s="76">
        <v>1</v>
      </c>
      <c r="E140" s="76" t="s">
        <v>916</v>
      </c>
      <c r="F140" s="76" t="s">
        <v>168</v>
      </c>
      <c r="G140" s="76" t="s">
        <v>169</v>
      </c>
      <c r="H140" s="76" t="s">
        <v>170</v>
      </c>
      <c r="I140" s="76">
        <f t="shared" si="16"/>
        <v>0</v>
      </c>
      <c r="J140" s="76">
        <f t="shared" si="18"/>
        <v>0</v>
      </c>
      <c r="K140" s="76" t="s">
        <v>535</v>
      </c>
      <c r="L140" s="76">
        <f t="shared" si="17"/>
        <v>5.4E-8</v>
      </c>
      <c r="M140" s="76" t="s">
        <v>163</v>
      </c>
      <c r="N140" s="76">
        <f t="shared" si="22"/>
        <v>0</v>
      </c>
      <c r="O140" s="76" t="s">
        <v>535</v>
      </c>
      <c r="P140" s="76" t="s">
        <v>550</v>
      </c>
    </row>
    <row r="141" spans="2:16" ht="12.75" customHeight="1" x14ac:dyDescent="0.2">
      <c r="B141" s="76" t="s">
        <v>548</v>
      </c>
      <c r="C141" s="76">
        <f t="shared" si="23"/>
        <v>5.4E-8</v>
      </c>
      <c r="D141" s="76">
        <v>1</v>
      </c>
      <c r="E141" s="76" t="s">
        <v>915</v>
      </c>
      <c r="F141" s="76" t="s">
        <v>168</v>
      </c>
      <c r="G141" s="76" t="s">
        <v>169</v>
      </c>
      <c r="H141" s="76" t="s">
        <v>170</v>
      </c>
      <c r="I141" s="76">
        <f t="shared" si="16"/>
        <v>0</v>
      </c>
      <c r="J141" s="76">
        <f t="shared" si="18"/>
        <v>0</v>
      </c>
      <c r="K141" s="76" t="s">
        <v>535</v>
      </c>
      <c r="L141" s="76">
        <f t="shared" si="17"/>
        <v>5.4E-8</v>
      </c>
      <c r="M141" s="76" t="s">
        <v>163</v>
      </c>
      <c r="N141" s="76">
        <f t="shared" si="22"/>
        <v>0</v>
      </c>
      <c r="O141" s="76" t="s">
        <v>535</v>
      </c>
      <c r="P141" s="76" t="s">
        <v>550</v>
      </c>
    </row>
    <row r="142" spans="2:16" ht="12.75" customHeight="1" x14ac:dyDescent="0.2">
      <c r="B142" s="76" t="s">
        <v>548</v>
      </c>
      <c r="C142" s="76">
        <f t="shared" si="23"/>
        <v>5.4E-8</v>
      </c>
      <c r="D142" s="76">
        <v>1</v>
      </c>
      <c r="E142" s="76" t="s">
        <v>942</v>
      </c>
      <c r="F142" s="76" t="s">
        <v>168</v>
      </c>
      <c r="G142" s="76" t="s">
        <v>169</v>
      </c>
      <c r="H142" s="76" t="s">
        <v>170</v>
      </c>
      <c r="I142" s="76">
        <f t="shared" si="16"/>
        <v>0</v>
      </c>
      <c r="J142" s="76">
        <f t="shared" si="18"/>
        <v>0</v>
      </c>
      <c r="K142" s="76" t="s">
        <v>535</v>
      </c>
      <c r="L142" s="76">
        <f t="shared" si="17"/>
        <v>5.4E-8</v>
      </c>
      <c r="M142" s="76" t="s">
        <v>163</v>
      </c>
      <c r="N142" s="76">
        <f t="shared" si="22"/>
        <v>0</v>
      </c>
      <c r="O142" s="76" t="s">
        <v>535</v>
      </c>
      <c r="P142" s="76" t="s">
        <v>550</v>
      </c>
    </row>
    <row r="143" spans="2:16" ht="12.75" customHeight="1" x14ac:dyDescent="0.2">
      <c r="B143" s="76" t="s">
        <v>548</v>
      </c>
      <c r="C143" s="76">
        <f t="shared" si="23"/>
        <v>5.4E-8</v>
      </c>
      <c r="D143" s="76">
        <v>1</v>
      </c>
      <c r="E143" s="76" t="s">
        <v>914</v>
      </c>
      <c r="F143" s="76" t="s">
        <v>168</v>
      </c>
      <c r="G143" s="76" t="s">
        <v>169</v>
      </c>
      <c r="H143" s="76" t="s">
        <v>170</v>
      </c>
      <c r="I143" s="76">
        <f t="shared" si="16"/>
        <v>0</v>
      </c>
      <c r="J143" s="76">
        <f t="shared" si="18"/>
        <v>0</v>
      </c>
      <c r="K143" s="76" t="s">
        <v>535</v>
      </c>
      <c r="L143" s="76">
        <f t="shared" si="17"/>
        <v>5.4E-8</v>
      </c>
      <c r="M143" s="76" t="s">
        <v>163</v>
      </c>
      <c r="N143" s="76">
        <f t="shared" si="22"/>
        <v>0</v>
      </c>
      <c r="O143" s="76" t="s">
        <v>535</v>
      </c>
      <c r="P143" s="76" t="s">
        <v>550</v>
      </c>
    </row>
    <row r="144" spans="2:16" ht="12.75" customHeight="1" x14ac:dyDescent="0.2">
      <c r="B144" s="76" t="s">
        <v>548</v>
      </c>
      <c r="C144" s="76">
        <f t="shared" si="23"/>
        <v>5.4E-8</v>
      </c>
      <c r="D144" s="76">
        <v>1</v>
      </c>
      <c r="E144" s="76" t="s">
        <v>913</v>
      </c>
      <c r="F144" s="76" t="s">
        <v>168</v>
      </c>
      <c r="G144" s="76" t="s">
        <v>169</v>
      </c>
      <c r="H144" s="76" t="s">
        <v>170</v>
      </c>
      <c r="I144" s="76">
        <f t="shared" si="16"/>
        <v>0</v>
      </c>
      <c r="J144" s="76">
        <f t="shared" si="18"/>
        <v>0</v>
      </c>
      <c r="K144" s="76" t="s">
        <v>535</v>
      </c>
      <c r="L144" s="76">
        <f t="shared" si="17"/>
        <v>5.4E-8</v>
      </c>
      <c r="M144" s="76" t="s">
        <v>163</v>
      </c>
      <c r="N144" s="76">
        <f t="shared" si="22"/>
        <v>0</v>
      </c>
      <c r="O144" s="76" t="s">
        <v>535</v>
      </c>
      <c r="P144" s="76" t="s">
        <v>550</v>
      </c>
    </row>
    <row r="145" spans="2:16" ht="12.75" customHeight="1" x14ac:dyDescent="0.2">
      <c r="B145" s="76" t="s">
        <v>548</v>
      </c>
      <c r="C145" s="76">
        <f t="shared" si="23"/>
        <v>5.4E-8</v>
      </c>
      <c r="D145" s="76">
        <v>1</v>
      </c>
      <c r="E145" s="76" t="s">
        <v>941</v>
      </c>
      <c r="F145" s="76" t="s">
        <v>168</v>
      </c>
      <c r="G145" s="76" t="s">
        <v>169</v>
      </c>
      <c r="H145" s="76" t="s">
        <v>170</v>
      </c>
      <c r="I145" s="76">
        <f t="shared" si="16"/>
        <v>0</v>
      </c>
      <c r="J145" s="76">
        <f t="shared" si="18"/>
        <v>0</v>
      </c>
      <c r="K145" s="76" t="s">
        <v>535</v>
      </c>
      <c r="L145" s="76">
        <f t="shared" si="17"/>
        <v>5.4E-8</v>
      </c>
      <c r="M145" s="76" t="s">
        <v>163</v>
      </c>
      <c r="N145" s="76">
        <f t="shared" si="22"/>
        <v>0</v>
      </c>
      <c r="O145" s="76" t="s">
        <v>535</v>
      </c>
      <c r="P145" s="76" t="s">
        <v>550</v>
      </c>
    </row>
    <row r="146" spans="2:16" ht="12.75" customHeight="1" x14ac:dyDescent="0.2">
      <c r="B146" s="76" t="s">
        <v>548</v>
      </c>
      <c r="C146" s="76">
        <f t="shared" si="23"/>
        <v>5.4E-8</v>
      </c>
      <c r="D146" s="76">
        <v>1</v>
      </c>
      <c r="E146" s="76" t="s">
        <v>940</v>
      </c>
      <c r="F146" s="76" t="s">
        <v>168</v>
      </c>
      <c r="G146" s="76" t="s">
        <v>169</v>
      </c>
      <c r="H146" s="76" t="s">
        <v>170</v>
      </c>
      <c r="I146" s="76">
        <f t="shared" si="16"/>
        <v>0</v>
      </c>
      <c r="J146" s="76">
        <f t="shared" si="18"/>
        <v>0</v>
      </c>
      <c r="K146" s="76" t="s">
        <v>535</v>
      </c>
      <c r="L146" s="76">
        <f t="shared" si="17"/>
        <v>5.4E-8</v>
      </c>
      <c r="M146" s="76" t="s">
        <v>163</v>
      </c>
      <c r="N146" s="76">
        <f t="shared" si="22"/>
        <v>0</v>
      </c>
      <c r="O146" s="76" t="s">
        <v>535</v>
      </c>
      <c r="P146" s="76" t="s">
        <v>550</v>
      </c>
    </row>
    <row r="147" spans="2:16" ht="12.75" customHeight="1" x14ac:dyDescent="0.2">
      <c r="B147" s="76" t="s">
        <v>548</v>
      </c>
      <c r="C147" s="76">
        <f t="shared" si="23"/>
        <v>5.4E-8</v>
      </c>
      <c r="D147" s="76">
        <v>1</v>
      </c>
      <c r="E147" s="76" t="s">
        <v>939</v>
      </c>
      <c r="F147" s="76" t="s">
        <v>168</v>
      </c>
      <c r="G147" s="76" t="s">
        <v>169</v>
      </c>
      <c r="H147" s="76" t="s">
        <v>170</v>
      </c>
      <c r="I147" s="76">
        <f t="shared" si="16"/>
        <v>0</v>
      </c>
      <c r="J147" s="76">
        <f t="shared" si="18"/>
        <v>0</v>
      </c>
      <c r="K147" s="76" t="s">
        <v>535</v>
      </c>
      <c r="L147" s="76">
        <f t="shared" si="17"/>
        <v>5.4E-8</v>
      </c>
      <c r="M147" s="76" t="s">
        <v>163</v>
      </c>
      <c r="N147" s="76">
        <f t="shared" si="22"/>
        <v>0</v>
      </c>
      <c r="O147" s="76" t="s">
        <v>535</v>
      </c>
      <c r="P147" s="76" t="s">
        <v>550</v>
      </c>
    </row>
    <row r="148" spans="2:16" ht="12.75" customHeight="1" x14ac:dyDescent="0.2">
      <c r="B148" s="76" t="s">
        <v>548</v>
      </c>
      <c r="C148" s="76">
        <f t="shared" si="23"/>
        <v>5.4E-8</v>
      </c>
      <c r="D148" s="76">
        <v>1</v>
      </c>
      <c r="E148" s="76" t="s">
        <v>938</v>
      </c>
      <c r="F148" s="76" t="s">
        <v>168</v>
      </c>
      <c r="G148" s="76" t="s">
        <v>169</v>
      </c>
      <c r="H148" s="76" t="s">
        <v>170</v>
      </c>
      <c r="I148" s="76">
        <f t="shared" si="16"/>
        <v>0</v>
      </c>
      <c r="J148" s="76">
        <f t="shared" si="18"/>
        <v>0</v>
      </c>
      <c r="K148" s="76" t="s">
        <v>535</v>
      </c>
      <c r="L148" s="76">
        <f t="shared" si="17"/>
        <v>5.4E-8</v>
      </c>
      <c r="M148" s="76" t="s">
        <v>163</v>
      </c>
      <c r="N148" s="76">
        <f t="shared" si="22"/>
        <v>0</v>
      </c>
      <c r="O148" s="76" t="s">
        <v>535</v>
      </c>
      <c r="P148" s="76" t="s">
        <v>550</v>
      </c>
    </row>
    <row r="149" spans="2:16" ht="12.75" customHeight="1" x14ac:dyDescent="0.2">
      <c r="B149" s="76" t="s">
        <v>548</v>
      </c>
      <c r="C149" s="76">
        <f t="shared" si="23"/>
        <v>5.4E-8</v>
      </c>
      <c r="D149" s="76">
        <v>1</v>
      </c>
      <c r="E149" s="76" t="s">
        <v>937</v>
      </c>
      <c r="F149" s="76" t="s">
        <v>168</v>
      </c>
      <c r="G149" s="76" t="s">
        <v>169</v>
      </c>
      <c r="H149" s="76" t="s">
        <v>170</v>
      </c>
      <c r="I149" s="76">
        <f t="shared" si="16"/>
        <v>0</v>
      </c>
      <c r="J149" s="76">
        <f t="shared" si="18"/>
        <v>0</v>
      </c>
      <c r="K149" s="76" t="s">
        <v>535</v>
      </c>
      <c r="L149" s="76">
        <f t="shared" si="17"/>
        <v>5.4E-8</v>
      </c>
      <c r="M149" s="76" t="s">
        <v>163</v>
      </c>
      <c r="N149" s="76">
        <f t="shared" si="22"/>
        <v>0</v>
      </c>
      <c r="O149" s="76" t="s">
        <v>535</v>
      </c>
      <c r="P149" s="76" t="s">
        <v>550</v>
      </c>
    </row>
    <row r="150" spans="2:16" ht="12.75" customHeight="1" x14ac:dyDescent="0.2">
      <c r="B150" s="76" t="s">
        <v>548</v>
      </c>
      <c r="C150" s="76">
        <f t="shared" si="23"/>
        <v>5.4E-8</v>
      </c>
      <c r="D150" s="76">
        <v>1</v>
      </c>
      <c r="E150" s="76" t="s">
        <v>936</v>
      </c>
      <c r="F150" s="76" t="s">
        <v>168</v>
      </c>
      <c r="G150" s="76" t="s">
        <v>169</v>
      </c>
      <c r="H150" s="76" t="s">
        <v>170</v>
      </c>
      <c r="I150" s="76">
        <f t="shared" si="16"/>
        <v>0</v>
      </c>
      <c r="J150" s="76">
        <f t="shared" si="18"/>
        <v>0</v>
      </c>
      <c r="K150" s="76" t="s">
        <v>535</v>
      </c>
      <c r="L150" s="76">
        <f t="shared" si="17"/>
        <v>5.4E-8</v>
      </c>
      <c r="M150" s="76" t="s">
        <v>163</v>
      </c>
      <c r="N150" s="76">
        <f t="shared" si="22"/>
        <v>0</v>
      </c>
      <c r="O150" s="76" t="s">
        <v>535</v>
      </c>
      <c r="P150" s="76" t="s">
        <v>550</v>
      </c>
    </row>
    <row r="151" spans="2:16" ht="12.75" customHeight="1" x14ac:dyDescent="0.2">
      <c r="B151" s="76" t="s">
        <v>548</v>
      </c>
      <c r="C151" s="76">
        <f t="shared" si="23"/>
        <v>5.4E-8</v>
      </c>
      <c r="D151" s="76">
        <v>1</v>
      </c>
      <c r="E151" s="76" t="s">
        <v>935</v>
      </c>
      <c r="F151" s="76" t="s">
        <v>168</v>
      </c>
      <c r="G151" s="76" t="s">
        <v>169</v>
      </c>
      <c r="H151" s="76" t="s">
        <v>170</v>
      </c>
      <c r="I151" s="76">
        <f t="shared" si="16"/>
        <v>0</v>
      </c>
      <c r="J151" s="76">
        <f t="shared" si="18"/>
        <v>0</v>
      </c>
      <c r="K151" s="76" t="s">
        <v>535</v>
      </c>
      <c r="L151" s="76">
        <f t="shared" si="17"/>
        <v>5.4E-8</v>
      </c>
      <c r="M151" s="76" t="s">
        <v>163</v>
      </c>
      <c r="N151" s="76">
        <f t="shared" si="22"/>
        <v>0</v>
      </c>
      <c r="O151" s="76" t="s">
        <v>535</v>
      </c>
      <c r="P151" s="76" t="s">
        <v>550</v>
      </c>
    </row>
    <row r="152" spans="2:16" ht="12.75" customHeight="1" x14ac:dyDescent="0.2">
      <c r="B152" s="76" t="s">
        <v>548</v>
      </c>
      <c r="C152" s="76">
        <f t="shared" si="23"/>
        <v>5.4E-8</v>
      </c>
      <c r="D152" s="76">
        <v>1</v>
      </c>
      <c r="E152" s="76" t="s">
        <v>945</v>
      </c>
      <c r="F152" s="76" t="s">
        <v>168</v>
      </c>
      <c r="G152" s="76" t="s">
        <v>169</v>
      </c>
      <c r="H152" s="76" t="s">
        <v>516</v>
      </c>
      <c r="I152" s="76">
        <f t="shared" ref="I152:I166" si="24">0*C72</f>
        <v>0</v>
      </c>
      <c r="J152" s="76">
        <f>(13/54)*C152</f>
        <v>1.2999999999999999E-8</v>
      </c>
      <c r="K152" s="76">
        <f>(40/54)*C152</f>
        <v>4.0000000000000001E-8</v>
      </c>
      <c r="L152" s="76">
        <f t="shared" ref="L152:L166" si="25">1*C152</f>
        <v>5.4E-8</v>
      </c>
      <c r="M152" s="76" t="s">
        <v>163</v>
      </c>
      <c r="N152" s="76">
        <f t="shared" si="22"/>
        <v>0</v>
      </c>
      <c r="O152" s="76" t="s">
        <v>535</v>
      </c>
      <c r="P152" s="76" t="s">
        <v>549</v>
      </c>
    </row>
    <row r="153" spans="2:16" ht="12.75" customHeight="1" x14ac:dyDescent="0.2">
      <c r="B153" s="76" t="s">
        <v>548</v>
      </c>
      <c r="C153" s="76">
        <f t="shared" si="23"/>
        <v>5.4E-8</v>
      </c>
      <c r="D153" s="76">
        <v>1</v>
      </c>
      <c r="E153" s="76" t="s">
        <v>103</v>
      </c>
      <c r="F153" s="76" t="s">
        <v>168</v>
      </c>
      <c r="G153" s="76" t="s">
        <v>169</v>
      </c>
      <c r="H153" s="76" t="s">
        <v>170</v>
      </c>
      <c r="I153" s="76">
        <f t="shared" si="24"/>
        <v>0</v>
      </c>
      <c r="J153" s="76">
        <f>0*C153</f>
        <v>0</v>
      </c>
      <c r="K153" s="76" t="s">
        <v>535</v>
      </c>
      <c r="L153" s="76">
        <f t="shared" si="25"/>
        <v>5.4E-8</v>
      </c>
      <c r="M153" s="76" t="s">
        <v>163</v>
      </c>
      <c r="N153" s="76">
        <f t="shared" si="22"/>
        <v>0</v>
      </c>
      <c r="O153" s="76" t="s">
        <v>535</v>
      </c>
      <c r="P153" s="76" t="s">
        <v>550</v>
      </c>
    </row>
    <row r="154" spans="2:16" ht="12.75" customHeight="1" x14ac:dyDescent="0.2">
      <c r="B154" s="76" t="s">
        <v>548</v>
      </c>
      <c r="C154" s="76">
        <f t="shared" si="23"/>
        <v>5.4E-8</v>
      </c>
      <c r="D154" s="76">
        <v>1</v>
      </c>
      <c r="E154" s="76" t="s">
        <v>111</v>
      </c>
      <c r="F154" s="76" t="s">
        <v>168</v>
      </c>
      <c r="G154" s="76" t="s">
        <v>169</v>
      </c>
      <c r="H154" s="76" t="s">
        <v>170</v>
      </c>
      <c r="I154" s="76">
        <f t="shared" si="24"/>
        <v>0</v>
      </c>
      <c r="J154" s="76">
        <f t="shared" ref="J154:J166" si="26">0*C154</f>
        <v>0</v>
      </c>
      <c r="K154" s="76" t="s">
        <v>535</v>
      </c>
      <c r="L154" s="76">
        <f t="shared" si="25"/>
        <v>5.4E-8</v>
      </c>
      <c r="M154" s="76" t="s">
        <v>172</v>
      </c>
      <c r="N154" s="76">
        <f>(5/54)*C154</f>
        <v>5.0000000000000001E-9</v>
      </c>
      <c r="O154" s="76" t="s">
        <v>535</v>
      </c>
      <c r="P154" s="76" t="s">
        <v>550</v>
      </c>
    </row>
    <row r="155" spans="2:16" ht="12.75" customHeight="1" x14ac:dyDescent="0.2">
      <c r="B155" s="76" t="s">
        <v>548</v>
      </c>
      <c r="C155" s="76">
        <f t="shared" si="23"/>
        <v>5.4E-8</v>
      </c>
      <c r="D155" s="76">
        <v>1</v>
      </c>
      <c r="E155" s="76" t="s">
        <v>946</v>
      </c>
      <c r="F155" s="76" t="s">
        <v>168</v>
      </c>
      <c r="G155" s="76" t="s">
        <v>169</v>
      </c>
      <c r="H155" s="76" t="s">
        <v>170</v>
      </c>
      <c r="I155" s="76">
        <f t="shared" si="24"/>
        <v>0</v>
      </c>
      <c r="J155" s="76">
        <f t="shared" si="26"/>
        <v>0</v>
      </c>
      <c r="K155" s="76" t="s">
        <v>535</v>
      </c>
      <c r="L155" s="76">
        <f t="shared" si="25"/>
        <v>5.4E-8</v>
      </c>
      <c r="M155" s="76" t="s">
        <v>163</v>
      </c>
      <c r="N155" s="76">
        <f>0*C155</f>
        <v>0</v>
      </c>
      <c r="O155" s="76" t="s">
        <v>535</v>
      </c>
      <c r="P155" s="76" t="s">
        <v>550</v>
      </c>
    </row>
    <row r="156" spans="2:16" ht="12.75" customHeight="1" x14ac:dyDescent="0.2">
      <c r="B156" s="76" t="s">
        <v>548</v>
      </c>
      <c r="C156" s="76">
        <f t="shared" si="23"/>
        <v>5.4E-8</v>
      </c>
      <c r="D156" s="76">
        <v>1</v>
      </c>
      <c r="E156" s="76" t="s">
        <v>120</v>
      </c>
      <c r="F156" s="76" t="s">
        <v>168</v>
      </c>
      <c r="G156" s="76" t="s">
        <v>169</v>
      </c>
      <c r="H156" s="76" t="s">
        <v>170</v>
      </c>
      <c r="I156" s="76">
        <f t="shared" si="24"/>
        <v>0</v>
      </c>
      <c r="J156" s="76">
        <f t="shared" si="26"/>
        <v>0</v>
      </c>
      <c r="K156" s="76" t="s">
        <v>535</v>
      </c>
      <c r="L156" s="76">
        <f t="shared" si="25"/>
        <v>5.4E-8</v>
      </c>
      <c r="M156" s="76" t="s">
        <v>172</v>
      </c>
      <c r="N156" s="76">
        <f>(5/54)*C156</f>
        <v>5.0000000000000001E-9</v>
      </c>
      <c r="O156" s="76" t="s">
        <v>535</v>
      </c>
      <c r="P156" s="76" t="s">
        <v>550</v>
      </c>
    </row>
    <row r="157" spans="2:16" ht="12.75" customHeight="1" x14ac:dyDescent="0.2">
      <c r="B157" s="76" t="s">
        <v>548</v>
      </c>
      <c r="C157" s="76">
        <f t="shared" si="23"/>
        <v>5.4E-8</v>
      </c>
      <c r="D157" s="76">
        <v>1</v>
      </c>
      <c r="E157" s="76" t="s">
        <v>121</v>
      </c>
      <c r="F157" s="76" t="s">
        <v>168</v>
      </c>
      <c r="G157" s="76" t="s">
        <v>169</v>
      </c>
      <c r="H157" s="76" t="s">
        <v>170</v>
      </c>
      <c r="I157" s="76">
        <f t="shared" si="24"/>
        <v>0</v>
      </c>
      <c r="J157" s="76">
        <f t="shared" si="26"/>
        <v>0</v>
      </c>
      <c r="K157" s="76" t="s">
        <v>535</v>
      </c>
      <c r="L157" s="76">
        <f t="shared" si="25"/>
        <v>5.4E-8</v>
      </c>
      <c r="M157" s="76" t="s">
        <v>172</v>
      </c>
      <c r="N157" s="76">
        <f>(5/54)*C157</f>
        <v>5.0000000000000001E-9</v>
      </c>
      <c r="O157" s="76" t="s">
        <v>535</v>
      </c>
      <c r="P157" s="76" t="s">
        <v>550</v>
      </c>
    </row>
    <row r="158" spans="2:16" ht="12.75" customHeight="1" x14ac:dyDescent="0.2">
      <c r="B158" s="76" t="s">
        <v>548</v>
      </c>
      <c r="C158" s="76">
        <f t="shared" si="23"/>
        <v>5.4E-8</v>
      </c>
      <c r="D158" s="76">
        <v>1</v>
      </c>
      <c r="E158" s="76" t="s">
        <v>97</v>
      </c>
      <c r="F158" s="76" t="s">
        <v>168</v>
      </c>
      <c r="G158" s="76" t="s">
        <v>169</v>
      </c>
      <c r="H158" s="76" t="s">
        <v>170</v>
      </c>
      <c r="I158" s="76">
        <f t="shared" si="24"/>
        <v>0</v>
      </c>
      <c r="J158" s="76">
        <f t="shared" si="26"/>
        <v>0</v>
      </c>
      <c r="K158" s="76" t="s">
        <v>535</v>
      </c>
      <c r="L158" s="76">
        <f t="shared" si="25"/>
        <v>5.4E-8</v>
      </c>
      <c r="M158" s="76" t="s">
        <v>163</v>
      </c>
      <c r="N158" s="76">
        <f>0*C158</f>
        <v>0</v>
      </c>
      <c r="O158" s="76" t="s">
        <v>535</v>
      </c>
      <c r="P158" s="76" t="s">
        <v>550</v>
      </c>
    </row>
    <row r="159" spans="2:16" ht="12.75" customHeight="1" x14ac:dyDescent="0.2">
      <c r="B159" s="76" t="s">
        <v>548</v>
      </c>
      <c r="C159" s="76">
        <f t="shared" si="23"/>
        <v>5.4E-8</v>
      </c>
      <c r="D159" s="76">
        <v>1</v>
      </c>
      <c r="E159" s="76" t="s">
        <v>909</v>
      </c>
      <c r="F159" s="76" t="s">
        <v>168</v>
      </c>
      <c r="G159" s="76" t="s">
        <v>169</v>
      </c>
      <c r="H159" s="76" t="s">
        <v>170</v>
      </c>
      <c r="I159" s="76">
        <f t="shared" si="24"/>
        <v>0</v>
      </c>
      <c r="J159" s="76">
        <f t="shared" si="26"/>
        <v>0</v>
      </c>
      <c r="K159" s="76" t="s">
        <v>535</v>
      </c>
      <c r="L159" s="76">
        <f t="shared" si="25"/>
        <v>5.4E-8</v>
      </c>
      <c r="M159" s="76" t="s">
        <v>163</v>
      </c>
      <c r="N159" s="76">
        <f t="shared" ref="N159:N161" si="27">0*C159</f>
        <v>0</v>
      </c>
      <c r="O159" s="76" t="s">
        <v>535</v>
      </c>
      <c r="P159" s="76" t="s">
        <v>549</v>
      </c>
    </row>
    <row r="160" spans="2:16" ht="12.75" customHeight="1" x14ac:dyDescent="0.2">
      <c r="B160" s="76" t="s">
        <v>548</v>
      </c>
      <c r="C160" s="76">
        <f t="shared" si="23"/>
        <v>5.4E-8</v>
      </c>
      <c r="D160" s="76">
        <v>1</v>
      </c>
      <c r="E160" s="76" t="s">
        <v>910</v>
      </c>
      <c r="F160" s="76" t="s">
        <v>168</v>
      </c>
      <c r="G160" s="76" t="s">
        <v>169</v>
      </c>
      <c r="H160" s="76" t="s">
        <v>170</v>
      </c>
      <c r="I160" s="76">
        <f t="shared" si="24"/>
        <v>0</v>
      </c>
      <c r="J160" s="76">
        <f t="shared" si="26"/>
        <v>0</v>
      </c>
      <c r="K160" s="76" t="s">
        <v>535</v>
      </c>
      <c r="L160" s="76">
        <f t="shared" si="25"/>
        <v>5.4E-8</v>
      </c>
      <c r="M160" s="76" t="s">
        <v>163</v>
      </c>
      <c r="N160" s="76">
        <f t="shared" si="27"/>
        <v>0</v>
      </c>
      <c r="O160" s="76" t="s">
        <v>535</v>
      </c>
      <c r="P160" s="76" t="s">
        <v>550</v>
      </c>
    </row>
    <row r="161" spans="2:16" ht="12.75" customHeight="1" x14ac:dyDescent="0.2">
      <c r="B161" s="76" t="s">
        <v>548</v>
      </c>
      <c r="C161" s="76">
        <f t="shared" si="23"/>
        <v>5.4E-8</v>
      </c>
      <c r="D161" s="76">
        <v>1</v>
      </c>
      <c r="E161" s="76" t="s">
        <v>893</v>
      </c>
      <c r="F161" s="76" t="s">
        <v>168</v>
      </c>
      <c r="G161" s="76" t="s">
        <v>169</v>
      </c>
      <c r="H161" s="76" t="s">
        <v>170</v>
      </c>
      <c r="I161" s="76">
        <f t="shared" si="24"/>
        <v>0</v>
      </c>
      <c r="J161" s="76">
        <f t="shared" si="26"/>
        <v>0</v>
      </c>
      <c r="K161" s="76" t="s">
        <v>535</v>
      </c>
      <c r="L161" s="76">
        <f t="shared" si="25"/>
        <v>5.4E-8</v>
      </c>
      <c r="M161" s="76" t="s">
        <v>163</v>
      </c>
      <c r="N161" s="76">
        <f t="shared" si="27"/>
        <v>0</v>
      </c>
      <c r="O161" s="76" t="s">
        <v>535</v>
      </c>
      <c r="P161" s="76" t="s">
        <v>549</v>
      </c>
    </row>
    <row r="162" spans="2:16" ht="12.75" customHeight="1" x14ac:dyDescent="0.2">
      <c r="B162" s="76" t="s">
        <v>548</v>
      </c>
      <c r="C162" s="76">
        <f t="shared" si="23"/>
        <v>5.4E-8</v>
      </c>
      <c r="D162" s="76">
        <v>1</v>
      </c>
      <c r="E162" s="76" t="s">
        <v>894</v>
      </c>
      <c r="F162" s="76" t="s">
        <v>168</v>
      </c>
      <c r="G162" s="76" t="s">
        <v>169</v>
      </c>
      <c r="H162" s="76" t="s">
        <v>170</v>
      </c>
      <c r="I162" s="76">
        <f t="shared" si="24"/>
        <v>0</v>
      </c>
      <c r="J162" s="76">
        <f t="shared" si="26"/>
        <v>0</v>
      </c>
      <c r="K162" s="76" t="s">
        <v>535</v>
      </c>
      <c r="L162" s="76">
        <f t="shared" si="25"/>
        <v>5.4E-8</v>
      </c>
      <c r="M162" s="76" t="s">
        <v>163</v>
      </c>
      <c r="N162" s="76">
        <f>(5/54)*C162</f>
        <v>5.0000000000000001E-9</v>
      </c>
      <c r="O162" s="76" t="s">
        <v>535</v>
      </c>
      <c r="P162" s="76" t="s">
        <v>550</v>
      </c>
    </row>
    <row r="163" spans="2:16" ht="12.75" customHeight="1" x14ac:dyDescent="0.2">
      <c r="B163" s="76" t="s">
        <v>548</v>
      </c>
      <c r="C163" s="76">
        <f t="shared" si="23"/>
        <v>5.4E-8</v>
      </c>
      <c r="D163" s="76">
        <v>1</v>
      </c>
      <c r="E163" s="76" t="s">
        <v>895</v>
      </c>
      <c r="F163" s="76" t="s">
        <v>168</v>
      </c>
      <c r="G163" s="76" t="s">
        <v>169</v>
      </c>
      <c r="H163" s="76" t="s">
        <v>170</v>
      </c>
      <c r="I163" s="76">
        <f t="shared" si="24"/>
        <v>0</v>
      </c>
      <c r="J163" s="76">
        <f t="shared" si="26"/>
        <v>0</v>
      </c>
      <c r="K163" s="76" t="s">
        <v>535</v>
      </c>
      <c r="L163" s="76">
        <f t="shared" si="25"/>
        <v>5.4E-8</v>
      </c>
      <c r="M163" s="76" t="s">
        <v>172</v>
      </c>
      <c r="N163" s="76">
        <f>(5/54)*C163</f>
        <v>5.0000000000000001E-9</v>
      </c>
      <c r="O163" s="76" t="s">
        <v>535</v>
      </c>
      <c r="P163" s="76" t="s">
        <v>550</v>
      </c>
    </row>
    <row r="164" spans="2:16" ht="12.75" customHeight="1" x14ac:dyDescent="0.2">
      <c r="B164" s="76" t="s">
        <v>548</v>
      </c>
      <c r="C164" s="76">
        <f t="shared" si="23"/>
        <v>5.4E-8</v>
      </c>
      <c r="D164" s="76">
        <v>1</v>
      </c>
      <c r="E164" s="76" t="s">
        <v>896</v>
      </c>
      <c r="F164" s="76" t="s">
        <v>168</v>
      </c>
      <c r="G164" s="76" t="s">
        <v>169</v>
      </c>
      <c r="H164" s="76" t="s">
        <v>170</v>
      </c>
      <c r="I164" s="76">
        <f t="shared" si="24"/>
        <v>0</v>
      </c>
      <c r="J164" s="76">
        <f t="shared" si="26"/>
        <v>0</v>
      </c>
      <c r="K164" s="76" t="s">
        <v>535</v>
      </c>
      <c r="L164" s="76">
        <f t="shared" si="25"/>
        <v>5.4E-8</v>
      </c>
      <c r="M164" s="76" t="s">
        <v>163</v>
      </c>
      <c r="N164" s="76">
        <f>(5/54)*C164</f>
        <v>5.0000000000000001E-9</v>
      </c>
      <c r="O164" s="76" t="s">
        <v>535</v>
      </c>
      <c r="P164" s="76" t="s">
        <v>550</v>
      </c>
    </row>
    <row r="165" spans="2:16" ht="12.75" customHeight="1" x14ac:dyDescent="0.2">
      <c r="B165" s="76" t="s">
        <v>548</v>
      </c>
      <c r="C165" s="76">
        <f t="shared" si="23"/>
        <v>5.4E-8</v>
      </c>
      <c r="D165" s="76">
        <v>1</v>
      </c>
      <c r="E165" s="76" t="s">
        <v>897</v>
      </c>
      <c r="F165" s="76" t="s">
        <v>168</v>
      </c>
      <c r="G165" s="76" t="s">
        <v>169</v>
      </c>
      <c r="H165" s="76" t="s">
        <v>170</v>
      </c>
      <c r="I165" s="76">
        <f t="shared" si="24"/>
        <v>0</v>
      </c>
      <c r="J165" s="76">
        <f t="shared" si="26"/>
        <v>0</v>
      </c>
      <c r="K165" s="76" t="s">
        <v>535</v>
      </c>
      <c r="L165" s="76">
        <f t="shared" si="25"/>
        <v>5.4E-8</v>
      </c>
      <c r="M165" s="76" t="s">
        <v>163</v>
      </c>
      <c r="N165" s="76">
        <f>(5/54)*C165</f>
        <v>5.0000000000000001E-9</v>
      </c>
      <c r="O165" s="76" t="s">
        <v>535</v>
      </c>
      <c r="P165" s="76" t="s">
        <v>550</v>
      </c>
    </row>
    <row r="166" spans="2:16" ht="12.75" customHeight="1" x14ac:dyDescent="0.2">
      <c r="B166" s="76" t="s">
        <v>548</v>
      </c>
      <c r="C166" s="76">
        <f t="shared" si="23"/>
        <v>5.4E-8</v>
      </c>
      <c r="D166" s="76">
        <v>1</v>
      </c>
      <c r="E166" s="76" t="s">
        <v>109</v>
      </c>
      <c r="F166" s="76" t="s">
        <v>168</v>
      </c>
      <c r="G166" s="76" t="s">
        <v>169</v>
      </c>
      <c r="H166" s="76" t="s">
        <v>170</v>
      </c>
      <c r="I166" s="76">
        <f t="shared" si="24"/>
        <v>0</v>
      </c>
      <c r="J166" s="76">
        <f t="shared" si="26"/>
        <v>0</v>
      </c>
      <c r="K166" s="76" t="s">
        <v>535</v>
      </c>
      <c r="L166" s="76">
        <f t="shared" si="25"/>
        <v>5.4E-8</v>
      </c>
      <c r="M166" s="76" t="s">
        <v>172</v>
      </c>
      <c r="N166" s="76">
        <f>(5/54)*C166</f>
        <v>5.0000000000000001E-9</v>
      </c>
      <c r="O166" s="76" t="s">
        <v>535</v>
      </c>
      <c r="P166" s="76" t="s">
        <v>550</v>
      </c>
    </row>
  </sheetData>
  <autoFilter ref="E6:E7"/>
  <dataValidations count="1">
    <dataValidation type="list" allowBlank="1" showInputMessage="1" showErrorMessage="1" sqref="C3">
      <formula1>"Normal,Extended,Quad"</formula1>
    </dataValidation>
  </dataValidations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P166"/>
  <sheetViews>
    <sheetView showGridLines="0" zoomScaleNormal="100" workbookViewId="0">
      <pane ySplit="6" topLeftCell="A7" activePane="bottomLeft" state="frozen"/>
      <selection pane="bottomLeft" activeCell="A171" sqref="A171"/>
    </sheetView>
  </sheetViews>
  <sheetFormatPr defaultRowHeight="12.75" x14ac:dyDescent="0.2"/>
  <cols>
    <col min="1" max="1" width="9.140625" style="75"/>
    <col min="2" max="3" width="13.42578125" style="75" customWidth="1"/>
    <col min="4" max="4" width="6.28515625" style="75" customWidth="1"/>
    <col min="5" max="5" width="13.42578125" style="75" customWidth="1"/>
    <col min="6" max="8" width="9.140625" style="75"/>
    <col min="9" max="12" width="13.42578125" style="75" customWidth="1"/>
    <col min="13" max="13" width="9.140625" style="75"/>
    <col min="14" max="15" width="13.42578125" style="75" customWidth="1"/>
    <col min="16" max="16" width="42.85546875" style="75" customWidth="1"/>
    <col min="17" max="16384" width="9.140625" style="75"/>
  </cols>
  <sheetData>
    <row r="1" spans="1:16" ht="25.5" customHeight="1" x14ac:dyDescent="0.2">
      <c r="A1" s="75" t="s">
        <v>61</v>
      </c>
      <c r="B1" s="75" t="s">
        <v>146</v>
      </c>
    </row>
    <row r="3" spans="1:16" x14ac:dyDescent="0.2">
      <c r="B3" s="1" t="s">
        <v>147</v>
      </c>
      <c r="C3" s="2" t="s">
        <v>237</v>
      </c>
      <c r="E3" s="1" t="s">
        <v>148</v>
      </c>
      <c r="F3" s="2">
        <f>1*us</f>
        <v>9.9999999999999995E-7</v>
      </c>
      <c r="H3" s="1" t="s">
        <v>149</v>
      </c>
      <c r="I3" s="2">
        <f>1*us</f>
        <v>9.9999999999999995E-7</v>
      </c>
    </row>
    <row r="5" spans="1:16" x14ac:dyDescent="0.2">
      <c r="C5" s="75" t="s">
        <v>150</v>
      </c>
      <c r="E5" s="75" t="s">
        <v>151</v>
      </c>
      <c r="G5" s="75" t="s">
        <v>152</v>
      </c>
      <c r="I5" s="75" t="s">
        <v>153</v>
      </c>
      <c r="M5" s="75" t="s">
        <v>154</v>
      </c>
    </row>
    <row r="6" spans="1:16" x14ac:dyDescent="0.2">
      <c r="B6" s="75" t="s">
        <v>155</v>
      </c>
      <c r="C6" s="75" t="s">
        <v>156</v>
      </c>
      <c r="D6" s="75" t="s">
        <v>157</v>
      </c>
      <c r="E6" s="75" t="s">
        <v>20</v>
      </c>
      <c r="F6" s="75" t="s">
        <v>158</v>
      </c>
      <c r="G6" s="75" t="s">
        <v>159</v>
      </c>
      <c r="H6" s="75" t="s">
        <v>160</v>
      </c>
      <c r="I6" s="75" t="s">
        <v>161</v>
      </c>
      <c r="J6" s="75" t="s">
        <v>152</v>
      </c>
      <c r="K6" s="75" t="s">
        <v>162</v>
      </c>
      <c r="L6" s="75" t="s">
        <v>163</v>
      </c>
      <c r="M6" s="75" t="s">
        <v>164</v>
      </c>
      <c r="N6" s="75" t="s">
        <v>165</v>
      </c>
      <c r="O6" s="75" t="s">
        <v>166</v>
      </c>
      <c r="P6" s="75" t="s">
        <v>4</v>
      </c>
    </row>
    <row r="7" spans="1:16" ht="19.149999999999999" customHeight="1" x14ac:dyDescent="0.2">
      <c r="B7" s="76" t="s">
        <v>547</v>
      </c>
      <c r="C7" s="76">
        <f t="shared" ref="C7:C38" si="0">40*ns</f>
        <v>4.0000000000000001E-8</v>
      </c>
      <c r="D7" s="76">
        <v>1</v>
      </c>
      <c r="E7" s="76" t="s">
        <v>95</v>
      </c>
      <c r="F7" s="76" t="s">
        <v>168</v>
      </c>
      <c r="G7" s="76" t="s">
        <v>169</v>
      </c>
      <c r="H7" s="76" t="s">
        <v>170</v>
      </c>
      <c r="I7" s="76">
        <f>0*C7</f>
        <v>0</v>
      </c>
      <c r="J7" s="76">
        <f>0*C7</f>
        <v>0</v>
      </c>
      <c r="K7" s="76" t="s">
        <v>535</v>
      </c>
      <c r="L7" s="76">
        <f>1*C7</f>
        <v>4.0000000000000001E-8</v>
      </c>
      <c r="M7" s="76" t="s">
        <v>163</v>
      </c>
      <c r="N7" s="76">
        <f>0*C7</f>
        <v>0</v>
      </c>
      <c r="O7" s="76" t="s">
        <v>535</v>
      </c>
      <c r="P7" s="76" t="s">
        <v>536</v>
      </c>
    </row>
    <row r="8" spans="1:16" ht="12.75" customHeight="1" x14ac:dyDescent="0.2">
      <c r="B8" s="76" t="s">
        <v>547</v>
      </c>
      <c r="C8" s="76">
        <f t="shared" si="0"/>
        <v>4.0000000000000001E-8</v>
      </c>
      <c r="D8" s="76">
        <v>1</v>
      </c>
      <c r="E8" s="76" t="s">
        <v>912</v>
      </c>
      <c r="F8" s="76" t="s">
        <v>168</v>
      </c>
      <c r="G8" s="76" t="s">
        <v>169</v>
      </c>
      <c r="H8" s="76" t="s">
        <v>170</v>
      </c>
      <c r="I8" s="76">
        <f t="shared" ref="I8:I71" si="1">0*C8</f>
        <v>0</v>
      </c>
      <c r="J8" s="76">
        <f t="shared" ref="J8:J71" si="2">0*C8</f>
        <v>0</v>
      </c>
      <c r="K8" s="76" t="s">
        <v>535</v>
      </c>
      <c r="L8" s="76">
        <f t="shared" ref="L8:L71" si="3">1*C8</f>
        <v>4.0000000000000001E-8</v>
      </c>
      <c r="M8" s="76" t="s">
        <v>163</v>
      </c>
      <c r="N8" s="76">
        <f t="shared" ref="N8:N9" si="4">0*C8</f>
        <v>0</v>
      </c>
      <c r="O8" s="76" t="s">
        <v>535</v>
      </c>
      <c r="P8" s="76" t="s">
        <v>536</v>
      </c>
    </row>
    <row r="9" spans="1:16" ht="12.75" customHeight="1" x14ac:dyDescent="0.2">
      <c r="B9" s="76" t="s">
        <v>547</v>
      </c>
      <c r="C9" s="76">
        <f t="shared" si="0"/>
        <v>4.0000000000000001E-8</v>
      </c>
      <c r="D9" s="76">
        <v>1</v>
      </c>
      <c r="E9" s="76" t="s">
        <v>96</v>
      </c>
      <c r="F9" s="76" t="s">
        <v>168</v>
      </c>
      <c r="G9" s="76" t="s">
        <v>169</v>
      </c>
      <c r="H9" s="76" t="s">
        <v>170</v>
      </c>
      <c r="I9" s="76">
        <f t="shared" si="1"/>
        <v>0</v>
      </c>
      <c r="J9" s="76">
        <f t="shared" si="2"/>
        <v>0</v>
      </c>
      <c r="K9" s="76" t="s">
        <v>535</v>
      </c>
      <c r="L9" s="76">
        <f t="shared" si="3"/>
        <v>4.0000000000000001E-8</v>
      </c>
      <c r="M9" s="76" t="s">
        <v>163</v>
      </c>
      <c r="N9" s="76">
        <f t="shared" si="4"/>
        <v>0</v>
      </c>
      <c r="O9" s="76" t="s">
        <v>535</v>
      </c>
      <c r="P9" s="76" t="s">
        <v>536</v>
      </c>
    </row>
    <row r="10" spans="1:16" ht="12.75" customHeight="1" x14ac:dyDescent="0.2">
      <c r="B10" s="76" t="s">
        <v>547</v>
      </c>
      <c r="C10" s="76">
        <f t="shared" si="0"/>
        <v>4.0000000000000001E-8</v>
      </c>
      <c r="D10" s="76">
        <v>1</v>
      </c>
      <c r="E10" s="76" t="s">
        <v>137</v>
      </c>
      <c r="F10" s="76" t="s">
        <v>168</v>
      </c>
      <c r="G10" s="76" t="s">
        <v>169</v>
      </c>
      <c r="H10" s="76" t="s">
        <v>170</v>
      </c>
      <c r="I10" s="76">
        <f t="shared" si="1"/>
        <v>0</v>
      </c>
      <c r="J10" s="76">
        <f t="shared" si="2"/>
        <v>0</v>
      </c>
      <c r="K10" s="76" t="s">
        <v>535</v>
      </c>
      <c r="L10" s="76">
        <f t="shared" si="3"/>
        <v>4.0000000000000001E-8</v>
      </c>
      <c r="M10" s="76" t="s">
        <v>172</v>
      </c>
      <c r="N10" s="76">
        <f>0.95*C10</f>
        <v>3.7999999999999996E-8</v>
      </c>
      <c r="O10" s="76" t="s">
        <v>535</v>
      </c>
      <c r="P10" s="76" t="s">
        <v>536</v>
      </c>
    </row>
    <row r="11" spans="1:16" ht="12.75" customHeight="1" x14ac:dyDescent="0.2">
      <c r="B11" s="76" t="s">
        <v>547</v>
      </c>
      <c r="C11" s="76">
        <f t="shared" si="0"/>
        <v>4.0000000000000001E-8</v>
      </c>
      <c r="D11" s="76">
        <v>1</v>
      </c>
      <c r="E11" s="76" t="s">
        <v>127</v>
      </c>
      <c r="F11" s="76" t="s">
        <v>168</v>
      </c>
      <c r="G11" s="76" t="s">
        <v>169</v>
      </c>
      <c r="H11" s="76" t="s">
        <v>170</v>
      </c>
      <c r="I11" s="76">
        <f t="shared" si="1"/>
        <v>0</v>
      </c>
      <c r="J11" s="76">
        <f t="shared" si="2"/>
        <v>0</v>
      </c>
      <c r="K11" s="76" t="s">
        <v>535</v>
      </c>
      <c r="L11" s="76">
        <f t="shared" si="3"/>
        <v>4.0000000000000001E-8</v>
      </c>
      <c r="M11" s="76" t="s">
        <v>172</v>
      </c>
      <c r="N11" s="76">
        <f t="shared" ref="N11:N25" si="5">0.95*C11</f>
        <v>3.7999999999999996E-8</v>
      </c>
      <c r="O11" s="76" t="s">
        <v>535</v>
      </c>
      <c r="P11" s="76" t="s">
        <v>536</v>
      </c>
    </row>
    <row r="12" spans="1:16" ht="12.75" customHeight="1" x14ac:dyDescent="0.2">
      <c r="B12" s="76" t="s">
        <v>547</v>
      </c>
      <c r="C12" s="76">
        <f t="shared" si="0"/>
        <v>4.0000000000000001E-8</v>
      </c>
      <c r="D12" s="76">
        <v>1</v>
      </c>
      <c r="E12" s="76" t="s">
        <v>126</v>
      </c>
      <c r="F12" s="76" t="s">
        <v>168</v>
      </c>
      <c r="G12" s="76" t="s">
        <v>169</v>
      </c>
      <c r="H12" s="76" t="s">
        <v>170</v>
      </c>
      <c r="I12" s="76">
        <f t="shared" si="1"/>
        <v>0</v>
      </c>
      <c r="J12" s="76">
        <f t="shared" si="2"/>
        <v>0</v>
      </c>
      <c r="K12" s="76" t="s">
        <v>535</v>
      </c>
      <c r="L12" s="76">
        <f t="shared" si="3"/>
        <v>4.0000000000000001E-8</v>
      </c>
      <c r="M12" s="76" t="s">
        <v>172</v>
      </c>
      <c r="N12" s="76">
        <f t="shared" si="5"/>
        <v>3.7999999999999996E-8</v>
      </c>
      <c r="O12" s="76" t="s">
        <v>535</v>
      </c>
      <c r="P12" s="76" t="s">
        <v>536</v>
      </c>
    </row>
    <row r="13" spans="1:16" ht="12.75" customHeight="1" x14ac:dyDescent="0.2">
      <c r="B13" s="76" t="s">
        <v>547</v>
      </c>
      <c r="C13" s="76">
        <f t="shared" si="0"/>
        <v>4.0000000000000001E-8</v>
      </c>
      <c r="D13" s="76">
        <v>1</v>
      </c>
      <c r="E13" s="76" t="s">
        <v>125</v>
      </c>
      <c r="F13" s="76" t="s">
        <v>168</v>
      </c>
      <c r="G13" s="76" t="s">
        <v>169</v>
      </c>
      <c r="H13" s="76" t="s">
        <v>170</v>
      </c>
      <c r="I13" s="76">
        <f t="shared" si="1"/>
        <v>0</v>
      </c>
      <c r="J13" s="76">
        <f t="shared" si="2"/>
        <v>0</v>
      </c>
      <c r="K13" s="76" t="s">
        <v>535</v>
      </c>
      <c r="L13" s="76">
        <f t="shared" si="3"/>
        <v>4.0000000000000001E-8</v>
      </c>
      <c r="M13" s="76" t="s">
        <v>172</v>
      </c>
      <c r="N13" s="76">
        <f t="shared" si="5"/>
        <v>3.7999999999999996E-8</v>
      </c>
      <c r="O13" s="76" t="s">
        <v>535</v>
      </c>
      <c r="P13" s="76" t="s">
        <v>536</v>
      </c>
    </row>
    <row r="14" spans="1:16" ht="12.75" customHeight="1" x14ac:dyDescent="0.2">
      <c r="B14" s="76" t="s">
        <v>547</v>
      </c>
      <c r="C14" s="76">
        <f t="shared" si="0"/>
        <v>4.0000000000000001E-8</v>
      </c>
      <c r="D14" s="76">
        <v>1</v>
      </c>
      <c r="E14" s="76" t="s">
        <v>124</v>
      </c>
      <c r="F14" s="76" t="s">
        <v>168</v>
      </c>
      <c r="G14" s="76" t="s">
        <v>169</v>
      </c>
      <c r="H14" s="76" t="s">
        <v>170</v>
      </c>
      <c r="I14" s="76">
        <f t="shared" si="1"/>
        <v>0</v>
      </c>
      <c r="J14" s="76">
        <f t="shared" si="2"/>
        <v>0</v>
      </c>
      <c r="K14" s="76" t="s">
        <v>535</v>
      </c>
      <c r="L14" s="76">
        <f t="shared" si="3"/>
        <v>4.0000000000000001E-8</v>
      </c>
      <c r="M14" s="76" t="s">
        <v>172</v>
      </c>
      <c r="N14" s="76">
        <f t="shared" si="5"/>
        <v>3.7999999999999996E-8</v>
      </c>
      <c r="O14" s="76" t="s">
        <v>535</v>
      </c>
      <c r="P14" s="76" t="s">
        <v>536</v>
      </c>
    </row>
    <row r="15" spans="1:16" ht="12.75" customHeight="1" x14ac:dyDescent="0.2">
      <c r="B15" s="76" t="s">
        <v>547</v>
      </c>
      <c r="C15" s="76">
        <f t="shared" si="0"/>
        <v>4.0000000000000001E-8</v>
      </c>
      <c r="D15" s="76">
        <v>1</v>
      </c>
      <c r="E15" s="76" t="s">
        <v>123</v>
      </c>
      <c r="F15" s="76" t="s">
        <v>168</v>
      </c>
      <c r="G15" s="76" t="s">
        <v>169</v>
      </c>
      <c r="H15" s="76" t="s">
        <v>170</v>
      </c>
      <c r="I15" s="76">
        <f t="shared" si="1"/>
        <v>0</v>
      </c>
      <c r="J15" s="76">
        <f t="shared" si="2"/>
        <v>0</v>
      </c>
      <c r="K15" s="76" t="s">
        <v>535</v>
      </c>
      <c r="L15" s="76">
        <f t="shared" si="3"/>
        <v>4.0000000000000001E-8</v>
      </c>
      <c r="M15" s="76" t="s">
        <v>172</v>
      </c>
      <c r="N15" s="76">
        <f t="shared" si="5"/>
        <v>3.7999999999999996E-8</v>
      </c>
      <c r="O15" s="76" t="s">
        <v>535</v>
      </c>
      <c r="P15" s="76" t="s">
        <v>536</v>
      </c>
    </row>
    <row r="16" spans="1:16" ht="12.75" customHeight="1" x14ac:dyDescent="0.2">
      <c r="B16" s="76" t="s">
        <v>547</v>
      </c>
      <c r="C16" s="76">
        <f t="shared" si="0"/>
        <v>4.0000000000000001E-8</v>
      </c>
      <c r="D16" s="76">
        <v>1</v>
      </c>
      <c r="E16" s="76" t="s">
        <v>122</v>
      </c>
      <c r="F16" s="76" t="s">
        <v>168</v>
      </c>
      <c r="G16" s="76" t="s">
        <v>169</v>
      </c>
      <c r="H16" s="76" t="s">
        <v>170</v>
      </c>
      <c r="I16" s="76">
        <f t="shared" si="1"/>
        <v>0</v>
      </c>
      <c r="J16" s="76">
        <f t="shared" si="2"/>
        <v>0</v>
      </c>
      <c r="K16" s="76" t="s">
        <v>535</v>
      </c>
      <c r="L16" s="76">
        <f t="shared" si="3"/>
        <v>4.0000000000000001E-8</v>
      </c>
      <c r="M16" s="76" t="s">
        <v>172</v>
      </c>
      <c r="N16" s="76">
        <f t="shared" si="5"/>
        <v>3.7999999999999996E-8</v>
      </c>
      <c r="O16" s="76" t="s">
        <v>535</v>
      </c>
      <c r="P16" s="76" t="s">
        <v>536</v>
      </c>
    </row>
    <row r="17" spans="2:16" ht="12.75" customHeight="1" x14ac:dyDescent="0.2">
      <c r="B17" s="76" t="s">
        <v>547</v>
      </c>
      <c r="C17" s="76">
        <f t="shared" si="0"/>
        <v>4.0000000000000001E-8</v>
      </c>
      <c r="D17" s="76">
        <v>1</v>
      </c>
      <c r="E17" s="76" t="s">
        <v>136</v>
      </c>
      <c r="F17" s="76" t="s">
        <v>168</v>
      </c>
      <c r="G17" s="76" t="s">
        <v>169</v>
      </c>
      <c r="H17" s="76" t="s">
        <v>170</v>
      </c>
      <c r="I17" s="76">
        <f t="shared" si="1"/>
        <v>0</v>
      </c>
      <c r="J17" s="76">
        <f t="shared" si="2"/>
        <v>0</v>
      </c>
      <c r="K17" s="76" t="s">
        <v>535</v>
      </c>
      <c r="L17" s="76">
        <f t="shared" si="3"/>
        <v>4.0000000000000001E-8</v>
      </c>
      <c r="M17" s="76" t="s">
        <v>172</v>
      </c>
      <c r="N17" s="76">
        <f t="shared" si="5"/>
        <v>3.7999999999999996E-8</v>
      </c>
      <c r="O17" s="76" t="s">
        <v>535</v>
      </c>
      <c r="P17" s="76" t="s">
        <v>536</v>
      </c>
    </row>
    <row r="18" spans="2:16" ht="12.75" customHeight="1" x14ac:dyDescent="0.2">
      <c r="B18" s="76" t="s">
        <v>547</v>
      </c>
      <c r="C18" s="76">
        <f t="shared" si="0"/>
        <v>4.0000000000000001E-8</v>
      </c>
      <c r="D18" s="76">
        <v>1</v>
      </c>
      <c r="E18" s="76" t="s">
        <v>135</v>
      </c>
      <c r="F18" s="76" t="s">
        <v>168</v>
      </c>
      <c r="G18" s="76" t="s">
        <v>169</v>
      </c>
      <c r="H18" s="76" t="s">
        <v>170</v>
      </c>
      <c r="I18" s="76">
        <f t="shared" si="1"/>
        <v>0</v>
      </c>
      <c r="J18" s="76">
        <f t="shared" si="2"/>
        <v>0</v>
      </c>
      <c r="K18" s="76" t="s">
        <v>535</v>
      </c>
      <c r="L18" s="76">
        <f t="shared" si="3"/>
        <v>4.0000000000000001E-8</v>
      </c>
      <c r="M18" s="76" t="s">
        <v>172</v>
      </c>
      <c r="N18" s="76">
        <f t="shared" si="5"/>
        <v>3.7999999999999996E-8</v>
      </c>
      <c r="O18" s="76" t="s">
        <v>535</v>
      </c>
      <c r="P18" s="76" t="s">
        <v>536</v>
      </c>
    </row>
    <row r="19" spans="2:16" ht="12.75" customHeight="1" x14ac:dyDescent="0.2">
      <c r="B19" s="76" t="s">
        <v>547</v>
      </c>
      <c r="C19" s="76">
        <f t="shared" si="0"/>
        <v>4.0000000000000001E-8</v>
      </c>
      <c r="D19" s="76">
        <v>1</v>
      </c>
      <c r="E19" s="76" t="s">
        <v>134</v>
      </c>
      <c r="F19" s="76" t="s">
        <v>168</v>
      </c>
      <c r="G19" s="76" t="s">
        <v>169</v>
      </c>
      <c r="H19" s="76" t="s">
        <v>170</v>
      </c>
      <c r="I19" s="76">
        <f t="shared" si="1"/>
        <v>0</v>
      </c>
      <c r="J19" s="76">
        <f t="shared" si="2"/>
        <v>0</v>
      </c>
      <c r="K19" s="76" t="s">
        <v>535</v>
      </c>
      <c r="L19" s="76">
        <f t="shared" si="3"/>
        <v>4.0000000000000001E-8</v>
      </c>
      <c r="M19" s="76" t="s">
        <v>172</v>
      </c>
      <c r="N19" s="76">
        <f t="shared" si="5"/>
        <v>3.7999999999999996E-8</v>
      </c>
      <c r="O19" s="76" t="s">
        <v>535</v>
      </c>
      <c r="P19" s="76" t="s">
        <v>536</v>
      </c>
    </row>
    <row r="20" spans="2:16" ht="12.75" customHeight="1" x14ac:dyDescent="0.2">
      <c r="B20" s="76" t="s">
        <v>547</v>
      </c>
      <c r="C20" s="76">
        <f t="shared" si="0"/>
        <v>4.0000000000000001E-8</v>
      </c>
      <c r="D20" s="76">
        <v>1</v>
      </c>
      <c r="E20" s="76" t="s">
        <v>133</v>
      </c>
      <c r="F20" s="76" t="s">
        <v>168</v>
      </c>
      <c r="G20" s="76" t="s">
        <v>169</v>
      </c>
      <c r="H20" s="76" t="s">
        <v>170</v>
      </c>
      <c r="I20" s="76">
        <f t="shared" si="1"/>
        <v>0</v>
      </c>
      <c r="J20" s="76">
        <f t="shared" si="2"/>
        <v>0</v>
      </c>
      <c r="K20" s="76" t="s">
        <v>535</v>
      </c>
      <c r="L20" s="76">
        <f t="shared" si="3"/>
        <v>4.0000000000000001E-8</v>
      </c>
      <c r="M20" s="76" t="s">
        <v>172</v>
      </c>
      <c r="N20" s="76">
        <f t="shared" si="5"/>
        <v>3.7999999999999996E-8</v>
      </c>
      <c r="O20" s="76" t="s">
        <v>535</v>
      </c>
      <c r="P20" s="76" t="s">
        <v>536</v>
      </c>
    </row>
    <row r="21" spans="2:16" ht="12.75" customHeight="1" x14ac:dyDescent="0.2">
      <c r="B21" s="76" t="s">
        <v>547</v>
      </c>
      <c r="C21" s="76">
        <f t="shared" si="0"/>
        <v>4.0000000000000001E-8</v>
      </c>
      <c r="D21" s="76">
        <v>1</v>
      </c>
      <c r="E21" s="76" t="s">
        <v>132</v>
      </c>
      <c r="F21" s="76" t="s">
        <v>168</v>
      </c>
      <c r="G21" s="76" t="s">
        <v>169</v>
      </c>
      <c r="H21" s="76" t="s">
        <v>170</v>
      </c>
      <c r="I21" s="76">
        <f t="shared" si="1"/>
        <v>0</v>
      </c>
      <c r="J21" s="76">
        <f t="shared" si="2"/>
        <v>0</v>
      </c>
      <c r="K21" s="76" t="s">
        <v>535</v>
      </c>
      <c r="L21" s="76">
        <f t="shared" si="3"/>
        <v>4.0000000000000001E-8</v>
      </c>
      <c r="M21" s="76" t="s">
        <v>172</v>
      </c>
      <c r="N21" s="76">
        <f t="shared" si="5"/>
        <v>3.7999999999999996E-8</v>
      </c>
      <c r="O21" s="76" t="s">
        <v>535</v>
      </c>
      <c r="P21" s="76" t="s">
        <v>536</v>
      </c>
    </row>
    <row r="22" spans="2:16" ht="12.75" customHeight="1" x14ac:dyDescent="0.2">
      <c r="B22" s="76" t="s">
        <v>547</v>
      </c>
      <c r="C22" s="76">
        <f t="shared" si="0"/>
        <v>4.0000000000000001E-8</v>
      </c>
      <c r="D22" s="76">
        <v>1</v>
      </c>
      <c r="E22" s="76" t="s">
        <v>131</v>
      </c>
      <c r="F22" s="76" t="s">
        <v>168</v>
      </c>
      <c r="G22" s="76" t="s">
        <v>169</v>
      </c>
      <c r="H22" s="76" t="s">
        <v>170</v>
      </c>
      <c r="I22" s="76">
        <f t="shared" si="1"/>
        <v>0</v>
      </c>
      <c r="J22" s="76">
        <f t="shared" si="2"/>
        <v>0</v>
      </c>
      <c r="K22" s="76" t="s">
        <v>535</v>
      </c>
      <c r="L22" s="76">
        <f t="shared" si="3"/>
        <v>4.0000000000000001E-8</v>
      </c>
      <c r="M22" s="76" t="s">
        <v>172</v>
      </c>
      <c r="N22" s="76">
        <f t="shared" si="5"/>
        <v>3.7999999999999996E-8</v>
      </c>
      <c r="O22" s="76" t="s">
        <v>535</v>
      </c>
      <c r="P22" s="76" t="s">
        <v>536</v>
      </c>
    </row>
    <row r="23" spans="2:16" ht="12.75" customHeight="1" x14ac:dyDescent="0.2">
      <c r="B23" s="76" t="s">
        <v>547</v>
      </c>
      <c r="C23" s="76">
        <f t="shared" si="0"/>
        <v>4.0000000000000001E-8</v>
      </c>
      <c r="D23" s="76">
        <v>1</v>
      </c>
      <c r="E23" s="76" t="s">
        <v>130</v>
      </c>
      <c r="F23" s="76" t="s">
        <v>168</v>
      </c>
      <c r="G23" s="76" t="s">
        <v>169</v>
      </c>
      <c r="H23" s="76" t="s">
        <v>170</v>
      </c>
      <c r="I23" s="76">
        <f t="shared" si="1"/>
        <v>0</v>
      </c>
      <c r="J23" s="76">
        <f t="shared" si="2"/>
        <v>0</v>
      </c>
      <c r="K23" s="76" t="s">
        <v>535</v>
      </c>
      <c r="L23" s="76">
        <f t="shared" si="3"/>
        <v>4.0000000000000001E-8</v>
      </c>
      <c r="M23" s="76" t="s">
        <v>172</v>
      </c>
      <c r="N23" s="76">
        <f t="shared" si="5"/>
        <v>3.7999999999999996E-8</v>
      </c>
      <c r="O23" s="76" t="s">
        <v>535</v>
      </c>
      <c r="P23" s="76" t="s">
        <v>536</v>
      </c>
    </row>
    <row r="24" spans="2:16" ht="12.75" customHeight="1" x14ac:dyDescent="0.2">
      <c r="B24" s="76" t="s">
        <v>547</v>
      </c>
      <c r="C24" s="76">
        <f t="shared" si="0"/>
        <v>4.0000000000000001E-8</v>
      </c>
      <c r="D24" s="76">
        <v>1</v>
      </c>
      <c r="E24" s="76" t="s">
        <v>129</v>
      </c>
      <c r="F24" s="76" t="s">
        <v>168</v>
      </c>
      <c r="G24" s="76" t="s">
        <v>169</v>
      </c>
      <c r="H24" s="76" t="s">
        <v>170</v>
      </c>
      <c r="I24" s="76">
        <f t="shared" si="1"/>
        <v>0</v>
      </c>
      <c r="J24" s="76">
        <f t="shared" si="2"/>
        <v>0</v>
      </c>
      <c r="K24" s="76" t="s">
        <v>535</v>
      </c>
      <c r="L24" s="76">
        <f t="shared" si="3"/>
        <v>4.0000000000000001E-8</v>
      </c>
      <c r="M24" s="76" t="s">
        <v>172</v>
      </c>
      <c r="N24" s="76">
        <f t="shared" si="5"/>
        <v>3.7999999999999996E-8</v>
      </c>
      <c r="O24" s="76" t="s">
        <v>535</v>
      </c>
      <c r="P24" s="76" t="s">
        <v>536</v>
      </c>
    </row>
    <row r="25" spans="2:16" ht="12.75" customHeight="1" x14ac:dyDescent="0.2">
      <c r="B25" s="76" t="s">
        <v>547</v>
      </c>
      <c r="C25" s="76">
        <f t="shared" si="0"/>
        <v>4.0000000000000001E-8</v>
      </c>
      <c r="D25" s="76">
        <v>1</v>
      </c>
      <c r="E25" s="76" t="s">
        <v>128</v>
      </c>
      <c r="F25" s="76" t="s">
        <v>168</v>
      </c>
      <c r="G25" s="76" t="s">
        <v>169</v>
      </c>
      <c r="H25" s="76" t="s">
        <v>170</v>
      </c>
      <c r="I25" s="76">
        <f t="shared" si="1"/>
        <v>0</v>
      </c>
      <c r="J25" s="76">
        <f t="shared" si="2"/>
        <v>0</v>
      </c>
      <c r="K25" s="76" t="s">
        <v>535</v>
      </c>
      <c r="L25" s="76">
        <f t="shared" si="3"/>
        <v>4.0000000000000001E-8</v>
      </c>
      <c r="M25" s="76" t="s">
        <v>172</v>
      </c>
      <c r="N25" s="76">
        <f t="shared" si="5"/>
        <v>3.7999999999999996E-8</v>
      </c>
      <c r="O25" s="76" t="s">
        <v>535</v>
      </c>
      <c r="P25" s="76" t="s">
        <v>536</v>
      </c>
    </row>
    <row r="26" spans="2:16" ht="12.75" customHeight="1" x14ac:dyDescent="0.2">
      <c r="B26" s="76" t="s">
        <v>547</v>
      </c>
      <c r="C26" s="76">
        <f t="shared" si="0"/>
        <v>4.0000000000000001E-8</v>
      </c>
      <c r="D26" s="76">
        <v>1</v>
      </c>
      <c r="E26" s="76" t="s">
        <v>98</v>
      </c>
      <c r="F26" s="76" t="s">
        <v>168</v>
      </c>
      <c r="G26" s="76" t="s">
        <v>169</v>
      </c>
      <c r="H26" s="76" t="s">
        <v>170</v>
      </c>
      <c r="I26" s="76">
        <f t="shared" si="1"/>
        <v>0</v>
      </c>
      <c r="J26" s="76">
        <f t="shared" si="2"/>
        <v>0</v>
      </c>
      <c r="K26" s="76" t="s">
        <v>535</v>
      </c>
      <c r="L26" s="76">
        <f t="shared" si="3"/>
        <v>4.0000000000000001E-8</v>
      </c>
      <c r="M26" s="76" t="s">
        <v>163</v>
      </c>
      <c r="N26" s="76">
        <f>0*C26</f>
        <v>0</v>
      </c>
      <c r="O26" s="76" t="s">
        <v>535</v>
      </c>
      <c r="P26" s="76" t="s">
        <v>536</v>
      </c>
    </row>
    <row r="27" spans="2:16" ht="12.75" customHeight="1" x14ac:dyDescent="0.2">
      <c r="B27" s="76" t="s">
        <v>547</v>
      </c>
      <c r="C27" s="76">
        <f t="shared" si="0"/>
        <v>4.0000000000000001E-8</v>
      </c>
      <c r="D27" s="76">
        <v>1</v>
      </c>
      <c r="E27" s="76" t="s">
        <v>99</v>
      </c>
      <c r="F27" s="76" t="s">
        <v>168</v>
      </c>
      <c r="G27" s="76" t="s">
        <v>169</v>
      </c>
      <c r="H27" s="76" t="s">
        <v>170</v>
      </c>
      <c r="I27" s="76">
        <f t="shared" si="1"/>
        <v>0</v>
      </c>
      <c r="J27" s="76">
        <f t="shared" si="2"/>
        <v>0</v>
      </c>
      <c r="K27" s="76" t="s">
        <v>535</v>
      </c>
      <c r="L27" s="76">
        <f t="shared" si="3"/>
        <v>4.0000000000000001E-8</v>
      </c>
      <c r="M27" s="76" t="s">
        <v>172</v>
      </c>
      <c r="N27" s="76">
        <f>0.95*C27</f>
        <v>3.7999999999999996E-8</v>
      </c>
      <c r="O27" s="76" t="s">
        <v>535</v>
      </c>
      <c r="P27" s="76" t="s">
        <v>536</v>
      </c>
    </row>
    <row r="28" spans="2:16" ht="12.75" customHeight="1" x14ac:dyDescent="0.2">
      <c r="B28" s="76" t="s">
        <v>547</v>
      </c>
      <c r="C28" s="76">
        <f t="shared" si="0"/>
        <v>4.0000000000000001E-8</v>
      </c>
      <c r="D28" s="76">
        <v>1</v>
      </c>
      <c r="E28" s="76" t="s">
        <v>898</v>
      </c>
      <c r="F28" s="76" t="s">
        <v>168</v>
      </c>
      <c r="G28" s="76" t="s">
        <v>169</v>
      </c>
      <c r="H28" s="76" t="s">
        <v>170</v>
      </c>
      <c r="I28" s="76">
        <f t="shared" si="1"/>
        <v>0</v>
      </c>
      <c r="J28" s="76">
        <f t="shared" si="2"/>
        <v>0</v>
      </c>
      <c r="K28" s="76" t="s">
        <v>535</v>
      </c>
      <c r="L28" s="76">
        <f t="shared" si="3"/>
        <v>4.0000000000000001E-8</v>
      </c>
      <c r="M28" s="76" t="s">
        <v>163</v>
      </c>
      <c r="N28" s="76">
        <f>0*C28</f>
        <v>0</v>
      </c>
      <c r="O28" s="76" t="s">
        <v>535</v>
      </c>
      <c r="P28" s="76" t="s">
        <v>536</v>
      </c>
    </row>
    <row r="29" spans="2:16" ht="12.75" customHeight="1" x14ac:dyDescent="0.2">
      <c r="B29" s="76" t="s">
        <v>547</v>
      </c>
      <c r="C29" s="76">
        <f t="shared" si="0"/>
        <v>4.0000000000000001E-8</v>
      </c>
      <c r="D29" s="76">
        <v>1</v>
      </c>
      <c r="E29" s="76" t="s">
        <v>899</v>
      </c>
      <c r="F29" s="76" t="s">
        <v>168</v>
      </c>
      <c r="G29" s="76" t="s">
        <v>169</v>
      </c>
      <c r="H29" s="76" t="s">
        <v>170</v>
      </c>
      <c r="I29" s="76">
        <f t="shared" si="1"/>
        <v>0</v>
      </c>
      <c r="J29" s="76">
        <f t="shared" si="2"/>
        <v>0</v>
      </c>
      <c r="K29" s="76" t="s">
        <v>535</v>
      </c>
      <c r="L29" s="76">
        <f t="shared" si="3"/>
        <v>4.0000000000000001E-8</v>
      </c>
      <c r="M29" s="76" t="s">
        <v>163</v>
      </c>
      <c r="N29" s="76">
        <f t="shared" ref="N29:N37" si="6">0*C29</f>
        <v>0</v>
      </c>
      <c r="O29" s="76" t="s">
        <v>535</v>
      </c>
      <c r="P29" s="76" t="s">
        <v>536</v>
      </c>
    </row>
    <row r="30" spans="2:16" ht="12.75" customHeight="1" x14ac:dyDescent="0.2">
      <c r="B30" s="76" t="s">
        <v>547</v>
      </c>
      <c r="C30" s="76">
        <f t="shared" si="0"/>
        <v>4.0000000000000001E-8</v>
      </c>
      <c r="D30" s="76">
        <v>1</v>
      </c>
      <c r="E30" s="76" t="s">
        <v>900</v>
      </c>
      <c r="F30" s="76" t="s">
        <v>168</v>
      </c>
      <c r="G30" s="76" t="s">
        <v>169</v>
      </c>
      <c r="H30" s="76" t="s">
        <v>170</v>
      </c>
      <c r="I30" s="76">
        <f t="shared" si="1"/>
        <v>0</v>
      </c>
      <c r="J30" s="76">
        <f t="shared" si="2"/>
        <v>0</v>
      </c>
      <c r="K30" s="76" t="s">
        <v>535</v>
      </c>
      <c r="L30" s="76">
        <f t="shared" si="3"/>
        <v>4.0000000000000001E-8</v>
      </c>
      <c r="M30" s="76" t="s">
        <v>163</v>
      </c>
      <c r="N30" s="76">
        <f t="shared" si="6"/>
        <v>0</v>
      </c>
      <c r="O30" s="76" t="s">
        <v>535</v>
      </c>
      <c r="P30" s="76" t="s">
        <v>536</v>
      </c>
    </row>
    <row r="31" spans="2:16" ht="12.75" customHeight="1" x14ac:dyDescent="0.2">
      <c r="B31" s="76" t="s">
        <v>547</v>
      </c>
      <c r="C31" s="76">
        <f t="shared" si="0"/>
        <v>4.0000000000000001E-8</v>
      </c>
      <c r="D31" s="76">
        <v>1</v>
      </c>
      <c r="E31" s="76" t="s">
        <v>901</v>
      </c>
      <c r="F31" s="76" t="s">
        <v>168</v>
      </c>
      <c r="G31" s="76" t="s">
        <v>169</v>
      </c>
      <c r="H31" s="76" t="s">
        <v>170</v>
      </c>
      <c r="I31" s="76">
        <f t="shared" si="1"/>
        <v>0</v>
      </c>
      <c r="J31" s="76">
        <f t="shared" si="2"/>
        <v>0</v>
      </c>
      <c r="K31" s="76" t="s">
        <v>535</v>
      </c>
      <c r="L31" s="76">
        <f t="shared" si="3"/>
        <v>4.0000000000000001E-8</v>
      </c>
      <c r="M31" s="76" t="s">
        <v>163</v>
      </c>
      <c r="N31" s="76">
        <f t="shared" si="6"/>
        <v>0</v>
      </c>
      <c r="O31" s="76" t="s">
        <v>535</v>
      </c>
      <c r="P31" s="76" t="s">
        <v>536</v>
      </c>
    </row>
    <row r="32" spans="2:16" ht="12.75" customHeight="1" x14ac:dyDescent="0.2">
      <c r="B32" s="76" t="s">
        <v>547</v>
      </c>
      <c r="C32" s="76">
        <f t="shared" si="0"/>
        <v>4.0000000000000001E-8</v>
      </c>
      <c r="D32" s="76">
        <v>1</v>
      </c>
      <c r="E32" s="76" t="s">
        <v>902</v>
      </c>
      <c r="F32" s="76" t="s">
        <v>168</v>
      </c>
      <c r="G32" s="76" t="s">
        <v>169</v>
      </c>
      <c r="H32" s="76" t="s">
        <v>170</v>
      </c>
      <c r="I32" s="76">
        <f t="shared" si="1"/>
        <v>0</v>
      </c>
      <c r="J32" s="76">
        <f t="shared" si="2"/>
        <v>0</v>
      </c>
      <c r="K32" s="76" t="s">
        <v>535</v>
      </c>
      <c r="L32" s="76">
        <f t="shared" si="3"/>
        <v>4.0000000000000001E-8</v>
      </c>
      <c r="M32" s="76" t="s">
        <v>163</v>
      </c>
      <c r="N32" s="76">
        <f t="shared" si="6"/>
        <v>0</v>
      </c>
      <c r="O32" s="76" t="s">
        <v>535</v>
      </c>
      <c r="P32" s="76" t="s">
        <v>536</v>
      </c>
    </row>
    <row r="33" spans="2:16" ht="12.75" customHeight="1" x14ac:dyDescent="0.2">
      <c r="B33" s="76" t="s">
        <v>547</v>
      </c>
      <c r="C33" s="76">
        <f t="shared" si="0"/>
        <v>4.0000000000000001E-8</v>
      </c>
      <c r="D33" s="76">
        <v>1</v>
      </c>
      <c r="E33" s="76" t="s">
        <v>903</v>
      </c>
      <c r="F33" s="76" t="s">
        <v>168</v>
      </c>
      <c r="G33" s="76" t="s">
        <v>169</v>
      </c>
      <c r="H33" s="76" t="s">
        <v>170</v>
      </c>
      <c r="I33" s="76">
        <f t="shared" si="1"/>
        <v>0</v>
      </c>
      <c r="J33" s="76">
        <f t="shared" si="2"/>
        <v>0</v>
      </c>
      <c r="K33" s="76" t="s">
        <v>535</v>
      </c>
      <c r="L33" s="76">
        <f t="shared" si="3"/>
        <v>4.0000000000000001E-8</v>
      </c>
      <c r="M33" s="76" t="s">
        <v>163</v>
      </c>
      <c r="N33" s="76">
        <f t="shared" si="6"/>
        <v>0</v>
      </c>
      <c r="O33" s="76" t="s">
        <v>535</v>
      </c>
      <c r="P33" s="76" t="s">
        <v>536</v>
      </c>
    </row>
    <row r="34" spans="2:16" ht="12.75" customHeight="1" x14ac:dyDescent="0.2">
      <c r="B34" s="76" t="s">
        <v>547</v>
      </c>
      <c r="C34" s="76">
        <f t="shared" si="0"/>
        <v>4.0000000000000001E-8</v>
      </c>
      <c r="D34" s="76">
        <v>1</v>
      </c>
      <c r="E34" s="76" t="s">
        <v>904</v>
      </c>
      <c r="F34" s="76" t="s">
        <v>168</v>
      </c>
      <c r="G34" s="76" t="s">
        <v>169</v>
      </c>
      <c r="H34" s="76" t="s">
        <v>170</v>
      </c>
      <c r="I34" s="76">
        <f t="shared" si="1"/>
        <v>0</v>
      </c>
      <c r="J34" s="76">
        <f t="shared" si="2"/>
        <v>0</v>
      </c>
      <c r="K34" s="76" t="s">
        <v>535</v>
      </c>
      <c r="L34" s="76">
        <f t="shared" si="3"/>
        <v>4.0000000000000001E-8</v>
      </c>
      <c r="M34" s="76" t="s">
        <v>163</v>
      </c>
      <c r="N34" s="76">
        <f t="shared" si="6"/>
        <v>0</v>
      </c>
      <c r="O34" s="76" t="s">
        <v>535</v>
      </c>
      <c r="P34" s="76" t="s">
        <v>536</v>
      </c>
    </row>
    <row r="35" spans="2:16" ht="12.75" customHeight="1" x14ac:dyDescent="0.2">
      <c r="B35" s="76" t="s">
        <v>547</v>
      </c>
      <c r="C35" s="76">
        <f t="shared" si="0"/>
        <v>4.0000000000000001E-8</v>
      </c>
      <c r="D35" s="76">
        <v>1</v>
      </c>
      <c r="E35" s="76" t="s">
        <v>905</v>
      </c>
      <c r="F35" s="76" t="s">
        <v>168</v>
      </c>
      <c r="G35" s="76" t="s">
        <v>169</v>
      </c>
      <c r="H35" s="76" t="s">
        <v>170</v>
      </c>
      <c r="I35" s="76">
        <f t="shared" si="1"/>
        <v>0</v>
      </c>
      <c r="J35" s="76">
        <f t="shared" si="2"/>
        <v>0</v>
      </c>
      <c r="K35" s="76" t="s">
        <v>535</v>
      </c>
      <c r="L35" s="76">
        <f t="shared" si="3"/>
        <v>4.0000000000000001E-8</v>
      </c>
      <c r="M35" s="76" t="s">
        <v>163</v>
      </c>
      <c r="N35" s="76">
        <f t="shared" si="6"/>
        <v>0</v>
      </c>
      <c r="O35" s="76" t="s">
        <v>535</v>
      </c>
      <c r="P35" s="76" t="s">
        <v>536</v>
      </c>
    </row>
    <row r="36" spans="2:16" ht="12.75" customHeight="1" x14ac:dyDescent="0.2">
      <c r="B36" s="76" t="s">
        <v>547</v>
      </c>
      <c r="C36" s="76">
        <f t="shared" si="0"/>
        <v>4.0000000000000001E-8</v>
      </c>
      <c r="D36" s="76">
        <v>1</v>
      </c>
      <c r="E36" s="76" t="s">
        <v>906</v>
      </c>
      <c r="F36" s="76" t="s">
        <v>168</v>
      </c>
      <c r="G36" s="76" t="s">
        <v>169</v>
      </c>
      <c r="H36" s="76" t="s">
        <v>170</v>
      </c>
      <c r="I36" s="76">
        <f t="shared" si="1"/>
        <v>0</v>
      </c>
      <c r="J36" s="76">
        <f t="shared" si="2"/>
        <v>0</v>
      </c>
      <c r="K36" s="76" t="s">
        <v>535</v>
      </c>
      <c r="L36" s="76">
        <f t="shared" si="3"/>
        <v>4.0000000000000001E-8</v>
      </c>
      <c r="M36" s="76" t="s">
        <v>163</v>
      </c>
      <c r="N36" s="76">
        <f t="shared" si="6"/>
        <v>0</v>
      </c>
      <c r="O36" s="76" t="s">
        <v>535</v>
      </c>
      <c r="P36" s="76" t="s">
        <v>536</v>
      </c>
    </row>
    <row r="37" spans="2:16" ht="12.75" customHeight="1" x14ac:dyDescent="0.2">
      <c r="B37" s="76" t="s">
        <v>547</v>
      </c>
      <c r="C37" s="76">
        <f t="shared" si="0"/>
        <v>4.0000000000000001E-8</v>
      </c>
      <c r="D37" s="76">
        <v>1</v>
      </c>
      <c r="E37" s="76" t="s">
        <v>907</v>
      </c>
      <c r="F37" s="76" t="s">
        <v>168</v>
      </c>
      <c r="G37" s="76" t="s">
        <v>169</v>
      </c>
      <c r="H37" s="76" t="s">
        <v>170</v>
      </c>
      <c r="I37" s="76">
        <f t="shared" si="1"/>
        <v>0</v>
      </c>
      <c r="J37" s="76">
        <f t="shared" si="2"/>
        <v>0</v>
      </c>
      <c r="K37" s="76" t="s">
        <v>535</v>
      </c>
      <c r="L37" s="76">
        <f t="shared" si="3"/>
        <v>4.0000000000000001E-8</v>
      </c>
      <c r="M37" s="76" t="s">
        <v>163</v>
      </c>
      <c r="N37" s="76">
        <f t="shared" si="6"/>
        <v>0</v>
      </c>
      <c r="O37" s="76" t="s">
        <v>535</v>
      </c>
      <c r="P37" s="76" t="s">
        <v>536</v>
      </c>
    </row>
    <row r="38" spans="2:16" ht="12.75" customHeight="1" x14ac:dyDescent="0.2">
      <c r="B38" s="76" t="s">
        <v>547</v>
      </c>
      <c r="C38" s="76">
        <f t="shared" si="0"/>
        <v>4.0000000000000001E-8</v>
      </c>
      <c r="D38" s="76">
        <v>1</v>
      </c>
      <c r="E38" s="76" t="s">
        <v>911</v>
      </c>
      <c r="F38" s="76" t="s">
        <v>168</v>
      </c>
      <c r="G38" s="76" t="s">
        <v>169</v>
      </c>
      <c r="H38" s="76" t="s">
        <v>170</v>
      </c>
      <c r="I38" s="76">
        <f t="shared" si="1"/>
        <v>0</v>
      </c>
      <c r="J38" s="76">
        <f t="shared" si="2"/>
        <v>0</v>
      </c>
      <c r="K38" s="76" t="s">
        <v>535</v>
      </c>
      <c r="L38" s="76">
        <f t="shared" si="3"/>
        <v>4.0000000000000001E-8</v>
      </c>
      <c r="M38" s="76" t="s">
        <v>172</v>
      </c>
      <c r="N38" s="76">
        <f>0.95*C38</f>
        <v>3.7999999999999996E-8</v>
      </c>
      <c r="O38" s="76" t="s">
        <v>535</v>
      </c>
      <c r="P38" s="76" t="s">
        <v>536</v>
      </c>
    </row>
    <row r="39" spans="2:16" ht="12.75" customHeight="1" x14ac:dyDescent="0.2">
      <c r="B39" s="76" t="s">
        <v>547</v>
      </c>
      <c r="C39" s="76">
        <f t="shared" ref="C39:C70" si="7">40*ns</f>
        <v>4.0000000000000001E-8</v>
      </c>
      <c r="D39" s="76">
        <v>1</v>
      </c>
      <c r="E39" s="76" t="s">
        <v>908</v>
      </c>
      <c r="F39" s="76" t="s">
        <v>168</v>
      </c>
      <c r="G39" s="76" t="s">
        <v>169</v>
      </c>
      <c r="H39" s="76" t="s">
        <v>170</v>
      </c>
      <c r="I39" s="76">
        <f t="shared" si="1"/>
        <v>0</v>
      </c>
      <c r="J39" s="76">
        <f t="shared" si="2"/>
        <v>0</v>
      </c>
      <c r="K39" s="76" t="s">
        <v>535</v>
      </c>
      <c r="L39" s="76">
        <f t="shared" si="3"/>
        <v>4.0000000000000001E-8</v>
      </c>
      <c r="M39" s="76" t="s">
        <v>163</v>
      </c>
      <c r="N39" s="76">
        <f>0*C39</f>
        <v>0</v>
      </c>
      <c r="O39" s="76" t="s">
        <v>535</v>
      </c>
      <c r="P39" s="76" t="s">
        <v>536</v>
      </c>
    </row>
    <row r="40" spans="2:16" ht="12.75" customHeight="1" x14ac:dyDescent="0.2">
      <c r="B40" s="76" t="s">
        <v>547</v>
      </c>
      <c r="C40" s="76">
        <f t="shared" si="7"/>
        <v>4.0000000000000001E-8</v>
      </c>
      <c r="D40" s="76">
        <v>1</v>
      </c>
      <c r="E40" s="76" t="s">
        <v>944</v>
      </c>
      <c r="F40" s="76" t="s">
        <v>168</v>
      </c>
      <c r="G40" s="76" t="s">
        <v>169</v>
      </c>
      <c r="H40" s="76" t="s">
        <v>170</v>
      </c>
      <c r="I40" s="76">
        <f t="shared" si="1"/>
        <v>0</v>
      </c>
      <c r="J40" s="76">
        <f t="shared" si="2"/>
        <v>0</v>
      </c>
      <c r="K40" s="76" t="s">
        <v>535</v>
      </c>
      <c r="L40" s="76">
        <f t="shared" si="3"/>
        <v>4.0000000000000001E-8</v>
      </c>
      <c r="M40" s="76" t="s">
        <v>163</v>
      </c>
      <c r="N40" s="76">
        <f t="shared" ref="N40:N74" si="8">0*C40</f>
        <v>0</v>
      </c>
      <c r="O40" s="76" t="s">
        <v>535</v>
      </c>
      <c r="P40" s="76" t="s">
        <v>536</v>
      </c>
    </row>
    <row r="41" spans="2:16" ht="12.75" customHeight="1" x14ac:dyDescent="0.2">
      <c r="B41" s="76" t="s">
        <v>547</v>
      </c>
      <c r="C41" s="76">
        <f t="shared" si="7"/>
        <v>4.0000000000000001E-8</v>
      </c>
      <c r="D41" s="76">
        <v>1</v>
      </c>
      <c r="E41" s="76" t="s">
        <v>934</v>
      </c>
      <c r="F41" s="76" t="s">
        <v>168</v>
      </c>
      <c r="G41" s="76" t="s">
        <v>169</v>
      </c>
      <c r="H41" s="76" t="s">
        <v>170</v>
      </c>
      <c r="I41" s="76">
        <f t="shared" si="1"/>
        <v>0</v>
      </c>
      <c r="J41" s="76">
        <f t="shared" si="2"/>
        <v>0</v>
      </c>
      <c r="K41" s="76" t="s">
        <v>535</v>
      </c>
      <c r="L41" s="76">
        <f t="shared" si="3"/>
        <v>4.0000000000000001E-8</v>
      </c>
      <c r="M41" s="76" t="s">
        <v>163</v>
      </c>
      <c r="N41" s="76">
        <f t="shared" si="8"/>
        <v>0</v>
      </c>
      <c r="O41" s="76" t="s">
        <v>535</v>
      </c>
      <c r="P41" s="76" t="s">
        <v>536</v>
      </c>
    </row>
    <row r="42" spans="2:16" ht="12.75" customHeight="1" x14ac:dyDescent="0.2">
      <c r="B42" s="76" t="s">
        <v>547</v>
      </c>
      <c r="C42" s="76">
        <f t="shared" si="7"/>
        <v>4.0000000000000001E-8</v>
      </c>
      <c r="D42" s="76">
        <v>1</v>
      </c>
      <c r="E42" s="76" t="s">
        <v>933</v>
      </c>
      <c r="F42" s="76" t="s">
        <v>168</v>
      </c>
      <c r="G42" s="76" t="s">
        <v>169</v>
      </c>
      <c r="H42" s="76" t="s">
        <v>170</v>
      </c>
      <c r="I42" s="76">
        <f t="shared" si="1"/>
        <v>0</v>
      </c>
      <c r="J42" s="76">
        <f t="shared" si="2"/>
        <v>0</v>
      </c>
      <c r="K42" s="76" t="s">
        <v>535</v>
      </c>
      <c r="L42" s="76">
        <f t="shared" si="3"/>
        <v>4.0000000000000001E-8</v>
      </c>
      <c r="M42" s="76" t="s">
        <v>163</v>
      </c>
      <c r="N42" s="76">
        <f t="shared" si="8"/>
        <v>0</v>
      </c>
      <c r="O42" s="76" t="s">
        <v>535</v>
      </c>
      <c r="P42" s="76" t="s">
        <v>536</v>
      </c>
    </row>
    <row r="43" spans="2:16" ht="12.75" customHeight="1" x14ac:dyDescent="0.2">
      <c r="B43" s="76" t="s">
        <v>547</v>
      </c>
      <c r="C43" s="76">
        <f t="shared" si="7"/>
        <v>4.0000000000000001E-8</v>
      </c>
      <c r="D43" s="76">
        <v>1</v>
      </c>
      <c r="E43" s="76" t="s">
        <v>932</v>
      </c>
      <c r="F43" s="76" t="s">
        <v>168</v>
      </c>
      <c r="G43" s="76" t="s">
        <v>169</v>
      </c>
      <c r="H43" s="76" t="s">
        <v>170</v>
      </c>
      <c r="I43" s="76">
        <f t="shared" si="1"/>
        <v>0</v>
      </c>
      <c r="J43" s="76">
        <f t="shared" si="2"/>
        <v>0</v>
      </c>
      <c r="K43" s="76" t="s">
        <v>535</v>
      </c>
      <c r="L43" s="76">
        <f t="shared" si="3"/>
        <v>4.0000000000000001E-8</v>
      </c>
      <c r="M43" s="76" t="s">
        <v>163</v>
      </c>
      <c r="N43" s="76">
        <f t="shared" si="8"/>
        <v>0</v>
      </c>
      <c r="O43" s="76" t="s">
        <v>535</v>
      </c>
      <c r="P43" s="76" t="s">
        <v>536</v>
      </c>
    </row>
    <row r="44" spans="2:16" ht="12.75" customHeight="1" x14ac:dyDescent="0.2">
      <c r="B44" s="76" t="s">
        <v>547</v>
      </c>
      <c r="C44" s="76">
        <f t="shared" si="7"/>
        <v>4.0000000000000001E-8</v>
      </c>
      <c r="D44" s="76">
        <v>1</v>
      </c>
      <c r="E44" s="76" t="s">
        <v>931</v>
      </c>
      <c r="F44" s="76" t="s">
        <v>168</v>
      </c>
      <c r="G44" s="76" t="s">
        <v>169</v>
      </c>
      <c r="H44" s="76" t="s">
        <v>170</v>
      </c>
      <c r="I44" s="76">
        <f t="shared" si="1"/>
        <v>0</v>
      </c>
      <c r="J44" s="76">
        <f t="shared" si="2"/>
        <v>0</v>
      </c>
      <c r="K44" s="76" t="s">
        <v>535</v>
      </c>
      <c r="L44" s="76">
        <f t="shared" si="3"/>
        <v>4.0000000000000001E-8</v>
      </c>
      <c r="M44" s="76" t="s">
        <v>163</v>
      </c>
      <c r="N44" s="76">
        <f t="shared" si="8"/>
        <v>0</v>
      </c>
      <c r="O44" s="76" t="s">
        <v>535</v>
      </c>
      <c r="P44" s="76" t="s">
        <v>536</v>
      </c>
    </row>
    <row r="45" spans="2:16" ht="12.75" customHeight="1" x14ac:dyDescent="0.2">
      <c r="B45" s="76" t="s">
        <v>547</v>
      </c>
      <c r="C45" s="76">
        <f t="shared" si="7"/>
        <v>4.0000000000000001E-8</v>
      </c>
      <c r="D45" s="76">
        <v>1</v>
      </c>
      <c r="E45" s="76" t="s">
        <v>930</v>
      </c>
      <c r="F45" s="76" t="s">
        <v>168</v>
      </c>
      <c r="G45" s="76" t="s">
        <v>169</v>
      </c>
      <c r="H45" s="76" t="s">
        <v>170</v>
      </c>
      <c r="I45" s="76">
        <f t="shared" si="1"/>
        <v>0</v>
      </c>
      <c r="J45" s="76">
        <f t="shared" si="2"/>
        <v>0</v>
      </c>
      <c r="K45" s="76" t="s">
        <v>535</v>
      </c>
      <c r="L45" s="76">
        <f t="shared" si="3"/>
        <v>4.0000000000000001E-8</v>
      </c>
      <c r="M45" s="76" t="s">
        <v>163</v>
      </c>
      <c r="N45" s="76">
        <f t="shared" si="8"/>
        <v>0</v>
      </c>
      <c r="O45" s="76" t="s">
        <v>535</v>
      </c>
      <c r="P45" s="76" t="s">
        <v>536</v>
      </c>
    </row>
    <row r="46" spans="2:16" ht="12.75" customHeight="1" x14ac:dyDescent="0.2">
      <c r="B46" s="76" t="s">
        <v>547</v>
      </c>
      <c r="C46" s="76">
        <f t="shared" si="7"/>
        <v>4.0000000000000001E-8</v>
      </c>
      <c r="D46" s="76">
        <v>1</v>
      </c>
      <c r="E46" s="76" t="s">
        <v>929</v>
      </c>
      <c r="F46" s="76" t="s">
        <v>168</v>
      </c>
      <c r="G46" s="76" t="s">
        <v>169</v>
      </c>
      <c r="H46" s="76" t="s">
        <v>170</v>
      </c>
      <c r="I46" s="76">
        <f t="shared" si="1"/>
        <v>0</v>
      </c>
      <c r="J46" s="76">
        <f t="shared" si="2"/>
        <v>0</v>
      </c>
      <c r="K46" s="76" t="s">
        <v>535</v>
      </c>
      <c r="L46" s="76">
        <f t="shared" si="3"/>
        <v>4.0000000000000001E-8</v>
      </c>
      <c r="M46" s="76" t="s">
        <v>163</v>
      </c>
      <c r="N46" s="76">
        <f t="shared" si="8"/>
        <v>0</v>
      </c>
      <c r="O46" s="76" t="s">
        <v>535</v>
      </c>
      <c r="P46" s="76" t="s">
        <v>536</v>
      </c>
    </row>
    <row r="47" spans="2:16" ht="12.75" customHeight="1" x14ac:dyDescent="0.2">
      <c r="B47" s="76" t="s">
        <v>547</v>
      </c>
      <c r="C47" s="76">
        <f t="shared" si="7"/>
        <v>4.0000000000000001E-8</v>
      </c>
      <c r="D47" s="76">
        <v>1</v>
      </c>
      <c r="E47" s="76" t="s">
        <v>928</v>
      </c>
      <c r="F47" s="76" t="s">
        <v>168</v>
      </c>
      <c r="G47" s="76" t="s">
        <v>169</v>
      </c>
      <c r="H47" s="76" t="s">
        <v>170</v>
      </c>
      <c r="I47" s="76">
        <f t="shared" si="1"/>
        <v>0</v>
      </c>
      <c r="J47" s="76">
        <f t="shared" si="2"/>
        <v>0</v>
      </c>
      <c r="K47" s="76" t="s">
        <v>535</v>
      </c>
      <c r="L47" s="76">
        <f t="shared" si="3"/>
        <v>4.0000000000000001E-8</v>
      </c>
      <c r="M47" s="76" t="s">
        <v>163</v>
      </c>
      <c r="N47" s="76">
        <f t="shared" si="8"/>
        <v>0</v>
      </c>
      <c r="O47" s="76" t="s">
        <v>535</v>
      </c>
      <c r="P47" s="76" t="s">
        <v>536</v>
      </c>
    </row>
    <row r="48" spans="2:16" ht="12.75" customHeight="1" x14ac:dyDescent="0.2">
      <c r="B48" s="76" t="s">
        <v>547</v>
      </c>
      <c r="C48" s="76">
        <f t="shared" si="7"/>
        <v>4.0000000000000001E-8</v>
      </c>
      <c r="D48" s="76">
        <v>1</v>
      </c>
      <c r="E48" s="76" t="s">
        <v>927</v>
      </c>
      <c r="F48" s="76" t="s">
        <v>168</v>
      </c>
      <c r="G48" s="76" t="s">
        <v>169</v>
      </c>
      <c r="H48" s="76" t="s">
        <v>170</v>
      </c>
      <c r="I48" s="76">
        <f t="shared" si="1"/>
        <v>0</v>
      </c>
      <c r="J48" s="76">
        <f t="shared" si="2"/>
        <v>0</v>
      </c>
      <c r="K48" s="76" t="s">
        <v>535</v>
      </c>
      <c r="L48" s="76">
        <f t="shared" si="3"/>
        <v>4.0000000000000001E-8</v>
      </c>
      <c r="M48" s="76" t="s">
        <v>163</v>
      </c>
      <c r="N48" s="76">
        <f t="shared" si="8"/>
        <v>0</v>
      </c>
      <c r="O48" s="76" t="s">
        <v>535</v>
      </c>
      <c r="P48" s="76" t="s">
        <v>536</v>
      </c>
    </row>
    <row r="49" spans="2:16" ht="12.75" customHeight="1" x14ac:dyDescent="0.2">
      <c r="B49" s="76" t="s">
        <v>547</v>
      </c>
      <c r="C49" s="76">
        <f t="shared" si="7"/>
        <v>4.0000000000000001E-8</v>
      </c>
      <c r="D49" s="76">
        <v>1</v>
      </c>
      <c r="E49" s="76" t="s">
        <v>926</v>
      </c>
      <c r="F49" s="76" t="s">
        <v>168</v>
      </c>
      <c r="G49" s="76" t="s">
        <v>169</v>
      </c>
      <c r="H49" s="76" t="s">
        <v>170</v>
      </c>
      <c r="I49" s="76">
        <f t="shared" si="1"/>
        <v>0</v>
      </c>
      <c r="J49" s="76">
        <f t="shared" si="2"/>
        <v>0</v>
      </c>
      <c r="K49" s="76" t="s">
        <v>535</v>
      </c>
      <c r="L49" s="76">
        <f t="shared" si="3"/>
        <v>4.0000000000000001E-8</v>
      </c>
      <c r="M49" s="76" t="s">
        <v>163</v>
      </c>
      <c r="N49" s="76">
        <f t="shared" si="8"/>
        <v>0</v>
      </c>
      <c r="O49" s="76" t="s">
        <v>535</v>
      </c>
      <c r="P49" s="76" t="s">
        <v>536</v>
      </c>
    </row>
    <row r="50" spans="2:16" ht="12.75" customHeight="1" x14ac:dyDescent="0.2">
      <c r="B50" s="76" t="s">
        <v>547</v>
      </c>
      <c r="C50" s="76">
        <f t="shared" si="7"/>
        <v>4.0000000000000001E-8</v>
      </c>
      <c r="D50" s="76">
        <v>1</v>
      </c>
      <c r="E50" s="76" t="s">
        <v>925</v>
      </c>
      <c r="F50" s="76" t="s">
        <v>168</v>
      </c>
      <c r="G50" s="76" t="s">
        <v>169</v>
      </c>
      <c r="H50" s="76" t="s">
        <v>170</v>
      </c>
      <c r="I50" s="76">
        <f t="shared" si="1"/>
        <v>0</v>
      </c>
      <c r="J50" s="76">
        <f t="shared" si="2"/>
        <v>0</v>
      </c>
      <c r="K50" s="76" t="s">
        <v>535</v>
      </c>
      <c r="L50" s="76">
        <f t="shared" si="3"/>
        <v>4.0000000000000001E-8</v>
      </c>
      <c r="M50" s="76" t="s">
        <v>163</v>
      </c>
      <c r="N50" s="76">
        <f t="shared" si="8"/>
        <v>0</v>
      </c>
      <c r="O50" s="76" t="s">
        <v>535</v>
      </c>
      <c r="P50" s="76" t="s">
        <v>536</v>
      </c>
    </row>
    <row r="51" spans="2:16" ht="12.75" customHeight="1" x14ac:dyDescent="0.2">
      <c r="B51" s="76" t="s">
        <v>547</v>
      </c>
      <c r="C51" s="76">
        <f t="shared" si="7"/>
        <v>4.0000000000000001E-8</v>
      </c>
      <c r="D51" s="76">
        <v>1</v>
      </c>
      <c r="E51" s="76" t="s">
        <v>943</v>
      </c>
      <c r="F51" s="76" t="s">
        <v>168</v>
      </c>
      <c r="G51" s="76" t="s">
        <v>169</v>
      </c>
      <c r="H51" s="76" t="s">
        <v>170</v>
      </c>
      <c r="I51" s="76">
        <f t="shared" si="1"/>
        <v>0</v>
      </c>
      <c r="J51" s="76">
        <f t="shared" si="2"/>
        <v>0</v>
      </c>
      <c r="K51" s="76" t="s">
        <v>535</v>
      </c>
      <c r="L51" s="76">
        <f t="shared" si="3"/>
        <v>4.0000000000000001E-8</v>
      </c>
      <c r="M51" s="76" t="s">
        <v>163</v>
      </c>
      <c r="N51" s="76">
        <f t="shared" si="8"/>
        <v>0</v>
      </c>
      <c r="O51" s="76" t="s">
        <v>535</v>
      </c>
      <c r="P51" s="76" t="s">
        <v>536</v>
      </c>
    </row>
    <row r="52" spans="2:16" ht="12.75" customHeight="1" x14ac:dyDescent="0.2">
      <c r="B52" s="76" t="s">
        <v>547</v>
      </c>
      <c r="C52" s="76">
        <f t="shared" si="7"/>
        <v>4.0000000000000001E-8</v>
      </c>
      <c r="D52" s="76">
        <v>1</v>
      </c>
      <c r="E52" s="76" t="s">
        <v>924</v>
      </c>
      <c r="F52" s="76" t="s">
        <v>168</v>
      </c>
      <c r="G52" s="76" t="s">
        <v>169</v>
      </c>
      <c r="H52" s="76" t="s">
        <v>170</v>
      </c>
      <c r="I52" s="76">
        <f t="shared" si="1"/>
        <v>0</v>
      </c>
      <c r="J52" s="76">
        <f t="shared" si="2"/>
        <v>0</v>
      </c>
      <c r="K52" s="76" t="s">
        <v>535</v>
      </c>
      <c r="L52" s="76">
        <f t="shared" si="3"/>
        <v>4.0000000000000001E-8</v>
      </c>
      <c r="M52" s="76" t="s">
        <v>163</v>
      </c>
      <c r="N52" s="76">
        <f t="shared" si="8"/>
        <v>0</v>
      </c>
      <c r="O52" s="76" t="s">
        <v>535</v>
      </c>
      <c r="P52" s="76" t="s">
        <v>536</v>
      </c>
    </row>
    <row r="53" spans="2:16" ht="12.75" customHeight="1" x14ac:dyDescent="0.2">
      <c r="B53" s="76" t="s">
        <v>547</v>
      </c>
      <c r="C53" s="76">
        <f t="shared" si="7"/>
        <v>4.0000000000000001E-8</v>
      </c>
      <c r="D53" s="76">
        <v>1</v>
      </c>
      <c r="E53" s="76" t="s">
        <v>923</v>
      </c>
      <c r="F53" s="76" t="s">
        <v>168</v>
      </c>
      <c r="G53" s="76" t="s">
        <v>169</v>
      </c>
      <c r="H53" s="76" t="s">
        <v>170</v>
      </c>
      <c r="I53" s="76">
        <f t="shared" si="1"/>
        <v>0</v>
      </c>
      <c r="J53" s="76">
        <f t="shared" si="2"/>
        <v>0</v>
      </c>
      <c r="K53" s="76" t="s">
        <v>535</v>
      </c>
      <c r="L53" s="76">
        <f t="shared" si="3"/>
        <v>4.0000000000000001E-8</v>
      </c>
      <c r="M53" s="76" t="s">
        <v>163</v>
      </c>
      <c r="N53" s="76">
        <f t="shared" si="8"/>
        <v>0</v>
      </c>
      <c r="O53" s="76" t="s">
        <v>535</v>
      </c>
      <c r="P53" s="76" t="s">
        <v>536</v>
      </c>
    </row>
    <row r="54" spans="2:16" ht="12.75" customHeight="1" x14ac:dyDescent="0.2">
      <c r="B54" s="76" t="s">
        <v>547</v>
      </c>
      <c r="C54" s="76">
        <f t="shared" si="7"/>
        <v>4.0000000000000001E-8</v>
      </c>
      <c r="D54" s="76">
        <v>1</v>
      </c>
      <c r="E54" s="76" t="s">
        <v>922</v>
      </c>
      <c r="F54" s="76" t="s">
        <v>168</v>
      </c>
      <c r="G54" s="76" t="s">
        <v>169</v>
      </c>
      <c r="H54" s="76" t="s">
        <v>170</v>
      </c>
      <c r="I54" s="76">
        <f t="shared" si="1"/>
        <v>0</v>
      </c>
      <c r="J54" s="76">
        <f t="shared" si="2"/>
        <v>0</v>
      </c>
      <c r="K54" s="76" t="s">
        <v>535</v>
      </c>
      <c r="L54" s="76">
        <f t="shared" si="3"/>
        <v>4.0000000000000001E-8</v>
      </c>
      <c r="M54" s="76" t="s">
        <v>163</v>
      </c>
      <c r="N54" s="76">
        <f t="shared" si="8"/>
        <v>0</v>
      </c>
      <c r="O54" s="76" t="s">
        <v>535</v>
      </c>
      <c r="P54" s="76" t="s">
        <v>536</v>
      </c>
    </row>
    <row r="55" spans="2:16" ht="12.75" customHeight="1" x14ac:dyDescent="0.2">
      <c r="B55" s="76" t="s">
        <v>547</v>
      </c>
      <c r="C55" s="76">
        <f t="shared" si="7"/>
        <v>4.0000000000000001E-8</v>
      </c>
      <c r="D55" s="76">
        <v>1</v>
      </c>
      <c r="E55" s="76" t="s">
        <v>921</v>
      </c>
      <c r="F55" s="76" t="s">
        <v>168</v>
      </c>
      <c r="G55" s="76" t="s">
        <v>169</v>
      </c>
      <c r="H55" s="76" t="s">
        <v>170</v>
      </c>
      <c r="I55" s="76">
        <f t="shared" si="1"/>
        <v>0</v>
      </c>
      <c r="J55" s="76">
        <f t="shared" si="2"/>
        <v>0</v>
      </c>
      <c r="K55" s="76" t="s">
        <v>535</v>
      </c>
      <c r="L55" s="76">
        <f t="shared" si="3"/>
        <v>4.0000000000000001E-8</v>
      </c>
      <c r="M55" s="76" t="s">
        <v>163</v>
      </c>
      <c r="N55" s="76">
        <f t="shared" si="8"/>
        <v>0</v>
      </c>
      <c r="O55" s="76" t="s">
        <v>535</v>
      </c>
      <c r="P55" s="76" t="s">
        <v>536</v>
      </c>
    </row>
    <row r="56" spans="2:16" ht="12.75" customHeight="1" x14ac:dyDescent="0.2">
      <c r="B56" s="76" t="s">
        <v>547</v>
      </c>
      <c r="C56" s="76">
        <f t="shared" si="7"/>
        <v>4.0000000000000001E-8</v>
      </c>
      <c r="D56" s="76">
        <v>1</v>
      </c>
      <c r="E56" s="76" t="s">
        <v>920</v>
      </c>
      <c r="F56" s="76" t="s">
        <v>168</v>
      </c>
      <c r="G56" s="76" t="s">
        <v>169</v>
      </c>
      <c r="H56" s="76" t="s">
        <v>170</v>
      </c>
      <c r="I56" s="76">
        <f t="shared" si="1"/>
        <v>0</v>
      </c>
      <c r="J56" s="76">
        <f t="shared" si="2"/>
        <v>0</v>
      </c>
      <c r="K56" s="76" t="s">
        <v>535</v>
      </c>
      <c r="L56" s="76">
        <f t="shared" si="3"/>
        <v>4.0000000000000001E-8</v>
      </c>
      <c r="M56" s="76" t="s">
        <v>163</v>
      </c>
      <c r="N56" s="76">
        <f t="shared" si="8"/>
        <v>0</v>
      </c>
      <c r="O56" s="76" t="s">
        <v>535</v>
      </c>
      <c r="P56" s="76" t="s">
        <v>536</v>
      </c>
    </row>
    <row r="57" spans="2:16" ht="12.75" customHeight="1" x14ac:dyDescent="0.2">
      <c r="B57" s="76" t="s">
        <v>547</v>
      </c>
      <c r="C57" s="76">
        <f t="shared" si="7"/>
        <v>4.0000000000000001E-8</v>
      </c>
      <c r="D57" s="76">
        <v>1</v>
      </c>
      <c r="E57" s="76" t="s">
        <v>919</v>
      </c>
      <c r="F57" s="76" t="s">
        <v>168</v>
      </c>
      <c r="G57" s="76" t="s">
        <v>169</v>
      </c>
      <c r="H57" s="76" t="s">
        <v>170</v>
      </c>
      <c r="I57" s="76">
        <f t="shared" si="1"/>
        <v>0</v>
      </c>
      <c r="J57" s="76">
        <f t="shared" si="2"/>
        <v>0</v>
      </c>
      <c r="K57" s="76" t="s">
        <v>535</v>
      </c>
      <c r="L57" s="76">
        <f t="shared" si="3"/>
        <v>4.0000000000000001E-8</v>
      </c>
      <c r="M57" s="76" t="s">
        <v>163</v>
      </c>
      <c r="N57" s="76">
        <f t="shared" si="8"/>
        <v>0</v>
      </c>
      <c r="O57" s="76" t="s">
        <v>535</v>
      </c>
      <c r="P57" s="76" t="s">
        <v>536</v>
      </c>
    </row>
    <row r="58" spans="2:16" ht="12.75" customHeight="1" x14ac:dyDescent="0.2">
      <c r="B58" s="76" t="s">
        <v>547</v>
      </c>
      <c r="C58" s="76">
        <f t="shared" si="7"/>
        <v>4.0000000000000001E-8</v>
      </c>
      <c r="D58" s="76">
        <v>1</v>
      </c>
      <c r="E58" s="76" t="s">
        <v>918</v>
      </c>
      <c r="F58" s="76" t="s">
        <v>168</v>
      </c>
      <c r="G58" s="76" t="s">
        <v>169</v>
      </c>
      <c r="H58" s="76" t="s">
        <v>170</v>
      </c>
      <c r="I58" s="76">
        <f t="shared" si="1"/>
        <v>0</v>
      </c>
      <c r="J58" s="76">
        <f t="shared" si="2"/>
        <v>0</v>
      </c>
      <c r="K58" s="76" t="s">
        <v>535</v>
      </c>
      <c r="L58" s="76">
        <f t="shared" si="3"/>
        <v>4.0000000000000001E-8</v>
      </c>
      <c r="M58" s="76" t="s">
        <v>163</v>
      </c>
      <c r="N58" s="76">
        <f t="shared" si="8"/>
        <v>0</v>
      </c>
      <c r="O58" s="76" t="s">
        <v>535</v>
      </c>
      <c r="P58" s="76" t="s">
        <v>536</v>
      </c>
    </row>
    <row r="59" spans="2:16" ht="12.75" customHeight="1" x14ac:dyDescent="0.2">
      <c r="B59" s="76" t="s">
        <v>547</v>
      </c>
      <c r="C59" s="76">
        <f t="shared" si="7"/>
        <v>4.0000000000000001E-8</v>
      </c>
      <c r="D59" s="76">
        <v>1</v>
      </c>
      <c r="E59" s="76" t="s">
        <v>917</v>
      </c>
      <c r="F59" s="76" t="s">
        <v>168</v>
      </c>
      <c r="G59" s="76" t="s">
        <v>169</v>
      </c>
      <c r="H59" s="76" t="s">
        <v>170</v>
      </c>
      <c r="I59" s="76">
        <f t="shared" si="1"/>
        <v>0</v>
      </c>
      <c r="J59" s="76">
        <f t="shared" si="2"/>
        <v>0</v>
      </c>
      <c r="K59" s="76" t="s">
        <v>535</v>
      </c>
      <c r="L59" s="76">
        <f t="shared" si="3"/>
        <v>4.0000000000000001E-8</v>
      </c>
      <c r="M59" s="76" t="s">
        <v>163</v>
      </c>
      <c r="N59" s="76">
        <f t="shared" si="8"/>
        <v>0</v>
      </c>
      <c r="O59" s="76" t="s">
        <v>535</v>
      </c>
      <c r="P59" s="76" t="s">
        <v>536</v>
      </c>
    </row>
    <row r="60" spans="2:16" ht="12.75" customHeight="1" x14ac:dyDescent="0.2">
      <c r="B60" s="76" t="s">
        <v>547</v>
      </c>
      <c r="C60" s="76">
        <f t="shared" si="7"/>
        <v>4.0000000000000001E-8</v>
      </c>
      <c r="D60" s="76">
        <v>1</v>
      </c>
      <c r="E60" s="76" t="s">
        <v>916</v>
      </c>
      <c r="F60" s="76" t="s">
        <v>168</v>
      </c>
      <c r="G60" s="76" t="s">
        <v>169</v>
      </c>
      <c r="H60" s="76" t="s">
        <v>170</v>
      </c>
      <c r="I60" s="76">
        <f t="shared" si="1"/>
        <v>0</v>
      </c>
      <c r="J60" s="76">
        <f t="shared" si="2"/>
        <v>0</v>
      </c>
      <c r="K60" s="76" t="s">
        <v>535</v>
      </c>
      <c r="L60" s="76">
        <f t="shared" si="3"/>
        <v>4.0000000000000001E-8</v>
      </c>
      <c r="M60" s="76" t="s">
        <v>163</v>
      </c>
      <c r="N60" s="76">
        <f t="shared" si="8"/>
        <v>0</v>
      </c>
      <c r="O60" s="76" t="s">
        <v>535</v>
      </c>
      <c r="P60" s="76" t="s">
        <v>536</v>
      </c>
    </row>
    <row r="61" spans="2:16" ht="12.75" customHeight="1" x14ac:dyDescent="0.2">
      <c r="B61" s="76" t="s">
        <v>547</v>
      </c>
      <c r="C61" s="76">
        <f t="shared" si="7"/>
        <v>4.0000000000000001E-8</v>
      </c>
      <c r="D61" s="76">
        <v>1</v>
      </c>
      <c r="E61" s="76" t="s">
        <v>915</v>
      </c>
      <c r="F61" s="76" t="s">
        <v>168</v>
      </c>
      <c r="G61" s="76" t="s">
        <v>169</v>
      </c>
      <c r="H61" s="76" t="s">
        <v>170</v>
      </c>
      <c r="I61" s="76">
        <f t="shared" si="1"/>
        <v>0</v>
      </c>
      <c r="J61" s="76">
        <f t="shared" si="2"/>
        <v>0</v>
      </c>
      <c r="K61" s="76" t="s">
        <v>535</v>
      </c>
      <c r="L61" s="76">
        <f t="shared" si="3"/>
        <v>4.0000000000000001E-8</v>
      </c>
      <c r="M61" s="76" t="s">
        <v>163</v>
      </c>
      <c r="N61" s="76">
        <f t="shared" si="8"/>
        <v>0</v>
      </c>
      <c r="O61" s="76" t="s">
        <v>535</v>
      </c>
      <c r="P61" s="76" t="s">
        <v>536</v>
      </c>
    </row>
    <row r="62" spans="2:16" ht="12.75" customHeight="1" x14ac:dyDescent="0.2">
      <c r="B62" s="76" t="s">
        <v>547</v>
      </c>
      <c r="C62" s="76">
        <f t="shared" si="7"/>
        <v>4.0000000000000001E-8</v>
      </c>
      <c r="D62" s="76">
        <v>1</v>
      </c>
      <c r="E62" s="76" t="s">
        <v>942</v>
      </c>
      <c r="F62" s="76" t="s">
        <v>168</v>
      </c>
      <c r="G62" s="76" t="s">
        <v>169</v>
      </c>
      <c r="H62" s="76" t="s">
        <v>170</v>
      </c>
      <c r="I62" s="76">
        <f t="shared" si="1"/>
        <v>0</v>
      </c>
      <c r="J62" s="76">
        <f t="shared" si="2"/>
        <v>0</v>
      </c>
      <c r="K62" s="76" t="s">
        <v>535</v>
      </c>
      <c r="L62" s="76">
        <f t="shared" si="3"/>
        <v>4.0000000000000001E-8</v>
      </c>
      <c r="M62" s="76" t="s">
        <v>163</v>
      </c>
      <c r="N62" s="76">
        <f t="shared" si="8"/>
        <v>0</v>
      </c>
      <c r="O62" s="76" t="s">
        <v>535</v>
      </c>
      <c r="P62" s="76" t="s">
        <v>536</v>
      </c>
    </row>
    <row r="63" spans="2:16" ht="12.75" customHeight="1" x14ac:dyDescent="0.2">
      <c r="B63" s="76" t="s">
        <v>547</v>
      </c>
      <c r="C63" s="76">
        <f t="shared" si="7"/>
        <v>4.0000000000000001E-8</v>
      </c>
      <c r="D63" s="76">
        <v>1</v>
      </c>
      <c r="E63" s="76" t="s">
        <v>914</v>
      </c>
      <c r="F63" s="76" t="s">
        <v>168</v>
      </c>
      <c r="G63" s="76" t="s">
        <v>169</v>
      </c>
      <c r="H63" s="76" t="s">
        <v>170</v>
      </c>
      <c r="I63" s="76">
        <f t="shared" si="1"/>
        <v>0</v>
      </c>
      <c r="J63" s="76">
        <f t="shared" si="2"/>
        <v>0</v>
      </c>
      <c r="K63" s="76" t="s">
        <v>535</v>
      </c>
      <c r="L63" s="76">
        <f t="shared" si="3"/>
        <v>4.0000000000000001E-8</v>
      </c>
      <c r="M63" s="76" t="s">
        <v>163</v>
      </c>
      <c r="N63" s="76">
        <f t="shared" si="8"/>
        <v>0</v>
      </c>
      <c r="O63" s="76" t="s">
        <v>535</v>
      </c>
      <c r="P63" s="76" t="s">
        <v>536</v>
      </c>
    </row>
    <row r="64" spans="2:16" ht="12.75" customHeight="1" x14ac:dyDescent="0.2">
      <c r="B64" s="76" t="s">
        <v>547</v>
      </c>
      <c r="C64" s="76">
        <f t="shared" si="7"/>
        <v>4.0000000000000001E-8</v>
      </c>
      <c r="D64" s="76">
        <v>1</v>
      </c>
      <c r="E64" s="76" t="s">
        <v>913</v>
      </c>
      <c r="F64" s="76" t="s">
        <v>168</v>
      </c>
      <c r="G64" s="76" t="s">
        <v>169</v>
      </c>
      <c r="H64" s="76" t="s">
        <v>170</v>
      </c>
      <c r="I64" s="76">
        <f t="shared" si="1"/>
        <v>0</v>
      </c>
      <c r="J64" s="76">
        <f t="shared" si="2"/>
        <v>0</v>
      </c>
      <c r="K64" s="76" t="s">
        <v>535</v>
      </c>
      <c r="L64" s="76">
        <f t="shared" si="3"/>
        <v>4.0000000000000001E-8</v>
      </c>
      <c r="M64" s="76" t="s">
        <v>163</v>
      </c>
      <c r="N64" s="76">
        <f t="shared" si="8"/>
        <v>0</v>
      </c>
      <c r="O64" s="76" t="s">
        <v>535</v>
      </c>
      <c r="P64" s="76" t="s">
        <v>536</v>
      </c>
    </row>
    <row r="65" spans="2:16" ht="12.75" customHeight="1" x14ac:dyDescent="0.2">
      <c r="B65" s="76" t="s">
        <v>547</v>
      </c>
      <c r="C65" s="76">
        <f t="shared" si="7"/>
        <v>4.0000000000000001E-8</v>
      </c>
      <c r="D65" s="76">
        <v>1</v>
      </c>
      <c r="E65" s="76" t="s">
        <v>941</v>
      </c>
      <c r="F65" s="76" t="s">
        <v>168</v>
      </c>
      <c r="G65" s="76" t="s">
        <v>169</v>
      </c>
      <c r="H65" s="76" t="s">
        <v>170</v>
      </c>
      <c r="I65" s="76">
        <f t="shared" si="1"/>
        <v>0</v>
      </c>
      <c r="J65" s="76">
        <f t="shared" si="2"/>
        <v>0</v>
      </c>
      <c r="K65" s="76" t="s">
        <v>535</v>
      </c>
      <c r="L65" s="76">
        <f t="shared" si="3"/>
        <v>4.0000000000000001E-8</v>
      </c>
      <c r="M65" s="76" t="s">
        <v>163</v>
      </c>
      <c r="N65" s="76">
        <f t="shared" si="8"/>
        <v>0</v>
      </c>
      <c r="O65" s="76" t="s">
        <v>535</v>
      </c>
      <c r="P65" s="76" t="s">
        <v>536</v>
      </c>
    </row>
    <row r="66" spans="2:16" ht="12.75" customHeight="1" x14ac:dyDescent="0.2">
      <c r="B66" s="76" t="s">
        <v>547</v>
      </c>
      <c r="C66" s="76">
        <f t="shared" si="7"/>
        <v>4.0000000000000001E-8</v>
      </c>
      <c r="D66" s="76">
        <v>1</v>
      </c>
      <c r="E66" s="76" t="s">
        <v>940</v>
      </c>
      <c r="F66" s="76" t="s">
        <v>168</v>
      </c>
      <c r="G66" s="76" t="s">
        <v>169</v>
      </c>
      <c r="H66" s="76" t="s">
        <v>170</v>
      </c>
      <c r="I66" s="76">
        <f t="shared" si="1"/>
        <v>0</v>
      </c>
      <c r="J66" s="76">
        <f t="shared" si="2"/>
        <v>0</v>
      </c>
      <c r="K66" s="76" t="s">
        <v>535</v>
      </c>
      <c r="L66" s="76">
        <f t="shared" si="3"/>
        <v>4.0000000000000001E-8</v>
      </c>
      <c r="M66" s="76" t="s">
        <v>163</v>
      </c>
      <c r="N66" s="76">
        <f t="shared" si="8"/>
        <v>0</v>
      </c>
      <c r="O66" s="76" t="s">
        <v>535</v>
      </c>
      <c r="P66" s="76" t="s">
        <v>536</v>
      </c>
    </row>
    <row r="67" spans="2:16" ht="12.75" customHeight="1" x14ac:dyDescent="0.2">
      <c r="B67" s="76" t="s">
        <v>547</v>
      </c>
      <c r="C67" s="76">
        <f t="shared" si="7"/>
        <v>4.0000000000000001E-8</v>
      </c>
      <c r="D67" s="76">
        <v>1</v>
      </c>
      <c r="E67" s="76" t="s">
        <v>939</v>
      </c>
      <c r="F67" s="76" t="s">
        <v>168</v>
      </c>
      <c r="G67" s="76" t="s">
        <v>169</v>
      </c>
      <c r="H67" s="76" t="s">
        <v>170</v>
      </c>
      <c r="I67" s="76">
        <f t="shared" si="1"/>
        <v>0</v>
      </c>
      <c r="J67" s="76">
        <f t="shared" si="2"/>
        <v>0</v>
      </c>
      <c r="K67" s="76" t="s">
        <v>535</v>
      </c>
      <c r="L67" s="76">
        <f t="shared" si="3"/>
        <v>4.0000000000000001E-8</v>
      </c>
      <c r="M67" s="76" t="s">
        <v>163</v>
      </c>
      <c r="N67" s="76">
        <f t="shared" si="8"/>
        <v>0</v>
      </c>
      <c r="O67" s="76" t="s">
        <v>535</v>
      </c>
      <c r="P67" s="76" t="s">
        <v>536</v>
      </c>
    </row>
    <row r="68" spans="2:16" ht="12.75" customHeight="1" x14ac:dyDescent="0.2">
      <c r="B68" s="76" t="s">
        <v>547</v>
      </c>
      <c r="C68" s="76">
        <f t="shared" si="7"/>
        <v>4.0000000000000001E-8</v>
      </c>
      <c r="D68" s="76">
        <v>1</v>
      </c>
      <c r="E68" s="76" t="s">
        <v>938</v>
      </c>
      <c r="F68" s="76" t="s">
        <v>168</v>
      </c>
      <c r="G68" s="76" t="s">
        <v>169</v>
      </c>
      <c r="H68" s="76" t="s">
        <v>170</v>
      </c>
      <c r="I68" s="76">
        <f t="shared" si="1"/>
        <v>0</v>
      </c>
      <c r="J68" s="76">
        <f t="shared" si="2"/>
        <v>0</v>
      </c>
      <c r="K68" s="76" t="s">
        <v>535</v>
      </c>
      <c r="L68" s="76">
        <f t="shared" si="3"/>
        <v>4.0000000000000001E-8</v>
      </c>
      <c r="M68" s="76" t="s">
        <v>163</v>
      </c>
      <c r="N68" s="76">
        <f t="shared" si="8"/>
        <v>0</v>
      </c>
      <c r="O68" s="76" t="s">
        <v>535</v>
      </c>
      <c r="P68" s="76" t="s">
        <v>536</v>
      </c>
    </row>
    <row r="69" spans="2:16" ht="12.75" customHeight="1" x14ac:dyDescent="0.2">
      <c r="B69" s="76" t="s">
        <v>547</v>
      </c>
      <c r="C69" s="76">
        <f t="shared" si="7"/>
        <v>4.0000000000000001E-8</v>
      </c>
      <c r="D69" s="76">
        <v>1</v>
      </c>
      <c r="E69" s="76" t="s">
        <v>937</v>
      </c>
      <c r="F69" s="76" t="s">
        <v>168</v>
      </c>
      <c r="G69" s="76" t="s">
        <v>169</v>
      </c>
      <c r="H69" s="76" t="s">
        <v>170</v>
      </c>
      <c r="I69" s="76">
        <f t="shared" si="1"/>
        <v>0</v>
      </c>
      <c r="J69" s="76">
        <f t="shared" si="2"/>
        <v>0</v>
      </c>
      <c r="K69" s="76" t="s">
        <v>535</v>
      </c>
      <c r="L69" s="76">
        <f t="shared" si="3"/>
        <v>4.0000000000000001E-8</v>
      </c>
      <c r="M69" s="76" t="s">
        <v>163</v>
      </c>
      <c r="N69" s="76">
        <f t="shared" si="8"/>
        <v>0</v>
      </c>
      <c r="O69" s="76" t="s">
        <v>535</v>
      </c>
      <c r="P69" s="76" t="s">
        <v>536</v>
      </c>
    </row>
    <row r="70" spans="2:16" ht="12.75" customHeight="1" x14ac:dyDescent="0.2">
      <c r="B70" s="76" t="s">
        <v>547</v>
      </c>
      <c r="C70" s="76">
        <f t="shared" si="7"/>
        <v>4.0000000000000001E-8</v>
      </c>
      <c r="D70" s="76">
        <v>1</v>
      </c>
      <c r="E70" s="76" t="s">
        <v>936</v>
      </c>
      <c r="F70" s="76" t="s">
        <v>168</v>
      </c>
      <c r="G70" s="76" t="s">
        <v>169</v>
      </c>
      <c r="H70" s="76" t="s">
        <v>170</v>
      </c>
      <c r="I70" s="76">
        <f t="shared" si="1"/>
        <v>0</v>
      </c>
      <c r="J70" s="76">
        <f t="shared" si="2"/>
        <v>0</v>
      </c>
      <c r="K70" s="76" t="s">
        <v>535</v>
      </c>
      <c r="L70" s="76">
        <f t="shared" si="3"/>
        <v>4.0000000000000001E-8</v>
      </c>
      <c r="M70" s="76" t="s">
        <v>163</v>
      </c>
      <c r="N70" s="76">
        <f t="shared" si="8"/>
        <v>0</v>
      </c>
      <c r="O70" s="76" t="s">
        <v>535</v>
      </c>
      <c r="P70" s="76" t="s">
        <v>536</v>
      </c>
    </row>
    <row r="71" spans="2:16" ht="12.75" customHeight="1" x14ac:dyDescent="0.2">
      <c r="B71" s="76" t="s">
        <v>547</v>
      </c>
      <c r="C71" s="76">
        <f t="shared" ref="C71:C102" si="9">40*ns</f>
        <v>4.0000000000000001E-8</v>
      </c>
      <c r="D71" s="76">
        <v>1</v>
      </c>
      <c r="E71" s="76" t="s">
        <v>935</v>
      </c>
      <c r="F71" s="76" t="s">
        <v>168</v>
      </c>
      <c r="G71" s="76" t="s">
        <v>169</v>
      </c>
      <c r="H71" s="76" t="s">
        <v>170</v>
      </c>
      <c r="I71" s="76">
        <f t="shared" si="1"/>
        <v>0</v>
      </c>
      <c r="J71" s="76">
        <f t="shared" si="2"/>
        <v>0</v>
      </c>
      <c r="K71" s="76" t="s">
        <v>535</v>
      </c>
      <c r="L71" s="76">
        <f t="shared" si="3"/>
        <v>4.0000000000000001E-8</v>
      </c>
      <c r="M71" s="76" t="s">
        <v>163</v>
      </c>
      <c r="N71" s="76">
        <f t="shared" si="8"/>
        <v>0</v>
      </c>
      <c r="O71" s="76" t="s">
        <v>535</v>
      </c>
      <c r="P71" s="76" t="s">
        <v>536</v>
      </c>
    </row>
    <row r="72" spans="2:16" ht="12.75" customHeight="1" x14ac:dyDescent="0.2">
      <c r="B72" s="76" t="s">
        <v>547</v>
      </c>
      <c r="C72" s="76">
        <f t="shared" si="9"/>
        <v>4.0000000000000001E-8</v>
      </c>
      <c r="D72" s="76">
        <v>1</v>
      </c>
      <c r="E72" s="76" t="s">
        <v>945</v>
      </c>
      <c r="F72" s="76" t="s">
        <v>168</v>
      </c>
      <c r="G72" s="76" t="s">
        <v>169</v>
      </c>
      <c r="H72" s="76" t="s">
        <v>170</v>
      </c>
      <c r="I72" s="76">
        <f t="shared" ref="I72:I86" si="10">0*C72</f>
        <v>0</v>
      </c>
      <c r="J72" s="76">
        <f t="shared" ref="J72:J80" si="11">0*C72</f>
        <v>0</v>
      </c>
      <c r="K72" s="76" t="s">
        <v>535</v>
      </c>
      <c r="L72" s="76">
        <f t="shared" ref="L72:L86" si="12">1*C72</f>
        <v>4.0000000000000001E-8</v>
      </c>
      <c r="M72" s="76" t="s">
        <v>163</v>
      </c>
      <c r="N72" s="76">
        <f t="shared" si="8"/>
        <v>0</v>
      </c>
      <c r="O72" s="76" t="s">
        <v>535</v>
      </c>
      <c r="P72" s="76" t="s">
        <v>536</v>
      </c>
    </row>
    <row r="73" spans="2:16" ht="12.75" customHeight="1" x14ac:dyDescent="0.2">
      <c r="B73" s="76" t="s">
        <v>547</v>
      </c>
      <c r="C73" s="76">
        <f t="shared" si="9"/>
        <v>4.0000000000000001E-8</v>
      </c>
      <c r="D73" s="76">
        <v>1</v>
      </c>
      <c r="E73" s="76" t="s">
        <v>946</v>
      </c>
      <c r="F73" s="76" t="s">
        <v>168</v>
      </c>
      <c r="G73" s="76" t="s">
        <v>169</v>
      </c>
      <c r="H73" s="76" t="s">
        <v>170</v>
      </c>
      <c r="I73" s="76">
        <f>0*C73</f>
        <v>0</v>
      </c>
      <c r="J73" s="76">
        <f>0*C73</f>
        <v>0</v>
      </c>
      <c r="K73" s="76" t="s">
        <v>535</v>
      </c>
      <c r="L73" s="76">
        <f>1*C73</f>
        <v>4.0000000000000001E-8</v>
      </c>
      <c r="M73" s="76" t="s">
        <v>163</v>
      </c>
      <c r="N73" s="76">
        <f t="shared" si="8"/>
        <v>0</v>
      </c>
      <c r="O73" s="76" t="s">
        <v>535</v>
      </c>
      <c r="P73" s="76" t="s">
        <v>536</v>
      </c>
    </row>
    <row r="74" spans="2:16" ht="12.75" customHeight="1" x14ac:dyDescent="0.2">
      <c r="B74" s="76" t="s">
        <v>547</v>
      </c>
      <c r="C74" s="76">
        <f t="shared" si="9"/>
        <v>4.0000000000000001E-8</v>
      </c>
      <c r="D74" s="76">
        <v>1</v>
      </c>
      <c r="E74" s="76" t="s">
        <v>103</v>
      </c>
      <c r="F74" s="76" t="s">
        <v>168</v>
      </c>
      <c r="G74" s="76" t="s">
        <v>169</v>
      </c>
      <c r="H74" s="76" t="s">
        <v>170</v>
      </c>
      <c r="I74" s="76">
        <f t="shared" si="10"/>
        <v>0</v>
      </c>
      <c r="J74" s="76">
        <f t="shared" si="11"/>
        <v>0</v>
      </c>
      <c r="K74" s="76" t="s">
        <v>535</v>
      </c>
      <c r="L74" s="76">
        <f t="shared" si="12"/>
        <v>4.0000000000000001E-8</v>
      </c>
      <c r="M74" s="76" t="s">
        <v>163</v>
      </c>
      <c r="N74" s="76">
        <f t="shared" si="8"/>
        <v>0</v>
      </c>
      <c r="O74" s="76" t="s">
        <v>535</v>
      </c>
      <c r="P74" s="76" t="s">
        <v>536</v>
      </c>
    </row>
    <row r="75" spans="2:16" ht="12.75" customHeight="1" x14ac:dyDescent="0.2">
      <c r="B75" s="76" t="s">
        <v>547</v>
      </c>
      <c r="C75" s="76">
        <f t="shared" si="9"/>
        <v>4.0000000000000001E-8</v>
      </c>
      <c r="D75" s="76">
        <v>1</v>
      </c>
      <c r="E75" s="76" t="s">
        <v>111</v>
      </c>
      <c r="F75" s="76" t="s">
        <v>168</v>
      </c>
      <c r="G75" s="76" t="s">
        <v>169</v>
      </c>
      <c r="H75" s="76" t="s">
        <v>170</v>
      </c>
      <c r="I75" s="76">
        <f t="shared" si="10"/>
        <v>0</v>
      </c>
      <c r="J75" s="76">
        <f t="shared" si="11"/>
        <v>0</v>
      </c>
      <c r="K75" s="76" t="s">
        <v>535</v>
      </c>
      <c r="L75" s="76">
        <f t="shared" si="12"/>
        <v>4.0000000000000001E-8</v>
      </c>
      <c r="M75" s="76" t="s">
        <v>172</v>
      </c>
      <c r="N75" s="76">
        <f>0.95*C75</f>
        <v>3.7999999999999996E-8</v>
      </c>
      <c r="O75" s="76" t="s">
        <v>535</v>
      </c>
      <c r="P75" s="76" t="s">
        <v>536</v>
      </c>
    </row>
    <row r="76" spans="2:16" ht="12.75" customHeight="1" x14ac:dyDescent="0.2">
      <c r="B76" s="76" t="s">
        <v>547</v>
      </c>
      <c r="C76" s="76">
        <f t="shared" si="9"/>
        <v>4.0000000000000001E-8</v>
      </c>
      <c r="D76" s="76">
        <v>1</v>
      </c>
      <c r="E76" s="76" t="s">
        <v>120</v>
      </c>
      <c r="F76" s="76" t="s">
        <v>168</v>
      </c>
      <c r="G76" s="76" t="s">
        <v>169</v>
      </c>
      <c r="H76" s="76" t="s">
        <v>170</v>
      </c>
      <c r="I76" s="76">
        <f t="shared" si="10"/>
        <v>0</v>
      </c>
      <c r="J76" s="76">
        <f t="shared" si="11"/>
        <v>0</v>
      </c>
      <c r="K76" s="76" t="s">
        <v>535</v>
      </c>
      <c r="L76" s="76">
        <f t="shared" si="12"/>
        <v>4.0000000000000001E-8</v>
      </c>
      <c r="M76" s="76" t="s">
        <v>172</v>
      </c>
      <c r="N76" s="76">
        <f>0.95*C76</f>
        <v>3.7999999999999996E-8</v>
      </c>
      <c r="O76" s="76" t="s">
        <v>535</v>
      </c>
      <c r="P76" s="76" t="s">
        <v>536</v>
      </c>
    </row>
    <row r="77" spans="2:16" ht="12.75" customHeight="1" x14ac:dyDescent="0.2">
      <c r="B77" s="76" t="s">
        <v>547</v>
      </c>
      <c r="C77" s="76">
        <f t="shared" si="9"/>
        <v>4.0000000000000001E-8</v>
      </c>
      <c r="D77" s="76">
        <v>1</v>
      </c>
      <c r="E77" s="76" t="s">
        <v>121</v>
      </c>
      <c r="F77" s="76" t="s">
        <v>168</v>
      </c>
      <c r="G77" s="76" t="s">
        <v>169</v>
      </c>
      <c r="H77" s="76" t="s">
        <v>170</v>
      </c>
      <c r="I77" s="76">
        <f t="shared" si="10"/>
        <v>0</v>
      </c>
      <c r="J77" s="76">
        <f t="shared" si="11"/>
        <v>0</v>
      </c>
      <c r="K77" s="76" t="s">
        <v>535</v>
      </c>
      <c r="L77" s="76">
        <f t="shared" si="12"/>
        <v>4.0000000000000001E-8</v>
      </c>
      <c r="M77" s="76" t="s">
        <v>172</v>
      </c>
      <c r="N77" s="76">
        <f>0.95*C77</f>
        <v>3.7999999999999996E-8</v>
      </c>
      <c r="O77" s="76" t="s">
        <v>535</v>
      </c>
      <c r="P77" s="76" t="s">
        <v>536</v>
      </c>
    </row>
    <row r="78" spans="2:16" ht="12.75" customHeight="1" x14ac:dyDescent="0.2">
      <c r="B78" s="76" t="s">
        <v>547</v>
      </c>
      <c r="C78" s="76">
        <f t="shared" si="9"/>
        <v>4.0000000000000001E-8</v>
      </c>
      <c r="D78" s="76">
        <v>1</v>
      </c>
      <c r="E78" s="76" t="s">
        <v>97</v>
      </c>
      <c r="F78" s="76" t="s">
        <v>168</v>
      </c>
      <c r="G78" s="76" t="s">
        <v>169</v>
      </c>
      <c r="H78" s="76" t="s">
        <v>170</v>
      </c>
      <c r="I78" s="76">
        <f t="shared" si="10"/>
        <v>0</v>
      </c>
      <c r="J78" s="76">
        <f t="shared" si="11"/>
        <v>0</v>
      </c>
      <c r="K78" s="76" t="s">
        <v>535</v>
      </c>
      <c r="L78" s="76">
        <f t="shared" si="12"/>
        <v>4.0000000000000001E-8</v>
      </c>
      <c r="M78" s="76" t="s">
        <v>163</v>
      </c>
      <c r="N78" s="76">
        <f>0*C78</f>
        <v>0</v>
      </c>
      <c r="O78" s="76" t="s">
        <v>535</v>
      </c>
      <c r="P78" s="76" t="s">
        <v>536</v>
      </c>
    </row>
    <row r="79" spans="2:16" ht="12.75" customHeight="1" x14ac:dyDescent="0.2">
      <c r="B79" s="76" t="s">
        <v>547</v>
      </c>
      <c r="C79" s="76">
        <f t="shared" si="9"/>
        <v>4.0000000000000001E-8</v>
      </c>
      <c r="D79" s="76">
        <v>1</v>
      </c>
      <c r="E79" s="76" t="s">
        <v>909</v>
      </c>
      <c r="F79" s="76" t="s">
        <v>168</v>
      </c>
      <c r="G79" s="76" t="s">
        <v>169</v>
      </c>
      <c r="H79" s="76" t="s">
        <v>170</v>
      </c>
      <c r="I79" s="76">
        <f t="shared" si="10"/>
        <v>0</v>
      </c>
      <c r="J79" s="76">
        <f t="shared" si="11"/>
        <v>0</v>
      </c>
      <c r="K79" s="76" t="s">
        <v>535</v>
      </c>
      <c r="L79" s="76">
        <f t="shared" si="12"/>
        <v>4.0000000000000001E-8</v>
      </c>
      <c r="M79" s="76" t="s">
        <v>163</v>
      </c>
      <c r="N79" s="76">
        <f t="shared" ref="N79:N81" si="13">0*C79</f>
        <v>0</v>
      </c>
      <c r="O79" s="76" t="s">
        <v>535</v>
      </c>
      <c r="P79" s="76" t="s">
        <v>536</v>
      </c>
    </row>
    <row r="80" spans="2:16" ht="12.75" customHeight="1" x14ac:dyDescent="0.2">
      <c r="B80" s="76" t="s">
        <v>547</v>
      </c>
      <c r="C80" s="76">
        <f t="shared" si="9"/>
        <v>4.0000000000000001E-8</v>
      </c>
      <c r="D80" s="76">
        <v>1</v>
      </c>
      <c r="E80" s="76" t="s">
        <v>910</v>
      </c>
      <c r="F80" s="76" t="s">
        <v>168</v>
      </c>
      <c r="G80" s="76" t="s">
        <v>169</v>
      </c>
      <c r="H80" s="76" t="s">
        <v>170</v>
      </c>
      <c r="I80" s="76">
        <f t="shared" si="10"/>
        <v>0</v>
      </c>
      <c r="J80" s="76">
        <f t="shared" si="11"/>
        <v>0</v>
      </c>
      <c r="K80" s="76" t="s">
        <v>535</v>
      </c>
      <c r="L80" s="76">
        <f t="shared" si="12"/>
        <v>4.0000000000000001E-8</v>
      </c>
      <c r="M80" s="76" t="s">
        <v>163</v>
      </c>
      <c r="N80" s="76">
        <f t="shared" si="13"/>
        <v>0</v>
      </c>
      <c r="O80" s="76" t="s">
        <v>535</v>
      </c>
      <c r="P80" s="76" t="s">
        <v>536</v>
      </c>
    </row>
    <row r="81" spans="2:16" ht="12.75" customHeight="1" x14ac:dyDescent="0.2">
      <c r="B81" s="76" t="s">
        <v>547</v>
      </c>
      <c r="C81" s="76">
        <f t="shared" si="9"/>
        <v>4.0000000000000001E-8</v>
      </c>
      <c r="D81" s="76">
        <v>1</v>
      </c>
      <c r="E81" s="76" t="s">
        <v>893</v>
      </c>
      <c r="F81" s="76" t="s">
        <v>168</v>
      </c>
      <c r="G81" s="76" t="s">
        <v>169</v>
      </c>
      <c r="H81" s="76" t="s">
        <v>516</v>
      </c>
      <c r="I81" s="76">
        <f t="shared" si="10"/>
        <v>0</v>
      </c>
      <c r="J81" s="76">
        <f>0.2*C81</f>
        <v>8.0000000000000005E-9</v>
      </c>
      <c r="K81" s="76">
        <f>0.7*C81</f>
        <v>2.7999999999999999E-8</v>
      </c>
      <c r="L81" s="76">
        <f t="shared" si="12"/>
        <v>4.0000000000000001E-8</v>
      </c>
      <c r="M81" s="76" t="s">
        <v>163</v>
      </c>
      <c r="N81" s="76">
        <f t="shared" si="13"/>
        <v>0</v>
      </c>
      <c r="O81" s="76" t="s">
        <v>535</v>
      </c>
      <c r="P81" s="76" t="s">
        <v>537</v>
      </c>
    </row>
    <row r="82" spans="2:16" ht="12.75" customHeight="1" x14ac:dyDescent="0.2">
      <c r="B82" s="76" t="s">
        <v>547</v>
      </c>
      <c r="C82" s="76">
        <f t="shared" si="9"/>
        <v>4.0000000000000001E-8</v>
      </c>
      <c r="D82" s="76">
        <v>1</v>
      </c>
      <c r="E82" s="76" t="s">
        <v>894</v>
      </c>
      <c r="F82" s="76" t="s">
        <v>168</v>
      </c>
      <c r="G82" s="76" t="s">
        <v>169</v>
      </c>
      <c r="H82" s="76" t="s">
        <v>170</v>
      </c>
      <c r="I82" s="76">
        <f t="shared" si="10"/>
        <v>0</v>
      </c>
      <c r="J82" s="76">
        <f>0*C82</f>
        <v>0</v>
      </c>
      <c r="K82" s="76" t="s">
        <v>535</v>
      </c>
      <c r="L82" s="76">
        <f t="shared" si="12"/>
        <v>4.0000000000000001E-8</v>
      </c>
      <c r="M82" s="76" t="s">
        <v>163</v>
      </c>
      <c r="N82" s="76">
        <f>0.95*C82</f>
        <v>3.7999999999999996E-8</v>
      </c>
      <c r="O82" s="76" t="s">
        <v>535</v>
      </c>
      <c r="P82" s="76" t="s">
        <v>536</v>
      </c>
    </row>
    <row r="83" spans="2:16" ht="12.75" customHeight="1" x14ac:dyDescent="0.2">
      <c r="B83" s="76" t="s">
        <v>547</v>
      </c>
      <c r="C83" s="76">
        <f t="shared" si="9"/>
        <v>4.0000000000000001E-8</v>
      </c>
      <c r="D83" s="76">
        <v>1</v>
      </c>
      <c r="E83" s="76" t="s">
        <v>895</v>
      </c>
      <c r="F83" s="76" t="s">
        <v>168</v>
      </c>
      <c r="G83" s="76" t="s">
        <v>169</v>
      </c>
      <c r="H83" s="76" t="s">
        <v>170</v>
      </c>
      <c r="I83" s="76">
        <f t="shared" si="10"/>
        <v>0</v>
      </c>
      <c r="J83" s="76">
        <f t="shared" ref="J83:J86" si="14">0*C83</f>
        <v>0</v>
      </c>
      <c r="K83" s="76" t="s">
        <v>535</v>
      </c>
      <c r="L83" s="76">
        <f t="shared" si="12"/>
        <v>4.0000000000000001E-8</v>
      </c>
      <c r="M83" s="76" t="s">
        <v>172</v>
      </c>
      <c r="N83" s="76">
        <f>0.95*C83</f>
        <v>3.7999999999999996E-8</v>
      </c>
      <c r="O83" s="76" t="s">
        <v>535</v>
      </c>
      <c r="P83" s="76" t="s">
        <v>536</v>
      </c>
    </row>
    <row r="84" spans="2:16" ht="12.75" customHeight="1" x14ac:dyDescent="0.2">
      <c r="B84" s="76" t="s">
        <v>547</v>
      </c>
      <c r="C84" s="76">
        <f t="shared" si="9"/>
        <v>4.0000000000000001E-8</v>
      </c>
      <c r="D84" s="76">
        <v>1</v>
      </c>
      <c r="E84" s="76" t="s">
        <v>896</v>
      </c>
      <c r="F84" s="76" t="s">
        <v>168</v>
      </c>
      <c r="G84" s="76" t="s">
        <v>169</v>
      </c>
      <c r="H84" s="76" t="s">
        <v>170</v>
      </c>
      <c r="I84" s="76">
        <f t="shared" si="10"/>
        <v>0</v>
      </c>
      <c r="J84" s="76">
        <f t="shared" si="14"/>
        <v>0</v>
      </c>
      <c r="K84" s="76" t="s">
        <v>535</v>
      </c>
      <c r="L84" s="76">
        <f t="shared" si="12"/>
        <v>4.0000000000000001E-8</v>
      </c>
      <c r="M84" s="76" t="s">
        <v>163</v>
      </c>
      <c r="N84" s="76">
        <f>0.95*C84</f>
        <v>3.7999999999999996E-8</v>
      </c>
      <c r="O84" s="76" t="s">
        <v>535</v>
      </c>
      <c r="P84" s="76" t="s">
        <v>536</v>
      </c>
    </row>
    <row r="85" spans="2:16" ht="12.75" customHeight="1" x14ac:dyDescent="0.2">
      <c r="B85" s="76" t="s">
        <v>547</v>
      </c>
      <c r="C85" s="76">
        <f t="shared" si="9"/>
        <v>4.0000000000000001E-8</v>
      </c>
      <c r="D85" s="76">
        <v>1</v>
      </c>
      <c r="E85" s="76" t="s">
        <v>897</v>
      </c>
      <c r="F85" s="76" t="s">
        <v>168</v>
      </c>
      <c r="G85" s="76" t="s">
        <v>169</v>
      </c>
      <c r="H85" s="76" t="s">
        <v>170</v>
      </c>
      <c r="I85" s="76">
        <f t="shared" si="10"/>
        <v>0</v>
      </c>
      <c r="J85" s="76">
        <f t="shared" si="14"/>
        <v>0</v>
      </c>
      <c r="K85" s="76" t="s">
        <v>535</v>
      </c>
      <c r="L85" s="76">
        <f t="shared" si="12"/>
        <v>4.0000000000000001E-8</v>
      </c>
      <c r="M85" s="76" t="s">
        <v>163</v>
      </c>
      <c r="N85" s="76">
        <f>0.95*C85</f>
        <v>3.7999999999999996E-8</v>
      </c>
      <c r="O85" s="76" t="s">
        <v>535</v>
      </c>
      <c r="P85" s="76" t="s">
        <v>537</v>
      </c>
    </row>
    <row r="86" spans="2:16" ht="12.75" customHeight="1" x14ac:dyDescent="0.2">
      <c r="B86" s="76" t="s">
        <v>547</v>
      </c>
      <c r="C86" s="76">
        <f t="shared" si="9"/>
        <v>4.0000000000000001E-8</v>
      </c>
      <c r="D86" s="76">
        <v>1</v>
      </c>
      <c r="E86" s="76" t="s">
        <v>109</v>
      </c>
      <c r="F86" s="76" t="s">
        <v>168</v>
      </c>
      <c r="G86" s="76" t="s">
        <v>169</v>
      </c>
      <c r="H86" s="76" t="s">
        <v>170</v>
      </c>
      <c r="I86" s="76">
        <f t="shared" si="10"/>
        <v>0</v>
      </c>
      <c r="J86" s="76">
        <f t="shared" si="14"/>
        <v>0</v>
      </c>
      <c r="K86" s="76" t="s">
        <v>535</v>
      </c>
      <c r="L86" s="76">
        <f t="shared" si="12"/>
        <v>4.0000000000000001E-8</v>
      </c>
      <c r="M86" s="76" t="s">
        <v>172</v>
      </c>
      <c r="N86" s="76">
        <f>0.95*C86</f>
        <v>3.7999999999999996E-8</v>
      </c>
      <c r="O86" s="76" t="s">
        <v>535</v>
      </c>
      <c r="P86" s="76" t="s">
        <v>536</v>
      </c>
    </row>
    <row r="87" spans="2:16" ht="19.149999999999999" customHeight="1" x14ac:dyDescent="0.2">
      <c r="B87" s="76" t="s">
        <v>167</v>
      </c>
      <c r="C87" s="76">
        <f t="shared" si="9"/>
        <v>4.0000000000000001E-8</v>
      </c>
      <c r="D87" s="76">
        <v>1</v>
      </c>
      <c r="E87" s="76" t="s">
        <v>95</v>
      </c>
      <c r="F87" s="76" t="s">
        <v>168</v>
      </c>
      <c r="G87" s="76" t="s">
        <v>169</v>
      </c>
      <c r="H87" s="76" t="s">
        <v>170</v>
      </c>
      <c r="I87" s="76">
        <f>0*C87</f>
        <v>0</v>
      </c>
      <c r="J87" s="76">
        <f>0*C87</f>
        <v>0</v>
      </c>
      <c r="K87" s="76" t="s">
        <v>535</v>
      </c>
      <c r="L87" s="76">
        <f>1*C87</f>
        <v>4.0000000000000001E-8</v>
      </c>
      <c r="M87" s="76" t="s">
        <v>163</v>
      </c>
      <c r="N87" s="76">
        <f>0*C87</f>
        <v>0</v>
      </c>
      <c r="O87" s="76" t="s">
        <v>535</v>
      </c>
      <c r="P87" s="76"/>
    </row>
    <row r="88" spans="2:16" ht="12.75" customHeight="1" x14ac:dyDescent="0.2">
      <c r="B88" s="76" t="s">
        <v>167</v>
      </c>
      <c r="C88" s="76">
        <f t="shared" si="9"/>
        <v>4.0000000000000001E-8</v>
      </c>
      <c r="D88" s="76">
        <v>1</v>
      </c>
      <c r="E88" s="76" t="s">
        <v>912</v>
      </c>
      <c r="F88" s="76" t="s">
        <v>168</v>
      </c>
      <c r="G88" s="76" t="s">
        <v>169</v>
      </c>
      <c r="H88" s="76" t="s">
        <v>170</v>
      </c>
      <c r="I88" s="76">
        <f t="shared" ref="I88:I151" si="15">0*C88</f>
        <v>0</v>
      </c>
      <c r="J88" s="76">
        <f t="shared" ref="J88:J151" si="16">0*C88</f>
        <v>0</v>
      </c>
      <c r="K88" s="76" t="s">
        <v>535</v>
      </c>
      <c r="L88" s="76">
        <f t="shared" ref="L88:L151" si="17">1*C88</f>
        <v>4.0000000000000001E-8</v>
      </c>
      <c r="M88" s="76" t="s">
        <v>163</v>
      </c>
      <c r="N88" s="76">
        <f t="shared" ref="N88:N89" si="18">0*C88</f>
        <v>0</v>
      </c>
      <c r="O88" s="76" t="s">
        <v>535</v>
      </c>
      <c r="P88" s="76"/>
    </row>
    <row r="89" spans="2:16" ht="12.75" customHeight="1" x14ac:dyDescent="0.2">
      <c r="B89" s="76" t="s">
        <v>167</v>
      </c>
      <c r="C89" s="76">
        <f t="shared" si="9"/>
        <v>4.0000000000000001E-8</v>
      </c>
      <c r="D89" s="76">
        <v>1</v>
      </c>
      <c r="E89" s="76" t="s">
        <v>96</v>
      </c>
      <c r="F89" s="76" t="s">
        <v>168</v>
      </c>
      <c r="G89" s="76" t="s">
        <v>169</v>
      </c>
      <c r="H89" s="76" t="s">
        <v>170</v>
      </c>
      <c r="I89" s="76">
        <f t="shared" si="15"/>
        <v>0</v>
      </c>
      <c r="J89" s="76">
        <f t="shared" si="16"/>
        <v>0</v>
      </c>
      <c r="K89" s="76" t="s">
        <v>535</v>
      </c>
      <c r="L89" s="76">
        <f t="shared" si="17"/>
        <v>4.0000000000000001E-8</v>
      </c>
      <c r="M89" s="76" t="s">
        <v>163</v>
      </c>
      <c r="N89" s="76">
        <f t="shared" si="18"/>
        <v>0</v>
      </c>
      <c r="O89" s="76" t="s">
        <v>535</v>
      </c>
      <c r="P89" s="76"/>
    </row>
    <row r="90" spans="2:16" ht="12.75" customHeight="1" x14ac:dyDescent="0.2">
      <c r="B90" s="76" t="s">
        <v>167</v>
      </c>
      <c r="C90" s="76">
        <f t="shared" si="9"/>
        <v>4.0000000000000001E-8</v>
      </c>
      <c r="D90" s="76">
        <v>1</v>
      </c>
      <c r="E90" s="76" t="s">
        <v>137</v>
      </c>
      <c r="F90" s="76" t="s">
        <v>168</v>
      </c>
      <c r="G90" s="76" t="s">
        <v>169</v>
      </c>
      <c r="H90" s="76" t="s">
        <v>170</v>
      </c>
      <c r="I90" s="76">
        <f t="shared" si="15"/>
        <v>0</v>
      </c>
      <c r="J90" s="76">
        <f t="shared" si="16"/>
        <v>0</v>
      </c>
      <c r="K90" s="76" t="s">
        <v>535</v>
      </c>
      <c r="L90" s="76">
        <f t="shared" si="17"/>
        <v>4.0000000000000001E-8</v>
      </c>
      <c r="M90" s="76" t="s">
        <v>172</v>
      </c>
      <c r="N90" s="76">
        <f>0.95*C90</f>
        <v>3.7999999999999996E-8</v>
      </c>
      <c r="O90" s="76" t="s">
        <v>535</v>
      </c>
      <c r="P90" s="76"/>
    </row>
    <row r="91" spans="2:16" ht="12.75" customHeight="1" x14ac:dyDescent="0.2">
      <c r="B91" s="76" t="s">
        <v>167</v>
      </c>
      <c r="C91" s="76">
        <f t="shared" si="9"/>
        <v>4.0000000000000001E-8</v>
      </c>
      <c r="D91" s="76">
        <v>1</v>
      </c>
      <c r="E91" s="76" t="s">
        <v>127</v>
      </c>
      <c r="F91" s="76" t="s">
        <v>168</v>
      </c>
      <c r="G91" s="76" t="s">
        <v>169</v>
      </c>
      <c r="H91" s="76" t="s">
        <v>170</v>
      </c>
      <c r="I91" s="76">
        <f t="shared" si="15"/>
        <v>0</v>
      </c>
      <c r="J91" s="76">
        <f t="shared" si="16"/>
        <v>0</v>
      </c>
      <c r="K91" s="76" t="s">
        <v>535</v>
      </c>
      <c r="L91" s="76">
        <f t="shared" si="17"/>
        <v>4.0000000000000001E-8</v>
      </c>
      <c r="M91" s="76" t="s">
        <v>172</v>
      </c>
      <c r="N91" s="76">
        <f t="shared" ref="N91:N105" si="19">0.95*C91</f>
        <v>3.7999999999999996E-8</v>
      </c>
      <c r="O91" s="76" t="s">
        <v>535</v>
      </c>
      <c r="P91" s="76"/>
    </row>
    <row r="92" spans="2:16" ht="12.75" customHeight="1" x14ac:dyDescent="0.2">
      <c r="B92" s="76" t="s">
        <v>167</v>
      </c>
      <c r="C92" s="76">
        <f t="shared" si="9"/>
        <v>4.0000000000000001E-8</v>
      </c>
      <c r="D92" s="76">
        <v>1</v>
      </c>
      <c r="E92" s="76" t="s">
        <v>126</v>
      </c>
      <c r="F92" s="76" t="s">
        <v>168</v>
      </c>
      <c r="G92" s="76" t="s">
        <v>169</v>
      </c>
      <c r="H92" s="76" t="s">
        <v>170</v>
      </c>
      <c r="I92" s="76">
        <f t="shared" si="15"/>
        <v>0</v>
      </c>
      <c r="J92" s="76">
        <f t="shared" si="16"/>
        <v>0</v>
      </c>
      <c r="K92" s="76" t="s">
        <v>535</v>
      </c>
      <c r="L92" s="76">
        <f t="shared" si="17"/>
        <v>4.0000000000000001E-8</v>
      </c>
      <c r="M92" s="76" t="s">
        <v>172</v>
      </c>
      <c r="N92" s="76">
        <f t="shared" si="19"/>
        <v>3.7999999999999996E-8</v>
      </c>
      <c r="O92" s="76" t="s">
        <v>535</v>
      </c>
      <c r="P92" s="76"/>
    </row>
    <row r="93" spans="2:16" ht="12.75" customHeight="1" x14ac:dyDescent="0.2">
      <c r="B93" s="76" t="s">
        <v>167</v>
      </c>
      <c r="C93" s="76">
        <f t="shared" si="9"/>
        <v>4.0000000000000001E-8</v>
      </c>
      <c r="D93" s="76">
        <v>1</v>
      </c>
      <c r="E93" s="76" t="s">
        <v>125</v>
      </c>
      <c r="F93" s="76" t="s">
        <v>168</v>
      </c>
      <c r="G93" s="76" t="s">
        <v>169</v>
      </c>
      <c r="H93" s="76" t="s">
        <v>170</v>
      </c>
      <c r="I93" s="76">
        <f t="shared" si="15"/>
        <v>0</v>
      </c>
      <c r="J93" s="76">
        <f t="shared" si="16"/>
        <v>0</v>
      </c>
      <c r="K93" s="76" t="s">
        <v>535</v>
      </c>
      <c r="L93" s="76">
        <f t="shared" si="17"/>
        <v>4.0000000000000001E-8</v>
      </c>
      <c r="M93" s="76" t="s">
        <v>172</v>
      </c>
      <c r="N93" s="76">
        <f t="shared" si="19"/>
        <v>3.7999999999999996E-8</v>
      </c>
      <c r="O93" s="76" t="s">
        <v>535</v>
      </c>
      <c r="P93" s="76"/>
    </row>
    <row r="94" spans="2:16" ht="12.75" customHeight="1" x14ac:dyDescent="0.2">
      <c r="B94" s="76" t="s">
        <v>167</v>
      </c>
      <c r="C94" s="76">
        <f t="shared" si="9"/>
        <v>4.0000000000000001E-8</v>
      </c>
      <c r="D94" s="76">
        <v>1</v>
      </c>
      <c r="E94" s="76" t="s">
        <v>124</v>
      </c>
      <c r="F94" s="76" t="s">
        <v>168</v>
      </c>
      <c r="G94" s="76" t="s">
        <v>169</v>
      </c>
      <c r="H94" s="76" t="s">
        <v>170</v>
      </c>
      <c r="I94" s="76">
        <f t="shared" si="15"/>
        <v>0</v>
      </c>
      <c r="J94" s="76">
        <f t="shared" si="16"/>
        <v>0</v>
      </c>
      <c r="K94" s="76" t="s">
        <v>535</v>
      </c>
      <c r="L94" s="76">
        <f t="shared" si="17"/>
        <v>4.0000000000000001E-8</v>
      </c>
      <c r="M94" s="76" t="s">
        <v>172</v>
      </c>
      <c r="N94" s="76">
        <f t="shared" si="19"/>
        <v>3.7999999999999996E-8</v>
      </c>
      <c r="O94" s="76" t="s">
        <v>535</v>
      </c>
      <c r="P94" s="76"/>
    </row>
    <row r="95" spans="2:16" ht="12.75" customHeight="1" x14ac:dyDescent="0.2">
      <c r="B95" s="76" t="s">
        <v>167</v>
      </c>
      <c r="C95" s="76">
        <f t="shared" si="9"/>
        <v>4.0000000000000001E-8</v>
      </c>
      <c r="D95" s="76">
        <v>1</v>
      </c>
      <c r="E95" s="76" t="s">
        <v>123</v>
      </c>
      <c r="F95" s="76" t="s">
        <v>168</v>
      </c>
      <c r="G95" s="76" t="s">
        <v>169</v>
      </c>
      <c r="H95" s="76" t="s">
        <v>170</v>
      </c>
      <c r="I95" s="76">
        <f t="shared" si="15"/>
        <v>0</v>
      </c>
      <c r="J95" s="76">
        <f t="shared" si="16"/>
        <v>0</v>
      </c>
      <c r="K95" s="76" t="s">
        <v>535</v>
      </c>
      <c r="L95" s="76">
        <f t="shared" si="17"/>
        <v>4.0000000000000001E-8</v>
      </c>
      <c r="M95" s="76" t="s">
        <v>172</v>
      </c>
      <c r="N95" s="76">
        <f t="shared" si="19"/>
        <v>3.7999999999999996E-8</v>
      </c>
      <c r="O95" s="76" t="s">
        <v>535</v>
      </c>
      <c r="P95" s="76"/>
    </row>
    <row r="96" spans="2:16" ht="12.75" customHeight="1" x14ac:dyDescent="0.2">
      <c r="B96" s="76" t="s">
        <v>167</v>
      </c>
      <c r="C96" s="76">
        <f t="shared" si="9"/>
        <v>4.0000000000000001E-8</v>
      </c>
      <c r="D96" s="76">
        <v>1</v>
      </c>
      <c r="E96" s="76" t="s">
        <v>122</v>
      </c>
      <c r="F96" s="76" t="s">
        <v>168</v>
      </c>
      <c r="G96" s="76" t="s">
        <v>169</v>
      </c>
      <c r="H96" s="76" t="s">
        <v>170</v>
      </c>
      <c r="I96" s="76">
        <f t="shared" si="15"/>
        <v>0</v>
      </c>
      <c r="J96" s="76">
        <f t="shared" si="16"/>
        <v>0</v>
      </c>
      <c r="K96" s="76" t="s">
        <v>535</v>
      </c>
      <c r="L96" s="76">
        <f t="shared" si="17"/>
        <v>4.0000000000000001E-8</v>
      </c>
      <c r="M96" s="76" t="s">
        <v>172</v>
      </c>
      <c r="N96" s="76">
        <f t="shared" si="19"/>
        <v>3.7999999999999996E-8</v>
      </c>
      <c r="O96" s="76" t="s">
        <v>535</v>
      </c>
      <c r="P96" s="76"/>
    </row>
    <row r="97" spans="2:16" ht="12.75" customHeight="1" x14ac:dyDescent="0.2">
      <c r="B97" s="76" t="s">
        <v>167</v>
      </c>
      <c r="C97" s="76">
        <f t="shared" si="9"/>
        <v>4.0000000000000001E-8</v>
      </c>
      <c r="D97" s="76">
        <v>1</v>
      </c>
      <c r="E97" s="76" t="s">
        <v>136</v>
      </c>
      <c r="F97" s="76" t="s">
        <v>168</v>
      </c>
      <c r="G97" s="76" t="s">
        <v>169</v>
      </c>
      <c r="H97" s="76" t="s">
        <v>170</v>
      </c>
      <c r="I97" s="76">
        <f t="shared" si="15"/>
        <v>0</v>
      </c>
      <c r="J97" s="76">
        <f t="shared" si="16"/>
        <v>0</v>
      </c>
      <c r="K97" s="76" t="s">
        <v>535</v>
      </c>
      <c r="L97" s="76">
        <f t="shared" si="17"/>
        <v>4.0000000000000001E-8</v>
      </c>
      <c r="M97" s="76" t="s">
        <v>172</v>
      </c>
      <c r="N97" s="76">
        <f t="shared" si="19"/>
        <v>3.7999999999999996E-8</v>
      </c>
      <c r="O97" s="76" t="s">
        <v>535</v>
      </c>
      <c r="P97" s="76"/>
    </row>
    <row r="98" spans="2:16" ht="12.75" customHeight="1" x14ac:dyDescent="0.2">
      <c r="B98" s="76" t="s">
        <v>167</v>
      </c>
      <c r="C98" s="76">
        <f t="shared" si="9"/>
        <v>4.0000000000000001E-8</v>
      </c>
      <c r="D98" s="76">
        <v>1</v>
      </c>
      <c r="E98" s="76" t="s">
        <v>135</v>
      </c>
      <c r="F98" s="76" t="s">
        <v>168</v>
      </c>
      <c r="G98" s="76" t="s">
        <v>169</v>
      </c>
      <c r="H98" s="76" t="s">
        <v>170</v>
      </c>
      <c r="I98" s="76">
        <f t="shared" si="15"/>
        <v>0</v>
      </c>
      <c r="J98" s="76">
        <f t="shared" si="16"/>
        <v>0</v>
      </c>
      <c r="K98" s="76" t="s">
        <v>535</v>
      </c>
      <c r="L98" s="76">
        <f t="shared" si="17"/>
        <v>4.0000000000000001E-8</v>
      </c>
      <c r="M98" s="76" t="s">
        <v>172</v>
      </c>
      <c r="N98" s="76">
        <f t="shared" si="19"/>
        <v>3.7999999999999996E-8</v>
      </c>
      <c r="O98" s="76" t="s">
        <v>535</v>
      </c>
      <c r="P98" s="76"/>
    </row>
    <row r="99" spans="2:16" ht="12.75" customHeight="1" x14ac:dyDescent="0.2">
      <c r="B99" s="76" t="s">
        <v>167</v>
      </c>
      <c r="C99" s="76">
        <f t="shared" si="9"/>
        <v>4.0000000000000001E-8</v>
      </c>
      <c r="D99" s="76">
        <v>1</v>
      </c>
      <c r="E99" s="76" t="s">
        <v>134</v>
      </c>
      <c r="F99" s="76" t="s">
        <v>168</v>
      </c>
      <c r="G99" s="76" t="s">
        <v>169</v>
      </c>
      <c r="H99" s="76" t="s">
        <v>170</v>
      </c>
      <c r="I99" s="76">
        <f t="shared" si="15"/>
        <v>0</v>
      </c>
      <c r="J99" s="76">
        <f t="shared" si="16"/>
        <v>0</v>
      </c>
      <c r="K99" s="76" t="s">
        <v>535</v>
      </c>
      <c r="L99" s="76">
        <f t="shared" si="17"/>
        <v>4.0000000000000001E-8</v>
      </c>
      <c r="M99" s="76" t="s">
        <v>172</v>
      </c>
      <c r="N99" s="76">
        <f t="shared" si="19"/>
        <v>3.7999999999999996E-8</v>
      </c>
      <c r="O99" s="76" t="s">
        <v>535</v>
      </c>
      <c r="P99" s="76"/>
    </row>
    <row r="100" spans="2:16" ht="12.75" customHeight="1" x14ac:dyDescent="0.2">
      <c r="B100" s="76" t="s">
        <v>167</v>
      </c>
      <c r="C100" s="76">
        <f t="shared" si="9"/>
        <v>4.0000000000000001E-8</v>
      </c>
      <c r="D100" s="76">
        <v>1</v>
      </c>
      <c r="E100" s="76" t="s">
        <v>133</v>
      </c>
      <c r="F100" s="76" t="s">
        <v>168</v>
      </c>
      <c r="G100" s="76" t="s">
        <v>169</v>
      </c>
      <c r="H100" s="76" t="s">
        <v>170</v>
      </c>
      <c r="I100" s="76">
        <f t="shared" si="15"/>
        <v>0</v>
      </c>
      <c r="J100" s="76">
        <f t="shared" si="16"/>
        <v>0</v>
      </c>
      <c r="K100" s="76" t="s">
        <v>535</v>
      </c>
      <c r="L100" s="76">
        <f t="shared" si="17"/>
        <v>4.0000000000000001E-8</v>
      </c>
      <c r="M100" s="76" t="s">
        <v>172</v>
      </c>
      <c r="N100" s="76">
        <f t="shared" si="19"/>
        <v>3.7999999999999996E-8</v>
      </c>
      <c r="O100" s="76" t="s">
        <v>535</v>
      </c>
      <c r="P100" s="76"/>
    </row>
    <row r="101" spans="2:16" ht="12.75" customHeight="1" x14ac:dyDescent="0.2">
      <c r="B101" s="76" t="s">
        <v>167</v>
      </c>
      <c r="C101" s="76">
        <f t="shared" si="9"/>
        <v>4.0000000000000001E-8</v>
      </c>
      <c r="D101" s="76">
        <v>1</v>
      </c>
      <c r="E101" s="76" t="s">
        <v>132</v>
      </c>
      <c r="F101" s="76" t="s">
        <v>168</v>
      </c>
      <c r="G101" s="76" t="s">
        <v>169</v>
      </c>
      <c r="H101" s="76" t="s">
        <v>170</v>
      </c>
      <c r="I101" s="76">
        <f t="shared" si="15"/>
        <v>0</v>
      </c>
      <c r="J101" s="76">
        <f t="shared" si="16"/>
        <v>0</v>
      </c>
      <c r="K101" s="76" t="s">
        <v>535</v>
      </c>
      <c r="L101" s="76">
        <f t="shared" si="17"/>
        <v>4.0000000000000001E-8</v>
      </c>
      <c r="M101" s="76" t="s">
        <v>172</v>
      </c>
      <c r="N101" s="76">
        <f t="shared" si="19"/>
        <v>3.7999999999999996E-8</v>
      </c>
      <c r="O101" s="76" t="s">
        <v>535</v>
      </c>
      <c r="P101" s="76"/>
    </row>
    <row r="102" spans="2:16" ht="12.75" customHeight="1" x14ac:dyDescent="0.2">
      <c r="B102" s="76" t="s">
        <v>167</v>
      </c>
      <c r="C102" s="76">
        <f t="shared" si="9"/>
        <v>4.0000000000000001E-8</v>
      </c>
      <c r="D102" s="76">
        <v>1</v>
      </c>
      <c r="E102" s="76" t="s">
        <v>131</v>
      </c>
      <c r="F102" s="76" t="s">
        <v>168</v>
      </c>
      <c r="G102" s="76" t="s">
        <v>169</v>
      </c>
      <c r="H102" s="76" t="s">
        <v>170</v>
      </c>
      <c r="I102" s="76">
        <f t="shared" si="15"/>
        <v>0</v>
      </c>
      <c r="J102" s="76">
        <f t="shared" si="16"/>
        <v>0</v>
      </c>
      <c r="K102" s="76" t="s">
        <v>535</v>
      </c>
      <c r="L102" s="76">
        <f t="shared" si="17"/>
        <v>4.0000000000000001E-8</v>
      </c>
      <c r="M102" s="76" t="s">
        <v>172</v>
      </c>
      <c r="N102" s="76">
        <f t="shared" si="19"/>
        <v>3.7999999999999996E-8</v>
      </c>
      <c r="O102" s="76" t="s">
        <v>535</v>
      </c>
      <c r="P102" s="76"/>
    </row>
    <row r="103" spans="2:16" ht="12.75" customHeight="1" x14ac:dyDescent="0.2">
      <c r="B103" s="76" t="s">
        <v>167</v>
      </c>
      <c r="C103" s="76">
        <f t="shared" ref="C103:C134" si="20">40*ns</f>
        <v>4.0000000000000001E-8</v>
      </c>
      <c r="D103" s="76">
        <v>1</v>
      </c>
      <c r="E103" s="76" t="s">
        <v>130</v>
      </c>
      <c r="F103" s="76" t="s">
        <v>168</v>
      </c>
      <c r="G103" s="76" t="s">
        <v>169</v>
      </c>
      <c r="H103" s="76" t="s">
        <v>170</v>
      </c>
      <c r="I103" s="76">
        <f t="shared" si="15"/>
        <v>0</v>
      </c>
      <c r="J103" s="76">
        <f t="shared" si="16"/>
        <v>0</v>
      </c>
      <c r="K103" s="76" t="s">
        <v>535</v>
      </c>
      <c r="L103" s="76">
        <f t="shared" si="17"/>
        <v>4.0000000000000001E-8</v>
      </c>
      <c r="M103" s="76" t="s">
        <v>172</v>
      </c>
      <c r="N103" s="76">
        <f t="shared" si="19"/>
        <v>3.7999999999999996E-8</v>
      </c>
      <c r="O103" s="76" t="s">
        <v>535</v>
      </c>
      <c r="P103" s="76"/>
    </row>
    <row r="104" spans="2:16" ht="12.75" customHeight="1" x14ac:dyDescent="0.2">
      <c r="B104" s="76" t="s">
        <v>167</v>
      </c>
      <c r="C104" s="76">
        <f t="shared" si="20"/>
        <v>4.0000000000000001E-8</v>
      </c>
      <c r="D104" s="76">
        <v>1</v>
      </c>
      <c r="E104" s="76" t="s">
        <v>129</v>
      </c>
      <c r="F104" s="76" t="s">
        <v>168</v>
      </c>
      <c r="G104" s="76" t="s">
        <v>169</v>
      </c>
      <c r="H104" s="76" t="s">
        <v>170</v>
      </c>
      <c r="I104" s="76">
        <f t="shared" si="15"/>
        <v>0</v>
      </c>
      <c r="J104" s="76">
        <f t="shared" si="16"/>
        <v>0</v>
      </c>
      <c r="K104" s="76" t="s">
        <v>535</v>
      </c>
      <c r="L104" s="76">
        <f t="shared" si="17"/>
        <v>4.0000000000000001E-8</v>
      </c>
      <c r="M104" s="76" t="s">
        <v>172</v>
      </c>
      <c r="N104" s="76">
        <f t="shared" si="19"/>
        <v>3.7999999999999996E-8</v>
      </c>
      <c r="O104" s="76" t="s">
        <v>535</v>
      </c>
      <c r="P104" s="76"/>
    </row>
    <row r="105" spans="2:16" ht="12.75" customHeight="1" x14ac:dyDescent="0.2">
      <c r="B105" s="76" t="s">
        <v>167</v>
      </c>
      <c r="C105" s="76">
        <f t="shared" si="20"/>
        <v>4.0000000000000001E-8</v>
      </c>
      <c r="D105" s="76">
        <v>1</v>
      </c>
      <c r="E105" s="76" t="s">
        <v>128</v>
      </c>
      <c r="F105" s="76" t="s">
        <v>168</v>
      </c>
      <c r="G105" s="76" t="s">
        <v>169</v>
      </c>
      <c r="H105" s="76" t="s">
        <v>170</v>
      </c>
      <c r="I105" s="76">
        <f t="shared" si="15"/>
        <v>0</v>
      </c>
      <c r="J105" s="76">
        <f t="shared" si="16"/>
        <v>0</v>
      </c>
      <c r="K105" s="76" t="s">
        <v>535</v>
      </c>
      <c r="L105" s="76">
        <f t="shared" si="17"/>
        <v>4.0000000000000001E-8</v>
      </c>
      <c r="M105" s="76" t="s">
        <v>172</v>
      </c>
      <c r="N105" s="76">
        <f t="shared" si="19"/>
        <v>3.7999999999999996E-8</v>
      </c>
      <c r="O105" s="76" t="s">
        <v>535</v>
      </c>
      <c r="P105" s="76"/>
    </row>
    <row r="106" spans="2:16" ht="12.75" customHeight="1" x14ac:dyDescent="0.2">
      <c r="B106" s="76" t="s">
        <v>167</v>
      </c>
      <c r="C106" s="76">
        <f t="shared" si="20"/>
        <v>4.0000000000000001E-8</v>
      </c>
      <c r="D106" s="76">
        <v>1</v>
      </c>
      <c r="E106" s="76" t="s">
        <v>98</v>
      </c>
      <c r="F106" s="76" t="s">
        <v>168</v>
      </c>
      <c r="G106" s="76" t="s">
        <v>169</v>
      </c>
      <c r="H106" s="76" t="s">
        <v>170</v>
      </c>
      <c r="I106" s="76">
        <f t="shared" si="15"/>
        <v>0</v>
      </c>
      <c r="J106" s="76">
        <f t="shared" si="16"/>
        <v>0</v>
      </c>
      <c r="K106" s="76" t="s">
        <v>535</v>
      </c>
      <c r="L106" s="76">
        <f t="shared" si="17"/>
        <v>4.0000000000000001E-8</v>
      </c>
      <c r="M106" s="76" t="s">
        <v>163</v>
      </c>
      <c r="N106" s="76">
        <f>0*C106</f>
        <v>0</v>
      </c>
      <c r="O106" s="76" t="s">
        <v>535</v>
      </c>
      <c r="P106" s="76"/>
    </row>
    <row r="107" spans="2:16" ht="12.75" customHeight="1" x14ac:dyDescent="0.2">
      <c r="B107" s="76" t="s">
        <v>167</v>
      </c>
      <c r="C107" s="76">
        <f t="shared" si="20"/>
        <v>4.0000000000000001E-8</v>
      </c>
      <c r="D107" s="76">
        <v>1</v>
      </c>
      <c r="E107" s="76" t="s">
        <v>99</v>
      </c>
      <c r="F107" s="76" t="s">
        <v>168</v>
      </c>
      <c r="G107" s="76" t="s">
        <v>169</v>
      </c>
      <c r="H107" s="76" t="s">
        <v>170</v>
      </c>
      <c r="I107" s="76">
        <f t="shared" si="15"/>
        <v>0</v>
      </c>
      <c r="J107" s="76">
        <f t="shared" si="16"/>
        <v>0</v>
      </c>
      <c r="K107" s="76" t="s">
        <v>535</v>
      </c>
      <c r="L107" s="76">
        <f t="shared" si="17"/>
        <v>4.0000000000000001E-8</v>
      </c>
      <c r="M107" s="76" t="s">
        <v>172</v>
      </c>
      <c r="N107" s="76">
        <f>0.95*C107</f>
        <v>3.7999999999999996E-8</v>
      </c>
      <c r="O107" s="76" t="s">
        <v>535</v>
      </c>
      <c r="P107" s="76"/>
    </row>
    <row r="108" spans="2:16" ht="12.75" customHeight="1" x14ac:dyDescent="0.2">
      <c r="B108" s="76" t="s">
        <v>167</v>
      </c>
      <c r="C108" s="76">
        <f t="shared" si="20"/>
        <v>4.0000000000000001E-8</v>
      </c>
      <c r="D108" s="76">
        <v>1</v>
      </c>
      <c r="E108" s="76" t="s">
        <v>898</v>
      </c>
      <c r="F108" s="76" t="s">
        <v>168</v>
      </c>
      <c r="G108" s="76" t="s">
        <v>169</v>
      </c>
      <c r="H108" s="76" t="s">
        <v>170</v>
      </c>
      <c r="I108" s="76">
        <f t="shared" si="15"/>
        <v>0</v>
      </c>
      <c r="J108" s="76">
        <f t="shared" si="16"/>
        <v>0</v>
      </c>
      <c r="K108" s="76" t="s">
        <v>535</v>
      </c>
      <c r="L108" s="76">
        <f t="shared" si="17"/>
        <v>4.0000000000000001E-8</v>
      </c>
      <c r="M108" s="76" t="s">
        <v>163</v>
      </c>
      <c r="N108" s="76">
        <f>0*C108</f>
        <v>0</v>
      </c>
      <c r="O108" s="76" t="s">
        <v>535</v>
      </c>
      <c r="P108" s="76"/>
    </row>
    <row r="109" spans="2:16" ht="12.75" customHeight="1" x14ac:dyDescent="0.2">
      <c r="B109" s="76" t="s">
        <v>167</v>
      </c>
      <c r="C109" s="76">
        <f t="shared" si="20"/>
        <v>4.0000000000000001E-8</v>
      </c>
      <c r="D109" s="76">
        <v>1</v>
      </c>
      <c r="E109" s="76" t="s">
        <v>899</v>
      </c>
      <c r="F109" s="76" t="s">
        <v>168</v>
      </c>
      <c r="G109" s="76" t="s">
        <v>169</v>
      </c>
      <c r="H109" s="76" t="s">
        <v>170</v>
      </c>
      <c r="I109" s="76">
        <f t="shared" si="15"/>
        <v>0</v>
      </c>
      <c r="J109" s="76">
        <f t="shared" si="16"/>
        <v>0</v>
      </c>
      <c r="K109" s="76" t="s">
        <v>535</v>
      </c>
      <c r="L109" s="76">
        <f t="shared" si="17"/>
        <v>4.0000000000000001E-8</v>
      </c>
      <c r="M109" s="76" t="s">
        <v>163</v>
      </c>
      <c r="N109" s="76">
        <f t="shared" ref="N109:N117" si="21">0*C109</f>
        <v>0</v>
      </c>
      <c r="O109" s="76" t="s">
        <v>535</v>
      </c>
      <c r="P109" s="76"/>
    </row>
    <row r="110" spans="2:16" ht="12.75" customHeight="1" x14ac:dyDescent="0.2">
      <c r="B110" s="76" t="s">
        <v>167</v>
      </c>
      <c r="C110" s="76">
        <f t="shared" si="20"/>
        <v>4.0000000000000001E-8</v>
      </c>
      <c r="D110" s="76">
        <v>1</v>
      </c>
      <c r="E110" s="76" t="s">
        <v>900</v>
      </c>
      <c r="F110" s="76" t="s">
        <v>168</v>
      </c>
      <c r="G110" s="76" t="s">
        <v>169</v>
      </c>
      <c r="H110" s="76" t="s">
        <v>170</v>
      </c>
      <c r="I110" s="76">
        <f t="shared" si="15"/>
        <v>0</v>
      </c>
      <c r="J110" s="76">
        <f t="shared" si="16"/>
        <v>0</v>
      </c>
      <c r="K110" s="76" t="s">
        <v>535</v>
      </c>
      <c r="L110" s="76">
        <f t="shared" si="17"/>
        <v>4.0000000000000001E-8</v>
      </c>
      <c r="M110" s="76" t="s">
        <v>163</v>
      </c>
      <c r="N110" s="76">
        <f t="shared" si="21"/>
        <v>0</v>
      </c>
      <c r="O110" s="76" t="s">
        <v>535</v>
      </c>
      <c r="P110" s="76"/>
    </row>
    <row r="111" spans="2:16" ht="12.75" customHeight="1" x14ac:dyDescent="0.2">
      <c r="B111" s="76" t="s">
        <v>167</v>
      </c>
      <c r="C111" s="76">
        <f t="shared" si="20"/>
        <v>4.0000000000000001E-8</v>
      </c>
      <c r="D111" s="76">
        <v>1</v>
      </c>
      <c r="E111" s="76" t="s">
        <v>901</v>
      </c>
      <c r="F111" s="76" t="s">
        <v>168</v>
      </c>
      <c r="G111" s="76" t="s">
        <v>169</v>
      </c>
      <c r="H111" s="76" t="s">
        <v>170</v>
      </c>
      <c r="I111" s="76">
        <f t="shared" si="15"/>
        <v>0</v>
      </c>
      <c r="J111" s="76">
        <f t="shared" si="16"/>
        <v>0</v>
      </c>
      <c r="K111" s="76" t="s">
        <v>535</v>
      </c>
      <c r="L111" s="76">
        <f t="shared" si="17"/>
        <v>4.0000000000000001E-8</v>
      </c>
      <c r="M111" s="76" t="s">
        <v>163</v>
      </c>
      <c r="N111" s="76">
        <f t="shared" si="21"/>
        <v>0</v>
      </c>
      <c r="O111" s="76" t="s">
        <v>535</v>
      </c>
      <c r="P111" s="76"/>
    </row>
    <row r="112" spans="2:16" ht="12.75" customHeight="1" x14ac:dyDescent="0.2">
      <c r="B112" s="76" t="s">
        <v>167</v>
      </c>
      <c r="C112" s="76">
        <f t="shared" si="20"/>
        <v>4.0000000000000001E-8</v>
      </c>
      <c r="D112" s="76">
        <v>1</v>
      </c>
      <c r="E112" s="76" t="s">
        <v>902</v>
      </c>
      <c r="F112" s="76" t="s">
        <v>168</v>
      </c>
      <c r="G112" s="76" t="s">
        <v>169</v>
      </c>
      <c r="H112" s="76" t="s">
        <v>170</v>
      </c>
      <c r="I112" s="76">
        <f t="shared" si="15"/>
        <v>0</v>
      </c>
      <c r="J112" s="76">
        <f t="shared" si="16"/>
        <v>0</v>
      </c>
      <c r="K112" s="76" t="s">
        <v>535</v>
      </c>
      <c r="L112" s="76">
        <f t="shared" si="17"/>
        <v>4.0000000000000001E-8</v>
      </c>
      <c r="M112" s="76" t="s">
        <v>163</v>
      </c>
      <c r="N112" s="76">
        <f t="shared" si="21"/>
        <v>0</v>
      </c>
      <c r="O112" s="76" t="s">
        <v>535</v>
      </c>
      <c r="P112" s="76"/>
    </row>
    <row r="113" spans="2:16" ht="12.75" customHeight="1" x14ac:dyDescent="0.2">
      <c r="B113" s="76" t="s">
        <v>167</v>
      </c>
      <c r="C113" s="76">
        <f t="shared" si="20"/>
        <v>4.0000000000000001E-8</v>
      </c>
      <c r="D113" s="76">
        <v>1</v>
      </c>
      <c r="E113" s="76" t="s">
        <v>903</v>
      </c>
      <c r="F113" s="76" t="s">
        <v>168</v>
      </c>
      <c r="G113" s="76" t="s">
        <v>169</v>
      </c>
      <c r="H113" s="76" t="s">
        <v>170</v>
      </c>
      <c r="I113" s="76">
        <f t="shared" si="15"/>
        <v>0</v>
      </c>
      <c r="J113" s="76">
        <f t="shared" si="16"/>
        <v>0</v>
      </c>
      <c r="K113" s="76" t="s">
        <v>535</v>
      </c>
      <c r="L113" s="76">
        <f t="shared" si="17"/>
        <v>4.0000000000000001E-8</v>
      </c>
      <c r="M113" s="76" t="s">
        <v>163</v>
      </c>
      <c r="N113" s="76">
        <f t="shared" si="21"/>
        <v>0</v>
      </c>
      <c r="O113" s="76" t="s">
        <v>535</v>
      </c>
      <c r="P113" s="76"/>
    </row>
    <row r="114" spans="2:16" ht="12.75" customHeight="1" x14ac:dyDescent="0.2">
      <c r="B114" s="76" t="s">
        <v>167</v>
      </c>
      <c r="C114" s="76">
        <f t="shared" si="20"/>
        <v>4.0000000000000001E-8</v>
      </c>
      <c r="D114" s="76">
        <v>1</v>
      </c>
      <c r="E114" s="76" t="s">
        <v>904</v>
      </c>
      <c r="F114" s="76" t="s">
        <v>168</v>
      </c>
      <c r="G114" s="76" t="s">
        <v>169</v>
      </c>
      <c r="H114" s="76" t="s">
        <v>170</v>
      </c>
      <c r="I114" s="76">
        <f t="shared" si="15"/>
        <v>0</v>
      </c>
      <c r="J114" s="76">
        <f t="shared" si="16"/>
        <v>0</v>
      </c>
      <c r="K114" s="76" t="s">
        <v>535</v>
      </c>
      <c r="L114" s="76">
        <f t="shared" si="17"/>
        <v>4.0000000000000001E-8</v>
      </c>
      <c r="M114" s="76" t="s">
        <v>163</v>
      </c>
      <c r="N114" s="76">
        <f t="shared" si="21"/>
        <v>0</v>
      </c>
      <c r="O114" s="76" t="s">
        <v>535</v>
      </c>
      <c r="P114" s="76"/>
    </row>
    <row r="115" spans="2:16" ht="12.75" customHeight="1" x14ac:dyDescent="0.2">
      <c r="B115" s="76" t="s">
        <v>167</v>
      </c>
      <c r="C115" s="76">
        <f t="shared" si="20"/>
        <v>4.0000000000000001E-8</v>
      </c>
      <c r="D115" s="76">
        <v>1</v>
      </c>
      <c r="E115" s="76" t="s">
        <v>905</v>
      </c>
      <c r="F115" s="76" t="s">
        <v>168</v>
      </c>
      <c r="G115" s="76" t="s">
        <v>169</v>
      </c>
      <c r="H115" s="76" t="s">
        <v>170</v>
      </c>
      <c r="I115" s="76">
        <f t="shared" si="15"/>
        <v>0</v>
      </c>
      <c r="J115" s="76">
        <f t="shared" si="16"/>
        <v>0</v>
      </c>
      <c r="K115" s="76" t="s">
        <v>535</v>
      </c>
      <c r="L115" s="76">
        <f t="shared" si="17"/>
        <v>4.0000000000000001E-8</v>
      </c>
      <c r="M115" s="76" t="s">
        <v>163</v>
      </c>
      <c r="N115" s="76">
        <f t="shared" si="21"/>
        <v>0</v>
      </c>
      <c r="O115" s="76" t="s">
        <v>535</v>
      </c>
      <c r="P115" s="76"/>
    </row>
    <row r="116" spans="2:16" ht="12.75" customHeight="1" x14ac:dyDescent="0.2">
      <c r="B116" s="76" t="s">
        <v>167</v>
      </c>
      <c r="C116" s="76">
        <f t="shared" si="20"/>
        <v>4.0000000000000001E-8</v>
      </c>
      <c r="D116" s="76">
        <v>1</v>
      </c>
      <c r="E116" s="76" t="s">
        <v>906</v>
      </c>
      <c r="F116" s="76" t="s">
        <v>168</v>
      </c>
      <c r="G116" s="76" t="s">
        <v>169</v>
      </c>
      <c r="H116" s="76" t="s">
        <v>170</v>
      </c>
      <c r="I116" s="76">
        <f t="shared" si="15"/>
        <v>0</v>
      </c>
      <c r="J116" s="76">
        <f t="shared" si="16"/>
        <v>0</v>
      </c>
      <c r="K116" s="76" t="s">
        <v>535</v>
      </c>
      <c r="L116" s="76">
        <f t="shared" si="17"/>
        <v>4.0000000000000001E-8</v>
      </c>
      <c r="M116" s="76" t="s">
        <v>163</v>
      </c>
      <c r="N116" s="76">
        <f t="shared" si="21"/>
        <v>0</v>
      </c>
      <c r="O116" s="76" t="s">
        <v>535</v>
      </c>
      <c r="P116" s="76"/>
    </row>
    <row r="117" spans="2:16" ht="12.75" customHeight="1" x14ac:dyDescent="0.2">
      <c r="B117" s="76" t="s">
        <v>167</v>
      </c>
      <c r="C117" s="76">
        <f t="shared" si="20"/>
        <v>4.0000000000000001E-8</v>
      </c>
      <c r="D117" s="76">
        <v>1</v>
      </c>
      <c r="E117" s="76" t="s">
        <v>907</v>
      </c>
      <c r="F117" s="76" t="s">
        <v>168</v>
      </c>
      <c r="G117" s="76" t="s">
        <v>169</v>
      </c>
      <c r="H117" s="76" t="s">
        <v>170</v>
      </c>
      <c r="I117" s="76">
        <f t="shared" si="15"/>
        <v>0</v>
      </c>
      <c r="J117" s="76">
        <f t="shared" si="16"/>
        <v>0</v>
      </c>
      <c r="K117" s="76" t="s">
        <v>535</v>
      </c>
      <c r="L117" s="76">
        <f t="shared" si="17"/>
        <v>4.0000000000000001E-8</v>
      </c>
      <c r="M117" s="76" t="s">
        <v>163</v>
      </c>
      <c r="N117" s="76">
        <f t="shared" si="21"/>
        <v>0</v>
      </c>
      <c r="O117" s="76" t="s">
        <v>535</v>
      </c>
      <c r="P117" s="76"/>
    </row>
    <row r="118" spans="2:16" ht="12.75" customHeight="1" x14ac:dyDescent="0.2">
      <c r="B118" s="76" t="s">
        <v>167</v>
      </c>
      <c r="C118" s="76">
        <f t="shared" si="20"/>
        <v>4.0000000000000001E-8</v>
      </c>
      <c r="D118" s="76">
        <v>1</v>
      </c>
      <c r="E118" s="76" t="s">
        <v>911</v>
      </c>
      <c r="F118" s="76" t="s">
        <v>168</v>
      </c>
      <c r="G118" s="76" t="s">
        <v>169</v>
      </c>
      <c r="H118" s="76" t="s">
        <v>170</v>
      </c>
      <c r="I118" s="76">
        <f t="shared" si="15"/>
        <v>0</v>
      </c>
      <c r="J118" s="76">
        <f t="shared" si="16"/>
        <v>0</v>
      </c>
      <c r="K118" s="76" t="s">
        <v>535</v>
      </c>
      <c r="L118" s="76">
        <f t="shared" si="17"/>
        <v>4.0000000000000001E-8</v>
      </c>
      <c r="M118" s="76" t="s">
        <v>172</v>
      </c>
      <c r="N118" s="76">
        <f>0.95*C118</f>
        <v>3.7999999999999996E-8</v>
      </c>
      <c r="O118" s="76" t="s">
        <v>535</v>
      </c>
      <c r="P118" s="76"/>
    </row>
    <row r="119" spans="2:16" ht="12.75" customHeight="1" x14ac:dyDescent="0.2">
      <c r="B119" s="76" t="s">
        <v>167</v>
      </c>
      <c r="C119" s="76">
        <f t="shared" si="20"/>
        <v>4.0000000000000001E-8</v>
      </c>
      <c r="D119" s="76">
        <v>1</v>
      </c>
      <c r="E119" s="76" t="s">
        <v>908</v>
      </c>
      <c r="F119" s="76" t="s">
        <v>168</v>
      </c>
      <c r="G119" s="76" t="s">
        <v>169</v>
      </c>
      <c r="H119" s="76" t="s">
        <v>170</v>
      </c>
      <c r="I119" s="76">
        <f t="shared" si="15"/>
        <v>0</v>
      </c>
      <c r="J119" s="76">
        <f t="shared" si="16"/>
        <v>0</v>
      </c>
      <c r="K119" s="76" t="s">
        <v>535</v>
      </c>
      <c r="L119" s="76">
        <f t="shared" si="17"/>
        <v>4.0000000000000001E-8</v>
      </c>
      <c r="M119" s="76" t="s">
        <v>163</v>
      </c>
      <c r="N119" s="76">
        <f>0*C119</f>
        <v>0</v>
      </c>
      <c r="O119" s="76" t="s">
        <v>535</v>
      </c>
      <c r="P119" s="76"/>
    </row>
    <row r="120" spans="2:16" ht="12.75" customHeight="1" x14ac:dyDescent="0.2">
      <c r="B120" s="76" t="s">
        <v>167</v>
      </c>
      <c r="C120" s="76">
        <f t="shared" si="20"/>
        <v>4.0000000000000001E-8</v>
      </c>
      <c r="D120" s="76">
        <v>1</v>
      </c>
      <c r="E120" s="76" t="s">
        <v>944</v>
      </c>
      <c r="F120" s="76" t="s">
        <v>168</v>
      </c>
      <c r="G120" s="76" t="s">
        <v>169</v>
      </c>
      <c r="H120" s="76" t="s">
        <v>170</v>
      </c>
      <c r="I120" s="76">
        <f t="shared" si="15"/>
        <v>0</v>
      </c>
      <c r="J120" s="76">
        <f t="shared" si="16"/>
        <v>0</v>
      </c>
      <c r="K120" s="76" t="s">
        <v>535</v>
      </c>
      <c r="L120" s="76">
        <f t="shared" si="17"/>
        <v>4.0000000000000001E-8</v>
      </c>
      <c r="M120" s="76" t="s">
        <v>163</v>
      </c>
      <c r="N120" s="76">
        <f t="shared" ref="N120:N154" si="22">0*C120</f>
        <v>0</v>
      </c>
      <c r="O120" s="76" t="s">
        <v>535</v>
      </c>
      <c r="P120" s="76"/>
    </row>
    <row r="121" spans="2:16" ht="12.75" customHeight="1" x14ac:dyDescent="0.2">
      <c r="B121" s="76" t="s">
        <v>167</v>
      </c>
      <c r="C121" s="76">
        <f t="shared" si="20"/>
        <v>4.0000000000000001E-8</v>
      </c>
      <c r="D121" s="76">
        <v>1</v>
      </c>
      <c r="E121" s="76" t="s">
        <v>934</v>
      </c>
      <c r="F121" s="76" t="s">
        <v>168</v>
      </c>
      <c r="G121" s="76" t="s">
        <v>169</v>
      </c>
      <c r="H121" s="76" t="s">
        <v>170</v>
      </c>
      <c r="I121" s="76">
        <f t="shared" si="15"/>
        <v>0</v>
      </c>
      <c r="J121" s="76">
        <f t="shared" si="16"/>
        <v>0</v>
      </c>
      <c r="K121" s="76" t="s">
        <v>535</v>
      </c>
      <c r="L121" s="76">
        <f t="shared" si="17"/>
        <v>4.0000000000000001E-8</v>
      </c>
      <c r="M121" s="76" t="s">
        <v>163</v>
      </c>
      <c r="N121" s="76">
        <f t="shared" si="22"/>
        <v>0</v>
      </c>
      <c r="O121" s="76" t="s">
        <v>535</v>
      </c>
      <c r="P121" s="76"/>
    </row>
    <row r="122" spans="2:16" ht="12.75" customHeight="1" x14ac:dyDescent="0.2">
      <c r="B122" s="76" t="s">
        <v>167</v>
      </c>
      <c r="C122" s="76">
        <f t="shared" si="20"/>
        <v>4.0000000000000001E-8</v>
      </c>
      <c r="D122" s="76">
        <v>1</v>
      </c>
      <c r="E122" s="76" t="s">
        <v>933</v>
      </c>
      <c r="F122" s="76" t="s">
        <v>168</v>
      </c>
      <c r="G122" s="76" t="s">
        <v>169</v>
      </c>
      <c r="H122" s="76" t="s">
        <v>170</v>
      </c>
      <c r="I122" s="76">
        <f t="shared" si="15"/>
        <v>0</v>
      </c>
      <c r="J122" s="76">
        <f t="shared" si="16"/>
        <v>0</v>
      </c>
      <c r="K122" s="76" t="s">
        <v>535</v>
      </c>
      <c r="L122" s="76">
        <f t="shared" si="17"/>
        <v>4.0000000000000001E-8</v>
      </c>
      <c r="M122" s="76" t="s">
        <v>163</v>
      </c>
      <c r="N122" s="76">
        <f t="shared" si="22"/>
        <v>0</v>
      </c>
      <c r="O122" s="76" t="s">
        <v>535</v>
      </c>
      <c r="P122" s="76"/>
    </row>
    <row r="123" spans="2:16" ht="12.75" customHeight="1" x14ac:dyDescent="0.2">
      <c r="B123" s="76" t="s">
        <v>167</v>
      </c>
      <c r="C123" s="76">
        <f t="shared" si="20"/>
        <v>4.0000000000000001E-8</v>
      </c>
      <c r="D123" s="76">
        <v>1</v>
      </c>
      <c r="E123" s="76" t="s">
        <v>932</v>
      </c>
      <c r="F123" s="76" t="s">
        <v>168</v>
      </c>
      <c r="G123" s="76" t="s">
        <v>169</v>
      </c>
      <c r="H123" s="76" t="s">
        <v>170</v>
      </c>
      <c r="I123" s="76">
        <f t="shared" si="15"/>
        <v>0</v>
      </c>
      <c r="J123" s="76">
        <f t="shared" si="16"/>
        <v>0</v>
      </c>
      <c r="K123" s="76" t="s">
        <v>535</v>
      </c>
      <c r="L123" s="76">
        <f t="shared" si="17"/>
        <v>4.0000000000000001E-8</v>
      </c>
      <c r="M123" s="76" t="s">
        <v>163</v>
      </c>
      <c r="N123" s="76">
        <f t="shared" si="22"/>
        <v>0</v>
      </c>
      <c r="O123" s="76" t="s">
        <v>535</v>
      </c>
      <c r="P123" s="76"/>
    </row>
    <row r="124" spans="2:16" ht="12.75" customHeight="1" x14ac:dyDescent="0.2">
      <c r="B124" s="76" t="s">
        <v>167</v>
      </c>
      <c r="C124" s="76">
        <f t="shared" si="20"/>
        <v>4.0000000000000001E-8</v>
      </c>
      <c r="D124" s="76">
        <v>1</v>
      </c>
      <c r="E124" s="76" t="s">
        <v>931</v>
      </c>
      <c r="F124" s="76" t="s">
        <v>168</v>
      </c>
      <c r="G124" s="76" t="s">
        <v>169</v>
      </c>
      <c r="H124" s="76" t="s">
        <v>170</v>
      </c>
      <c r="I124" s="76">
        <f t="shared" si="15"/>
        <v>0</v>
      </c>
      <c r="J124" s="76">
        <f t="shared" si="16"/>
        <v>0</v>
      </c>
      <c r="K124" s="76" t="s">
        <v>535</v>
      </c>
      <c r="L124" s="76">
        <f t="shared" si="17"/>
        <v>4.0000000000000001E-8</v>
      </c>
      <c r="M124" s="76" t="s">
        <v>163</v>
      </c>
      <c r="N124" s="76">
        <f t="shared" si="22"/>
        <v>0</v>
      </c>
      <c r="O124" s="76" t="s">
        <v>535</v>
      </c>
      <c r="P124" s="76"/>
    </row>
    <row r="125" spans="2:16" ht="12.75" customHeight="1" x14ac:dyDescent="0.2">
      <c r="B125" s="76" t="s">
        <v>167</v>
      </c>
      <c r="C125" s="76">
        <f t="shared" si="20"/>
        <v>4.0000000000000001E-8</v>
      </c>
      <c r="D125" s="76">
        <v>1</v>
      </c>
      <c r="E125" s="76" t="s">
        <v>930</v>
      </c>
      <c r="F125" s="76" t="s">
        <v>168</v>
      </c>
      <c r="G125" s="76" t="s">
        <v>169</v>
      </c>
      <c r="H125" s="76" t="s">
        <v>170</v>
      </c>
      <c r="I125" s="76">
        <f t="shared" si="15"/>
        <v>0</v>
      </c>
      <c r="J125" s="76">
        <f t="shared" si="16"/>
        <v>0</v>
      </c>
      <c r="K125" s="76" t="s">
        <v>535</v>
      </c>
      <c r="L125" s="76">
        <f t="shared" si="17"/>
        <v>4.0000000000000001E-8</v>
      </c>
      <c r="M125" s="76" t="s">
        <v>163</v>
      </c>
      <c r="N125" s="76">
        <f t="shared" si="22"/>
        <v>0</v>
      </c>
      <c r="O125" s="76" t="s">
        <v>535</v>
      </c>
      <c r="P125" s="76"/>
    </row>
    <row r="126" spans="2:16" ht="12.75" customHeight="1" x14ac:dyDescent="0.2">
      <c r="B126" s="76" t="s">
        <v>167</v>
      </c>
      <c r="C126" s="76">
        <f t="shared" si="20"/>
        <v>4.0000000000000001E-8</v>
      </c>
      <c r="D126" s="76">
        <v>1</v>
      </c>
      <c r="E126" s="76" t="s">
        <v>929</v>
      </c>
      <c r="F126" s="76" t="s">
        <v>168</v>
      </c>
      <c r="G126" s="76" t="s">
        <v>169</v>
      </c>
      <c r="H126" s="76" t="s">
        <v>170</v>
      </c>
      <c r="I126" s="76">
        <f t="shared" si="15"/>
        <v>0</v>
      </c>
      <c r="J126" s="76">
        <f t="shared" si="16"/>
        <v>0</v>
      </c>
      <c r="K126" s="76" t="s">
        <v>535</v>
      </c>
      <c r="L126" s="76">
        <f t="shared" si="17"/>
        <v>4.0000000000000001E-8</v>
      </c>
      <c r="M126" s="76" t="s">
        <v>163</v>
      </c>
      <c r="N126" s="76">
        <f t="shared" si="22"/>
        <v>0</v>
      </c>
      <c r="O126" s="76" t="s">
        <v>535</v>
      </c>
      <c r="P126" s="76"/>
    </row>
    <row r="127" spans="2:16" ht="12.75" customHeight="1" x14ac:dyDescent="0.2">
      <c r="B127" s="76" t="s">
        <v>167</v>
      </c>
      <c r="C127" s="76">
        <f t="shared" si="20"/>
        <v>4.0000000000000001E-8</v>
      </c>
      <c r="D127" s="76">
        <v>1</v>
      </c>
      <c r="E127" s="76" t="s">
        <v>928</v>
      </c>
      <c r="F127" s="76" t="s">
        <v>168</v>
      </c>
      <c r="G127" s="76" t="s">
        <v>169</v>
      </c>
      <c r="H127" s="76" t="s">
        <v>170</v>
      </c>
      <c r="I127" s="76">
        <f t="shared" si="15"/>
        <v>0</v>
      </c>
      <c r="J127" s="76">
        <f t="shared" si="16"/>
        <v>0</v>
      </c>
      <c r="K127" s="76" t="s">
        <v>535</v>
      </c>
      <c r="L127" s="76">
        <f t="shared" si="17"/>
        <v>4.0000000000000001E-8</v>
      </c>
      <c r="M127" s="76" t="s">
        <v>163</v>
      </c>
      <c r="N127" s="76">
        <f t="shared" si="22"/>
        <v>0</v>
      </c>
      <c r="O127" s="76" t="s">
        <v>535</v>
      </c>
      <c r="P127" s="76"/>
    </row>
    <row r="128" spans="2:16" ht="12.75" customHeight="1" x14ac:dyDescent="0.2">
      <c r="B128" s="76" t="s">
        <v>167</v>
      </c>
      <c r="C128" s="76">
        <f t="shared" si="20"/>
        <v>4.0000000000000001E-8</v>
      </c>
      <c r="D128" s="76">
        <v>1</v>
      </c>
      <c r="E128" s="76" t="s">
        <v>927</v>
      </c>
      <c r="F128" s="76" t="s">
        <v>168</v>
      </c>
      <c r="G128" s="76" t="s">
        <v>169</v>
      </c>
      <c r="H128" s="76" t="s">
        <v>170</v>
      </c>
      <c r="I128" s="76">
        <f t="shared" si="15"/>
        <v>0</v>
      </c>
      <c r="J128" s="76">
        <f t="shared" si="16"/>
        <v>0</v>
      </c>
      <c r="K128" s="76" t="s">
        <v>535</v>
      </c>
      <c r="L128" s="76">
        <f t="shared" si="17"/>
        <v>4.0000000000000001E-8</v>
      </c>
      <c r="M128" s="76" t="s">
        <v>163</v>
      </c>
      <c r="N128" s="76">
        <f t="shared" si="22"/>
        <v>0</v>
      </c>
      <c r="O128" s="76" t="s">
        <v>535</v>
      </c>
      <c r="P128" s="76"/>
    </row>
    <row r="129" spans="2:16" ht="12.75" customHeight="1" x14ac:dyDescent="0.2">
      <c r="B129" s="76" t="s">
        <v>167</v>
      </c>
      <c r="C129" s="76">
        <f t="shared" si="20"/>
        <v>4.0000000000000001E-8</v>
      </c>
      <c r="D129" s="76">
        <v>1</v>
      </c>
      <c r="E129" s="76" t="s">
        <v>926</v>
      </c>
      <c r="F129" s="76" t="s">
        <v>168</v>
      </c>
      <c r="G129" s="76" t="s">
        <v>169</v>
      </c>
      <c r="H129" s="76" t="s">
        <v>170</v>
      </c>
      <c r="I129" s="76">
        <f t="shared" si="15"/>
        <v>0</v>
      </c>
      <c r="J129" s="76">
        <f t="shared" si="16"/>
        <v>0</v>
      </c>
      <c r="K129" s="76" t="s">
        <v>535</v>
      </c>
      <c r="L129" s="76">
        <f t="shared" si="17"/>
        <v>4.0000000000000001E-8</v>
      </c>
      <c r="M129" s="76" t="s">
        <v>163</v>
      </c>
      <c r="N129" s="76">
        <f t="shared" si="22"/>
        <v>0</v>
      </c>
      <c r="O129" s="76" t="s">
        <v>535</v>
      </c>
      <c r="P129" s="76"/>
    </row>
    <row r="130" spans="2:16" ht="12.75" customHeight="1" x14ac:dyDescent="0.2">
      <c r="B130" s="76" t="s">
        <v>167</v>
      </c>
      <c r="C130" s="76">
        <f t="shared" si="20"/>
        <v>4.0000000000000001E-8</v>
      </c>
      <c r="D130" s="76">
        <v>1</v>
      </c>
      <c r="E130" s="76" t="s">
        <v>925</v>
      </c>
      <c r="F130" s="76" t="s">
        <v>168</v>
      </c>
      <c r="G130" s="76" t="s">
        <v>169</v>
      </c>
      <c r="H130" s="76" t="s">
        <v>170</v>
      </c>
      <c r="I130" s="76">
        <f t="shared" si="15"/>
        <v>0</v>
      </c>
      <c r="J130" s="76">
        <f t="shared" si="16"/>
        <v>0</v>
      </c>
      <c r="K130" s="76" t="s">
        <v>535</v>
      </c>
      <c r="L130" s="76">
        <f t="shared" si="17"/>
        <v>4.0000000000000001E-8</v>
      </c>
      <c r="M130" s="76" t="s">
        <v>163</v>
      </c>
      <c r="N130" s="76">
        <f t="shared" si="22"/>
        <v>0</v>
      </c>
      <c r="O130" s="76" t="s">
        <v>535</v>
      </c>
      <c r="P130" s="76"/>
    </row>
    <row r="131" spans="2:16" ht="12.75" customHeight="1" x14ac:dyDescent="0.2">
      <c r="B131" s="76" t="s">
        <v>167</v>
      </c>
      <c r="C131" s="76">
        <f t="shared" si="20"/>
        <v>4.0000000000000001E-8</v>
      </c>
      <c r="D131" s="76">
        <v>1</v>
      </c>
      <c r="E131" s="76" t="s">
        <v>943</v>
      </c>
      <c r="F131" s="76" t="s">
        <v>168</v>
      </c>
      <c r="G131" s="76" t="s">
        <v>169</v>
      </c>
      <c r="H131" s="76" t="s">
        <v>170</v>
      </c>
      <c r="I131" s="76">
        <f t="shared" si="15"/>
        <v>0</v>
      </c>
      <c r="J131" s="76">
        <f t="shared" si="16"/>
        <v>0</v>
      </c>
      <c r="K131" s="76" t="s">
        <v>535</v>
      </c>
      <c r="L131" s="76">
        <f t="shared" si="17"/>
        <v>4.0000000000000001E-8</v>
      </c>
      <c r="M131" s="76" t="s">
        <v>163</v>
      </c>
      <c r="N131" s="76">
        <f t="shared" si="22"/>
        <v>0</v>
      </c>
      <c r="O131" s="76" t="s">
        <v>535</v>
      </c>
      <c r="P131" s="76"/>
    </row>
    <row r="132" spans="2:16" ht="12.75" customHeight="1" x14ac:dyDescent="0.2">
      <c r="B132" s="76" t="s">
        <v>167</v>
      </c>
      <c r="C132" s="76">
        <f t="shared" si="20"/>
        <v>4.0000000000000001E-8</v>
      </c>
      <c r="D132" s="76">
        <v>1</v>
      </c>
      <c r="E132" s="76" t="s">
        <v>924</v>
      </c>
      <c r="F132" s="76" t="s">
        <v>168</v>
      </c>
      <c r="G132" s="76" t="s">
        <v>169</v>
      </c>
      <c r="H132" s="76" t="s">
        <v>170</v>
      </c>
      <c r="I132" s="76">
        <f t="shared" si="15"/>
        <v>0</v>
      </c>
      <c r="J132" s="76">
        <f t="shared" si="16"/>
        <v>0</v>
      </c>
      <c r="K132" s="76" t="s">
        <v>535</v>
      </c>
      <c r="L132" s="76">
        <f t="shared" si="17"/>
        <v>4.0000000000000001E-8</v>
      </c>
      <c r="M132" s="76" t="s">
        <v>163</v>
      </c>
      <c r="N132" s="76">
        <f t="shared" si="22"/>
        <v>0</v>
      </c>
      <c r="O132" s="76" t="s">
        <v>535</v>
      </c>
      <c r="P132" s="76"/>
    </row>
    <row r="133" spans="2:16" ht="12.75" customHeight="1" x14ac:dyDescent="0.2">
      <c r="B133" s="76" t="s">
        <v>167</v>
      </c>
      <c r="C133" s="76">
        <f t="shared" si="20"/>
        <v>4.0000000000000001E-8</v>
      </c>
      <c r="D133" s="76">
        <v>1</v>
      </c>
      <c r="E133" s="76" t="s">
        <v>923</v>
      </c>
      <c r="F133" s="76" t="s">
        <v>168</v>
      </c>
      <c r="G133" s="76" t="s">
        <v>169</v>
      </c>
      <c r="H133" s="76" t="s">
        <v>170</v>
      </c>
      <c r="I133" s="76">
        <f t="shared" si="15"/>
        <v>0</v>
      </c>
      <c r="J133" s="76">
        <f t="shared" si="16"/>
        <v>0</v>
      </c>
      <c r="K133" s="76" t="s">
        <v>535</v>
      </c>
      <c r="L133" s="76">
        <f t="shared" si="17"/>
        <v>4.0000000000000001E-8</v>
      </c>
      <c r="M133" s="76" t="s">
        <v>163</v>
      </c>
      <c r="N133" s="76">
        <f t="shared" si="22"/>
        <v>0</v>
      </c>
      <c r="O133" s="76" t="s">
        <v>535</v>
      </c>
      <c r="P133" s="76"/>
    </row>
    <row r="134" spans="2:16" ht="12.75" customHeight="1" x14ac:dyDescent="0.2">
      <c r="B134" s="76" t="s">
        <v>167</v>
      </c>
      <c r="C134" s="76">
        <f t="shared" si="20"/>
        <v>4.0000000000000001E-8</v>
      </c>
      <c r="D134" s="76">
        <v>1</v>
      </c>
      <c r="E134" s="76" t="s">
        <v>922</v>
      </c>
      <c r="F134" s="76" t="s">
        <v>168</v>
      </c>
      <c r="G134" s="76" t="s">
        <v>169</v>
      </c>
      <c r="H134" s="76" t="s">
        <v>170</v>
      </c>
      <c r="I134" s="76">
        <f t="shared" si="15"/>
        <v>0</v>
      </c>
      <c r="J134" s="76">
        <f t="shared" si="16"/>
        <v>0</v>
      </c>
      <c r="K134" s="76" t="s">
        <v>535</v>
      </c>
      <c r="L134" s="76">
        <f t="shared" si="17"/>
        <v>4.0000000000000001E-8</v>
      </c>
      <c r="M134" s="76" t="s">
        <v>163</v>
      </c>
      <c r="N134" s="76">
        <f t="shared" si="22"/>
        <v>0</v>
      </c>
      <c r="O134" s="76" t="s">
        <v>535</v>
      </c>
      <c r="P134" s="76"/>
    </row>
    <row r="135" spans="2:16" ht="12.75" customHeight="1" x14ac:dyDescent="0.2">
      <c r="B135" s="76" t="s">
        <v>167</v>
      </c>
      <c r="C135" s="76">
        <f t="shared" ref="C135:C166" si="23">40*ns</f>
        <v>4.0000000000000001E-8</v>
      </c>
      <c r="D135" s="76">
        <v>1</v>
      </c>
      <c r="E135" s="76" t="s">
        <v>921</v>
      </c>
      <c r="F135" s="76" t="s">
        <v>168</v>
      </c>
      <c r="G135" s="76" t="s">
        <v>169</v>
      </c>
      <c r="H135" s="76" t="s">
        <v>170</v>
      </c>
      <c r="I135" s="76">
        <f t="shared" si="15"/>
        <v>0</v>
      </c>
      <c r="J135" s="76">
        <f t="shared" si="16"/>
        <v>0</v>
      </c>
      <c r="K135" s="76" t="s">
        <v>535</v>
      </c>
      <c r="L135" s="76">
        <f t="shared" si="17"/>
        <v>4.0000000000000001E-8</v>
      </c>
      <c r="M135" s="76" t="s">
        <v>163</v>
      </c>
      <c r="N135" s="76">
        <f t="shared" si="22"/>
        <v>0</v>
      </c>
      <c r="O135" s="76" t="s">
        <v>535</v>
      </c>
      <c r="P135" s="76"/>
    </row>
    <row r="136" spans="2:16" ht="12.75" customHeight="1" x14ac:dyDescent="0.2">
      <c r="B136" s="76" t="s">
        <v>167</v>
      </c>
      <c r="C136" s="76">
        <f t="shared" si="23"/>
        <v>4.0000000000000001E-8</v>
      </c>
      <c r="D136" s="76">
        <v>1</v>
      </c>
      <c r="E136" s="76" t="s">
        <v>920</v>
      </c>
      <c r="F136" s="76" t="s">
        <v>168</v>
      </c>
      <c r="G136" s="76" t="s">
        <v>169</v>
      </c>
      <c r="H136" s="76" t="s">
        <v>170</v>
      </c>
      <c r="I136" s="76">
        <f t="shared" si="15"/>
        <v>0</v>
      </c>
      <c r="J136" s="76">
        <f t="shared" si="16"/>
        <v>0</v>
      </c>
      <c r="K136" s="76" t="s">
        <v>535</v>
      </c>
      <c r="L136" s="76">
        <f t="shared" si="17"/>
        <v>4.0000000000000001E-8</v>
      </c>
      <c r="M136" s="76" t="s">
        <v>163</v>
      </c>
      <c r="N136" s="76">
        <f t="shared" si="22"/>
        <v>0</v>
      </c>
      <c r="O136" s="76" t="s">
        <v>535</v>
      </c>
      <c r="P136" s="76"/>
    </row>
    <row r="137" spans="2:16" ht="12.75" customHeight="1" x14ac:dyDescent="0.2">
      <c r="B137" s="76" t="s">
        <v>167</v>
      </c>
      <c r="C137" s="76">
        <f t="shared" si="23"/>
        <v>4.0000000000000001E-8</v>
      </c>
      <c r="D137" s="76">
        <v>1</v>
      </c>
      <c r="E137" s="76" t="s">
        <v>919</v>
      </c>
      <c r="F137" s="76" t="s">
        <v>168</v>
      </c>
      <c r="G137" s="76" t="s">
        <v>169</v>
      </c>
      <c r="H137" s="76" t="s">
        <v>170</v>
      </c>
      <c r="I137" s="76">
        <f t="shared" si="15"/>
        <v>0</v>
      </c>
      <c r="J137" s="76">
        <f t="shared" si="16"/>
        <v>0</v>
      </c>
      <c r="K137" s="76" t="s">
        <v>535</v>
      </c>
      <c r="L137" s="76">
        <f t="shared" si="17"/>
        <v>4.0000000000000001E-8</v>
      </c>
      <c r="M137" s="76" t="s">
        <v>163</v>
      </c>
      <c r="N137" s="76">
        <f t="shared" si="22"/>
        <v>0</v>
      </c>
      <c r="O137" s="76" t="s">
        <v>535</v>
      </c>
      <c r="P137" s="76"/>
    </row>
    <row r="138" spans="2:16" ht="12.75" customHeight="1" x14ac:dyDescent="0.2">
      <c r="B138" s="76" t="s">
        <v>167</v>
      </c>
      <c r="C138" s="76">
        <f t="shared" si="23"/>
        <v>4.0000000000000001E-8</v>
      </c>
      <c r="D138" s="76">
        <v>1</v>
      </c>
      <c r="E138" s="76" t="s">
        <v>918</v>
      </c>
      <c r="F138" s="76" t="s">
        <v>168</v>
      </c>
      <c r="G138" s="76" t="s">
        <v>169</v>
      </c>
      <c r="H138" s="76" t="s">
        <v>170</v>
      </c>
      <c r="I138" s="76">
        <f t="shared" si="15"/>
        <v>0</v>
      </c>
      <c r="J138" s="76">
        <f t="shared" si="16"/>
        <v>0</v>
      </c>
      <c r="K138" s="76" t="s">
        <v>535</v>
      </c>
      <c r="L138" s="76">
        <f t="shared" si="17"/>
        <v>4.0000000000000001E-8</v>
      </c>
      <c r="M138" s="76" t="s">
        <v>163</v>
      </c>
      <c r="N138" s="76">
        <f t="shared" si="22"/>
        <v>0</v>
      </c>
      <c r="O138" s="76" t="s">
        <v>535</v>
      </c>
      <c r="P138" s="76"/>
    </row>
    <row r="139" spans="2:16" ht="12.75" customHeight="1" x14ac:dyDescent="0.2">
      <c r="B139" s="76" t="s">
        <v>167</v>
      </c>
      <c r="C139" s="76">
        <f t="shared" si="23"/>
        <v>4.0000000000000001E-8</v>
      </c>
      <c r="D139" s="76">
        <v>1</v>
      </c>
      <c r="E139" s="76" t="s">
        <v>917</v>
      </c>
      <c r="F139" s="76" t="s">
        <v>168</v>
      </c>
      <c r="G139" s="76" t="s">
        <v>169</v>
      </c>
      <c r="H139" s="76" t="s">
        <v>170</v>
      </c>
      <c r="I139" s="76">
        <f t="shared" si="15"/>
        <v>0</v>
      </c>
      <c r="J139" s="76">
        <f t="shared" si="16"/>
        <v>0</v>
      </c>
      <c r="K139" s="76" t="s">
        <v>535</v>
      </c>
      <c r="L139" s="76">
        <f t="shared" si="17"/>
        <v>4.0000000000000001E-8</v>
      </c>
      <c r="M139" s="76" t="s">
        <v>163</v>
      </c>
      <c r="N139" s="76">
        <f t="shared" si="22"/>
        <v>0</v>
      </c>
      <c r="O139" s="76" t="s">
        <v>535</v>
      </c>
      <c r="P139" s="76"/>
    </row>
    <row r="140" spans="2:16" ht="12.75" customHeight="1" x14ac:dyDescent="0.2">
      <c r="B140" s="76" t="s">
        <v>167</v>
      </c>
      <c r="C140" s="76">
        <f t="shared" si="23"/>
        <v>4.0000000000000001E-8</v>
      </c>
      <c r="D140" s="76">
        <v>1</v>
      </c>
      <c r="E140" s="76" t="s">
        <v>916</v>
      </c>
      <c r="F140" s="76" t="s">
        <v>168</v>
      </c>
      <c r="G140" s="76" t="s">
        <v>169</v>
      </c>
      <c r="H140" s="76" t="s">
        <v>170</v>
      </c>
      <c r="I140" s="76">
        <f t="shared" si="15"/>
        <v>0</v>
      </c>
      <c r="J140" s="76">
        <f t="shared" si="16"/>
        <v>0</v>
      </c>
      <c r="K140" s="76" t="s">
        <v>535</v>
      </c>
      <c r="L140" s="76">
        <f t="shared" si="17"/>
        <v>4.0000000000000001E-8</v>
      </c>
      <c r="M140" s="76" t="s">
        <v>163</v>
      </c>
      <c r="N140" s="76">
        <f t="shared" si="22"/>
        <v>0</v>
      </c>
      <c r="O140" s="76" t="s">
        <v>535</v>
      </c>
      <c r="P140" s="76"/>
    </row>
    <row r="141" spans="2:16" ht="12.75" customHeight="1" x14ac:dyDescent="0.2">
      <c r="B141" s="76" t="s">
        <v>167</v>
      </c>
      <c r="C141" s="76">
        <f t="shared" si="23"/>
        <v>4.0000000000000001E-8</v>
      </c>
      <c r="D141" s="76">
        <v>1</v>
      </c>
      <c r="E141" s="76" t="s">
        <v>915</v>
      </c>
      <c r="F141" s="76" t="s">
        <v>168</v>
      </c>
      <c r="G141" s="76" t="s">
        <v>169</v>
      </c>
      <c r="H141" s="76" t="s">
        <v>170</v>
      </c>
      <c r="I141" s="76">
        <f t="shared" si="15"/>
        <v>0</v>
      </c>
      <c r="J141" s="76">
        <f t="shared" si="16"/>
        <v>0</v>
      </c>
      <c r="K141" s="76" t="s">
        <v>535</v>
      </c>
      <c r="L141" s="76">
        <f t="shared" si="17"/>
        <v>4.0000000000000001E-8</v>
      </c>
      <c r="M141" s="76" t="s">
        <v>163</v>
      </c>
      <c r="N141" s="76">
        <f t="shared" si="22"/>
        <v>0</v>
      </c>
      <c r="O141" s="76" t="s">
        <v>535</v>
      </c>
      <c r="P141" s="76"/>
    </row>
    <row r="142" spans="2:16" ht="12.75" customHeight="1" x14ac:dyDescent="0.2">
      <c r="B142" s="76" t="s">
        <v>167</v>
      </c>
      <c r="C142" s="76">
        <f t="shared" si="23"/>
        <v>4.0000000000000001E-8</v>
      </c>
      <c r="D142" s="76">
        <v>1</v>
      </c>
      <c r="E142" s="76" t="s">
        <v>942</v>
      </c>
      <c r="F142" s="76" t="s">
        <v>168</v>
      </c>
      <c r="G142" s="76" t="s">
        <v>169</v>
      </c>
      <c r="H142" s="76" t="s">
        <v>170</v>
      </c>
      <c r="I142" s="76">
        <f t="shared" si="15"/>
        <v>0</v>
      </c>
      <c r="J142" s="76">
        <f t="shared" si="16"/>
        <v>0</v>
      </c>
      <c r="K142" s="76" t="s">
        <v>535</v>
      </c>
      <c r="L142" s="76">
        <f t="shared" si="17"/>
        <v>4.0000000000000001E-8</v>
      </c>
      <c r="M142" s="76" t="s">
        <v>163</v>
      </c>
      <c r="N142" s="76">
        <f t="shared" si="22"/>
        <v>0</v>
      </c>
      <c r="O142" s="76" t="s">
        <v>535</v>
      </c>
      <c r="P142" s="76"/>
    </row>
    <row r="143" spans="2:16" ht="12.75" customHeight="1" x14ac:dyDescent="0.2">
      <c r="B143" s="76" t="s">
        <v>167</v>
      </c>
      <c r="C143" s="76">
        <f t="shared" si="23"/>
        <v>4.0000000000000001E-8</v>
      </c>
      <c r="D143" s="76">
        <v>1</v>
      </c>
      <c r="E143" s="76" t="s">
        <v>914</v>
      </c>
      <c r="F143" s="76" t="s">
        <v>168</v>
      </c>
      <c r="G143" s="76" t="s">
        <v>169</v>
      </c>
      <c r="H143" s="76" t="s">
        <v>170</v>
      </c>
      <c r="I143" s="76">
        <f t="shared" si="15"/>
        <v>0</v>
      </c>
      <c r="J143" s="76">
        <f t="shared" si="16"/>
        <v>0</v>
      </c>
      <c r="K143" s="76" t="s">
        <v>535</v>
      </c>
      <c r="L143" s="76">
        <f t="shared" si="17"/>
        <v>4.0000000000000001E-8</v>
      </c>
      <c r="M143" s="76" t="s">
        <v>163</v>
      </c>
      <c r="N143" s="76">
        <f t="shared" si="22"/>
        <v>0</v>
      </c>
      <c r="O143" s="76" t="s">
        <v>535</v>
      </c>
      <c r="P143" s="76"/>
    </row>
    <row r="144" spans="2:16" ht="12.75" customHeight="1" x14ac:dyDescent="0.2">
      <c r="B144" s="76" t="s">
        <v>167</v>
      </c>
      <c r="C144" s="76">
        <f t="shared" si="23"/>
        <v>4.0000000000000001E-8</v>
      </c>
      <c r="D144" s="76">
        <v>1</v>
      </c>
      <c r="E144" s="76" t="s">
        <v>913</v>
      </c>
      <c r="F144" s="76" t="s">
        <v>168</v>
      </c>
      <c r="G144" s="76" t="s">
        <v>169</v>
      </c>
      <c r="H144" s="76" t="s">
        <v>170</v>
      </c>
      <c r="I144" s="76">
        <f t="shared" si="15"/>
        <v>0</v>
      </c>
      <c r="J144" s="76">
        <f t="shared" si="16"/>
        <v>0</v>
      </c>
      <c r="K144" s="76" t="s">
        <v>535</v>
      </c>
      <c r="L144" s="76">
        <f t="shared" si="17"/>
        <v>4.0000000000000001E-8</v>
      </c>
      <c r="M144" s="76" t="s">
        <v>163</v>
      </c>
      <c r="N144" s="76">
        <f t="shared" si="22"/>
        <v>0</v>
      </c>
      <c r="O144" s="76" t="s">
        <v>535</v>
      </c>
      <c r="P144" s="76"/>
    </row>
    <row r="145" spans="2:16" ht="12.75" customHeight="1" x14ac:dyDescent="0.2">
      <c r="B145" s="76" t="s">
        <v>167</v>
      </c>
      <c r="C145" s="76">
        <f t="shared" si="23"/>
        <v>4.0000000000000001E-8</v>
      </c>
      <c r="D145" s="76">
        <v>1</v>
      </c>
      <c r="E145" s="76" t="s">
        <v>941</v>
      </c>
      <c r="F145" s="76" t="s">
        <v>168</v>
      </c>
      <c r="G145" s="76" t="s">
        <v>169</v>
      </c>
      <c r="H145" s="76" t="s">
        <v>170</v>
      </c>
      <c r="I145" s="76">
        <f t="shared" si="15"/>
        <v>0</v>
      </c>
      <c r="J145" s="76">
        <f t="shared" si="16"/>
        <v>0</v>
      </c>
      <c r="K145" s="76" t="s">
        <v>535</v>
      </c>
      <c r="L145" s="76">
        <f t="shared" si="17"/>
        <v>4.0000000000000001E-8</v>
      </c>
      <c r="M145" s="76" t="s">
        <v>163</v>
      </c>
      <c r="N145" s="76">
        <f t="shared" si="22"/>
        <v>0</v>
      </c>
      <c r="O145" s="76" t="s">
        <v>535</v>
      </c>
      <c r="P145" s="76"/>
    </row>
    <row r="146" spans="2:16" ht="12.75" customHeight="1" x14ac:dyDescent="0.2">
      <c r="B146" s="76" t="s">
        <v>167</v>
      </c>
      <c r="C146" s="76">
        <f t="shared" si="23"/>
        <v>4.0000000000000001E-8</v>
      </c>
      <c r="D146" s="76">
        <v>1</v>
      </c>
      <c r="E146" s="76" t="s">
        <v>940</v>
      </c>
      <c r="F146" s="76" t="s">
        <v>168</v>
      </c>
      <c r="G146" s="76" t="s">
        <v>169</v>
      </c>
      <c r="H146" s="76" t="s">
        <v>170</v>
      </c>
      <c r="I146" s="76">
        <f t="shared" si="15"/>
        <v>0</v>
      </c>
      <c r="J146" s="76">
        <f t="shared" si="16"/>
        <v>0</v>
      </c>
      <c r="K146" s="76" t="s">
        <v>535</v>
      </c>
      <c r="L146" s="76">
        <f t="shared" si="17"/>
        <v>4.0000000000000001E-8</v>
      </c>
      <c r="M146" s="76" t="s">
        <v>163</v>
      </c>
      <c r="N146" s="76">
        <f t="shared" si="22"/>
        <v>0</v>
      </c>
      <c r="O146" s="76" t="s">
        <v>535</v>
      </c>
      <c r="P146" s="76"/>
    </row>
    <row r="147" spans="2:16" ht="12.75" customHeight="1" x14ac:dyDescent="0.2">
      <c r="B147" s="76" t="s">
        <v>167</v>
      </c>
      <c r="C147" s="76">
        <f t="shared" si="23"/>
        <v>4.0000000000000001E-8</v>
      </c>
      <c r="D147" s="76">
        <v>1</v>
      </c>
      <c r="E147" s="76" t="s">
        <v>939</v>
      </c>
      <c r="F147" s="76" t="s">
        <v>168</v>
      </c>
      <c r="G147" s="76" t="s">
        <v>169</v>
      </c>
      <c r="H147" s="76" t="s">
        <v>170</v>
      </c>
      <c r="I147" s="76">
        <f t="shared" si="15"/>
        <v>0</v>
      </c>
      <c r="J147" s="76">
        <f t="shared" si="16"/>
        <v>0</v>
      </c>
      <c r="K147" s="76" t="s">
        <v>535</v>
      </c>
      <c r="L147" s="76">
        <f t="shared" si="17"/>
        <v>4.0000000000000001E-8</v>
      </c>
      <c r="M147" s="76" t="s">
        <v>163</v>
      </c>
      <c r="N147" s="76">
        <f t="shared" si="22"/>
        <v>0</v>
      </c>
      <c r="O147" s="76" t="s">
        <v>535</v>
      </c>
      <c r="P147" s="76"/>
    </row>
    <row r="148" spans="2:16" ht="12.75" customHeight="1" x14ac:dyDescent="0.2">
      <c r="B148" s="76" t="s">
        <v>167</v>
      </c>
      <c r="C148" s="76">
        <f t="shared" si="23"/>
        <v>4.0000000000000001E-8</v>
      </c>
      <c r="D148" s="76">
        <v>1</v>
      </c>
      <c r="E148" s="76" t="s">
        <v>938</v>
      </c>
      <c r="F148" s="76" t="s">
        <v>168</v>
      </c>
      <c r="G148" s="76" t="s">
        <v>169</v>
      </c>
      <c r="H148" s="76" t="s">
        <v>170</v>
      </c>
      <c r="I148" s="76">
        <f t="shared" si="15"/>
        <v>0</v>
      </c>
      <c r="J148" s="76">
        <f t="shared" si="16"/>
        <v>0</v>
      </c>
      <c r="K148" s="76" t="s">
        <v>535</v>
      </c>
      <c r="L148" s="76">
        <f t="shared" si="17"/>
        <v>4.0000000000000001E-8</v>
      </c>
      <c r="M148" s="76" t="s">
        <v>163</v>
      </c>
      <c r="N148" s="76">
        <f t="shared" si="22"/>
        <v>0</v>
      </c>
      <c r="O148" s="76" t="s">
        <v>535</v>
      </c>
      <c r="P148" s="76"/>
    </row>
    <row r="149" spans="2:16" ht="12.75" customHeight="1" x14ac:dyDescent="0.2">
      <c r="B149" s="76" t="s">
        <v>167</v>
      </c>
      <c r="C149" s="76">
        <f t="shared" si="23"/>
        <v>4.0000000000000001E-8</v>
      </c>
      <c r="D149" s="76">
        <v>1</v>
      </c>
      <c r="E149" s="76" t="s">
        <v>937</v>
      </c>
      <c r="F149" s="76" t="s">
        <v>168</v>
      </c>
      <c r="G149" s="76" t="s">
        <v>169</v>
      </c>
      <c r="H149" s="76" t="s">
        <v>170</v>
      </c>
      <c r="I149" s="76">
        <f t="shared" si="15"/>
        <v>0</v>
      </c>
      <c r="J149" s="76">
        <f t="shared" si="16"/>
        <v>0</v>
      </c>
      <c r="K149" s="76" t="s">
        <v>535</v>
      </c>
      <c r="L149" s="76">
        <f t="shared" si="17"/>
        <v>4.0000000000000001E-8</v>
      </c>
      <c r="M149" s="76" t="s">
        <v>163</v>
      </c>
      <c r="N149" s="76">
        <f t="shared" si="22"/>
        <v>0</v>
      </c>
      <c r="O149" s="76" t="s">
        <v>535</v>
      </c>
      <c r="P149" s="76"/>
    </row>
    <row r="150" spans="2:16" ht="12.75" customHeight="1" x14ac:dyDescent="0.2">
      <c r="B150" s="76" t="s">
        <v>167</v>
      </c>
      <c r="C150" s="76">
        <f t="shared" si="23"/>
        <v>4.0000000000000001E-8</v>
      </c>
      <c r="D150" s="76">
        <v>1</v>
      </c>
      <c r="E150" s="76" t="s">
        <v>936</v>
      </c>
      <c r="F150" s="76" t="s">
        <v>168</v>
      </c>
      <c r="G150" s="76" t="s">
        <v>169</v>
      </c>
      <c r="H150" s="76" t="s">
        <v>170</v>
      </c>
      <c r="I150" s="76">
        <f t="shared" si="15"/>
        <v>0</v>
      </c>
      <c r="J150" s="76">
        <f t="shared" si="16"/>
        <v>0</v>
      </c>
      <c r="K150" s="76" t="s">
        <v>535</v>
      </c>
      <c r="L150" s="76">
        <f t="shared" si="17"/>
        <v>4.0000000000000001E-8</v>
      </c>
      <c r="M150" s="76" t="s">
        <v>163</v>
      </c>
      <c r="N150" s="76">
        <f t="shared" si="22"/>
        <v>0</v>
      </c>
      <c r="O150" s="76" t="s">
        <v>535</v>
      </c>
      <c r="P150" s="76"/>
    </row>
    <row r="151" spans="2:16" ht="12.75" customHeight="1" x14ac:dyDescent="0.2">
      <c r="B151" s="76" t="s">
        <v>167</v>
      </c>
      <c r="C151" s="76">
        <f t="shared" si="23"/>
        <v>4.0000000000000001E-8</v>
      </c>
      <c r="D151" s="76">
        <v>1</v>
      </c>
      <c r="E151" s="76" t="s">
        <v>935</v>
      </c>
      <c r="F151" s="76" t="s">
        <v>168</v>
      </c>
      <c r="G151" s="76" t="s">
        <v>169</v>
      </c>
      <c r="H151" s="76" t="s">
        <v>170</v>
      </c>
      <c r="I151" s="76">
        <f t="shared" si="15"/>
        <v>0</v>
      </c>
      <c r="J151" s="76">
        <f t="shared" si="16"/>
        <v>0</v>
      </c>
      <c r="K151" s="76" t="s">
        <v>535</v>
      </c>
      <c r="L151" s="76">
        <f t="shared" si="17"/>
        <v>4.0000000000000001E-8</v>
      </c>
      <c r="M151" s="76" t="s">
        <v>163</v>
      </c>
      <c r="N151" s="76">
        <f t="shared" si="22"/>
        <v>0</v>
      </c>
      <c r="O151" s="76" t="s">
        <v>535</v>
      </c>
      <c r="P151" s="76"/>
    </row>
    <row r="152" spans="2:16" ht="12.75" customHeight="1" x14ac:dyDescent="0.2">
      <c r="B152" s="76" t="s">
        <v>167</v>
      </c>
      <c r="C152" s="76">
        <f t="shared" si="23"/>
        <v>4.0000000000000001E-8</v>
      </c>
      <c r="D152" s="76">
        <v>1</v>
      </c>
      <c r="E152" s="76" t="s">
        <v>945</v>
      </c>
      <c r="F152" s="76" t="s">
        <v>168</v>
      </c>
      <c r="G152" s="76" t="s">
        <v>169</v>
      </c>
      <c r="H152" s="76" t="s">
        <v>170</v>
      </c>
      <c r="I152" s="76">
        <f t="shared" ref="I152" si="24">0*C152</f>
        <v>0</v>
      </c>
      <c r="J152" s="76">
        <f t="shared" ref="J152" si="25">0*C152</f>
        <v>0</v>
      </c>
      <c r="K152" s="76" t="s">
        <v>535</v>
      </c>
      <c r="L152" s="76">
        <f t="shared" ref="L152" si="26">1*C152</f>
        <v>4.0000000000000001E-8</v>
      </c>
      <c r="M152" s="76" t="s">
        <v>163</v>
      </c>
      <c r="N152" s="76">
        <f t="shared" si="22"/>
        <v>0</v>
      </c>
      <c r="O152" s="76" t="s">
        <v>535</v>
      </c>
      <c r="P152" s="76"/>
    </row>
    <row r="153" spans="2:16" ht="12.75" customHeight="1" x14ac:dyDescent="0.2">
      <c r="B153" s="76" t="s">
        <v>167</v>
      </c>
      <c r="C153" s="76">
        <f t="shared" si="23"/>
        <v>4.0000000000000001E-8</v>
      </c>
      <c r="D153" s="76">
        <v>1</v>
      </c>
      <c r="E153" s="76" t="s">
        <v>946</v>
      </c>
      <c r="F153" s="76" t="s">
        <v>168</v>
      </c>
      <c r="G153" s="76" t="s">
        <v>169</v>
      </c>
      <c r="H153" s="76" t="s">
        <v>170</v>
      </c>
      <c r="I153" s="76">
        <f>0*C153</f>
        <v>0</v>
      </c>
      <c r="J153" s="76">
        <f>0*C153</f>
        <v>0</v>
      </c>
      <c r="K153" s="76" t="s">
        <v>535</v>
      </c>
      <c r="L153" s="76">
        <f>1*C153</f>
        <v>4.0000000000000001E-8</v>
      </c>
      <c r="M153" s="76" t="s">
        <v>163</v>
      </c>
      <c r="N153" s="76">
        <f t="shared" si="22"/>
        <v>0</v>
      </c>
      <c r="O153" s="76" t="s">
        <v>535</v>
      </c>
      <c r="P153" s="76"/>
    </row>
    <row r="154" spans="2:16" ht="12.75" customHeight="1" x14ac:dyDescent="0.2">
      <c r="B154" s="76" t="s">
        <v>167</v>
      </c>
      <c r="C154" s="76">
        <f t="shared" si="23"/>
        <v>4.0000000000000001E-8</v>
      </c>
      <c r="D154" s="76">
        <v>1</v>
      </c>
      <c r="E154" s="76" t="s">
        <v>103</v>
      </c>
      <c r="F154" s="76" t="s">
        <v>168</v>
      </c>
      <c r="G154" s="76" t="s">
        <v>169</v>
      </c>
      <c r="H154" s="76" t="s">
        <v>170</v>
      </c>
      <c r="I154" s="76">
        <f t="shared" ref="I154:I166" si="27">0*C154</f>
        <v>0</v>
      </c>
      <c r="J154" s="76">
        <f t="shared" ref="J154:J160" si="28">0*C154</f>
        <v>0</v>
      </c>
      <c r="K154" s="76" t="s">
        <v>535</v>
      </c>
      <c r="L154" s="76">
        <f t="shared" ref="L154:L166" si="29">1*C154</f>
        <v>4.0000000000000001E-8</v>
      </c>
      <c r="M154" s="76" t="s">
        <v>163</v>
      </c>
      <c r="N154" s="76">
        <f t="shared" si="22"/>
        <v>0</v>
      </c>
      <c r="O154" s="76" t="s">
        <v>535</v>
      </c>
      <c r="P154" s="76"/>
    </row>
    <row r="155" spans="2:16" ht="12.75" customHeight="1" x14ac:dyDescent="0.2">
      <c r="B155" s="76" t="s">
        <v>167</v>
      </c>
      <c r="C155" s="76">
        <f t="shared" si="23"/>
        <v>4.0000000000000001E-8</v>
      </c>
      <c r="D155" s="76">
        <v>1</v>
      </c>
      <c r="E155" s="76" t="s">
        <v>111</v>
      </c>
      <c r="F155" s="76" t="s">
        <v>168</v>
      </c>
      <c r="G155" s="76" t="s">
        <v>169</v>
      </c>
      <c r="H155" s="76" t="s">
        <v>170</v>
      </c>
      <c r="I155" s="76">
        <f t="shared" si="27"/>
        <v>0</v>
      </c>
      <c r="J155" s="76">
        <f t="shared" si="28"/>
        <v>0</v>
      </c>
      <c r="K155" s="76" t="s">
        <v>535</v>
      </c>
      <c r="L155" s="76">
        <f t="shared" si="29"/>
        <v>4.0000000000000001E-8</v>
      </c>
      <c r="M155" s="76" t="s">
        <v>172</v>
      </c>
      <c r="N155" s="76">
        <f>0.95*C155</f>
        <v>3.7999999999999996E-8</v>
      </c>
      <c r="O155" s="76" t="s">
        <v>535</v>
      </c>
      <c r="P155" s="76"/>
    </row>
    <row r="156" spans="2:16" ht="12.75" customHeight="1" x14ac:dyDescent="0.2">
      <c r="B156" s="76" t="s">
        <v>167</v>
      </c>
      <c r="C156" s="76">
        <f t="shared" si="23"/>
        <v>4.0000000000000001E-8</v>
      </c>
      <c r="D156" s="76">
        <v>1</v>
      </c>
      <c r="E156" s="76" t="s">
        <v>120</v>
      </c>
      <c r="F156" s="76" t="s">
        <v>168</v>
      </c>
      <c r="G156" s="76" t="s">
        <v>169</v>
      </c>
      <c r="H156" s="76" t="s">
        <v>170</v>
      </c>
      <c r="I156" s="76">
        <f t="shared" si="27"/>
        <v>0</v>
      </c>
      <c r="J156" s="76">
        <f t="shared" si="28"/>
        <v>0</v>
      </c>
      <c r="K156" s="76" t="s">
        <v>535</v>
      </c>
      <c r="L156" s="76">
        <f t="shared" si="29"/>
        <v>4.0000000000000001E-8</v>
      </c>
      <c r="M156" s="76" t="s">
        <v>172</v>
      </c>
      <c r="N156" s="76">
        <f>0.95*C156</f>
        <v>3.7999999999999996E-8</v>
      </c>
      <c r="O156" s="76" t="s">
        <v>535</v>
      </c>
      <c r="P156" s="76"/>
    </row>
    <row r="157" spans="2:16" ht="12.75" customHeight="1" x14ac:dyDescent="0.2">
      <c r="B157" s="76" t="s">
        <v>167</v>
      </c>
      <c r="C157" s="76">
        <f t="shared" si="23"/>
        <v>4.0000000000000001E-8</v>
      </c>
      <c r="D157" s="76">
        <v>1</v>
      </c>
      <c r="E157" s="76" t="s">
        <v>121</v>
      </c>
      <c r="F157" s="76" t="s">
        <v>168</v>
      </c>
      <c r="G157" s="76" t="s">
        <v>169</v>
      </c>
      <c r="H157" s="76" t="s">
        <v>170</v>
      </c>
      <c r="I157" s="76">
        <f t="shared" si="27"/>
        <v>0</v>
      </c>
      <c r="J157" s="76">
        <f t="shared" si="28"/>
        <v>0</v>
      </c>
      <c r="K157" s="76" t="s">
        <v>535</v>
      </c>
      <c r="L157" s="76">
        <f t="shared" si="29"/>
        <v>4.0000000000000001E-8</v>
      </c>
      <c r="M157" s="76" t="s">
        <v>172</v>
      </c>
      <c r="N157" s="76">
        <f>0.95*C157</f>
        <v>3.7999999999999996E-8</v>
      </c>
      <c r="O157" s="76" t="s">
        <v>535</v>
      </c>
      <c r="P157" s="76"/>
    </row>
    <row r="158" spans="2:16" ht="12.75" customHeight="1" x14ac:dyDescent="0.2">
      <c r="B158" s="76" t="s">
        <v>167</v>
      </c>
      <c r="C158" s="76">
        <f t="shared" si="23"/>
        <v>4.0000000000000001E-8</v>
      </c>
      <c r="D158" s="76">
        <v>1</v>
      </c>
      <c r="E158" s="76" t="s">
        <v>97</v>
      </c>
      <c r="F158" s="76" t="s">
        <v>168</v>
      </c>
      <c r="G158" s="76" t="s">
        <v>169</v>
      </c>
      <c r="H158" s="76" t="s">
        <v>170</v>
      </c>
      <c r="I158" s="76">
        <f t="shared" si="27"/>
        <v>0</v>
      </c>
      <c r="J158" s="76">
        <f t="shared" si="28"/>
        <v>0</v>
      </c>
      <c r="K158" s="76" t="s">
        <v>535</v>
      </c>
      <c r="L158" s="76">
        <f t="shared" si="29"/>
        <v>4.0000000000000001E-8</v>
      </c>
      <c r="M158" s="76" t="s">
        <v>163</v>
      </c>
      <c r="N158" s="76">
        <f>0*C158</f>
        <v>0</v>
      </c>
      <c r="O158" s="76" t="s">
        <v>535</v>
      </c>
      <c r="P158" s="76"/>
    </row>
    <row r="159" spans="2:16" ht="12.75" customHeight="1" x14ac:dyDescent="0.2">
      <c r="B159" s="76" t="s">
        <v>167</v>
      </c>
      <c r="C159" s="76">
        <f t="shared" si="23"/>
        <v>4.0000000000000001E-8</v>
      </c>
      <c r="D159" s="76">
        <v>1</v>
      </c>
      <c r="E159" s="76" t="s">
        <v>909</v>
      </c>
      <c r="F159" s="76" t="s">
        <v>168</v>
      </c>
      <c r="G159" s="76" t="s">
        <v>169</v>
      </c>
      <c r="H159" s="76" t="s">
        <v>170</v>
      </c>
      <c r="I159" s="76">
        <f t="shared" si="27"/>
        <v>0</v>
      </c>
      <c r="J159" s="76">
        <f t="shared" si="28"/>
        <v>0</v>
      </c>
      <c r="K159" s="76" t="s">
        <v>535</v>
      </c>
      <c r="L159" s="76">
        <f t="shared" si="29"/>
        <v>4.0000000000000001E-8</v>
      </c>
      <c r="M159" s="76" t="s">
        <v>163</v>
      </c>
      <c r="N159" s="76">
        <f t="shared" ref="N159:N161" si="30">0*C159</f>
        <v>0</v>
      </c>
      <c r="O159" s="76" t="s">
        <v>535</v>
      </c>
      <c r="P159" s="76"/>
    </row>
    <row r="160" spans="2:16" ht="12.75" customHeight="1" x14ac:dyDescent="0.2">
      <c r="B160" s="76" t="s">
        <v>167</v>
      </c>
      <c r="C160" s="76">
        <f t="shared" si="23"/>
        <v>4.0000000000000001E-8</v>
      </c>
      <c r="D160" s="76">
        <v>1</v>
      </c>
      <c r="E160" s="76" t="s">
        <v>910</v>
      </c>
      <c r="F160" s="76" t="s">
        <v>168</v>
      </c>
      <c r="G160" s="76" t="s">
        <v>169</v>
      </c>
      <c r="H160" s="76" t="s">
        <v>170</v>
      </c>
      <c r="I160" s="76">
        <f t="shared" si="27"/>
        <v>0</v>
      </c>
      <c r="J160" s="76">
        <f t="shared" si="28"/>
        <v>0</v>
      </c>
      <c r="K160" s="76" t="s">
        <v>535</v>
      </c>
      <c r="L160" s="76">
        <f t="shared" si="29"/>
        <v>4.0000000000000001E-8</v>
      </c>
      <c r="M160" s="76" t="s">
        <v>163</v>
      </c>
      <c r="N160" s="76">
        <f t="shared" si="30"/>
        <v>0</v>
      </c>
      <c r="O160" s="76" t="s">
        <v>535</v>
      </c>
      <c r="P160" s="76"/>
    </row>
    <row r="161" spans="2:16" ht="12.75" customHeight="1" x14ac:dyDescent="0.2">
      <c r="B161" s="76" t="s">
        <v>167</v>
      </c>
      <c r="C161" s="76">
        <f t="shared" si="23"/>
        <v>4.0000000000000001E-8</v>
      </c>
      <c r="D161" s="76">
        <v>1</v>
      </c>
      <c r="E161" s="76" t="s">
        <v>893</v>
      </c>
      <c r="F161" s="76" t="s">
        <v>168</v>
      </c>
      <c r="G161" s="76" t="s">
        <v>169</v>
      </c>
      <c r="H161" s="76" t="s">
        <v>516</v>
      </c>
      <c r="I161" s="76">
        <f t="shared" si="27"/>
        <v>0</v>
      </c>
      <c r="J161" s="76">
        <f>0.2*C161</f>
        <v>8.0000000000000005E-9</v>
      </c>
      <c r="K161" s="76">
        <f>0.7*C161</f>
        <v>2.7999999999999999E-8</v>
      </c>
      <c r="L161" s="76">
        <f t="shared" si="29"/>
        <v>4.0000000000000001E-8</v>
      </c>
      <c r="M161" s="76" t="s">
        <v>163</v>
      </c>
      <c r="N161" s="76">
        <f t="shared" si="30"/>
        <v>0</v>
      </c>
      <c r="O161" s="76" t="s">
        <v>535</v>
      </c>
      <c r="P161" s="76"/>
    </row>
    <row r="162" spans="2:16" ht="12.75" customHeight="1" x14ac:dyDescent="0.2">
      <c r="B162" s="76" t="s">
        <v>167</v>
      </c>
      <c r="C162" s="76">
        <f t="shared" si="23"/>
        <v>4.0000000000000001E-8</v>
      </c>
      <c r="D162" s="76">
        <v>1</v>
      </c>
      <c r="E162" s="76" t="s">
        <v>894</v>
      </c>
      <c r="F162" s="76" t="s">
        <v>168</v>
      </c>
      <c r="G162" s="76" t="s">
        <v>169</v>
      </c>
      <c r="H162" s="76" t="s">
        <v>170</v>
      </c>
      <c r="I162" s="76">
        <f t="shared" si="27"/>
        <v>0</v>
      </c>
      <c r="J162" s="76">
        <f>0*C162</f>
        <v>0</v>
      </c>
      <c r="K162" s="76" t="s">
        <v>535</v>
      </c>
      <c r="L162" s="76">
        <f t="shared" si="29"/>
        <v>4.0000000000000001E-8</v>
      </c>
      <c r="M162" s="76" t="s">
        <v>163</v>
      </c>
      <c r="N162" s="76">
        <f>0.95*C162</f>
        <v>3.7999999999999996E-8</v>
      </c>
      <c r="O162" s="76" t="s">
        <v>535</v>
      </c>
      <c r="P162" s="76"/>
    </row>
    <row r="163" spans="2:16" ht="12.75" customHeight="1" x14ac:dyDescent="0.2">
      <c r="B163" s="76" t="s">
        <v>167</v>
      </c>
      <c r="C163" s="76">
        <f t="shared" si="23"/>
        <v>4.0000000000000001E-8</v>
      </c>
      <c r="D163" s="76">
        <v>1</v>
      </c>
      <c r="E163" s="76" t="s">
        <v>895</v>
      </c>
      <c r="F163" s="76" t="s">
        <v>168</v>
      </c>
      <c r="G163" s="76" t="s">
        <v>169</v>
      </c>
      <c r="H163" s="76" t="s">
        <v>170</v>
      </c>
      <c r="I163" s="76">
        <f t="shared" si="27"/>
        <v>0</v>
      </c>
      <c r="J163" s="76">
        <f t="shared" ref="J163:J166" si="31">0*C163</f>
        <v>0</v>
      </c>
      <c r="K163" s="76" t="s">
        <v>535</v>
      </c>
      <c r="L163" s="76">
        <f t="shared" si="29"/>
        <v>4.0000000000000001E-8</v>
      </c>
      <c r="M163" s="76" t="s">
        <v>172</v>
      </c>
      <c r="N163" s="76">
        <f>0.95*C163</f>
        <v>3.7999999999999996E-8</v>
      </c>
      <c r="O163" s="76" t="s">
        <v>535</v>
      </c>
      <c r="P163" s="76"/>
    </row>
    <row r="164" spans="2:16" ht="12.75" customHeight="1" x14ac:dyDescent="0.2">
      <c r="B164" s="76" t="s">
        <v>167</v>
      </c>
      <c r="C164" s="76">
        <f t="shared" si="23"/>
        <v>4.0000000000000001E-8</v>
      </c>
      <c r="D164" s="76">
        <v>1</v>
      </c>
      <c r="E164" s="76" t="s">
        <v>896</v>
      </c>
      <c r="F164" s="76" t="s">
        <v>168</v>
      </c>
      <c r="G164" s="76" t="s">
        <v>169</v>
      </c>
      <c r="H164" s="76" t="s">
        <v>170</v>
      </c>
      <c r="I164" s="76">
        <f t="shared" si="27"/>
        <v>0</v>
      </c>
      <c r="J164" s="76">
        <f t="shared" si="31"/>
        <v>0</v>
      </c>
      <c r="K164" s="76" t="s">
        <v>535</v>
      </c>
      <c r="L164" s="76">
        <f t="shared" si="29"/>
        <v>4.0000000000000001E-8</v>
      </c>
      <c r="M164" s="76" t="s">
        <v>163</v>
      </c>
      <c r="N164" s="76">
        <f>0.95*C164</f>
        <v>3.7999999999999996E-8</v>
      </c>
      <c r="O164" s="76" t="s">
        <v>535</v>
      </c>
      <c r="P164" s="76"/>
    </row>
    <row r="165" spans="2:16" ht="12.75" customHeight="1" x14ac:dyDescent="0.2">
      <c r="B165" s="76" t="s">
        <v>167</v>
      </c>
      <c r="C165" s="76">
        <f t="shared" si="23"/>
        <v>4.0000000000000001E-8</v>
      </c>
      <c r="D165" s="76">
        <v>1</v>
      </c>
      <c r="E165" s="76" t="s">
        <v>897</v>
      </c>
      <c r="F165" s="76" t="s">
        <v>168</v>
      </c>
      <c r="G165" s="76" t="s">
        <v>169</v>
      </c>
      <c r="H165" s="76" t="s">
        <v>170</v>
      </c>
      <c r="I165" s="76">
        <f t="shared" si="27"/>
        <v>0</v>
      </c>
      <c r="J165" s="76">
        <f t="shared" si="31"/>
        <v>0</v>
      </c>
      <c r="K165" s="76" t="s">
        <v>535</v>
      </c>
      <c r="L165" s="76">
        <f t="shared" si="29"/>
        <v>4.0000000000000001E-8</v>
      </c>
      <c r="M165" s="76" t="s">
        <v>163</v>
      </c>
      <c r="N165" s="76">
        <f>0.95*C165</f>
        <v>3.7999999999999996E-8</v>
      </c>
      <c r="O165" s="76" t="s">
        <v>535</v>
      </c>
      <c r="P165" s="76"/>
    </row>
    <row r="166" spans="2:16" ht="12.75" customHeight="1" x14ac:dyDescent="0.2">
      <c r="B166" s="76" t="s">
        <v>167</v>
      </c>
      <c r="C166" s="76">
        <f t="shared" si="23"/>
        <v>4.0000000000000001E-8</v>
      </c>
      <c r="D166" s="76">
        <v>1</v>
      </c>
      <c r="E166" s="76" t="s">
        <v>109</v>
      </c>
      <c r="F166" s="76" t="s">
        <v>168</v>
      </c>
      <c r="G166" s="76" t="s">
        <v>169</v>
      </c>
      <c r="H166" s="76" t="s">
        <v>170</v>
      </c>
      <c r="I166" s="76">
        <f t="shared" si="27"/>
        <v>0</v>
      </c>
      <c r="J166" s="76">
        <f t="shared" si="31"/>
        <v>0</v>
      </c>
      <c r="K166" s="76" t="s">
        <v>535</v>
      </c>
      <c r="L166" s="76">
        <f t="shared" si="29"/>
        <v>4.0000000000000001E-8</v>
      </c>
      <c r="M166" s="76" t="s">
        <v>172</v>
      </c>
      <c r="N166" s="76">
        <f>0.95*C166</f>
        <v>3.7999999999999996E-8</v>
      </c>
      <c r="O166" s="76" t="s">
        <v>535</v>
      </c>
      <c r="P166" s="76"/>
    </row>
  </sheetData>
  <autoFilter ref="E6:E7"/>
  <dataValidations count="1">
    <dataValidation type="list" allowBlank="1" showInputMessage="1" showErrorMessage="1" sqref="C3">
      <formula1>"Normal,Extended,Quad"</formula1>
    </dataValidation>
  </dataValidations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outlinePr summaryBelow="0" summaryRight="0"/>
  </sheetPr>
  <dimension ref="A1:P86"/>
  <sheetViews>
    <sheetView showGridLines="0" zoomScaleNormal="100" workbookViewId="0">
      <pane ySplit="6" topLeftCell="A7" activePane="bottomLeft" state="frozen"/>
      <selection pane="bottomLeft" activeCell="B7" sqref="B7"/>
    </sheetView>
  </sheetViews>
  <sheetFormatPr defaultRowHeight="12.75" x14ac:dyDescent="0.2"/>
  <cols>
    <col min="1" max="1" width="9.140625" style="75"/>
    <col min="2" max="3" width="13.42578125" style="75" customWidth="1"/>
    <col min="4" max="4" width="6.28515625" style="75" customWidth="1"/>
    <col min="5" max="5" width="13.42578125" style="75" customWidth="1"/>
    <col min="6" max="6" width="9.28515625" style="75" bestFit="1" customWidth="1"/>
    <col min="7" max="8" width="9.140625" style="75"/>
    <col min="9" max="12" width="13.42578125" style="75" customWidth="1"/>
    <col min="13" max="13" width="9.140625" style="75"/>
    <col min="14" max="15" width="13.42578125" style="75" customWidth="1"/>
    <col min="16" max="16" width="42.85546875" style="75" customWidth="1"/>
    <col min="17" max="16384" width="9.140625" style="75"/>
  </cols>
  <sheetData>
    <row r="1" spans="1:16" ht="25.5" customHeight="1" x14ac:dyDescent="0.2">
      <c r="A1" s="75" t="s">
        <v>61</v>
      </c>
      <c r="B1" s="75" t="s">
        <v>146</v>
      </c>
    </row>
    <row r="3" spans="1:16" x14ac:dyDescent="0.2">
      <c r="B3" s="1" t="s">
        <v>147</v>
      </c>
      <c r="C3" s="2" t="s">
        <v>237</v>
      </c>
      <c r="E3" s="1" t="s">
        <v>148</v>
      </c>
      <c r="F3" s="2">
        <f>1*us</f>
        <v>9.9999999999999995E-7</v>
      </c>
      <c r="H3" s="1" t="s">
        <v>149</v>
      </c>
      <c r="I3" s="2">
        <f>1*us</f>
        <v>9.9999999999999995E-7</v>
      </c>
    </row>
    <row r="5" spans="1:16" x14ac:dyDescent="0.2">
      <c r="C5" s="75" t="s">
        <v>150</v>
      </c>
      <c r="E5" s="75" t="s">
        <v>151</v>
      </c>
      <c r="G5" s="75" t="s">
        <v>152</v>
      </c>
      <c r="I5" s="75" t="s">
        <v>153</v>
      </c>
      <c r="M5" s="75" t="s">
        <v>154</v>
      </c>
    </row>
    <row r="6" spans="1:16" x14ac:dyDescent="0.2">
      <c r="B6" s="75" t="s">
        <v>155</v>
      </c>
      <c r="C6" s="75" t="s">
        <v>156</v>
      </c>
      <c r="D6" s="75" t="s">
        <v>157</v>
      </c>
      <c r="E6" s="75" t="s">
        <v>20</v>
      </c>
      <c r="F6" s="75" t="s">
        <v>158</v>
      </c>
      <c r="G6" s="75" t="s">
        <v>159</v>
      </c>
      <c r="H6" s="75" t="s">
        <v>160</v>
      </c>
      <c r="I6" s="75" t="s">
        <v>161</v>
      </c>
      <c r="J6" s="75" t="s">
        <v>152</v>
      </c>
      <c r="K6" s="75" t="s">
        <v>162</v>
      </c>
      <c r="L6" s="75" t="s">
        <v>163</v>
      </c>
      <c r="M6" s="75" t="s">
        <v>164</v>
      </c>
      <c r="N6" s="75" t="s">
        <v>165</v>
      </c>
      <c r="O6" s="75" t="s">
        <v>166</v>
      </c>
      <c r="P6" s="75" t="s">
        <v>4</v>
      </c>
    </row>
    <row r="7" spans="1:16" ht="19.149999999999999" customHeight="1" x14ac:dyDescent="0.2">
      <c r="B7" s="76" t="s">
        <v>167</v>
      </c>
      <c r="C7" s="76">
        <f t="shared" ref="C7:C38" si="0">100*ns</f>
        <v>1.0000000000000001E-7</v>
      </c>
      <c r="D7" s="76"/>
      <c r="E7" s="76" t="s">
        <v>893</v>
      </c>
      <c r="F7" s="76" t="s">
        <v>168</v>
      </c>
      <c r="G7" s="76" t="s">
        <v>169</v>
      </c>
      <c r="H7" s="76" t="s">
        <v>516</v>
      </c>
      <c r="I7" s="76">
        <v>0</v>
      </c>
      <c r="J7" s="76">
        <f>C7*0.25</f>
        <v>2.5000000000000002E-8</v>
      </c>
      <c r="K7" s="76">
        <f>C7*0.75</f>
        <v>7.500000000000001E-8</v>
      </c>
      <c r="L7" s="76">
        <f t="shared" ref="L7:L38" si="1">C7</f>
        <v>1.0000000000000001E-7</v>
      </c>
      <c r="M7" s="76" t="s">
        <v>163</v>
      </c>
      <c r="N7" s="76"/>
      <c r="O7" s="76"/>
      <c r="P7" s="76" t="s">
        <v>171</v>
      </c>
    </row>
    <row r="8" spans="1:16" ht="12.75" customHeight="1" x14ac:dyDescent="0.2">
      <c r="B8" s="76" t="s">
        <v>167</v>
      </c>
      <c r="C8" s="76">
        <f t="shared" si="0"/>
        <v>1.0000000000000001E-7</v>
      </c>
      <c r="D8" s="76"/>
      <c r="E8" s="76" t="s">
        <v>894</v>
      </c>
      <c r="F8" s="76" t="s">
        <v>168</v>
      </c>
      <c r="G8" s="76" t="s">
        <v>169</v>
      </c>
      <c r="H8" s="76" t="s">
        <v>170</v>
      </c>
      <c r="I8" s="76">
        <v>0</v>
      </c>
      <c r="J8" s="76">
        <f>C8*0.2</f>
        <v>2.0000000000000004E-8</v>
      </c>
      <c r="K8" s="76"/>
      <c r="L8" s="76">
        <f t="shared" si="1"/>
        <v>1.0000000000000001E-7</v>
      </c>
      <c r="M8" s="76" t="s">
        <v>163</v>
      </c>
      <c r="N8" s="76"/>
      <c r="O8" s="76"/>
      <c r="P8" s="76" t="s">
        <v>171</v>
      </c>
    </row>
    <row r="9" spans="1:16" ht="12.75" customHeight="1" x14ac:dyDescent="0.2">
      <c r="B9" s="76" t="s">
        <v>167</v>
      </c>
      <c r="C9" s="76">
        <f t="shared" si="0"/>
        <v>1.0000000000000001E-7</v>
      </c>
      <c r="D9" s="76"/>
      <c r="E9" s="76" t="s">
        <v>896</v>
      </c>
      <c r="F9" s="76" t="s">
        <v>168</v>
      </c>
      <c r="G9" s="76" t="s">
        <v>169</v>
      </c>
      <c r="H9" s="76" t="s">
        <v>170</v>
      </c>
      <c r="I9" s="76">
        <v>0</v>
      </c>
      <c r="J9" s="76">
        <f>C9*0.2</f>
        <v>2.0000000000000004E-8</v>
      </c>
      <c r="K9" s="76"/>
      <c r="L9" s="76">
        <f t="shared" si="1"/>
        <v>1.0000000000000001E-7</v>
      </c>
      <c r="M9" s="76" t="s">
        <v>163</v>
      </c>
      <c r="N9" s="76"/>
      <c r="O9" s="76"/>
      <c r="P9" s="76" t="s">
        <v>171</v>
      </c>
    </row>
    <row r="10" spans="1:16" ht="12.75" customHeight="1" x14ac:dyDescent="0.2">
      <c r="B10" s="76" t="s">
        <v>167</v>
      </c>
      <c r="C10" s="76">
        <f t="shared" si="0"/>
        <v>1.0000000000000001E-7</v>
      </c>
      <c r="D10" s="76"/>
      <c r="E10" s="76" t="s">
        <v>897</v>
      </c>
      <c r="F10" s="76" t="s">
        <v>168</v>
      </c>
      <c r="G10" s="76" t="s">
        <v>169</v>
      </c>
      <c r="H10" s="76" t="s">
        <v>170</v>
      </c>
      <c r="I10" s="76">
        <v>0</v>
      </c>
      <c r="J10" s="76">
        <f>C10*0.1</f>
        <v>1.0000000000000002E-8</v>
      </c>
      <c r="K10" s="76"/>
      <c r="L10" s="76">
        <f t="shared" si="1"/>
        <v>1.0000000000000001E-7</v>
      </c>
      <c r="M10" s="76" t="s">
        <v>163</v>
      </c>
      <c r="N10" s="76"/>
      <c r="O10" s="76"/>
      <c r="P10" s="76" t="s">
        <v>171</v>
      </c>
    </row>
    <row r="11" spans="1:16" ht="12.75" customHeight="1" x14ac:dyDescent="0.2">
      <c r="B11" s="76" t="s">
        <v>167</v>
      </c>
      <c r="C11" s="76">
        <f t="shared" si="0"/>
        <v>1.0000000000000001E-7</v>
      </c>
      <c r="D11" s="76"/>
      <c r="E11" s="76" t="s">
        <v>895</v>
      </c>
      <c r="F11" s="76" t="s">
        <v>168</v>
      </c>
      <c r="G11" s="76" t="s">
        <v>169</v>
      </c>
      <c r="H11" s="76" t="s">
        <v>170</v>
      </c>
      <c r="I11" s="76">
        <v>0</v>
      </c>
      <c r="J11" s="76">
        <v>0</v>
      </c>
      <c r="K11" s="76"/>
      <c r="L11" s="76">
        <f t="shared" si="1"/>
        <v>1.0000000000000001E-7</v>
      </c>
      <c r="M11" s="76" t="s">
        <v>172</v>
      </c>
      <c r="N11" s="76">
        <f>C11*0.9</f>
        <v>9.0000000000000012E-8</v>
      </c>
      <c r="O11" s="76"/>
      <c r="P11" s="76" t="s">
        <v>171</v>
      </c>
    </row>
    <row r="12" spans="1:16" ht="12.75" customHeight="1" x14ac:dyDescent="0.2">
      <c r="B12" s="76" t="s">
        <v>167</v>
      </c>
      <c r="C12" s="76">
        <f t="shared" si="0"/>
        <v>1.0000000000000001E-7</v>
      </c>
      <c r="D12" s="76"/>
      <c r="E12" s="76" t="s">
        <v>909</v>
      </c>
      <c r="F12" s="76" t="s">
        <v>168</v>
      </c>
      <c r="G12" s="76" t="s">
        <v>169</v>
      </c>
      <c r="H12" s="76" t="s">
        <v>516</v>
      </c>
      <c r="I12" s="76">
        <v>0</v>
      </c>
      <c r="J12" s="76">
        <f>C12*0.25</f>
        <v>2.5000000000000002E-8</v>
      </c>
      <c r="K12" s="76">
        <f>C12*0.75</f>
        <v>7.500000000000001E-8</v>
      </c>
      <c r="L12" s="76">
        <f t="shared" si="1"/>
        <v>1.0000000000000001E-7</v>
      </c>
      <c r="M12" s="76" t="s">
        <v>163</v>
      </c>
      <c r="N12" s="76"/>
      <c r="O12" s="76"/>
      <c r="P12" s="76" t="s">
        <v>171</v>
      </c>
    </row>
    <row r="13" spans="1:16" ht="12.75" customHeight="1" x14ac:dyDescent="0.2">
      <c r="B13" s="76" t="s">
        <v>167</v>
      </c>
      <c r="C13" s="76">
        <f t="shared" si="0"/>
        <v>1.0000000000000001E-7</v>
      </c>
      <c r="D13" s="76"/>
      <c r="E13" s="76" t="s">
        <v>908</v>
      </c>
      <c r="F13" s="76" t="s">
        <v>168</v>
      </c>
      <c r="G13" s="76" t="s">
        <v>169</v>
      </c>
      <c r="H13" s="76" t="s">
        <v>170</v>
      </c>
      <c r="I13" s="76">
        <v>0</v>
      </c>
      <c r="J13" s="76">
        <f>C13*0.2</f>
        <v>2.0000000000000004E-8</v>
      </c>
      <c r="K13" s="76"/>
      <c r="L13" s="76">
        <f t="shared" si="1"/>
        <v>1.0000000000000001E-7</v>
      </c>
      <c r="M13" s="76" t="s">
        <v>163</v>
      </c>
      <c r="N13" s="76"/>
      <c r="O13" s="76"/>
      <c r="P13" s="76" t="s">
        <v>171</v>
      </c>
    </row>
    <row r="14" spans="1:16" ht="12.75" customHeight="1" x14ac:dyDescent="0.2">
      <c r="B14" s="76" t="s">
        <v>167</v>
      </c>
      <c r="C14" s="76">
        <f t="shared" si="0"/>
        <v>1.0000000000000001E-7</v>
      </c>
      <c r="D14" s="76"/>
      <c r="E14" s="76" t="s">
        <v>910</v>
      </c>
      <c r="F14" s="76" t="s">
        <v>168</v>
      </c>
      <c r="G14" s="76" t="s">
        <v>169</v>
      </c>
      <c r="H14" s="76" t="s">
        <v>170</v>
      </c>
      <c r="I14" s="76">
        <v>0</v>
      </c>
      <c r="J14" s="76">
        <f>C14*0.2</f>
        <v>2.0000000000000004E-8</v>
      </c>
      <c r="K14" s="76"/>
      <c r="L14" s="76">
        <f t="shared" si="1"/>
        <v>1.0000000000000001E-7</v>
      </c>
      <c r="M14" s="76" t="s">
        <v>163</v>
      </c>
      <c r="N14" s="76"/>
      <c r="O14" s="76"/>
      <c r="P14" s="76" t="s">
        <v>171</v>
      </c>
    </row>
    <row r="15" spans="1:16" ht="12.75" customHeight="1" x14ac:dyDescent="0.2">
      <c r="B15" s="76" t="s">
        <v>167</v>
      </c>
      <c r="C15" s="76">
        <f t="shared" si="0"/>
        <v>1.0000000000000001E-7</v>
      </c>
      <c r="D15" s="76"/>
      <c r="E15" s="76" t="s">
        <v>911</v>
      </c>
      <c r="F15" s="76" t="s">
        <v>168</v>
      </c>
      <c r="G15" s="76" t="s">
        <v>169</v>
      </c>
      <c r="H15" s="76" t="s">
        <v>170</v>
      </c>
      <c r="I15" s="76">
        <v>0</v>
      </c>
      <c r="J15" s="76">
        <v>0</v>
      </c>
      <c r="K15" s="76"/>
      <c r="L15" s="76">
        <f t="shared" si="1"/>
        <v>1.0000000000000001E-7</v>
      </c>
      <c r="M15" s="76" t="s">
        <v>172</v>
      </c>
      <c r="N15" s="76">
        <f>C15*0.9+(0*ns)</f>
        <v>9.0000000000000012E-8</v>
      </c>
      <c r="O15" s="76"/>
      <c r="P15" s="76" t="s">
        <v>337</v>
      </c>
    </row>
    <row r="16" spans="1:16" ht="12.75" customHeight="1" x14ac:dyDescent="0.2">
      <c r="B16" s="76" t="s">
        <v>167</v>
      </c>
      <c r="C16" s="76">
        <f t="shared" si="0"/>
        <v>1.0000000000000001E-7</v>
      </c>
      <c r="D16" s="76"/>
      <c r="E16" s="76" t="s">
        <v>95</v>
      </c>
      <c r="F16" s="76" t="s">
        <v>168</v>
      </c>
      <c r="G16" s="76" t="s">
        <v>169</v>
      </c>
      <c r="H16" s="76" t="s">
        <v>515</v>
      </c>
      <c r="I16" s="76">
        <v>0</v>
      </c>
      <c r="J16" s="76">
        <f>C16*0.25</f>
        <v>2.5000000000000002E-8</v>
      </c>
      <c r="K16" s="76">
        <f>C16*0.75</f>
        <v>7.500000000000001E-8</v>
      </c>
      <c r="L16" s="76">
        <f t="shared" si="1"/>
        <v>1.0000000000000001E-7</v>
      </c>
      <c r="M16" s="76" t="s">
        <v>163</v>
      </c>
      <c r="N16" s="76"/>
      <c r="O16" s="76"/>
      <c r="P16" s="76" t="s">
        <v>171</v>
      </c>
    </row>
    <row r="17" spans="2:16" ht="12.75" customHeight="1" x14ac:dyDescent="0.2">
      <c r="B17" s="76" t="s">
        <v>167</v>
      </c>
      <c r="C17" s="76">
        <f t="shared" si="0"/>
        <v>1.0000000000000001E-7</v>
      </c>
      <c r="D17" s="76"/>
      <c r="E17" s="76" t="s">
        <v>96</v>
      </c>
      <c r="F17" s="76" t="s">
        <v>168</v>
      </c>
      <c r="G17" s="76" t="s">
        <v>169</v>
      </c>
      <c r="H17" s="76" t="s">
        <v>516</v>
      </c>
      <c r="I17" s="76">
        <v>0</v>
      </c>
      <c r="J17" s="76">
        <f>C17*0.25</f>
        <v>2.5000000000000002E-8</v>
      </c>
      <c r="K17" s="76">
        <f>C17*0.75</f>
        <v>7.500000000000001E-8</v>
      </c>
      <c r="L17" s="76">
        <f t="shared" si="1"/>
        <v>1.0000000000000001E-7</v>
      </c>
      <c r="M17" s="76" t="s">
        <v>163</v>
      </c>
      <c r="N17" s="76"/>
      <c r="O17" s="76"/>
      <c r="P17" s="76" t="s">
        <v>171</v>
      </c>
    </row>
    <row r="18" spans="2:16" ht="12.75" customHeight="1" x14ac:dyDescent="0.2">
      <c r="B18" s="76" t="s">
        <v>167</v>
      </c>
      <c r="C18" s="76">
        <f t="shared" si="0"/>
        <v>1.0000000000000001E-7</v>
      </c>
      <c r="D18" s="76"/>
      <c r="E18" s="76" t="s">
        <v>122</v>
      </c>
      <c r="F18" s="76" t="s">
        <v>168</v>
      </c>
      <c r="G18" s="76" t="s">
        <v>169</v>
      </c>
      <c r="H18" s="76" t="s">
        <v>170</v>
      </c>
      <c r="I18" s="76">
        <v>0</v>
      </c>
      <c r="J18" s="76">
        <f t="shared" ref="J18:J33" si="2">C18*0.2</f>
        <v>2.0000000000000004E-8</v>
      </c>
      <c r="K18" s="76"/>
      <c r="L18" s="76">
        <f t="shared" si="1"/>
        <v>1.0000000000000001E-7</v>
      </c>
      <c r="M18" s="76" t="s">
        <v>172</v>
      </c>
      <c r="N18" s="76">
        <f t="shared" ref="N18:N34" si="3">C18*0.9</f>
        <v>9.0000000000000012E-8</v>
      </c>
      <c r="O18" s="76"/>
      <c r="P18" s="76" t="s">
        <v>171</v>
      </c>
    </row>
    <row r="19" spans="2:16" ht="12.75" customHeight="1" x14ac:dyDescent="0.2">
      <c r="B19" s="76" t="s">
        <v>167</v>
      </c>
      <c r="C19" s="76">
        <f t="shared" si="0"/>
        <v>1.0000000000000001E-7</v>
      </c>
      <c r="D19" s="76"/>
      <c r="E19" s="76" t="s">
        <v>123</v>
      </c>
      <c r="F19" s="76" t="s">
        <v>168</v>
      </c>
      <c r="G19" s="76" t="s">
        <v>169</v>
      </c>
      <c r="H19" s="76" t="s">
        <v>170</v>
      </c>
      <c r="I19" s="76">
        <v>0</v>
      </c>
      <c r="J19" s="76">
        <f t="shared" si="2"/>
        <v>2.0000000000000004E-8</v>
      </c>
      <c r="K19" s="76"/>
      <c r="L19" s="76">
        <f t="shared" si="1"/>
        <v>1.0000000000000001E-7</v>
      </c>
      <c r="M19" s="76" t="s">
        <v>172</v>
      </c>
      <c r="N19" s="76">
        <f t="shared" si="3"/>
        <v>9.0000000000000012E-8</v>
      </c>
      <c r="O19" s="76"/>
      <c r="P19" s="76" t="s">
        <v>171</v>
      </c>
    </row>
    <row r="20" spans="2:16" ht="12.75" customHeight="1" x14ac:dyDescent="0.2">
      <c r="B20" s="76" t="s">
        <v>167</v>
      </c>
      <c r="C20" s="76">
        <f t="shared" si="0"/>
        <v>1.0000000000000001E-7</v>
      </c>
      <c r="D20" s="76"/>
      <c r="E20" s="76" t="s">
        <v>124</v>
      </c>
      <c r="F20" s="76" t="s">
        <v>168</v>
      </c>
      <c r="G20" s="76" t="s">
        <v>169</v>
      </c>
      <c r="H20" s="76" t="s">
        <v>170</v>
      </c>
      <c r="I20" s="76">
        <v>0</v>
      </c>
      <c r="J20" s="76">
        <f t="shared" si="2"/>
        <v>2.0000000000000004E-8</v>
      </c>
      <c r="K20" s="76"/>
      <c r="L20" s="76">
        <f t="shared" si="1"/>
        <v>1.0000000000000001E-7</v>
      </c>
      <c r="M20" s="76" t="s">
        <v>172</v>
      </c>
      <c r="N20" s="76">
        <f t="shared" si="3"/>
        <v>9.0000000000000012E-8</v>
      </c>
      <c r="O20" s="76"/>
      <c r="P20" s="76" t="s">
        <v>171</v>
      </c>
    </row>
    <row r="21" spans="2:16" ht="12.75" customHeight="1" x14ac:dyDescent="0.2">
      <c r="B21" s="76" t="s">
        <v>167</v>
      </c>
      <c r="C21" s="76">
        <f t="shared" si="0"/>
        <v>1.0000000000000001E-7</v>
      </c>
      <c r="D21" s="76"/>
      <c r="E21" s="76" t="s">
        <v>125</v>
      </c>
      <c r="F21" s="76" t="s">
        <v>168</v>
      </c>
      <c r="G21" s="76" t="s">
        <v>169</v>
      </c>
      <c r="H21" s="76" t="s">
        <v>170</v>
      </c>
      <c r="I21" s="76">
        <v>0</v>
      </c>
      <c r="J21" s="76">
        <f t="shared" si="2"/>
        <v>2.0000000000000004E-8</v>
      </c>
      <c r="K21" s="76"/>
      <c r="L21" s="76">
        <f t="shared" si="1"/>
        <v>1.0000000000000001E-7</v>
      </c>
      <c r="M21" s="76" t="s">
        <v>172</v>
      </c>
      <c r="N21" s="76">
        <f t="shared" si="3"/>
        <v>9.0000000000000012E-8</v>
      </c>
      <c r="O21" s="76"/>
      <c r="P21" s="76" t="s">
        <v>171</v>
      </c>
    </row>
    <row r="22" spans="2:16" ht="12.75" customHeight="1" x14ac:dyDescent="0.2">
      <c r="B22" s="76" t="s">
        <v>167</v>
      </c>
      <c r="C22" s="76">
        <f t="shared" si="0"/>
        <v>1.0000000000000001E-7</v>
      </c>
      <c r="D22" s="76"/>
      <c r="E22" s="76" t="s">
        <v>126</v>
      </c>
      <c r="F22" s="76" t="s">
        <v>168</v>
      </c>
      <c r="G22" s="76" t="s">
        <v>169</v>
      </c>
      <c r="H22" s="76" t="s">
        <v>170</v>
      </c>
      <c r="I22" s="76">
        <v>0</v>
      </c>
      <c r="J22" s="76">
        <f t="shared" si="2"/>
        <v>2.0000000000000004E-8</v>
      </c>
      <c r="K22" s="76"/>
      <c r="L22" s="76">
        <f t="shared" si="1"/>
        <v>1.0000000000000001E-7</v>
      </c>
      <c r="M22" s="76" t="s">
        <v>172</v>
      </c>
      <c r="N22" s="76">
        <f t="shared" si="3"/>
        <v>9.0000000000000012E-8</v>
      </c>
      <c r="O22" s="76"/>
      <c r="P22" s="76" t="s">
        <v>171</v>
      </c>
    </row>
    <row r="23" spans="2:16" ht="12.75" customHeight="1" x14ac:dyDescent="0.2">
      <c r="B23" s="76" t="s">
        <v>167</v>
      </c>
      <c r="C23" s="76">
        <f t="shared" si="0"/>
        <v>1.0000000000000001E-7</v>
      </c>
      <c r="D23" s="76"/>
      <c r="E23" s="76" t="s">
        <v>127</v>
      </c>
      <c r="F23" s="76" t="s">
        <v>168</v>
      </c>
      <c r="G23" s="76" t="s">
        <v>169</v>
      </c>
      <c r="H23" s="76" t="s">
        <v>170</v>
      </c>
      <c r="I23" s="76">
        <v>0</v>
      </c>
      <c r="J23" s="76">
        <f t="shared" si="2"/>
        <v>2.0000000000000004E-8</v>
      </c>
      <c r="K23" s="76"/>
      <c r="L23" s="76">
        <f t="shared" si="1"/>
        <v>1.0000000000000001E-7</v>
      </c>
      <c r="M23" s="76" t="s">
        <v>172</v>
      </c>
      <c r="N23" s="76">
        <f t="shared" si="3"/>
        <v>9.0000000000000012E-8</v>
      </c>
      <c r="O23" s="76"/>
      <c r="P23" s="76" t="s">
        <v>171</v>
      </c>
    </row>
    <row r="24" spans="2:16" ht="12.75" customHeight="1" x14ac:dyDescent="0.2">
      <c r="B24" s="76" t="s">
        <v>167</v>
      </c>
      <c r="C24" s="76">
        <f t="shared" si="0"/>
        <v>1.0000000000000001E-7</v>
      </c>
      <c r="D24" s="76"/>
      <c r="E24" s="76" t="s">
        <v>128</v>
      </c>
      <c r="F24" s="76" t="s">
        <v>168</v>
      </c>
      <c r="G24" s="76" t="s">
        <v>169</v>
      </c>
      <c r="H24" s="76" t="s">
        <v>170</v>
      </c>
      <c r="I24" s="76">
        <v>0</v>
      </c>
      <c r="J24" s="76">
        <f t="shared" si="2"/>
        <v>2.0000000000000004E-8</v>
      </c>
      <c r="K24" s="76"/>
      <c r="L24" s="76">
        <f t="shared" si="1"/>
        <v>1.0000000000000001E-7</v>
      </c>
      <c r="M24" s="76" t="s">
        <v>172</v>
      </c>
      <c r="N24" s="76">
        <f t="shared" si="3"/>
        <v>9.0000000000000012E-8</v>
      </c>
      <c r="O24" s="76"/>
      <c r="P24" s="76" t="s">
        <v>171</v>
      </c>
    </row>
    <row r="25" spans="2:16" ht="12.75" customHeight="1" x14ac:dyDescent="0.2">
      <c r="B25" s="76" t="s">
        <v>167</v>
      </c>
      <c r="C25" s="76">
        <f t="shared" si="0"/>
        <v>1.0000000000000001E-7</v>
      </c>
      <c r="D25" s="76"/>
      <c r="E25" s="76" t="s">
        <v>129</v>
      </c>
      <c r="F25" s="76" t="s">
        <v>168</v>
      </c>
      <c r="G25" s="76" t="s">
        <v>169</v>
      </c>
      <c r="H25" s="76" t="s">
        <v>170</v>
      </c>
      <c r="I25" s="76">
        <v>0</v>
      </c>
      <c r="J25" s="76">
        <f t="shared" si="2"/>
        <v>2.0000000000000004E-8</v>
      </c>
      <c r="K25" s="76"/>
      <c r="L25" s="76">
        <f t="shared" si="1"/>
        <v>1.0000000000000001E-7</v>
      </c>
      <c r="M25" s="76" t="s">
        <v>172</v>
      </c>
      <c r="N25" s="76">
        <f t="shared" si="3"/>
        <v>9.0000000000000012E-8</v>
      </c>
      <c r="O25" s="76"/>
      <c r="P25" s="76" t="s">
        <v>171</v>
      </c>
    </row>
    <row r="26" spans="2:16" ht="12.75" customHeight="1" x14ac:dyDescent="0.2">
      <c r="B26" s="76" t="s">
        <v>167</v>
      </c>
      <c r="C26" s="76">
        <f t="shared" si="0"/>
        <v>1.0000000000000001E-7</v>
      </c>
      <c r="D26" s="76"/>
      <c r="E26" s="76" t="s">
        <v>130</v>
      </c>
      <c r="F26" s="76" t="s">
        <v>168</v>
      </c>
      <c r="G26" s="76" t="s">
        <v>169</v>
      </c>
      <c r="H26" s="76" t="s">
        <v>170</v>
      </c>
      <c r="I26" s="76">
        <v>0</v>
      </c>
      <c r="J26" s="76">
        <f t="shared" si="2"/>
        <v>2.0000000000000004E-8</v>
      </c>
      <c r="K26" s="76"/>
      <c r="L26" s="76">
        <f t="shared" si="1"/>
        <v>1.0000000000000001E-7</v>
      </c>
      <c r="M26" s="76" t="s">
        <v>172</v>
      </c>
      <c r="N26" s="76">
        <f t="shared" si="3"/>
        <v>9.0000000000000012E-8</v>
      </c>
      <c r="O26" s="76"/>
      <c r="P26" s="76" t="s">
        <v>171</v>
      </c>
    </row>
    <row r="27" spans="2:16" ht="12.75" customHeight="1" x14ac:dyDescent="0.2">
      <c r="B27" s="76" t="s">
        <v>167</v>
      </c>
      <c r="C27" s="76">
        <f t="shared" si="0"/>
        <v>1.0000000000000001E-7</v>
      </c>
      <c r="D27" s="76"/>
      <c r="E27" s="76" t="s">
        <v>131</v>
      </c>
      <c r="F27" s="76" t="s">
        <v>168</v>
      </c>
      <c r="G27" s="76" t="s">
        <v>169</v>
      </c>
      <c r="H27" s="76" t="s">
        <v>170</v>
      </c>
      <c r="I27" s="76">
        <v>0</v>
      </c>
      <c r="J27" s="76">
        <f t="shared" si="2"/>
        <v>2.0000000000000004E-8</v>
      </c>
      <c r="K27" s="76"/>
      <c r="L27" s="76">
        <f t="shared" si="1"/>
        <v>1.0000000000000001E-7</v>
      </c>
      <c r="M27" s="76" t="s">
        <v>172</v>
      </c>
      <c r="N27" s="76">
        <f t="shared" si="3"/>
        <v>9.0000000000000012E-8</v>
      </c>
      <c r="O27" s="76"/>
      <c r="P27" s="76" t="s">
        <v>171</v>
      </c>
    </row>
    <row r="28" spans="2:16" ht="12.75" customHeight="1" x14ac:dyDescent="0.2">
      <c r="B28" s="76" t="s">
        <v>167</v>
      </c>
      <c r="C28" s="76">
        <f t="shared" si="0"/>
        <v>1.0000000000000001E-7</v>
      </c>
      <c r="D28" s="76"/>
      <c r="E28" s="76" t="s">
        <v>132</v>
      </c>
      <c r="F28" s="76" t="s">
        <v>168</v>
      </c>
      <c r="G28" s="76" t="s">
        <v>169</v>
      </c>
      <c r="H28" s="76" t="s">
        <v>170</v>
      </c>
      <c r="I28" s="76">
        <v>0</v>
      </c>
      <c r="J28" s="76">
        <f t="shared" si="2"/>
        <v>2.0000000000000004E-8</v>
      </c>
      <c r="K28" s="76"/>
      <c r="L28" s="76">
        <f t="shared" si="1"/>
        <v>1.0000000000000001E-7</v>
      </c>
      <c r="M28" s="76" t="s">
        <v>172</v>
      </c>
      <c r="N28" s="76">
        <f t="shared" si="3"/>
        <v>9.0000000000000012E-8</v>
      </c>
      <c r="O28" s="76"/>
      <c r="P28" s="76" t="s">
        <v>171</v>
      </c>
    </row>
    <row r="29" spans="2:16" ht="12.75" customHeight="1" x14ac:dyDescent="0.2">
      <c r="B29" s="76" t="s">
        <v>167</v>
      </c>
      <c r="C29" s="76">
        <f t="shared" si="0"/>
        <v>1.0000000000000001E-7</v>
      </c>
      <c r="D29" s="76"/>
      <c r="E29" s="76" t="s">
        <v>133</v>
      </c>
      <c r="F29" s="76" t="s">
        <v>168</v>
      </c>
      <c r="G29" s="76" t="s">
        <v>169</v>
      </c>
      <c r="H29" s="76" t="s">
        <v>170</v>
      </c>
      <c r="I29" s="76">
        <v>0</v>
      </c>
      <c r="J29" s="76">
        <f t="shared" si="2"/>
        <v>2.0000000000000004E-8</v>
      </c>
      <c r="K29" s="76"/>
      <c r="L29" s="76">
        <f t="shared" si="1"/>
        <v>1.0000000000000001E-7</v>
      </c>
      <c r="M29" s="76" t="s">
        <v>172</v>
      </c>
      <c r="N29" s="76">
        <f t="shared" si="3"/>
        <v>9.0000000000000012E-8</v>
      </c>
      <c r="O29" s="76"/>
      <c r="P29" s="76" t="s">
        <v>171</v>
      </c>
    </row>
    <row r="30" spans="2:16" ht="12.75" customHeight="1" x14ac:dyDescent="0.2">
      <c r="B30" s="76" t="s">
        <v>167</v>
      </c>
      <c r="C30" s="76">
        <f t="shared" si="0"/>
        <v>1.0000000000000001E-7</v>
      </c>
      <c r="D30" s="76"/>
      <c r="E30" s="76" t="s">
        <v>134</v>
      </c>
      <c r="F30" s="76" t="s">
        <v>168</v>
      </c>
      <c r="G30" s="76" t="s">
        <v>169</v>
      </c>
      <c r="H30" s="76" t="s">
        <v>170</v>
      </c>
      <c r="I30" s="76">
        <v>0</v>
      </c>
      <c r="J30" s="76">
        <f t="shared" si="2"/>
        <v>2.0000000000000004E-8</v>
      </c>
      <c r="K30" s="76"/>
      <c r="L30" s="76">
        <f t="shared" si="1"/>
        <v>1.0000000000000001E-7</v>
      </c>
      <c r="M30" s="76" t="s">
        <v>172</v>
      </c>
      <c r="N30" s="76">
        <f t="shared" si="3"/>
        <v>9.0000000000000012E-8</v>
      </c>
      <c r="O30" s="76"/>
      <c r="P30" s="76" t="s">
        <v>171</v>
      </c>
    </row>
    <row r="31" spans="2:16" ht="12.75" customHeight="1" x14ac:dyDescent="0.2">
      <c r="B31" s="76" t="s">
        <v>167</v>
      </c>
      <c r="C31" s="76">
        <f t="shared" si="0"/>
        <v>1.0000000000000001E-7</v>
      </c>
      <c r="D31" s="76"/>
      <c r="E31" s="76" t="s">
        <v>135</v>
      </c>
      <c r="F31" s="76" t="s">
        <v>168</v>
      </c>
      <c r="G31" s="76" t="s">
        <v>169</v>
      </c>
      <c r="H31" s="76" t="s">
        <v>170</v>
      </c>
      <c r="I31" s="76">
        <v>0</v>
      </c>
      <c r="J31" s="76">
        <f t="shared" si="2"/>
        <v>2.0000000000000004E-8</v>
      </c>
      <c r="K31" s="76"/>
      <c r="L31" s="76">
        <f t="shared" si="1"/>
        <v>1.0000000000000001E-7</v>
      </c>
      <c r="M31" s="76" t="s">
        <v>172</v>
      </c>
      <c r="N31" s="76">
        <f t="shared" si="3"/>
        <v>9.0000000000000012E-8</v>
      </c>
      <c r="O31" s="76"/>
      <c r="P31" s="76" t="s">
        <v>171</v>
      </c>
    </row>
    <row r="32" spans="2:16" ht="12.75" customHeight="1" x14ac:dyDescent="0.2">
      <c r="B32" s="76" t="s">
        <v>167</v>
      </c>
      <c r="C32" s="76">
        <f t="shared" si="0"/>
        <v>1.0000000000000001E-7</v>
      </c>
      <c r="D32" s="76"/>
      <c r="E32" s="76" t="s">
        <v>136</v>
      </c>
      <c r="F32" s="76" t="s">
        <v>168</v>
      </c>
      <c r="G32" s="76" t="s">
        <v>169</v>
      </c>
      <c r="H32" s="76" t="s">
        <v>170</v>
      </c>
      <c r="I32" s="76">
        <v>0</v>
      </c>
      <c r="J32" s="76">
        <f t="shared" si="2"/>
        <v>2.0000000000000004E-8</v>
      </c>
      <c r="K32" s="76"/>
      <c r="L32" s="76">
        <f t="shared" si="1"/>
        <v>1.0000000000000001E-7</v>
      </c>
      <c r="M32" s="76" t="s">
        <v>172</v>
      </c>
      <c r="N32" s="76">
        <f t="shared" si="3"/>
        <v>9.0000000000000012E-8</v>
      </c>
      <c r="O32" s="76"/>
      <c r="P32" s="76" t="s">
        <v>171</v>
      </c>
    </row>
    <row r="33" spans="2:16" ht="12.75" customHeight="1" x14ac:dyDescent="0.2">
      <c r="B33" s="76" t="s">
        <v>167</v>
      </c>
      <c r="C33" s="76">
        <f t="shared" si="0"/>
        <v>1.0000000000000001E-7</v>
      </c>
      <c r="D33" s="76"/>
      <c r="E33" s="76" t="s">
        <v>137</v>
      </c>
      <c r="F33" s="76" t="s">
        <v>168</v>
      </c>
      <c r="G33" s="76" t="s">
        <v>169</v>
      </c>
      <c r="H33" s="76" t="s">
        <v>170</v>
      </c>
      <c r="I33" s="76">
        <v>0</v>
      </c>
      <c r="J33" s="76">
        <f t="shared" si="2"/>
        <v>2.0000000000000004E-8</v>
      </c>
      <c r="K33" s="76"/>
      <c r="L33" s="76">
        <f t="shared" si="1"/>
        <v>1.0000000000000001E-7</v>
      </c>
      <c r="M33" s="76" t="s">
        <v>172</v>
      </c>
      <c r="N33" s="76">
        <f t="shared" si="3"/>
        <v>9.0000000000000012E-8</v>
      </c>
      <c r="O33" s="76"/>
      <c r="P33" s="76" t="s">
        <v>171</v>
      </c>
    </row>
    <row r="34" spans="2:16" ht="12.75" customHeight="1" x14ac:dyDescent="0.2">
      <c r="B34" s="76" t="s">
        <v>167</v>
      </c>
      <c r="C34" s="76">
        <f t="shared" si="0"/>
        <v>1.0000000000000001E-7</v>
      </c>
      <c r="D34" s="76"/>
      <c r="E34" s="76" t="s">
        <v>99</v>
      </c>
      <c r="F34" s="76" t="s">
        <v>168</v>
      </c>
      <c r="G34" s="76" t="s">
        <v>169</v>
      </c>
      <c r="H34" s="76" t="s">
        <v>170</v>
      </c>
      <c r="I34" s="76">
        <v>0</v>
      </c>
      <c r="J34" s="76">
        <v>0</v>
      </c>
      <c r="K34" s="76"/>
      <c r="L34" s="76">
        <f t="shared" si="1"/>
        <v>1.0000000000000001E-7</v>
      </c>
      <c r="M34" s="76" t="s">
        <v>172</v>
      </c>
      <c r="N34" s="76">
        <f t="shared" si="3"/>
        <v>9.0000000000000012E-8</v>
      </c>
      <c r="O34" s="76"/>
      <c r="P34" s="76" t="s">
        <v>171</v>
      </c>
    </row>
    <row r="35" spans="2:16" ht="12.75" customHeight="1" x14ac:dyDescent="0.2">
      <c r="B35" s="76" t="s">
        <v>167</v>
      </c>
      <c r="C35" s="76">
        <f t="shared" si="0"/>
        <v>1.0000000000000001E-7</v>
      </c>
      <c r="D35" s="76"/>
      <c r="E35" s="76" t="s">
        <v>898</v>
      </c>
      <c r="F35" s="76" t="s">
        <v>168</v>
      </c>
      <c r="G35" s="76" t="s">
        <v>169</v>
      </c>
      <c r="H35" s="76" t="s">
        <v>516</v>
      </c>
      <c r="I35" s="76">
        <v>0</v>
      </c>
      <c r="J35" s="76">
        <f>C35*0.25</f>
        <v>2.5000000000000002E-8</v>
      </c>
      <c r="K35" s="76">
        <f>C35*0.75</f>
        <v>7.500000000000001E-8</v>
      </c>
      <c r="L35" s="76">
        <f t="shared" si="1"/>
        <v>1.0000000000000001E-7</v>
      </c>
      <c r="M35" s="76" t="s">
        <v>163</v>
      </c>
      <c r="N35" s="76"/>
      <c r="O35" s="76"/>
      <c r="P35" s="76" t="s">
        <v>171</v>
      </c>
    </row>
    <row r="36" spans="2:16" ht="12.75" customHeight="1" x14ac:dyDescent="0.2">
      <c r="B36" s="76" t="s">
        <v>167</v>
      </c>
      <c r="C36" s="76">
        <f t="shared" si="0"/>
        <v>1.0000000000000001E-7</v>
      </c>
      <c r="D36" s="76"/>
      <c r="E36" s="76" t="s">
        <v>899</v>
      </c>
      <c r="F36" s="76" t="s">
        <v>168</v>
      </c>
      <c r="G36" s="76" t="s">
        <v>169</v>
      </c>
      <c r="H36" s="76" t="s">
        <v>516</v>
      </c>
      <c r="I36" s="76">
        <v>0</v>
      </c>
      <c r="J36" s="76">
        <f>C36*0.25</f>
        <v>2.5000000000000002E-8</v>
      </c>
      <c r="K36" s="76">
        <f>C36*0.75</f>
        <v>7.500000000000001E-8</v>
      </c>
      <c r="L36" s="76">
        <f t="shared" si="1"/>
        <v>1.0000000000000001E-7</v>
      </c>
      <c r="M36" s="76" t="s">
        <v>163</v>
      </c>
      <c r="N36" s="76"/>
      <c r="O36" s="76"/>
      <c r="P36" s="76" t="s">
        <v>171</v>
      </c>
    </row>
    <row r="37" spans="2:16" ht="12.75" customHeight="1" x14ac:dyDescent="0.2">
      <c r="B37" s="76" t="s">
        <v>167</v>
      </c>
      <c r="C37" s="76">
        <f t="shared" si="0"/>
        <v>1.0000000000000001E-7</v>
      </c>
      <c r="D37" s="76"/>
      <c r="E37" s="76" t="s">
        <v>900</v>
      </c>
      <c r="F37" s="76" t="s">
        <v>168</v>
      </c>
      <c r="G37" s="76" t="s">
        <v>169</v>
      </c>
      <c r="H37" s="76" t="s">
        <v>170</v>
      </c>
      <c r="I37" s="76">
        <v>0</v>
      </c>
      <c r="J37" s="76">
        <f t="shared" ref="J37:J44" si="4">C37*0.2</f>
        <v>2.0000000000000004E-8</v>
      </c>
      <c r="K37" s="76"/>
      <c r="L37" s="76">
        <f t="shared" si="1"/>
        <v>1.0000000000000001E-7</v>
      </c>
      <c r="M37" s="76" t="s">
        <v>163</v>
      </c>
      <c r="N37" s="76"/>
      <c r="O37" s="76"/>
      <c r="P37" s="76" t="s">
        <v>171</v>
      </c>
    </row>
    <row r="38" spans="2:16" ht="12.75" customHeight="1" x14ac:dyDescent="0.2">
      <c r="B38" s="76" t="s">
        <v>167</v>
      </c>
      <c r="C38" s="76">
        <f t="shared" si="0"/>
        <v>1.0000000000000001E-7</v>
      </c>
      <c r="D38" s="76"/>
      <c r="E38" s="76" t="s">
        <v>901</v>
      </c>
      <c r="F38" s="76" t="s">
        <v>168</v>
      </c>
      <c r="G38" s="76" t="s">
        <v>169</v>
      </c>
      <c r="H38" s="76" t="s">
        <v>170</v>
      </c>
      <c r="I38" s="76">
        <v>0</v>
      </c>
      <c r="J38" s="76">
        <f t="shared" si="4"/>
        <v>2.0000000000000004E-8</v>
      </c>
      <c r="K38" s="76"/>
      <c r="L38" s="76">
        <f t="shared" si="1"/>
        <v>1.0000000000000001E-7</v>
      </c>
      <c r="M38" s="76" t="s">
        <v>163</v>
      </c>
      <c r="N38" s="76"/>
      <c r="O38" s="76"/>
      <c r="P38" s="76" t="s">
        <v>171</v>
      </c>
    </row>
    <row r="39" spans="2:16" ht="12.75" customHeight="1" x14ac:dyDescent="0.2">
      <c r="B39" s="76" t="s">
        <v>167</v>
      </c>
      <c r="C39" s="76">
        <f t="shared" ref="C39:C70" si="5">100*ns</f>
        <v>1.0000000000000001E-7</v>
      </c>
      <c r="D39" s="76"/>
      <c r="E39" s="76" t="s">
        <v>902</v>
      </c>
      <c r="F39" s="76" t="s">
        <v>168</v>
      </c>
      <c r="G39" s="76" t="s">
        <v>169</v>
      </c>
      <c r="H39" s="76" t="s">
        <v>170</v>
      </c>
      <c r="I39" s="76">
        <v>0</v>
      </c>
      <c r="J39" s="76">
        <f t="shared" si="4"/>
        <v>2.0000000000000004E-8</v>
      </c>
      <c r="K39" s="76"/>
      <c r="L39" s="76">
        <f t="shared" ref="L39:L70" si="6">C39</f>
        <v>1.0000000000000001E-7</v>
      </c>
      <c r="M39" s="76" t="s">
        <v>163</v>
      </c>
      <c r="N39" s="76"/>
      <c r="O39" s="76"/>
      <c r="P39" s="76" t="s">
        <v>171</v>
      </c>
    </row>
    <row r="40" spans="2:16" ht="12.75" customHeight="1" x14ac:dyDescent="0.2">
      <c r="B40" s="76" t="s">
        <v>167</v>
      </c>
      <c r="C40" s="76">
        <f t="shared" si="5"/>
        <v>1.0000000000000001E-7</v>
      </c>
      <c r="D40" s="76"/>
      <c r="E40" s="76" t="s">
        <v>903</v>
      </c>
      <c r="F40" s="76" t="s">
        <v>168</v>
      </c>
      <c r="G40" s="76" t="s">
        <v>169</v>
      </c>
      <c r="H40" s="76" t="s">
        <v>170</v>
      </c>
      <c r="I40" s="76">
        <v>0</v>
      </c>
      <c r="J40" s="76">
        <f t="shared" si="4"/>
        <v>2.0000000000000004E-8</v>
      </c>
      <c r="K40" s="76"/>
      <c r="L40" s="76">
        <f t="shared" si="6"/>
        <v>1.0000000000000001E-7</v>
      </c>
      <c r="M40" s="76" t="s">
        <v>163</v>
      </c>
      <c r="N40" s="76"/>
      <c r="O40" s="76"/>
      <c r="P40" s="76" t="s">
        <v>171</v>
      </c>
    </row>
    <row r="41" spans="2:16" ht="12.75" customHeight="1" x14ac:dyDescent="0.2">
      <c r="B41" s="76" t="s">
        <v>167</v>
      </c>
      <c r="C41" s="76">
        <f t="shared" si="5"/>
        <v>1.0000000000000001E-7</v>
      </c>
      <c r="D41" s="76"/>
      <c r="E41" s="76" t="s">
        <v>904</v>
      </c>
      <c r="F41" s="76" t="s">
        <v>168</v>
      </c>
      <c r="G41" s="76" t="s">
        <v>169</v>
      </c>
      <c r="H41" s="76" t="s">
        <v>170</v>
      </c>
      <c r="I41" s="76">
        <v>0</v>
      </c>
      <c r="J41" s="76">
        <f t="shared" si="4"/>
        <v>2.0000000000000004E-8</v>
      </c>
      <c r="K41" s="76"/>
      <c r="L41" s="76">
        <f t="shared" si="6"/>
        <v>1.0000000000000001E-7</v>
      </c>
      <c r="M41" s="76" t="s">
        <v>163</v>
      </c>
      <c r="N41" s="76"/>
      <c r="O41" s="76"/>
      <c r="P41" s="76" t="s">
        <v>171</v>
      </c>
    </row>
    <row r="42" spans="2:16" ht="12.75" customHeight="1" x14ac:dyDescent="0.2">
      <c r="B42" s="76" t="s">
        <v>167</v>
      </c>
      <c r="C42" s="76">
        <f t="shared" si="5"/>
        <v>1.0000000000000001E-7</v>
      </c>
      <c r="D42" s="76"/>
      <c r="E42" s="76" t="s">
        <v>905</v>
      </c>
      <c r="F42" s="76" t="s">
        <v>168</v>
      </c>
      <c r="G42" s="76" t="s">
        <v>169</v>
      </c>
      <c r="H42" s="76" t="s">
        <v>170</v>
      </c>
      <c r="I42" s="76">
        <v>0</v>
      </c>
      <c r="J42" s="76">
        <f t="shared" si="4"/>
        <v>2.0000000000000004E-8</v>
      </c>
      <c r="K42" s="76"/>
      <c r="L42" s="76">
        <f t="shared" si="6"/>
        <v>1.0000000000000001E-7</v>
      </c>
      <c r="M42" s="76" t="s">
        <v>163</v>
      </c>
      <c r="N42" s="76"/>
      <c r="O42" s="76"/>
      <c r="P42" s="76" t="s">
        <v>171</v>
      </c>
    </row>
    <row r="43" spans="2:16" ht="12.75" customHeight="1" x14ac:dyDescent="0.2">
      <c r="B43" s="76" t="s">
        <v>167</v>
      </c>
      <c r="C43" s="76">
        <f t="shared" si="5"/>
        <v>1.0000000000000001E-7</v>
      </c>
      <c r="D43" s="76"/>
      <c r="E43" s="76" t="s">
        <v>906</v>
      </c>
      <c r="F43" s="76" t="s">
        <v>168</v>
      </c>
      <c r="G43" s="76" t="s">
        <v>169</v>
      </c>
      <c r="H43" s="76" t="s">
        <v>170</v>
      </c>
      <c r="I43" s="76">
        <v>0</v>
      </c>
      <c r="J43" s="76">
        <f t="shared" si="4"/>
        <v>2.0000000000000004E-8</v>
      </c>
      <c r="K43" s="76"/>
      <c r="L43" s="76">
        <f t="shared" si="6"/>
        <v>1.0000000000000001E-7</v>
      </c>
      <c r="M43" s="76" t="s">
        <v>163</v>
      </c>
      <c r="N43" s="76"/>
      <c r="O43" s="76"/>
      <c r="P43" s="76" t="s">
        <v>171</v>
      </c>
    </row>
    <row r="44" spans="2:16" ht="12.75" customHeight="1" x14ac:dyDescent="0.2">
      <c r="B44" s="76" t="s">
        <v>167</v>
      </c>
      <c r="C44" s="76">
        <f t="shared" si="5"/>
        <v>1.0000000000000001E-7</v>
      </c>
      <c r="D44" s="76"/>
      <c r="E44" s="76" t="s">
        <v>907</v>
      </c>
      <c r="F44" s="76" t="s">
        <v>168</v>
      </c>
      <c r="G44" s="76" t="s">
        <v>169</v>
      </c>
      <c r="H44" s="76" t="s">
        <v>170</v>
      </c>
      <c r="I44" s="76">
        <v>0</v>
      </c>
      <c r="J44" s="76">
        <f t="shared" si="4"/>
        <v>2.0000000000000004E-8</v>
      </c>
      <c r="K44" s="76"/>
      <c r="L44" s="76">
        <f t="shared" si="6"/>
        <v>1.0000000000000001E-7</v>
      </c>
      <c r="M44" s="76" t="s">
        <v>163</v>
      </c>
      <c r="N44" s="76"/>
      <c r="O44" s="76"/>
      <c r="P44" s="76" t="s">
        <v>171</v>
      </c>
    </row>
    <row r="45" spans="2:16" ht="12.75" customHeight="1" x14ac:dyDescent="0.2">
      <c r="B45" s="76" t="s">
        <v>167</v>
      </c>
      <c r="C45" s="76">
        <f t="shared" si="5"/>
        <v>1.0000000000000001E-7</v>
      </c>
      <c r="D45" s="76"/>
      <c r="E45" s="76" t="s">
        <v>912</v>
      </c>
      <c r="F45" s="76" t="s">
        <v>168</v>
      </c>
      <c r="G45" s="76" t="s">
        <v>169</v>
      </c>
      <c r="H45" s="76" t="s">
        <v>516</v>
      </c>
      <c r="I45" s="76">
        <v>0</v>
      </c>
      <c r="J45" s="76">
        <f>C45*0.25</f>
        <v>2.5000000000000002E-8</v>
      </c>
      <c r="K45" s="76">
        <f>C45*0.75</f>
        <v>7.500000000000001E-8</v>
      </c>
      <c r="L45" s="76">
        <f t="shared" si="6"/>
        <v>1.0000000000000001E-7</v>
      </c>
      <c r="M45" s="76" t="s">
        <v>163</v>
      </c>
      <c r="N45" s="76"/>
      <c r="O45" s="76"/>
      <c r="P45" s="76" t="s">
        <v>171</v>
      </c>
    </row>
    <row r="46" spans="2:16" ht="12.75" customHeight="1" x14ac:dyDescent="0.2">
      <c r="B46" s="76" t="s">
        <v>167</v>
      </c>
      <c r="C46" s="76">
        <f t="shared" si="5"/>
        <v>1.0000000000000001E-7</v>
      </c>
      <c r="D46" s="76"/>
      <c r="E46" s="76" t="s">
        <v>913</v>
      </c>
      <c r="F46" s="76" t="s">
        <v>168</v>
      </c>
      <c r="G46" s="76" t="s">
        <v>169</v>
      </c>
      <c r="H46" s="76" t="s">
        <v>170</v>
      </c>
      <c r="I46" s="76">
        <v>0</v>
      </c>
      <c r="J46" s="76">
        <f t="shared" ref="J46:J85" si="7">C46*0.2</f>
        <v>2.0000000000000004E-8</v>
      </c>
      <c r="K46" s="76"/>
      <c r="L46" s="76">
        <f t="shared" si="6"/>
        <v>1.0000000000000001E-7</v>
      </c>
      <c r="M46" s="76" t="s">
        <v>163</v>
      </c>
      <c r="N46" s="76"/>
      <c r="O46" s="76"/>
      <c r="P46" s="76" t="s">
        <v>171</v>
      </c>
    </row>
    <row r="47" spans="2:16" ht="12.75" customHeight="1" x14ac:dyDescent="0.2">
      <c r="B47" s="76" t="s">
        <v>167</v>
      </c>
      <c r="C47" s="76">
        <f t="shared" si="5"/>
        <v>1.0000000000000001E-7</v>
      </c>
      <c r="D47" s="76"/>
      <c r="E47" s="76" t="s">
        <v>914</v>
      </c>
      <c r="F47" s="76" t="s">
        <v>168</v>
      </c>
      <c r="G47" s="76" t="s">
        <v>169</v>
      </c>
      <c r="H47" s="76" t="s">
        <v>170</v>
      </c>
      <c r="I47" s="76">
        <v>0</v>
      </c>
      <c r="J47" s="76">
        <f t="shared" si="7"/>
        <v>2.0000000000000004E-8</v>
      </c>
      <c r="K47" s="76"/>
      <c r="L47" s="76">
        <f t="shared" si="6"/>
        <v>1.0000000000000001E-7</v>
      </c>
      <c r="M47" s="76" t="s">
        <v>163</v>
      </c>
      <c r="N47" s="76"/>
      <c r="O47" s="76"/>
      <c r="P47" s="76" t="s">
        <v>171</v>
      </c>
    </row>
    <row r="48" spans="2:16" ht="12.75" customHeight="1" x14ac:dyDescent="0.2">
      <c r="B48" s="76" t="s">
        <v>167</v>
      </c>
      <c r="C48" s="76">
        <f t="shared" si="5"/>
        <v>1.0000000000000001E-7</v>
      </c>
      <c r="D48" s="76"/>
      <c r="E48" s="76" t="s">
        <v>915</v>
      </c>
      <c r="F48" s="76" t="s">
        <v>168</v>
      </c>
      <c r="G48" s="76" t="s">
        <v>169</v>
      </c>
      <c r="H48" s="76" t="s">
        <v>170</v>
      </c>
      <c r="I48" s="76">
        <v>0</v>
      </c>
      <c r="J48" s="76">
        <f t="shared" si="7"/>
        <v>2.0000000000000004E-8</v>
      </c>
      <c r="K48" s="76"/>
      <c r="L48" s="76">
        <f t="shared" si="6"/>
        <v>1.0000000000000001E-7</v>
      </c>
      <c r="M48" s="76" t="s">
        <v>163</v>
      </c>
      <c r="N48" s="76"/>
      <c r="O48" s="76"/>
      <c r="P48" s="76" t="s">
        <v>171</v>
      </c>
    </row>
    <row r="49" spans="2:16" ht="12.75" customHeight="1" x14ac:dyDescent="0.2">
      <c r="B49" s="76" t="s">
        <v>167</v>
      </c>
      <c r="C49" s="76">
        <f t="shared" si="5"/>
        <v>1.0000000000000001E-7</v>
      </c>
      <c r="D49" s="76"/>
      <c r="E49" s="76" t="s">
        <v>916</v>
      </c>
      <c r="F49" s="76" t="s">
        <v>168</v>
      </c>
      <c r="G49" s="76" t="s">
        <v>169</v>
      </c>
      <c r="H49" s="76" t="s">
        <v>170</v>
      </c>
      <c r="I49" s="76">
        <v>0</v>
      </c>
      <c r="J49" s="76">
        <f t="shared" si="7"/>
        <v>2.0000000000000004E-8</v>
      </c>
      <c r="K49" s="76"/>
      <c r="L49" s="76">
        <f t="shared" si="6"/>
        <v>1.0000000000000001E-7</v>
      </c>
      <c r="M49" s="76" t="s">
        <v>163</v>
      </c>
      <c r="N49" s="76"/>
      <c r="O49" s="76"/>
      <c r="P49" s="76" t="s">
        <v>171</v>
      </c>
    </row>
    <row r="50" spans="2:16" ht="12.75" customHeight="1" x14ac:dyDescent="0.2">
      <c r="B50" s="76" t="s">
        <v>167</v>
      </c>
      <c r="C50" s="76">
        <f t="shared" si="5"/>
        <v>1.0000000000000001E-7</v>
      </c>
      <c r="D50" s="76"/>
      <c r="E50" s="76" t="s">
        <v>917</v>
      </c>
      <c r="F50" s="76" t="s">
        <v>168</v>
      </c>
      <c r="G50" s="76" t="s">
        <v>169</v>
      </c>
      <c r="H50" s="76" t="s">
        <v>170</v>
      </c>
      <c r="I50" s="76">
        <v>0</v>
      </c>
      <c r="J50" s="76">
        <f t="shared" si="7"/>
        <v>2.0000000000000004E-8</v>
      </c>
      <c r="K50" s="76"/>
      <c r="L50" s="76">
        <f t="shared" si="6"/>
        <v>1.0000000000000001E-7</v>
      </c>
      <c r="M50" s="76" t="s">
        <v>163</v>
      </c>
      <c r="N50" s="76"/>
      <c r="O50" s="76"/>
      <c r="P50" s="76" t="s">
        <v>171</v>
      </c>
    </row>
    <row r="51" spans="2:16" ht="12.75" customHeight="1" x14ac:dyDescent="0.2">
      <c r="B51" s="76" t="s">
        <v>167</v>
      </c>
      <c r="C51" s="76">
        <f t="shared" si="5"/>
        <v>1.0000000000000001E-7</v>
      </c>
      <c r="D51" s="76"/>
      <c r="E51" s="76" t="s">
        <v>918</v>
      </c>
      <c r="F51" s="76" t="s">
        <v>168</v>
      </c>
      <c r="G51" s="76" t="s">
        <v>169</v>
      </c>
      <c r="H51" s="76" t="s">
        <v>170</v>
      </c>
      <c r="I51" s="76">
        <v>0</v>
      </c>
      <c r="J51" s="76">
        <f t="shared" si="7"/>
        <v>2.0000000000000004E-8</v>
      </c>
      <c r="K51" s="76"/>
      <c r="L51" s="76">
        <f t="shared" si="6"/>
        <v>1.0000000000000001E-7</v>
      </c>
      <c r="M51" s="76" t="s">
        <v>163</v>
      </c>
      <c r="N51" s="76"/>
      <c r="O51" s="76"/>
      <c r="P51" s="76" t="s">
        <v>171</v>
      </c>
    </row>
    <row r="52" spans="2:16" ht="12.75" customHeight="1" x14ac:dyDescent="0.2">
      <c r="B52" s="76" t="s">
        <v>167</v>
      </c>
      <c r="C52" s="76">
        <f t="shared" si="5"/>
        <v>1.0000000000000001E-7</v>
      </c>
      <c r="D52" s="76"/>
      <c r="E52" s="76" t="s">
        <v>919</v>
      </c>
      <c r="F52" s="76" t="s">
        <v>168</v>
      </c>
      <c r="G52" s="76" t="s">
        <v>169</v>
      </c>
      <c r="H52" s="76" t="s">
        <v>170</v>
      </c>
      <c r="I52" s="76">
        <v>0</v>
      </c>
      <c r="J52" s="76">
        <f t="shared" si="7"/>
        <v>2.0000000000000004E-8</v>
      </c>
      <c r="K52" s="76"/>
      <c r="L52" s="76">
        <f t="shared" si="6"/>
        <v>1.0000000000000001E-7</v>
      </c>
      <c r="M52" s="76" t="s">
        <v>163</v>
      </c>
      <c r="N52" s="76"/>
      <c r="O52" s="76"/>
      <c r="P52" s="76" t="s">
        <v>171</v>
      </c>
    </row>
    <row r="53" spans="2:16" ht="12.75" customHeight="1" x14ac:dyDescent="0.2">
      <c r="B53" s="76" t="s">
        <v>167</v>
      </c>
      <c r="C53" s="76">
        <f t="shared" si="5"/>
        <v>1.0000000000000001E-7</v>
      </c>
      <c r="D53" s="76"/>
      <c r="E53" s="76" t="s">
        <v>920</v>
      </c>
      <c r="F53" s="76" t="s">
        <v>168</v>
      </c>
      <c r="G53" s="76" t="s">
        <v>169</v>
      </c>
      <c r="H53" s="76" t="s">
        <v>170</v>
      </c>
      <c r="I53" s="76">
        <v>0</v>
      </c>
      <c r="J53" s="76">
        <f t="shared" si="7"/>
        <v>2.0000000000000004E-8</v>
      </c>
      <c r="K53" s="76"/>
      <c r="L53" s="76">
        <f t="shared" si="6"/>
        <v>1.0000000000000001E-7</v>
      </c>
      <c r="M53" s="76" t="s">
        <v>163</v>
      </c>
      <c r="N53" s="76"/>
      <c r="O53" s="76"/>
      <c r="P53" s="76" t="s">
        <v>171</v>
      </c>
    </row>
    <row r="54" spans="2:16" ht="12.75" customHeight="1" x14ac:dyDescent="0.2">
      <c r="B54" s="76" t="s">
        <v>167</v>
      </c>
      <c r="C54" s="76">
        <f t="shared" si="5"/>
        <v>1.0000000000000001E-7</v>
      </c>
      <c r="D54" s="76"/>
      <c r="E54" s="76" t="s">
        <v>921</v>
      </c>
      <c r="F54" s="76" t="s">
        <v>168</v>
      </c>
      <c r="G54" s="76" t="s">
        <v>169</v>
      </c>
      <c r="H54" s="76" t="s">
        <v>170</v>
      </c>
      <c r="I54" s="76">
        <v>0</v>
      </c>
      <c r="J54" s="76">
        <f t="shared" si="7"/>
        <v>2.0000000000000004E-8</v>
      </c>
      <c r="K54" s="76"/>
      <c r="L54" s="76">
        <f t="shared" si="6"/>
        <v>1.0000000000000001E-7</v>
      </c>
      <c r="M54" s="76" t="s">
        <v>163</v>
      </c>
      <c r="N54" s="76"/>
      <c r="O54" s="76"/>
      <c r="P54" s="76" t="s">
        <v>171</v>
      </c>
    </row>
    <row r="55" spans="2:16" ht="12.75" customHeight="1" x14ac:dyDescent="0.2">
      <c r="B55" s="76" t="s">
        <v>167</v>
      </c>
      <c r="C55" s="76">
        <f t="shared" si="5"/>
        <v>1.0000000000000001E-7</v>
      </c>
      <c r="D55" s="76"/>
      <c r="E55" s="76" t="s">
        <v>922</v>
      </c>
      <c r="F55" s="76" t="s">
        <v>168</v>
      </c>
      <c r="G55" s="76" t="s">
        <v>169</v>
      </c>
      <c r="H55" s="76" t="s">
        <v>170</v>
      </c>
      <c r="I55" s="76">
        <v>0</v>
      </c>
      <c r="J55" s="76">
        <f t="shared" si="7"/>
        <v>2.0000000000000004E-8</v>
      </c>
      <c r="K55" s="76"/>
      <c r="L55" s="76">
        <f t="shared" si="6"/>
        <v>1.0000000000000001E-7</v>
      </c>
      <c r="M55" s="76" t="s">
        <v>163</v>
      </c>
      <c r="N55" s="76"/>
      <c r="O55" s="76"/>
      <c r="P55" s="76" t="s">
        <v>171</v>
      </c>
    </row>
    <row r="56" spans="2:16" ht="12.75" customHeight="1" x14ac:dyDescent="0.2">
      <c r="B56" s="76" t="s">
        <v>167</v>
      </c>
      <c r="C56" s="76">
        <f t="shared" si="5"/>
        <v>1.0000000000000001E-7</v>
      </c>
      <c r="D56" s="76"/>
      <c r="E56" s="76" t="s">
        <v>923</v>
      </c>
      <c r="F56" s="76" t="s">
        <v>168</v>
      </c>
      <c r="G56" s="76" t="s">
        <v>169</v>
      </c>
      <c r="H56" s="76" t="s">
        <v>170</v>
      </c>
      <c r="I56" s="76">
        <v>0</v>
      </c>
      <c r="J56" s="76">
        <f t="shared" si="7"/>
        <v>2.0000000000000004E-8</v>
      </c>
      <c r="K56" s="76"/>
      <c r="L56" s="76">
        <f t="shared" si="6"/>
        <v>1.0000000000000001E-7</v>
      </c>
      <c r="M56" s="76" t="s">
        <v>163</v>
      </c>
      <c r="N56" s="76"/>
      <c r="O56" s="76"/>
      <c r="P56" s="76" t="s">
        <v>171</v>
      </c>
    </row>
    <row r="57" spans="2:16" ht="12.75" customHeight="1" x14ac:dyDescent="0.2">
      <c r="B57" s="76" t="s">
        <v>167</v>
      </c>
      <c r="C57" s="76">
        <f t="shared" si="5"/>
        <v>1.0000000000000001E-7</v>
      </c>
      <c r="D57" s="76"/>
      <c r="E57" s="76" t="s">
        <v>924</v>
      </c>
      <c r="F57" s="76" t="s">
        <v>168</v>
      </c>
      <c r="G57" s="76" t="s">
        <v>169</v>
      </c>
      <c r="H57" s="76" t="s">
        <v>170</v>
      </c>
      <c r="I57" s="76">
        <v>0</v>
      </c>
      <c r="J57" s="76">
        <f t="shared" si="7"/>
        <v>2.0000000000000004E-8</v>
      </c>
      <c r="K57" s="76"/>
      <c r="L57" s="76">
        <f t="shared" si="6"/>
        <v>1.0000000000000001E-7</v>
      </c>
      <c r="M57" s="76" t="s">
        <v>163</v>
      </c>
      <c r="N57" s="76"/>
      <c r="O57" s="76"/>
      <c r="P57" s="76" t="s">
        <v>171</v>
      </c>
    </row>
    <row r="58" spans="2:16" ht="12.75" customHeight="1" x14ac:dyDescent="0.2">
      <c r="B58" s="76" t="s">
        <v>167</v>
      </c>
      <c r="C58" s="76">
        <f t="shared" si="5"/>
        <v>1.0000000000000001E-7</v>
      </c>
      <c r="D58" s="76"/>
      <c r="E58" s="76" t="s">
        <v>925</v>
      </c>
      <c r="F58" s="76" t="s">
        <v>168</v>
      </c>
      <c r="G58" s="76" t="s">
        <v>169</v>
      </c>
      <c r="H58" s="76" t="s">
        <v>170</v>
      </c>
      <c r="I58" s="76">
        <v>0</v>
      </c>
      <c r="J58" s="76">
        <f t="shared" si="7"/>
        <v>2.0000000000000004E-8</v>
      </c>
      <c r="K58" s="76"/>
      <c r="L58" s="76">
        <f t="shared" si="6"/>
        <v>1.0000000000000001E-7</v>
      </c>
      <c r="M58" s="76" t="s">
        <v>163</v>
      </c>
      <c r="N58" s="76"/>
      <c r="O58" s="76"/>
      <c r="P58" s="76" t="s">
        <v>171</v>
      </c>
    </row>
    <row r="59" spans="2:16" ht="12.75" customHeight="1" x14ac:dyDescent="0.2">
      <c r="B59" s="76" t="s">
        <v>167</v>
      </c>
      <c r="C59" s="76">
        <f t="shared" si="5"/>
        <v>1.0000000000000001E-7</v>
      </c>
      <c r="D59" s="76"/>
      <c r="E59" s="76" t="s">
        <v>926</v>
      </c>
      <c r="F59" s="76" t="s">
        <v>168</v>
      </c>
      <c r="G59" s="76" t="s">
        <v>169</v>
      </c>
      <c r="H59" s="76" t="s">
        <v>170</v>
      </c>
      <c r="I59" s="76">
        <v>0</v>
      </c>
      <c r="J59" s="76">
        <f t="shared" si="7"/>
        <v>2.0000000000000004E-8</v>
      </c>
      <c r="K59" s="76"/>
      <c r="L59" s="76">
        <f t="shared" si="6"/>
        <v>1.0000000000000001E-7</v>
      </c>
      <c r="M59" s="76" t="s">
        <v>163</v>
      </c>
      <c r="N59" s="76"/>
      <c r="O59" s="76"/>
      <c r="P59" s="76" t="s">
        <v>171</v>
      </c>
    </row>
    <row r="60" spans="2:16" ht="12.75" customHeight="1" x14ac:dyDescent="0.2">
      <c r="B60" s="76" t="s">
        <v>167</v>
      </c>
      <c r="C60" s="76">
        <f t="shared" si="5"/>
        <v>1.0000000000000001E-7</v>
      </c>
      <c r="D60" s="76"/>
      <c r="E60" s="76" t="s">
        <v>927</v>
      </c>
      <c r="F60" s="76" t="s">
        <v>168</v>
      </c>
      <c r="G60" s="76" t="s">
        <v>169</v>
      </c>
      <c r="H60" s="76" t="s">
        <v>170</v>
      </c>
      <c r="I60" s="76">
        <v>0</v>
      </c>
      <c r="J60" s="76">
        <f t="shared" si="7"/>
        <v>2.0000000000000004E-8</v>
      </c>
      <c r="K60" s="76"/>
      <c r="L60" s="76">
        <f t="shared" si="6"/>
        <v>1.0000000000000001E-7</v>
      </c>
      <c r="M60" s="76" t="s">
        <v>163</v>
      </c>
      <c r="N60" s="76"/>
      <c r="O60" s="76"/>
      <c r="P60" s="76" t="s">
        <v>171</v>
      </c>
    </row>
    <row r="61" spans="2:16" ht="12.75" customHeight="1" x14ac:dyDescent="0.2">
      <c r="B61" s="76" t="s">
        <v>167</v>
      </c>
      <c r="C61" s="76">
        <f t="shared" si="5"/>
        <v>1.0000000000000001E-7</v>
      </c>
      <c r="D61" s="76"/>
      <c r="E61" s="76" t="s">
        <v>928</v>
      </c>
      <c r="F61" s="76" t="s">
        <v>168</v>
      </c>
      <c r="G61" s="76" t="s">
        <v>169</v>
      </c>
      <c r="H61" s="76" t="s">
        <v>170</v>
      </c>
      <c r="I61" s="76">
        <v>0</v>
      </c>
      <c r="J61" s="76">
        <f t="shared" si="7"/>
        <v>2.0000000000000004E-8</v>
      </c>
      <c r="K61" s="76"/>
      <c r="L61" s="76">
        <f t="shared" si="6"/>
        <v>1.0000000000000001E-7</v>
      </c>
      <c r="M61" s="76" t="s">
        <v>163</v>
      </c>
      <c r="N61" s="76"/>
      <c r="O61" s="76"/>
      <c r="P61" s="76" t="s">
        <v>171</v>
      </c>
    </row>
    <row r="62" spans="2:16" ht="12.75" customHeight="1" x14ac:dyDescent="0.2">
      <c r="B62" s="76" t="s">
        <v>167</v>
      </c>
      <c r="C62" s="76">
        <f t="shared" si="5"/>
        <v>1.0000000000000001E-7</v>
      </c>
      <c r="D62" s="76"/>
      <c r="E62" s="76" t="s">
        <v>929</v>
      </c>
      <c r="F62" s="76" t="s">
        <v>168</v>
      </c>
      <c r="G62" s="76" t="s">
        <v>169</v>
      </c>
      <c r="H62" s="76" t="s">
        <v>170</v>
      </c>
      <c r="I62" s="76">
        <v>0</v>
      </c>
      <c r="J62" s="76">
        <f t="shared" si="7"/>
        <v>2.0000000000000004E-8</v>
      </c>
      <c r="K62" s="76"/>
      <c r="L62" s="76">
        <f t="shared" si="6"/>
        <v>1.0000000000000001E-7</v>
      </c>
      <c r="M62" s="76" t="s">
        <v>163</v>
      </c>
      <c r="N62" s="76"/>
      <c r="O62" s="76"/>
      <c r="P62" s="76" t="s">
        <v>171</v>
      </c>
    </row>
    <row r="63" spans="2:16" ht="12.75" customHeight="1" x14ac:dyDescent="0.2">
      <c r="B63" s="76" t="s">
        <v>167</v>
      </c>
      <c r="C63" s="76">
        <f t="shared" si="5"/>
        <v>1.0000000000000001E-7</v>
      </c>
      <c r="D63" s="76"/>
      <c r="E63" s="76" t="s">
        <v>930</v>
      </c>
      <c r="F63" s="76" t="s">
        <v>168</v>
      </c>
      <c r="G63" s="76" t="s">
        <v>169</v>
      </c>
      <c r="H63" s="76" t="s">
        <v>170</v>
      </c>
      <c r="I63" s="76">
        <v>0</v>
      </c>
      <c r="J63" s="76">
        <f t="shared" si="7"/>
        <v>2.0000000000000004E-8</v>
      </c>
      <c r="K63" s="76"/>
      <c r="L63" s="76">
        <f t="shared" si="6"/>
        <v>1.0000000000000001E-7</v>
      </c>
      <c r="M63" s="76" t="s">
        <v>163</v>
      </c>
      <c r="N63" s="76"/>
      <c r="O63" s="76"/>
      <c r="P63" s="76" t="s">
        <v>171</v>
      </c>
    </row>
    <row r="64" spans="2:16" ht="12.75" customHeight="1" x14ac:dyDescent="0.2">
      <c r="B64" s="76" t="s">
        <v>167</v>
      </c>
      <c r="C64" s="76">
        <f t="shared" si="5"/>
        <v>1.0000000000000001E-7</v>
      </c>
      <c r="D64" s="76"/>
      <c r="E64" s="76" t="s">
        <v>931</v>
      </c>
      <c r="F64" s="76" t="s">
        <v>168</v>
      </c>
      <c r="G64" s="76" t="s">
        <v>169</v>
      </c>
      <c r="H64" s="76" t="s">
        <v>170</v>
      </c>
      <c r="I64" s="76">
        <v>0</v>
      </c>
      <c r="J64" s="76">
        <f t="shared" si="7"/>
        <v>2.0000000000000004E-8</v>
      </c>
      <c r="K64" s="76"/>
      <c r="L64" s="76">
        <f t="shared" si="6"/>
        <v>1.0000000000000001E-7</v>
      </c>
      <c r="M64" s="76" t="s">
        <v>163</v>
      </c>
      <c r="N64" s="76"/>
      <c r="O64" s="76"/>
      <c r="P64" s="76" t="s">
        <v>171</v>
      </c>
    </row>
    <row r="65" spans="2:16" ht="12.75" customHeight="1" x14ac:dyDescent="0.2">
      <c r="B65" s="76" t="s">
        <v>167</v>
      </c>
      <c r="C65" s="76">
        <f t="shared" si="5"/>
        <v>1.0000000000000001E-7</v>
      </c>
      <c r="D65" s="76"/>
      <c r="E65" s="76" t="s">
        <v>932</v>
      </c>
      <c r="F65" s="76" t="s">
        <v>168</v>
      </c>
      <c r="G65" s="76" t="s">
        <v>169</v>
      </c>
      <c r="H65" s="76" t="s">
        <v>170</v>
      </c>
      <c r="I65" s="76">
        <v>0</v>
      </c>
      <c r="J65" s="76">
        <f t="shared" si="7"/>
        <v>2.0000000000000004E-8</v>
      </c>
      <c r="K65" s="76"/>
      <c r="L65" s="76">
        <f t="shared" si="6"/>
        <v>1.0000000000000001E-7</v>
      </c>
      <c r="M65" s="76" t="s">
        <v>163</v>
      </c>
      <c r="N65" s="76"/>
      <c r="O65" s="76"/>
      <c r="P65" s="76" t="s">
        <v>171</v>
      </c>
    </row>
    <row r="66" spans="2:16" ht="12.75" customHeight="1" x14ac:dyDescent="0.2">
      <c r="B66" s="76" t="s">
        <v>167</v>
      </c>
      <c r="C66" s="76">
        <f t="shared" si="5"/>
        <v>1.0000000000000001E-7</v>
      </c>
      <c r="D66" s="76"/>
      <c r="E66" s="76" t="s">
        <v>933</v>
      </c>
      <c r="F66" s="76" t="s">
        <v>168</v>
      </c>
      <c r="G66" s="76" t="s">
        <v>169</v>
      </c>
      <c r="H66" s="76" t="s">
        <v>170</v>
      </c>
      <c r="I66" s="76">
        <v>0</v>
      </c>
      <c r="J66" s="76">
        <f t="shared" si="7"/>
        <v>2.0000000000000004E-8</v>
      </c>
      <c r="K66" s="76"/>
      <c r="L66" s="76">
        <f t="shared" si="6"/>
        <v>1.0000000000000001E-7</v>
      </c>
      <c r="M66" s="76" t="s">
        <v>163</v>
      </c>
      <c r="N66" s="76"/>
      <c r="O66" s="76"/>
      <c r="P66" s="76" t="s">
        <v>171</v>
      </c>
    </row>
    <row r="67" spans="2:16" ht="12.75" customHeight="1" x14ac:dyDescent="0.2">
      <c r="B67" s="76" t="s">
        <v>167</v>
      </c>
      <c r="C67" s="76">
        <f t="shared" si="5"/>
        <v>1.0000000000000001E-7</v>
      </c>
      <c r="D67" s="76"/>
      <c r="E67" s="76" t="s">
        <v>934</v>
      </c>
      <c r="F67" s="76" t="s">
        <v>168</v>
      </c>
      <c r="G67" s="76" t="s">
        <v>169</v>
      </c>
      <c r="H67" s="76" t="s">
        <v>170</v>
      </c>
      <c r="I67" s="76">
        <v>0</v>
      </c>
      <c r="J67" s="76">
        <f t="shared" si="7"/>
        <v>2.0000000000000004E-8</v>
      </c>
      <c r="K67" s="76"/>
      <c r="L67" s="76">
        <f t="shared" si="6"/>
        <v>1.0000000000000001E-7</v>
      </c>
      <c r="M67" s="76" t="s">
        <v>163</v>
      </c>
      <c r="N67" s="76"/>
      <c r="O67" s="76"/>
      <c r="P67" s="76" t="s">
        <v>171</v>
      </c>
    </row>
    <row r="68" spans="2:16" ht="12.75" customHeight="1" x14ac:dyDescent="0.2">
      <c r="B68" s="76" t="s">
        <v>167</v>
      </c>
      <c r="C68" s="76">
        <f t="shared" si="5"/>
        <v>1.0000000000000001E-7</v>
      </c>
      <c r="D68" s="76"/>
      <c r="E68" s="76" t="s">
        <v>935</v>
      </c>
      <c r="F68" s="76" t="s">
        <v>168</v>
      </c>
      <c r="G68" s="76" t="s">
        <v>169</v>
      </c>
      <c r="H68" s="76" t="s">
        <v>170</v>
      </c>
      <c r="I68" s="76">
        <v>0</v>
      </c>
      <c r="J68" s="76">
        <f t="shared" si="7"/>
        <v>2.0000000000000004E-8</v>
      </c>
      <c r="K68" s="76"/>
      <c r="L68" s="76">
        <f t="shared" si="6"/>
        <v>1.0000000000000001E-7</v>
      </c>
      <c r="M68" s="76" t="s">
        <v>163</v>
      </c>
      <c r="N68" s="76"/>
      <c r="O68" s="76"/>
      <c r="P68" s="76" t="s">
        <v>171</v>
      </c>
    </row>
    <row r="69" spans="2:16" ht="12.75" customHeight="1" x14ac:dyDescent="0.2">
      <c r="B69" s="76" t="s">
        <v>167</v>
      </c>
      <c r="C69" s="76">
        <f t="shared" si="5"/>
        <v>1.0000000000000001E-7</v>
      </c>
      <c r="D69" s="76"/>
      <c r="E69" s="76" t="s">
        <v>936</v>
      </c>
      <c r="F69" s="76" t="s">
        <v>168</v>
      </c>
      <c r="G69" s="76" t="s">
        <v>169</v>
      </c>
      <c r="H69" s="76" t="s">
        <v>170</v>
      </c>
      <c r="I69" s="76">
        <v>0</v>
      </c>
      <c r="J69" s="76">
        <f t="shared" si="7"/>
        <v>2.0000000000000004E-8</v>
      </c>
      <c r="K69" s="76"/>
      <c r="L69" s="76">
        <f t="shared" si="6"/>
        <v>1.0000000000000001E-7</v>
      </c>
      <c r="M69" s="76" t="s">
        <v>163</v>
      </c>
      <c r="N69" s="76"/>
      <c r="O69" s="76"/>
      <c r="P69" s="76" t="s">
        <v>171</v>
      </c>
    </row>
    <row r="70" spans="2:16" ht="12.75" customHeight="1" x14ac:dyDescent="0.2">
      <c r="B70" s="76" t="s">
        <v>167</v>
      </c>
      <c r="C70" s="76">
        <f t="shared" si="5"/>
        <v>1.0000000000000001E-7</v>
      </c>
      <c r="D70" s="76"/>
      <c r="E70" s="76" t="s">
        <v>937</v>
      </c>
      <c r="F70" s="76" t="s">
        <v>168</v>
      </c>
      <c r="G70" s="76" t="s">
        <v>169</v>
      </c>
      <c r="H70" s="76" t="s">
        <v>170</v>
      </c>
      <c r="I70" s="76">
        <v>0</v>
      </c>
      <c r="J70" s="76">
        <f t="shared" si="7"/>
        <v>2.0000000000000004E-8</v>
      </c>
      <c r="K70" s="76"/>
      <c r="L70" s="76">
        <f t="shared" si="6"/>
        <v>1.0000000000000001E-7</v>
      </c>
      <c r="M70" s="76" t="s">
        <v>163</v>
      </c>
      <c r="N70" s="76"/>
      <c r="O70" s="76"/>
      <c r="P70" s="76" t="s">
        <v>171</v>
      </c>
    </row>
    <row r="71" spans="2:16" ht="12.75" customHeight="1" x14ac:dyDescent="0.2">
      <c r="B71" s="76" t="s">
        <v>167</v>
      </c>
      <c r="C71" s="76">
        <f t="shared" ref="C71:C86" si="8">100*ns</f>
        <v>1.0000000000000001E-7</v>
      </c>
      <c r="D71" s="76"/>
      <c r="E71" s="76" t="s">
        <v>938</v>
      </c>
      <c r="F71" s="76" t="s">
        <v>168</v>
      </c>
      <c r="G71" s="76" t="s">
        <v>169</v>
      </c>
      <c r="H71" s="76" t="s">
        <v>170</v>
      </c>
      <c r="I71" s="76">
        <v>0</v>
      </c>
      <c r="J71" s="76">
        <f t="shared" si="7"/>
        <v>2.0000000000000004E-8</v>
      </c>
      <c r="K71" s="76"/>
      <c r="L71" s="76">
        <f t="shared" ref="L71:L85" si="9">C71</f>
        <v>1.0000000000000001E-7</v>
      </c>
      <c r="M71" s="76" t="s">
        <v>163</v>
      </c>
      <c r="N71" s="76"/>
      <c r="O71" s="76"/>
      <c r="P71" s="76" t="s">
        <v>171</v>
      </c>
    </row>
    <row r="72" spans="2:16" ht="12.75" customHeight="1" x14ac:dyDescent="0.2">
      <c r="B72" s="76" t="s">
        <v>167</v>
      </c>
      <c r="C72" s="76">
        <f t="shared" si="8"/>
        <v>1.0000000000000001E-7</v>
      </c>
      <c r="D72" s="76"/>
      <c r="E72" s="76" t="s">
        <v>939</v>
      </c>
      <c r="F72" s="76" t="s">
        <v>168</v>
      </c>
      <c r="G72" s="76" t="s">
        <v>169</v>
      </c>
      <c r="H72" s="76" t="s">
        <v>170</v>
      </c>
      <c r="I72" s="76">
        <v>0</v>
      </c>
      <c r="J72" s="76">
        <f t="shared" si="7"/>
        <v>2.0000000000000004E-8</v>
      </c>
      <c r="K72" s="76"/>
      <c r="L72" s="76">
        <f t="shared" si="9"/>
        <v>1.0000000000000001E-7</v>
      </c>
      <c r="M72" s="76" t="s">
        <v>163</v>
      </c>
      <c r="N72" s="76"/>
      <c r="O72" s="76"/>
      <c r="P72" s="76" t="s">
        <v>171</v>
      </c>
    </row>
    <row r="73" spans="2:16" ht="12.75" customHeight="1" x14ac:dyDescent="0.2">
      <c r="B73" s="76" t="s">
        <v>167</v>
      </c>
      <c r="C73" s="76">
        <f t="shared" si="8"/>
        <v>1.0000000000000001E-7</v>
      </c>
      <c r="D73" s="76"/>
      <c r="E73" s="76" t="s">
        <v>940</v>
      </c>
      <c r="F73" s="76" t="s">
        <v>168</v>
      </c>
      <c r="G73" s="76" t="s">
        <v>169</v>
      </c>
      <c r="H73" s="76" t="s">
        <v>170</v>
      </c>
      <c r="I73" s="76">
        <v>0</v>
      </c>
      <c r="J73" s="76">
        <f t="shared" si="7"/>
        <v>2.0000000000000004E-8</v>
      </c>
      <c r="K73" s="76"/>
      <c r="L73" s="76">
        <f t="shared" si="9"/>
        <v>1.0000000000000001E-7</v>
      </c>
      <c r="M73" s="76" t="s">
        <v>163</v>
      </c>
      <c r="N73" s="76"/>
      <c r="O73" s="76"/>
      <c r="P73" s="76" t="s">
        <v>171</v>
      </c>
    </row>
    <row r="74" spans="2:16" ht="12.75" customHeight="1" x14ac:dyDescent="0.2">
      <c r="B74" s="76" t="s">
        <v>167</v>
      </c>
      <c r="C74" s="76">
        <f t="shared" si="8"/>
        <v>1.0000000000000001E-7</v>
      </c>
      <c r="D74" s="76"/>
      <c r="E74" s="76" t="s">
        <v>941</v>
      </c>
      <c r="F74" s="76" t="s">
        <v>168</v>
      </c>
      <c r="G74" s="76" t="s">
        <v>169</v>
      </c>
      <c r="H74" s="76" t="s">
        <v>170</v>
      </c>
      <c r="I74" s="76">
        <v>0</v>
      </c>
      <c r="J74" s="76">
        <f t="shared" si="7"/>
        <v>2.0000000000000004E-8</v>
      </c>
      <c r="K74" s="76"/>
      <c r="L74" s="76">
        <f t="shared" si="9"/>
        <v>1.0000000000000001E-7</v>
      </c>
      <c r="M74" s="76" t="s">
        <v>163</v>
      </c>
      <c r="N74" s="76"/>
      <c r="O74" s="76"/>
      <c r="P74" s="76" t="s">
        <v>171</v>
      </c>
    </row>
    <row r="75" spans="2:16" ht="12.75" customHeight="1" x14ac:dyDescent="0.2">
      <c r="B75" s="76" t="s">
        <v>167</v>
      </c>
      <c r="C75" s="76">
        <f t="shared" si="8"/>
        <v>1.0000000000000001E-7</v>
      </c>
      <c r="D75" s="76"/>
      <c r="E75" s="76" t="s">
        <v>942</v>
      </c>
      <c r="F75" s="76" t="s">
        <v>168</v>
      </c>
      <c r="G75" s="76" t="s">
        <v>169</v>
      </c>
      <c r="H75" s="76" t="s">
        <v>170</v>
      </c>
      <c r="I75" s="76">
        <v>0</v>
      </c>
      <c r="J75" s="76">
        <f t="shared" si="7"/>
        <v>2.0000000000000004E-8</v>
      </c>
      <c r="K75" s="76"/>
      <c r="L75" s="76">
        <f t="shared" si="9"/>
        <v>1.0000000000000001E-7</v>
      </c>
      <c r="M75" s="76" t="s">
        <v>163</v>
      </c>
      <c r="N75" s="76"/>
      <c r="O75" s="76"/>
      <c r="P75" s="76" t="s">
        <v>171</v>
      </c>
    </row>
    <row r="76" spans="2:16" ht="12.75" customHeight="1" x14ac:dyDescent="0.2">
      <c r="B76" s="76" t="s">
        <v>167</v>
      </c>
      <c r="C76" s="76">
        <f t="shared" si="8"/>
        <v>1.0000000000000001E-7</v>
      </c>
      <c r="D76" s="76"/>
      <c r="E76" s="76" t="s">
        <v>943</v>
      </c>
      <c r="F76" s="76" t="s">
        <v>168</v>
      </c>
      <c r="G76" s="76" t="s">
        <v>169</v>
      </c>
      <c r="H76" s="76" t="s">
        <v>170</v>
      </c>
      <c r="I76" s="76">
        <v>0</v>
      </c>
      <c r="J76" s="76">
        <f t="shared" si="7"/>
        <v>2.0000000000000004E-8</v>
      </c>
      <c r="K76" s="76"/>
      <c r="L76" s="76">
        <f t="shared" si="9"/>
        <v>1.0000000000000001E-7</v>
      </c>
      <c r="M76" s="76" t="s">
        <v>163</v>
      </c>
      <c r="N76" s="76"/>
      <c r="O76" s="76"/>
      <c r="P76" s="76" t="s">
        <v>171</v>
      </c>
    </row>
    <row r="77" spans="2:16" ht="12.75" customHeight="1" x14ac:dyDescent="0.2">
      <c r="B77" s="76" t="s">
        <v>167</v>
      </c>
      <c r="C77" s="76">
        <f t="shared" si="8"/>
        <v>1.0000000000000001E-7</v>
      </c>
      <c r="D77" s="76"/>
      <c r="E77" s="76" t="s">
        <v>944</v>
      </c>
      <c r="F77" s="76" t="s">
        <v>168</v>
      </c>
      <c r="G77" s="76" t="s">
        <v>169</v>
      </c>
      <c r="H77" s="76" t="s">
        <v>170</v>
      </c>
      <c r="I77" s="76">
        <v>0</v>
      </c>
      <c r="J77" s="76">
        <f t="shared" si="7"/>
        <v>2.0000000000000004E-8</v>
      </c>
      <c r="K77" s="76"/>
      <c r="L77" s="76">
        <f t="shared" si="9"/>
        <v>1.0000000000000001E-7</v>
      </c>
      <c r="M77" s="76" t="s">
        <v>163</v>
      </c>
      <c r="N77" s="76"/>
      <c r="O77" s="76"/>
      <c r="P77" s="76" t="s">
        <v>171</v>
      </c>
    </row>
    <row r="78" spans="2:16" ht="12.75" customHeight="1" x14ac:dyDescent="0.2">
      <c r="B78" s="76" t="s">
        <v>167</v>
      </c>
      <c r="C78" s="76">
        <f t="shared" si="8"/>
        <v>1.0000000000000001E-7</v>
      </c>
      <c r="D78" s="76"/>
      <c r="E78" s="76" t="s">
        <v>945</v>
      </c>
      <c r="F78" s="76" t="s">
        <v>168</v>
      </c>
      <c r="G78" s="76" t="s">
        <v>169</v>
      </c>
      <c r="H78" s="76" t="s">
        <v>170</v>
      </c>
      <c r="I78" s="76">
        <v>0</v>
      </c>
      <c r="J78" s="76">
        <f t="shared" si="7"/>
        <v>2.0000000000000004E-8</v>
      </c>
      <c r="K78" s="76"/>
      <c r="L78" s="76">
        <f t="shared" si="9"/>
        <v>1.0000000000000001E-7</v>
      </c>
      <c r="M78" s="76" t="s">
        <v>163</v>
      </c>
      <c r="N78" s="76"/>
      <c r="O78" s="76"/>
      <c r="P78" s="76" t="s">
        <v>171</v>
      </c>
    </row>
    <row r="79" spans="2:16" ht="12.75" customHeight="1" x14ac:dyDescent="0.2">
      <c r="B79" s="76" t="s">
        <v>167</v>
      </c>
      <c r="C79" s="76">
        <f t="shared" si="8"/>
        <v>1.0000000000000001E-7</v>
      </c>
      <c r="D79" s="76"/>
      <c r="E79" s="76" t="s">
        <v>946</v>
      </c>
      <c r="F79" s="76" t="s">
        <v>168</v>
      </c>
      <c r="G79" s="76" t="s">
        <v>169</v>
      </c>
      <c r="H79" s="76" t="s">
        <v>170</v>
      </c>
      <c r="I79" s="76">
        <v>0</v>
      </c>
      <c r="J79" s="76">
        <f t="shared" si="7"/>
        <v>2.0000000000000004E-8</v>
      </c>
      <c r="K79" s="76"/>
      <c r="L79" s="76">
        <f t="shared" si="9"/>
        <v>1.0000000000000001E-7</v>
      </c>
      <c r="M79" s="76" t="s">
        <v>163</v>
      </c>
      <c r="N79" s="76"/>
      <c r="O79" s="76"/>
      <c r="P79" s="76" t="s">
        <v>171</v>
      </c>
    </row>
    <row r="80" spans="2:16" ht="12.75" customHeight="1" x14ac:dyDescent="0.2">
      <c r="B80" s="76" t="s">
        <v>167</v>
      </c>
      <c r="C80" s="76">
        <f t="shared" si="8"/>
        <v>1.0000000000000001E-7</v>
      </c>
      <c r="D80" s="76"/>
      <c r="E80" s="76" t="s">
        <v>103</v>
      </c>
      <c r="F80" s="76" t="s">
        <v>168</v>
      </c>
      <c r="G80" s="76" t="s">
        <v>169</v>
      </c>
      <c r="H80" s="76" t="s">
        <v>170</v>
      </c>
      <c r="I80" s="76">
        <f>0*C80</f>
        <v>0</v>
      </c>
      <c r="J80" s="76">
        <f>C80*0.2</f>
        <v>2.0000000000000004E-8</v>
      </c>
      <c r="K80" s="76"/>
      <c r="L80" s="76">
        <f>1*C80</f>
        <v>1.0000000000000001E-7</v>
      </c>
      <c r="M80" s="76" t="s">
        <v>163</v>
      </c>
      <c r="N80" s="76">
        <f>0*C80</f>
        <v>0</v>
      </c>
      <c r="O80" s="76" t="s">
        <v>535</v>
      </c>
      <c r="P80" s="76" t="s">
        <v>171</v>
      </c>
    </row>
    <row r="81" spans="2:16" ht="12.75" customHeight="1" x14ac:dyDescent="0.2">
      <c r="B81" s="76" t="s">
        <v>167</v>
      </c>
      <c r="C81" s="76">
        <f t="shared" si="8"/>
        <v>1.0000000000000001E-7</v>
      </c>
      <c r="D81" s="76"/>
      <c r="E81" s="76" t="s">
        <v>111</v>
      </c>
      <c r="F81" s="76" t="s">
        <v>168</v>
      </c>
      <c r="G81" s="76" t="s">
        <v>169</v>
      </c>
      <c r="H81" s="76" t="s">
        <v>170</v>
      </c>
      <c r="I81" s="76">
        <f t="shared" ref="I81" si="10">0*C81</f>
        <v>0</v>
      </c>
      <c r="J81" s="76">
        <f t="shared" si="7"/>
        <v>2.0000000000000004E-8</v>
      </c>
      <c r="K81" s="76"/>
      <c r="L81" s="76">
        <f t="shared" ref="L81" si="11">1*C81</f>
        <v>1.0000000000000001E-7</v>
      </c>
      <c r="M81" s="76" t="s">
        <v>172</v>
      </c>
      <c r="N81" s="76">
        <f>0.95*C81</f>
        <v>9.5000000000000004E-8</v>
      </c>
      <c r="O81" s="76" t="s">
        <v>535</v>
      </c>
      <c r="P81" s="76" t="s">
        <v>171</v>
      </c>
    </row>
    <row r="82" spans="2:16" ht="12.75" customHeight="1" x14ac:dyDescent="0.2">
      <c r="B82" s="76" t="s">
        <v>167</v>
      </c>
      <c r="C82" s="76">
        <f t="shared" si="8"/>
        <v>1.0000000000000001E-7</v>
      </c>
      <c r="D82" s="76"/>
      <c r="E82" s="76" t="s">
        <v>97</v>
      </c>
      <c r="F82" s="76" t="s">
        <v>168</v>
      </c>
      <c r="G82" s="76" t="s">
        <v>169</v>
      </c>
      <c r="H82" s="76" t="s">
        <v>170</v>
      </c>
      <c r="I82" s="76">
        <v>0</v>
      </c>
      <c r="J82" s="76">
        <f t="shared" si="7"/>
        <v>2.0000000000000004E-8</v>
      </c>
      <c r="K82" s="76"/>
      <c r="L82" s="76">
        <f t="shared" si="9"/>
        <v>1.0000000000000001E-7</v>
      </c>
      <c r="M82" s="76" t="s">
        <v>163</v>
      </c>
      <c r="N82" s="76"/>
      <c r="O82" s="76"/>
      <c r="P82" s="76" t="s">
        <v>171</v>
      </c>
    </row>
    <row r="83" spans="2:16" ht="12.75" customHeight="1" x14ac:dyDescent="0.2">
      <c r="B83" s="76" t="s">
        <v>167</v>
      </c>
      <c r="C83" s="76">
        <f t="shared" si="8"/>
        <v>1.0000000000000001E-7</v>
      </c>
      <c r="D83" s="76"/>
      <c r="E83" s="76" t="s">
        <v>98</v>
      </c>
      <c r="F83" s="76" t="s">
        <v>168</v>
      </c>
      <c r="G83" s="76" t="s">
        <v>169</v>
      </c>
      <c r="H83" s="76" t="s">
        <v>170</v>
      </c>
      <c r="I83" s="76">
        <v>0</v>
      </c>
      <c r="J83" s="76">
        <f t="shared" si="7"/>
        <v>2.0000000000000004E-8</v>
      </c>
      <c r="K83" s="76"/>
      <c r="L83" s="76">
        <f t="shared" si="9"/>
        <v>1.0000000000000001E-7</v>
      </c>
      <c r="M83" s="76" t="s">
        <v>163</v>
      </c>
      <c r="N83" s="76"/>
      <c r="O83" s="76"/>
      <c r="P83" s="76" t="s">
        <v>171</v>
      </c>
    </row>
    <row r="84" spans="2:16" ht="12.75" customHeight="1" x14ac:dyDescent="0.2">
      <c r="B84" s="76" t="s">
        <v>167</v>
      </c>
      <c r="C84" s="76">
        <f t="shared" si="8"/>
        <v>1.0000000000000001E-7</v>
      </c>
      <c r="D84" s="76"/>
      <c r="E84" s="76" t="s">
        <v>120</v>
      </c>
      <c r="F84" s="76" t="s">
        <v>168</v>
      </c>
      <c r="G84" s="76" t="s">
        <v>169</v>
      </c>
      <c r="H84" s="76" t="s">
        <v>170</v>
      </c>
      <c r="I84" s="76">
        <v>0</v>
      </c>
      <c r="J84" s="76">
        <f t="shared" si="7"/>
        <v>2.0000000000000004E-8</v>
      </c>
      <c r="K84" s="76"/>
      <c r="L84" s="76">
        <f t="shared" si="9"/>
        <v>1.0000000000000001E-7</v>
      </c>
      <c r="M84" s="76" t="s">
        <v>172</v>
      </c>
      <c r="N84" s="76">
        <f>C84*0.9</f>
        <v>9.0000000000000012E-8</v>
      </c>
      <c r="O84" s="76"/>
      <c r="P84" s="76" t="s">
        <v>171</v>
      </c>
    </row>
    <row r="85" spans="2:16" ht="12.75" customHeight="1" x14ac:dyDescent="0.2">
      <c r="B85" s="76" t="s">
        <v>167</v>
      </c>
      <c r="C85" s="76">
        <f t="shared" si="8"/>
        <v>1.0000000000000001E-7</v>
      </c>
      <c r="D85" s="76"/>
      <c r="E85" s="76" t="s">
        <v>121</v>
      </c>
      <c r="F85" s="76" t="s">
        <v>168</v>
      </c>
      <c r="G85" s="76" t="s">
        <v>169</v>
      </c>
      <c r="H85" s="76" t="s">
        <v>170</v>
      </c>
      <c r="I85" s="76">
        <v>0</v>
      </c>
      <c r="J85" s="76">
        <f t="shared" si="7"/>
        <v>2.0000000000000004E-8</v>
      </c>
      <c r="K85" s="76"/>
      <c r="L85" s="76">
        <f t="shared" si="9"/>
        <v>1.0000000000000001E-7</v>
      </c>
      <c r="M85" s="76" t="s">
        <v>172</v>
      </c>
      <c r="N85" s="76">
        <f>C85*0.9</f>
        <v>9.0000000000000012E-8</v>
      </c>
      <c r="O85" s="76"/>
      <c r="P85" s="76" t="s">
        <v>171</v>
      </c>
    </row>
    <row r="86" spans="2:16" ht="12.75" customHeight="1" x14ac:dyDescent="0.2">
      <c r="B86" s="76" t="s">
        <v>167</v>
      </c>
      <c r="C86" s="76">
        <f t="shared" si="8"/>
        <v>1.0000000000000001E-7</v>
      </c>
      <c r="D86" s="76"/>
      <c r="E86" s="76" t="s">
        <v>109</v>
      </c>
      <c r="F86" s="76" t="s">
        <v>168</v>
      </c>
      <c r="G86" s="76" t="s">
        <v>169</v>
      </c>
      <c r="H86" s="76" t="s">
        <v>170</v>
      </c>
      <c r="I86" s="76">
        <f t="shared" ref="I86" si="12">0*C86</f>
        <v>0</v>
      </c>
      <c r="J86" s="76">
        <f t="shared" ref="J86" si="13">0*C86</f>
        <v>0</v>
      </c>
      <c r="K86" s="76" t="s">
        <v>535</v>
      </c>
      <c r="L86" s="76">
        <f t="shared" ref="L86" si="14">1*C86</f>
        <v>1.0000000000000001E-7</v>
      </c>
      <c r="M86" s="76" t="s">
        <v>172</v>
      </c>
      <c r="N86" s="76">
        <f>0.95*C86</f>
        <v>9.5000000000000004E-8</v>
      </c>
      <c r="O86" s="76"/>
      <c r="P86" s="76" t="s">
        <v>171</v>
      </c>
    </row>
  </sheetData>
  <autoFilter ref="E6:E7"/>
  <dataValidations count="1">
    <dataValidation type="list" allowBlank="1" showInputMessage="1" showErrorMessage="1" sqref="C3">
      <formula1>"Normal,Extended,Quad"</formula1>
    </dataValidation>
  </dataValidations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outlinePr summaryBelow="0" summaryRight="0"/>
  </sheetPr>
  <dimension ref="A1:P86"/>
  <sheetViews>
    <sheetView showGridLines="0" zoomScaleNormal="100" workbookViewId="0">
      <pane ySplit="6" topLeftCell="A7" activePane="bottomLeft" state="frozen"/>
      <selection pane="bottomLeft" activeCell="B7" sqref="B7"/>
    </sheetView>
  </sheetViews>
  <sheetFormatPr defaultRowHeight="12.75" x14ac:dyDescent="0.2"/>
  <cols>
    <col min="1" max="1" width="9.140625" style="75"/>
    <col min="2" max="3" width="13.42578125" style="75" customWidth="1"/>
    <col min="4" max="4" width="6.28515625" style="75" customWidth="1"/>
    <col min="5" max="5" width="13.42578125" style="75" customWidth="1"/>
    <col min="6" max="6" width="9.28515625" style="75" bestFit="1" customWidth="1"/>
    <col min="7" max="8" width="9.140625" style="75"/>
    <col min="9" max="12" width="13.42578125" style="75" customWidth="1"/>
    <col min="13" max="13" width="9.140625" style="75"/>
    <col min="14" max="15" width="13.42578125" style="75" customWidth="1"/>
    <col min="16" max="16" width="42.85546875" style="75" customWidth="1"/>
    <col min="17" max="16384" width="9.140625" style="75"/>
  </cols>
  <sheetData>
    <row r="1" spans="1:16" ht="25.5" customHeight="1" x14ac:dyDescent="0.2">
      <c r="A1" s="75" t="s">
        <v>61</v>
      </c>
      <c r="B1" s="75" t="s">
        <v>146</v>
      </c>
    </row>
    <row r="3" spans="1:16" x14ac:dyDescent="0.2">
      <c r="B3" s="1" t="s">
        <v>147</v>
      </c>
      <c r="C3" s="2" t="s">
        <v>237</v>
      </c>
      <c r="E3" s="1" t="s">
        <v>148</v>
      </c>
      <c r="F3" s="2">
        <f>1*us</f>
        <v>9.9999999999999995E-7</v>
      </c>
      <c r="H3" s="1" t="s">
        <v>149</v>
      </c>
      <c r="I3" s="2">
        <f>1*us</f>
        <v>9.9999999999999995E-7</v>
      </c>
    </row>
    <row r="5" spans="1:16" x14ac:dyDescent="0.2">
      <c r="C5" s="75" t="s">
        <v>150</v>
      </c>
      <c r="E5" s="75" t="s">
        <v>151</v>
      </c>
      <c r="G5" s="75" t="s">
        <v>152</v>
      </c>
      <c r="I5" s="75" t="s">
        <v>153</v>
      </c>
      <c r="M5" s="75" t="s">
        <v>154</v>
      </c>
    </row>
    <row r="6" spans="1:16" x14ac:dyDescent="0.2">
      <c r="B6" s="75" t="s">
        <v>155</v>
      </c>
      <c r="C6" s="75" t="s">
        <v>156</v>
      </c>
      <c r="D6" s="75" t="s">
        <v>157</v>
      </c>
      <c r="E6" s="75" t="s">
        <v>20</v>
      </c>
      <c r="F6" s="75" t="s">
        <v>158</v>
      </c>
      <c r="G6" s="75" t="s">
        <v>159</v>
      </c>
      <c r="H6" s="75" t="s">
        <v>160</v>
      </c>
      <c r="I6" s="75" t="s">
        <v>161</v>
      </c>
      <c r="J6" s="75" t="s">
        <v>152</v>
      </c>
      <c r="K6" s="75" t="s">
        <v>162</v>
      </c>
      <c r="L6" s="75" t="s">
        <v>163</v>
      </c>
      <c r="M6" s="75" t="s">
        <v>164</v>
      </c>
      <c r="N6" s="75" t="s">
        <v>165</v>
      </c>
      <c r="O6" s="75" t="s">
        <v>166</v>
      </c>
      <c r="P6" s="75" t="s">
        <v>4</v>
      </c>
    </row>
    <row r="7" spans="1:16" ht="19.149999999999999" customHeight="1" x14ac:dyDescent="0.2">
      <c r="B7" s="76" t="s">
        <v>167</v>
      </c>
      <c r="C7" s="76">
        <f t="shared" ref="C7:C38" si="0">75*ns</f>
        <v>7.500000000000001E-8</v>
      </c>
      <c r="D7" s="76">
        <v>1</v>
      </c>
      <c r="E7" s="76" t="s">
        <v>893</v>
      </c>
      <c r="F7" s="76" t="s">
        <v>168</v>
      </c>
      <c r="G7" s="76" t="s">
        <v>169</v>
      </c>
      <c r="H7" s="76" t="s">
        <v>170</v>
      </c>
      <c r="I7" s="76">
        <v>0</v>
      </c>
      <c r="J7" s="76">
        <f>C7*0.1</f>
        <v>7.500000000000001E-9</v>
      </c>
      <c r="K7" s="76"/>
      <c r="L7" s="76"/>
      <c r="M7" s="76" t="s">
        <v>163</v>
      </c>
      <c r="N7" s="76"/>
      <c r="O7" s="76"/>
      <c r="P7" s="76" t="s">
        <v>171</v>
      </c>
    </row>
    <row r="8" spans="1:16" ht="12.75" customHeight="1" x14ac:dyDescent="0.2">
      <c r="B8" s="76" t="s">
        <v>167</v>
      </c>
      <c r="C8" s="76">
        <f t="shared" si="0"/>
        <v>7.500000000000001E-8</v>
      </c>
      <c r="D8" s="76">
        <v>1</v>
      </c>
      <c r="E8" s="76" t="s">
        <v>894</v>
      </c>
      <c r="F8" s="76" t="s">
        <v>168</v>
      </c>
      <c r="G8" s="76" t="s">
        <v>169</v>
      </c>
      <c r="H8" s="76" t="s">
        <v>170</v>
      </c>
      <c r="I8" s="76">
        <v>0</v>
      </c>
      <c r="J8" s="76">
        <f>C8*0.2</f>
        <v>1.5000000000000002E-8</v>
      </c>
      <c r="K8" s="76"/>
      <c r="L8" s="76">
        <v>0</v>
      </c>
      <c r="M8" s="76" t="s">
        <v>163</v>
      </c>
      <c r="N8" s="76">
        <f>C8*0.9</f>
        <v>6.7500000000000015E-8</v>
      </c>
      <c r="O8" s="76"/>
      <c r="P8" s="76" t="s">
        <v>171</v>
      </c>
    </row>
    <row r="9" spans="1:16" ht="12.75" customHeight="1" x14ac:dyDescent="0.2">
      <c r="B9" s="76" t="s">
        <v>167</v>
      </c>
      <c r="C9" s="76">
        <f t="shared" si="0"/>
        <v>7.500000000000001E-8</v>
      </c>
      <c r="D9" s="76">
        <v>1</v>
      </c>
      <c r="E9" s="76" t="s">
        <v>896</v>
      </c>
      <c r="F9" s="76" t="s">
        <v>168</v>
      </c>
      <c r="G9" s="76" t="s">
        <v>169</v>
      </c>
      <c r="H9" s="76" t="s">
        <v>170</v>
      </c>
      <c r="I9" s="76">
        <v>0</v>
      </c>
      <c r="J9" s="76">
        <f>C9*0.2</f>
        <v>1.5000000000000002E-8</v>
      </c>
      <c r="K9" s="76"/>
      <c r="L9" s="76">
        <v>0</v>
      </c>
      <c r="M9" s="76" t="s">
        <v>163</v>
      </c>
      <c r="N9" s="76">
        <f>C9*0.9</f>
        <v>6.7500000000000015E-8</v>
      </c>
      <c r="O9" s="76"/>
      <c r="P9" s="76" t="s">
        <v>171</v>
      </c>
    </row>
    <row r="10" spans="1:16" ht="12.75" customHeight="1" x14ac:dyDescent="0.2">
      <c r="B10" s="76" t="s">
        <v>167</v>
      </c>
      <c r="C10" s="76">
        <f t="shared" si="0"/>
        <v>7.500000000000001E-8</v>
      </c>
      <c r="D10" s="76">
        <v>1</v>
      </c>
      <c r="E10" s="76" t="s">
        <v>897</v>
      </c>
      <c r="F10" s="76" t="s">
        <v>168</v>
      </c>
      <c r="G10" s="76" t="s">
        <v>169</v>
      </c>
      <c r="H10" s="76" t="s">
        <v>170</v>
      </c>
      <c r="I10" s="76">
        <v>0</v>
      </c>
      <c r="J10" s="76">
        <f>C10*0.1</f>
        <v>7.500000000000001E-9</v>
      </c>
      <c r="K10" s="76"/>
      <c r="L10" s="76">
        <v>0</v>
      </c>
      <c r="M10" s="76" t="s">
        <v>163</v>
      </c>
      <c r="N10" s="76">
        <f>C10*0.9</f>
        <v>6.7500000000000015E-8</v>
      </c>
      <c r="O10" s="76"/>
      <c r="P10" s="76" t="s">
        <v>171</v>
      </c>
    </row>
    <row r="11" spans="1:16" ht="12.75" customHeight="1" x14ac:dyDescent="0.2">
      <c r="B11" s="76" t="s">
        <v>167</v>
      </c>
      <c r="C11" s="76">
        <f t="shared" si="0"/>
        <v>7.500000000000001E-8</v>
      </c>
      <c r="D11" s="76">
        <v>1</v>
      </c>
      <c r="E11" s="76" t="s">
        <v>895</v>
      </c>
      <c r="F11" s="76" t="s">
        <v>168</v>
      </c>
      <c r="G11" s="76" t="s">
        <v>169</v>
      </c>
      <c r="H11" s="76" t="s">
        <v>170</v>
      </c>
      <c r="I11" s="76">
        <v>0</v>
      </c>
      <c r="J11" s="76">
        <v>0</v>
      </c>
      <c r="K11" s="76"/>
      <c r="L11" s="76">
        <v>0</v>
      </c>
      <c r="M11" s="76" t="s">
        <v>172</v>
      </c>
      <c r="N11" s="76">
        <f>C11*0.9</f>
        <v>6.7500000000000015E-8</v>
      </c>
      <c r="O11" s="76"/>
      <c r="P11" s="76" t="s">
        <v>171</v>
      </c>
    </row>
    <row r="12" spans="1:16" ht="12.75" customHeight="1" x14ac:dyDescent="0.2">
      <c r="B12" s="76" t="s">
        <v>167</v>
      </c>
      <c r="C12" s="76">
        <f t="shared" si="0"/>
        <v>7.500000000000001E-8</v>
      </c>
      <c r="D12" s="76">
        <v>1</v>
      </c>
      <c r="E12" s="76" t="s">
        <v>909</v>
      </c>
      <c r="F12" s="76" t="s">
        <v>168</v>
      </c>
      <c r="G12" s="76" t="s">
        <v>169</v>
      </c>
      <c r="H12" s="76" t="s">
        <v>170</v>
      </c>
      <c r="I12" s="76">
        <v>0</v>
      </c>
      <c r="J12" s="76">
        <f>C12*0.1</f>
        <v>7.500000000000001E-9</v>
      </c>
      <c r="K12" s="76"/>
      <c r="L12" s="76"/>
      <c r="M12" s="76" t="s">
        <v>163</v>
      </c>
      <c r="N12" s="76"/>
      <c r="O12" s="76"/>
      <c r="P12" s="76" t="s">
        <v>171</v>
      </c>
    </row>
    <row r="13" spans="1:16" ht="12.75" customHeight="1" x14ac:dyDescent="0.2">
      <c r="B13" s="76" t="s">
        <v>167</v>
      </c>
      <c r="C13" s="76">
        <f t="shared" si="0"/>
        <v>7.500000000000001E-8</v>
      </c>
      <c r="D13" s="76">
        <v>1</v>
      </c>
      <c r="E13" s="76" t="s">
        <v>908</v>
      </c>
      <c r="F13" s="76" t="s">
        <v>168</v>
      </c>
      <c r="G13" s="76" t="s">
        <v>169</v>
      </c>
      <c r="H13" s="76" t="s">
        <v>170</v>
      </c>
      <c r="I13" s="76">
        <v>0</v>
      </c>
      <c r="J13" s="76">
        <f>C13*0.2</f>
        <v>1.5000000000000002E-8</v>
      </c>
      <c r="K13" s="76"/>
      <c r="L13" s="76"/>
      <c r="M13" s="76" t="s">
        <v>163</v>
      </c>
      <c r="N13" s="76"/>
      <c r="O13" s="76"/>
      <c r="P13" s="76" t="s">
        <v>171</v>
      </c>
    </row>
    <row r="14" spans="1:16" ht="12.75" customHeight="1" x14ac:dyDescent="0.2">
      <c r="B14" s="76" t="s">
        <v>167</v>
      </c>
      <c r="C14" s="76">
        <f t="shared" si="0"/>
        <v>7.500000000000001E-8</v>
      </c>
      <c r="D14" s="76">
        <v>1</v>
      </c>
      <c r="E14" s="76" t="s">
        <v>910</v>
      </c>
      <c r="F14" s="76" t="s">
        <v>168</v>
      </c>
      <c r="G14" s="76" t="s">
        <v>169</v>
      </c>
      <c r="H14" s="76" t="s">
        <v>170</v>
      </c>
      <c r="I14" s="76">
        <v>0</v>
      </c>
      <c r="J14" s="76">
        <f>C14*0.2</f>
        <v>1.5000000000000002E-8</v>
      </c>
      <c r="K14" s="76"/>
      <c r="L14" s="76"/>
      <c r="M14" s="76" t="s">
        <v>163</v>
      </c>
      <c r="N14" s="76"/>
      <c r="O14" s="76"/>
      <c r="P14" s="76" t="s">
        <v>171</v>
      </c>
    </row>
    <row r="15" spans="1:16" ht="12.75" customHeight="1" x14ac:dyDescent="0.2">
      <c r="B15" s="76" t="s">
        <v>167</v>
      </c>
      <c r="C15" s="76">
        <f t="shared" si="0"/>
        <v>7.500000000000001E-8</v>
      </c>
      <c r="D15" s="76">
        <v>1</v>
      </c>
      <c r="E15" s="76" t="s">
        <v>911</v>
      </c>
      <c r="F15" s="76" t="s">
        <v>168</v>
      </c>
      <c r="G15" s="76" t="s">
        <v>169</v>
      </c>
      <c r="H15" s="76" t="s">
        <v>170</v>
      </c>
      <c r="I15" s="76">
        <v>0</v>
      </c>
      <c r="J15" s="76">
        <v>0</v>
      </c>
      <c r="K15" s="76"/>
      <c r="L15" s="76">
        <v>0</v>
      </c>
      <c r="M15" s="76" t="s">
        <v>172</v>
      </c>
      <c r="N15" s="76">
        <f>C15*0.9</f>
        <v>6.7500000000000015E-8</v>
      </c>
      <c r="O15" s="76"/>
      <c r="P15" s="76" t="s">
        <v>171</v>
      </c>
    </row>
    <row r="16" spans="1:16" ht="12.75" customHeight="1" x14ac:dyDescent="0.2">
      <c r="B16" s="76" t="s">
        <v>167</v>
      </c>
      <c r="C16" s="76">
        <f t="shared" si="0"/>
        <v>7.500000000000001E-8</v>
      </c>
      <c r="D16" s="76">
        <v>1</v>
      </c>
      <c r="E16" s="76" t="s">
        <v>95</v>
      </c>
      <c r="F16" s="76" t="s">
        <v>168</v>
      </c>
      <c r="G16" s="76" t="s">
        <v>169</v>
      </c>
      <c r="H16" s="76" t="s">
        <v>170</v>
      </c>
      <c r="I16" s="76">
        <v>0</v>
      </c>
      <c r="J16" s="76">
        <f>C16*0.1</f>
        <v>7.500000000000001E-9</v>
      </c>
      <c r="K16" s="76"/>
      <c r="L16" s="76"/>
      <c r="M16" s="76" t="s">
        <v>163</v>
      </c>
      <c r="N16" s="76"/>
      <c r="O16" s="76"/>
      <c r="P16" s="76" t="s">
        <v>171</v>
      </c>
    </row>
    <row r="17" spans="2:16" ht="12.75" customHeight="1" x14ac:dyDescent="0.2">
      <c r="B17" s="76" t="s">
        <v>167</v>
      </c>
      <c r="C17" s="76">
        <f t="shared" si="0"/>
        <v>7.500000000000001E-8</v>
      </c>
      <c r="D17" s="76">
        <v>1</v>
      </c>
      <c r="E17" s="76" t="s">
        <v>96</v>
      </c>
      <c r="F17" s="76" t="s">
        <v>168</v>
      </c>
      <c r="G17" s="76" t="s">
        <v>169</v>
      </c>
      <c r="H17" s="76" t="s">
        <v>170</v>
      </c>
      <c r="I17" s="76">
        <v>0</v>
      </c>
      <c r="J17" s="76">
        <f>C17*0.1</f>
        <v>7.500000000000001E-9</v>
      </c>
      <c r="K17" s="76"/>
      <c r="L17" s="76"/>
      <c r="M17" s="76" t="s">
        <v>163</v>
      </c>
      <c r="N17" s="76"/>
      <c r="O17" s="76"/>
      <c r="P17" s="76" t="s">
        <v>171</v>
      </c>
    </row>
    <row r="18" spans="2:16" ht="12.75" customHeight="1" x14ac:dyDescent="0.2">
      <c r="B18" s="76" t="s">
        <v>167</v>
      </c>
      <c r="C18" s="76">
        <f t="shared" si="0"/>
        <v>7.500000000000001E-8</v>
      </c>
      <c r="D18" s="76">
        <v>1</v>
      </c>
      <c r="E18" s="76" t="s">
        <v>122</v>
      </c>
      <c r="F18" s="76" t="s">
        <v>168</v>
      </c>
      <c r="G18" s="76" t="s">
        <v>169</v>
      </c>
      <c r="H18" s="76" t="s">
        <v>170</v>
      </c>
      <c r="I18" s="76">
        <v>0</v>
      </c>
      <c r="J18" s="76">
        <f t="shared" ref="J18:J33" si="1">C18*0.2</f>
        <v>1.5000000000000002E-8</v>
      </c>
      <c r="K18" s="76"/>
      <c r="L18" s="76">
        <v>0</v>
      </c>
      <c r="M18" s="76" t="s">
        <v>172</v>
      </c>
      <c r="N18" s="76">
        <f t="shared" ref="N18:N34" si="2">C18*0.9</f>
        <v>6.7500000000000015E-8</v>
      </c>
      <c r="O18" s="76"/>
      <c r="P18" s="76" t="s">
        <v>171</v>
      </c>
    </row>
    <row r="19" spans="2:16" ht="12.75" customHeight="1" x14ac:dyDescent="0.2">
      <c r="B19" s="76" t="s">
        <v>167</v>
      </c>
      <c r="C19" s="76">
        <f t="shared" si="0"/>
        <v>7.500000000000001E-8</v>
      </c>
      <c r="D19" s="76">
        <v>1</v>
      </c>
      <c r="E19" s="76" t="s">
        <v>123</v>
      </c>
      <c r="F19" s="76" t="s">
        <v>168</v>
      </c>
      <c r="G19" s="76" t="s">
        <v>169</v>
      </c>
      <c r="H19" s="76" t="s">
        <v>170</v>
      </c>
      <c r="I19" s="76">
        <v>0</v>
      </c>
      <c r="J19" s="76">
        <f t="shared" si="1"/>
        <v>1.5000000000000002E-8</v>
      </c>
      <c r="K19" s="76"/>
      <c r="L19" s="76">
        <v>0</v>
      </c>
      <c r="M19" s="76" t="s">
        <v>172</v>
      </c>
      <c r="N19" s="76">
        <f t="shared" si="2"/>
        <v>6.7500000000000015E-8</v>
      </c>
      <c r="O19" s="76"/>
      <c r="P19" s="76" t="s">
        <v>171</v>
      </c>
    </row>
    <row r="20" spans="2:16" ht="12.75" customHeight="1" x14ac:dyDescent="0.2">
      <c r="B20" s="76" t="s">
        <v>167</v>
      </c>
      <c r="C20" s="76">
        <f t="shared" si="0"/>
        <v>7.500000000000001E-8</v>
      </c>
      <c r="D20" s="76">
        <v>1</v>
      </c>
      <c r="E20" s="76" t="s">
        <v>124</v>
      </c>
      <c r="F20" s="76" t="s">
        <v>168</v>
      </c>
      <c r="G20" s="76" t="s">
        <v>169</v>
      </c>
      <c r="H20" s="76" t="s">
        <v>170</v>
      </c>
      <c r="I20" s="76">
        <v>0</v>
      </c>
      <c r="J20" s="76">
        <f t="shared" si="1"/>
        <v>1.5000000000000002E-8</v>
      </c>
      <c r="K20" s="76"/>
      <c r="L20" s="76">
        <v>0</v>
      </c>
      <c r="M20" s="76" t="s">
        <v>172</v>
      </c>
      <c r="N20" s="76">
        <f t="shared" si="2"/>
        <v>6.7500000000000015E-8</v>
      </c>
      <c r="O20" s="76"/>
      <c r="P20" s="76" t="s">
        <v>171</v>
      </c>
    </row>
    <row r="21" spans="2:16" ht="12.75" customHeight="1" x14ac:dyDescent="0.2">
      <c r="B21" s="76" t="s">
        <v>167</v>
      </c>
      <c r="C21" s="76">
        <f t="shared" si="0"/>
        <v>7.500000000000001E-8</v>
      </c>
      <c r="D21" s="76">
        <v>1</v>
      </c>
      <c r="E21" s="76" t="s">
        <v>125</v>
      </c>
      <c r="F21" s="76" t="s">
        <v>168</v>
      </c>
      <c r="G21" s="76" t="s">
        <v>169</v>
      </c>
      <c r="H21" s="76" t="s">
        <v>170</v>
      </c>
      <c r="I21" s="76">
        <v>0</v>
      </c>
      <c r="J21" s="76">
        <f t="shared" si="1"/>
        <v>1.5000000000000002E-8</v>
      </c>
      <c r="K21" s="76"/>
      <c r="L21" s="76">
        <v>0</v>
      </c>
      <c r="M21" s="76" t="s">
        <v>172</v>
      </c>
      <c r="N21" s="76">
        <f t="shared" si="2"/>
        <v>6.7500000000000015E-8</v>
      </c>
      <c r="O21" s="76"/>
      <c r="P21" s="76" t="s">
        <v>171</v>
      </c>
    </row>
    <row r="22" spans="2:16" ht="12.75" customHeight="1" x14ac:dyDescent="0.2">
      <c r="B22" s="76" t="s">
        <v>167</v>
      </c>
      <c r="C22" s="76">
        <f t="shared" si="0"/>
        <v>7.500000000000001E-8</v>
      </c>
      <c r="D22" s="76">
        <v>1</v>
      </c>
      <c r="E22" s="76" t="s">
        <v>126</v>
      </c>
      <c r="F22" s="76" t="s">
        <v>168</v>
      </c>
      <c r="G22" s="76" t="s">
        <v>169</v>
      </c>
      <c r="H22" s="76" t="s">
        <v>170</v>
      </c>
      <c r="I22" s="76">
        <v>0</v>
      </c>
      <c r="J22" s="76">
        <f t="shared" si="1"/>
        <v>1.5000000000000002E-8</v>
      </c>
      <c r="K22" s="76"/>
      <c r="L22" s="76">
        <v>0</v>
      </c>
      <c r="M22" s="76" t="s">
        <v>172</v>
      </c>
      <c r="N22" s="76">
        <f t="shared" si="2"/>
        <v>6.7500000000000015E-8</v>
      </c>
      <c r="O22" s="76"/>
      <c r="P22" s="76" t="s">
        <v>171</v>
      </c>
    </row>
    <row r="23" spans="2:16" ht="12.75" customHeight="1" x14ac:dyDescent="0.2">
      <c r="B23" s="76" t="s">
        <v>167</v>
      </c>
      <c r="C23" s="76">
        <f t="shared" si="0"/>
        <v>7.500000000000001E-8</v>
      </c>
      <c r="D23" s="76">
        <v>1</v>
      </c>
      <c r="E23" s="76" t="s">
        <v>127</v>
      </c>
      <c r="F23" s="76" t="s">
        <v>168</v>
      </c>
      <c r="G23" s="76" t="s">
        <v>169</v>
      </c>
      <c r="H23" s="76" t="s">
        <v>170</v>
      </c>
      <c r="I23" s="76">
        <v>0</v>
      </c>
      <c r="J23" s="76">
        <f t="shared" si="1"/>
        <v>1.5000000000000002E-8</v>
      </c>
      <c r="K23" s="76"/>
      <c r="L23" s="76">
        <v>0</v>
      </c>
      <c r="M23" s="76" t="s">
        <v>172</v>
      </c>
      <c r="N23" s="76">
        <f t="shared" si="2"/>
        <v>6.7500000000000015E-8</v>
      </c>
      <c r="O23" s="76"/>
      <c r="P23" s="76" t="s">
        <v>171</v>
      </c>
    </row>
    <row r="24" spans="2:16" ht="12.75" customHeight="1" x14ac:dyDescent="0.2">
      <c r="B24" s="76" t="s">
        <v>167</v>
      </c>
      <c r="C24" s="76">
        <f t="shared" si="0"/>
        <v>7.500000000000001E-8</v>
      </c>
      <c r="D24" s="76">
        <v>1</v>
      </c>
      <c r="E24" s="76" t="s">
        <v>128</v>
      </c>
      <c r="F24" s="76" t="s">
        <v>168</v>
      </c>
      <c r="G24" s="76" t="s">
        <v>169</v>
      </c>
      <c r="H24" s="76" t="s">
        <v>170</v>
      </c>
      <c r="I24" s="76">
        <v>0</v>
      </c>
      <c r="J24" s="76">
        <f t="shared" si="1"/>
        <v>1.5000000000000002E-8</v>
      </c>
      <c r="K24" s="76"/>
      <c r="L24" s="76">
        <v>0</v>
      </c>
      <c r="M24" s="76" t="s">
        <v>172</v>
      </c>
      <c r="N24" s="76">
        <f t="shared" si="2"/>
        <v>6.7500000000000015E-8</v>
      </c>
      <c r="O24" s="76"/>
      <c r="P24" s="76" t="s">
        <v>171</v>
      </c>
    </row>
    <row r="25" spans="2:16" ht="12.75" customHeight="1" x14ac:dyDescent="0.2">
      <c r="B25" s="76" t="s">
        <v>167</v>
      </c>
      <c r="C25" s="76">
        <f t="shared" si="0"/>
        <v>7.500000000000001E-8</v>
      </c>
      <c r="D25" s="76">
        <v>1</v>
      </c>
      <c r="E25" s="76" t="s">
        <v>129</v>
      </c>
      <c r="F25" s="76" t="s">
        <v>168</v>
      </c>
      <c r="G25" s="76" t="s">
        <v>169</v>
      </c>
      <c r="H25" s="76" t="s">
        <v>170</v>
      </c>
      <c r="I25" s="76">
        <v>0</v>
      </c>
      <c r="J25" s="76">
        <f t="shared" si="1"/>
        <v>1.5000000000000002E-8</v>
      </c>
      <c r="K25" s="76"/>
      <c r="L25" s="76">
        <v>0</v>
      </c>
      <c r="M25" s="76" t="s">
        <v>172</v>
      </c>
      <c r="N25" s="76">
        <f t="shared" si="2"/>
        <v>6.7500000000000015E-8</v>
      </c>
      <c r="O25" s="76"/>
      <c r="P25" s="76" t="s">
        <v>171</v>
      </c>
    </row>
    <row r="26" spans="2:16" ht="12.75" customHeight="1" x14ac:dyDescent="0.2">
      <c r="B26" s="76" t="s">
        <v>167</v>
      </c>
      <c r="C26" s="76">
        <f t="shared" si="0"/>
        <v>7.500000000000001E-8</v>
      </c>
      <c r="D26" s="76">
        <v>1</v>
      </c>
      <c r="E26" s="76" t="s">
        <v>130</v>
      </c>
      <c r="F26" s="76" t="s">
        <v>168</v>
      </c>
      <c r="G26" s="76" t="s">
        <v>169</v>
      </c>
      <c r="H26" s="76" t="s">
        <v>170</v>
      </c>
      <c r="I26" s="76">
        <v>0</v>
      </c>
      <c r="J26" s="76">
        <f t="shared" si="1"/>
        <v>1.5000000000000002E-8</v>
      </c>
      <c r="K26" s="76"/>
      <c r="L26" s="76">
        <v>0</v>
      </c>
      <c r="M26" s="76" t="s">
        <v>172</v>
      </c>
      <c r="N26" s="76">
        <f t="shared" si="2"/>
        <v>6.7500000000000015E-8</v>
      </c>
      <c r="O26" s="76"/>
      <c r="P26" s="76" t="s">
        <v>171</v>
      </c>
    </row>
    <row r="27" spans="2:16" ht="12.75" customHeight="1" x14ac:dyDescent="0.2">
      <c r="B27" s="76" t="s">
        <v>167</v>
      </c>
      <c r="C27" s="76">
        <f t="shared" si="0"/>
        <v>7.500000000000001E-8</v>
      </c>
      <c r="D27" s="76">
        <v>1</v>
      </c>
      <c r="E27" s="76" t="s">
        <v>131</v>
      </c>
      <c r="F27" s="76" t="s">
        <v>168</v>
      </c>
      <c r="G27" s="76" t="s">
        <v>169</v>
      </c>
      <c r="H27" s="76" t="s">
        <v>170</v>
      </c>
      <c r="I27" s="76">
        <v>0</v>
      </c>
      <c r="J27" s="76">
        <f t="shared" si="1"/>
        <v>1.5000000000000002E-8</v>
      </c>
      <c r="K27" s="76"/>
      <c r="L27" s="76">
        <v>0</v>
      </c>
      <c r="M27" s="76" t="s">
        <v>172</v>
      </c>
      <c r="N27" s="76">
        <f t="shared" si="2"/>
        <v>6.7500000000000015E-8</v>
      </c>
      <c r="O27" s="76"/>
      <c r="P27" s="76" t="s">
        <v>171</v>
      </c>
    </row>
    <row r="28" spans="2:16" ht="12.75" customHeight="1" x14ac:dyDescent="0.2">
      <c r="B28" s="76" t="s">
        <v>167</v>
      </c>
      <c r="C28" s="76">
        <f t="shared" si="0"/>
        <v>7.500000000000001E-8</v>
      </c>
      <c r="D28" s="76">
        <v>1</v>
      </c>
      <c r="E28" s="76" t="s">
        <v>132</v>
      </c>
      <c r="F28" s="76" t="s">
        <v>168</v>
      </c>
      <c r="G28" s="76" t="s">
        <v>169</v>
      </c>
      <c r="H28" s="76" t="s">
        <v>170</v>
      </c>
      <c r="I28" s="76">
        <v>0</v>
      </c>
      <c r="J28" s="76">
        <f t="shared" si="1"/>
        <v>1.5000000000000002E-8</v>
      </c>
      <c r="K28" s="76"/>
      <c r="L28" s="76">
        <v>0</v>
      </c>
      <c r="M28" s="76" t="s">
        <v>172</v>
      </c>
      <c r="N28" s="76">
        <f t="shared" si="2"/>
        <v>6.7500000000000015E-8</v>
      </c>
      <c r="O28" s="76"/>
      <c r="P28" s="76" t="s">
        <v>171</v>
      </c>
    </row>
    <row r="29" spans="2:16" ht="12.75" customHeight="1" x14ac:dyDescent="0.2">
      <c r="B29" s="76" t="s">
        <v>167</v>
      </c>
      <c r="C29" s="76">
        <f t="shared" si="0"/>
        <v>7.500000000000001E-8</v>
      </c>
      <c r="D29" s="76">
        <v>1</v>
      </c>
      <c r="E29" s="76" t="s">
        <v>133</v>
      </c>
      <c r="F29" s="76" t="s">
        <v>168</v>
      </c>
      <c r="G29" s="76" t="s">
        <v>169</v>
      </c>
      <c r="H29" s="76" t="s">
        <v>170</v>
      </c>
      <c r="I29" s="76">
        <v>0</v>
      </c>
      <c r="J29" s="76">
        <f t="shared" si="1"/>
        <v>1.5000000000000002E-8</v>
      </c>
      <c r="K29" s="76"/>
      <c r="L29" s="76">
        <v>0</v>
      </c>
      <c r="M29" s="76" t="s">
        <v>172</v>
      </c>
      <c r="N29" s="76">
        <f t="shared" si="2"/>
        <v>6.7500000000000015E-8</v>
      </c>
      <c r="O29" s="76"/>
      <c r="P29" s="76" t="s">
        <v>171</v>
      </c>
    </row>
    <row r="30" spans="2:16" ht="12.75" customHeight="1" x14ac:dyDescent="0.2">
      <c r="B30" s="76" t="s">
        <v>167</v>
      </c>
      <c r="C30" s="76">
        <f t="shared" si="0"/>
        <v>7.500000000000001E-8</v>
      </c>
      <c r="D30" s="76">
        <v>1</v>
      </c>
      <c r="E30" s="76" t="s">
        <v>134</v>
      </c>
      <c r="F30" s="76" t="s">
        <v>168</v>
      </c>
      <c r="G30" s="76" t="s">
        <v>169</v>
      </c>
      <c r="H30" s="76" t="s">
        <v>170</v>
      </c>
      <c r="I30" s="76">
        <v>0</v>
      </c>
      <c r="J30" s="76">
        <f t="shared" si="1"/>
        <v>1.5000000000000002E-8</v>
      </c>
      <c r="K30" s="76"/>
      <c r="L30" s="76">
        <v>0</v>
      </c>
      <c r="M30" s="76" t="s">
        <v>172</v>
      </c>
      <c r="N30" s="76">
        <f t="shared" si="2"/>
        <v>6.7500000000000015E-8</v>
      </c>
      <c r="O30" s="76"/>
      <c r="P30" s="76" t="s">
        <v>171</v>
      </c>
    </row>
    <row r="31" spans="2:16" ht="12.75" customHeight="1" x14ac:dyDescent="0.2">
      <c r="B31" s="76" t="s">
        <v>167</v>
      </c>
      <c r="C31" s="76">
        <f t="shared" si="0"/>
        <v>7.500000000000001E-8</v>
      </c>
      <c r="D31" s="76">
        <v>1</v>
      </c>
      <c r="E31" s="76" t="s">
        <v>135</v>
      </c>
      <c r="F31" s="76" t="s">
        <v>168</v>
      </c>
      <c r="G31" s="76" t="s">
        <v>169</v>
      </c>
      <c r="H31" s="76" t="s">
        <v>170</v>
      </c>
      <c r="I31" s="76">
        <v>0</v>
      </c>
      <c r="J31" s="76">
        <f t="shared" si="1"/>
        <v>1.5000000000000002E-8</v>
      </c>
      <c r="K31" s="76"/>
      <c r="L31" s="76">
        <v>0</v>
      </c>
      <c r="M31" s="76" t="s">
        <v>172</v>
      </c>
      <c r="N31" s="76">
        <f t="shared" si="2"/>
        <v>6.7500000000000015E-8</v>
      </c>
      <c r="O31" s="76"/>
      <c r="P31" s="76" t="s">
        <v>171</v>
      </c>
    </row>
    <row r="32" spans="2:16" ht="12.75" customHeight="1" x14ac:dyDescent="0.2">
      <c r="B32" s="76" t="s">
        <v>167</v>
      </c>
      <c r="C32" s="76">
        <f t="shared" si="0"/>
        <v>7.500000000000001E-8</v>
      </c>
      <c r="D32" s="76">
        <v>1</v>
      </c>
      <c r="E32" s="76" t="s">
        <v>136</v>
      </c>
      <c r="F32" s="76" t="s">
        <v>168</v>
      </c>
      <c r="G32" s="76" t="s">
        <v>169</v>
      </c>
      <c r="H32" s="76" t="s">
        <v>170</v>
      </c>
      <c r="I32" s="76">
        <v>0</v>
      </c>
      <c r="J32" s="76">
        <f t="shared" si="1"/>
        <v>1.5000000000000002E-8</v>
      </c>
      <c r="K32" s="76"/>
      <c r="L32" s="76">
        <v>0</v>
      </c>
      <c r="M32" s="76" t="s">
        <v>172</v>
      </c>
      <c r="N32" s="76">
        <f t="shared" si="2"/>
        <v>6.7500000000000015E-8</v>
      </c>
      <c r="O32" s="76"/>
      <c r="P32" s="76" t="s">
        <v>171</v>
      </c>
    </row>
    <row r="33" spans="2:16" ht="12.75" customHeight="1" x14ac:dyDescent="0.2">
      <c r="B33" s="76" t="s">
        <v>167</v>
      </c>
      <c r="C33" s="76">
        <f t="shared" si="0"/>
        <v>7.500000000000001E-8</v>
      </c>
      <c r="D33" s="76">
        <v>1</v>
      </c>
      <c r="E33" s="76" t="s">
        <v>137</v>
      </c>
      <c r="F33" s="76" t="s">
        <v>168</v>
      </c>
      <c r="G33" s="76" t="s">
        <v>169</v>
      </c>
      <c r="H33" s="76" t="s">
        <v>170</v>
      </c>
      <c r="I33" s="76">
        <v>0</v>
      </c>
      <c r="J33" s="76">
        <f t="shared" si="1"/>
        <v>1.5000000000000002E-8</v>
      </c>
      <c r="K33" s="76"/>
      <c r="L33" s="76">
        <v>0</v>
      </c>
      <c r="M33" s="76" t="s">
        <v>172</v>
      </c>
      <c r="N33" s="76">
        <f t="shared" si="2"/>
        <v>6.7500000000000015E-8</v>
      </c>
      <c r="O33" s="76"/>
      <c r="P33" s="76" t="s">
        <v>171</v>
      </c>
    </row>
    <row r="34" spans="2:16" ht="12.75" customHeight="1" x14ac:dyDescent="0.2">
      <c r="B34" s="76" t="s">
        <v>167</v>
      </c>
      <c r="C34" s="76">
        <f t="shared" si="0"/>
        <v>7.500000000000001E-8</v>
      </c>
      <c r="D34" s="76">
        <v>1</v>
      </c>
      <c r="E34" s="76" t="s">
        <v>99</v>
      </c>
      <c r="F34" s="76" t="s">
        <v>168</v>
      </c>
      <c r="G34" s="76" t="s">
        <v>169</v>
      </c>
      <c r="H34" s="76" t="s">
        <v>170</v>
      </c>
      <c r="I34" s="76">
        <v>0</v>
      </c>
      <c r="J34" s="76">
        <v>0</v>
      </c>
      <c r="K34" s="76"/>
      <c r="L34" s="76">
        <v>0</v>
      </c>
      <c r="M34" s="76" t="s">
        <v>172</v>
      </c>
      <c r="N34" s="76">
        <f t="shared" si="2"/>
        <v>6.7500000000000015E-8</v>
      </c>
      <c r="O34" s="76"/>
      <c r="P34" s="76" t="s">
        <v>171</v>
      </c>
    </row>
    <row r="35" spans="2:16" ht="12.75" customHeight="1" x14ac:dyDescent="0.2">
      <c r="B35" s="76" t="s">
        <v>167</v>
      </c>
      <c r="C35" s="76">
        <f t="shared" si="0"/>
        <v>7.500000000000001E-8</v>
      </c>
      <c r="D35" s="76">
        <v>1</v>
      </c>
      <c r="E35" s="76" t="s">
        <v>898</v>
      </c>
      <c r="F35" s="76" t="s">
        <v>168</v>
      </c>
      <c r="G35" s="76" t="s">
        <v>169</v>
      </c>
      <c r="H35" s="76" t="s">
        <v>170</v>
      </c>
      <c r="I35" s="76">
        <v>0</v>
      </c>
      <c r="J35" s="76">
        <f t="shared" ref="J35:J66" si="3">C35*0.2</f>
        <v>1.5000000000000002E-8</v>
      </c>
      <c r="K35" s="76"/>
      <c r="L35" s="76"/>
      <c r="M35" s="76" t="s">
        <v>163</v>
      </c>
      <c r="N35" s="76"/>
      <c r="O35" s="76"/>
      <c r="P35" s="76" t="s">
        <v>171</v>
      </c>
    </row>
    <row r="36" spans="2:16" ht="12.75" customHeight="1" x14ac:dyDescent="0.2">
      <c r="B36" s="76" t="s">
        <v>167</v>
      </c>
      <c r="C36" s="76">
        <f t="shared" si="0"/>
        <v>7.500000000000001E-8</v>
      </c>
      <c r="D36" s="76">
        <v>1</v>
      </c>
      <c r="E36" s="76" t="s">
        <v>899</v>
      </c>
      <c r="F36" s="76" t="s">
        <v>168</v>
      </c>
      <c r="G36" s="76" t="s">
        <v>169</v>
      </c>
      <c r="H36" s="76" t="s">
        <v>170</v>
      </c>
      <c r="I36" s="76">
        <v>0</v>
      </c>
      <c r="J36" s="76">
        <f t="shared" si="3"/>
        <v>1.5000000000000002E-8</v>
      </c>
      <c r="K36" s="76"/>
      <c r="L36" s="76"/>
      <c r="M36" s="76" t="s">
        <v>163</v>
      </c>
      <c r="N36" s="76"/>
      <c r="O36" s="76"/>
      <c r="P36" s="76" t="s">
        <v>171</v>
      </c>
    </row>
    <row r="37" spans="2:16" ht="12.75" customHeight="1" x14ac:dyDescent="0.2">
      <c r="B37" s="76" t="s">
        <v>167</v>
      </c>
      <c r="C37" s="76">
        <f t="shared" si="0"/>
        <v>7.500000000000001E-8</v>
      </c>
      <c r="D37" s="76">
        <v>1</v>
      </c>
      <c r="E37" s="76" t="s">
        <v>900</v>
      </c>
      <c r="F37" s="76" t="s">
        <v>168</v>
      </c>
      <c r="G37" s="76" t="s">
        <v>169</v>
      </c>
      <c r="H37" s="76" t="s">
        <v>170</v>
      </c>
      <c r="I37" s="76">
        <v>0</v>
      </c>
      <c r="J37" s="76">
        <f t="shared" si="3"/>
        <v>1.5000000000000002E-8</v>
      </c>
      <c r="K37" s="76"/>
      <c r="L37" s="76"/>
      <c r="M37" s="76" t="s">
        <v>163</v>
      </c>
      <c r="N37" s="76"/>
      <c r="O37" s="76"/>
      <c r="P37" s="76" t="s">
        <v>171</v>
      </c>
    </row>
    <row r="38" spans="2:16" ht="12.75" customHeight="1" x14ac:dyDescent="0.2">
      <c r="B38" s="76" t="s">
        <v>167</v>
      </c>
      <c r="C38" s="76">
        <f t="shared" si="0"/>
        <v>7.500000000000001E-8</v>
      </c>
      <c r="D38" s="76">
        <v>1</v>
      </c>
      <c r="E38" s="76" t="s">
        <v>901</v>
      </c>
      <c r="F38" s="76" t="s">
        <v>168</v>
      </c>
      <c r="G38" s="76" t="s">
        <v>169</v>
      </c>
      <c r="H38" s="76" t="s">
        <v>170</v>
      </c>
      <c r="I38" s="76">
        <v>0</v>
      </c>
      <c r="J38" s="76">
        <f t="shared" si="3"/>
        <v>1.5000000000000002E-8</v>
      </c>
      <c r="K38" s="76"/>
      <c r="L38" s="76"/>
      <c r="M38" s="76" t="s">
        <v>163</v>
      </c>
      <c r="N38" s="76"/>
      <c r="O38" s="76"/>
      <c r="P38" s="76" t="s">
        <v>171</v>
      </c>
    </row>
    <row r="39" spans="2:16" ht="12.75" customHeight="1" x14ac:dyDescent="0.2">
      <c r="B39" s="76" t="s">
        <v>167</v>
      </c>
      <c r="C39" s="76">
        <f t="shared" ref="C39:C70" si="4">75*ns</f>
        <v>7.500000000000001E-8</v>
      </c>
      <c r="D39" s="76">
        <v>1</v>
      </c>
      <c r="E39" s="76" t="s">
        <v>902</v>
      </c>
      <c r="F39" s="76" t="s">
        <v>168</v>
      </c>
      <c r="G39" s="76" t="s">
        <v>169</v>
      </c>
      <c r="H39" s="76" t="s">
        <v>170</v>
      </c>
      <c r="I39" s="76">
        <v>0</v>
      </c>
      <c r="J39" s="76">
        <f t="shared" si="3"/>
        <v>1.5000000000000002E-8</v>
      </c>
      <c r="K39" s="76"/>
      <c r="L39" s="76"/>
      <c r="M39" s="76" t="s">
        <v>163</v>
      </c>
      <c r="N39" s="76"/>
      <c r="O39" s="76"/>
      <c r="P39" s="76" t="s">
        <v>171</v>
      </c>
    </row>
    <row r="40" spans="2:16" ht="12.75" customHeight="1" x14ac:dyDescent="0.2">
      <c r="B40" s="76" t="s">
        <v>167</v>
      </c>
      <c r="C40" s="76">
        <f t="shared" si="4"/>
        <v>7.500000000000001E-8</v>
      </c>
      <c r="D40" s="76">
        <v>1</v>
      </c>
      <c r="E40" s="76" t="s">
        <v>903</v>
      </c>
      <c r="F40" s="76" t="s">
        <v>168</v>
      </c>
      <c r="G40" s="76" t="s">
        <v>169</v>
      </c>
      <c r="H40" s="76" t="s">
        <v>170</v>
      </c>
      <c r="I40" s="76">
        <v>0</v>
      </c>
      <c r="J40" s="76">
        <f t="shared" si="3"/>
        <v>1.5000000000000002E-8</v>
      </c>
      <c r="K40" s="76"/>
      <c r="L40" s="76"/>
      <c r="M40" s="76" t="s">
        <v>163</v>
      </c>
      <c r="N40" s="76"/>
      <c r="O40" s="76"/>
      <c r="P40" s="76" t="s">
        <v>171</v>
      </c>
    </row>
    <row r="41" spans="2:16" ht="12.75" customHeight="1" x14ac:dyDescent="0.2">
      <c r="B41" s="76" t="s">
        <v>167</v>
      </c>
      <c r="C41" s="76">
        <f t="shared" si="4"/>
        <v>7.500000000000001E-8</v>
      </c>
      <c r="D41" s="76">
        <v>1</v>
      </c>
      <c r="E41" s="76" t="s">
        <v>904</v>
      </c>
      <c r="F41" s="76" t="s">
        <v>168</v>
      </c>
      <c r="G41" s="76" t="s">
        <v>169</v>
      </c>
      <c r="H41" s="76" t="s">
        <v>170</v>
      </c>
      <c r="I41" s="76">
        <v>0</v>
      </c>
      <c r="J41" s="76">
        <f t="shared" si="3"/>
        <v>1.5000000000000002E-8</v>
      </c>
      <c r="K41" s="76"/>
      <c r="L41" s="76"/>
      <c r="M41" s="76" t="s">
        <v>163</v>
      </c>
      <c r="N41" s="76"/>
      <c r="O41" s="76"/>
      <c r="P41" s="76" t="s">
        <v>171</v>
      </c>
    </row>
    <row r="42" spans="2:16" ht="12.75" customHeight="1" x14ac:dyDescent="0.2">
      <c r="B42" s="76" t="s">
        <v>167</v>
      </c>
      <c r="C42" s="76">
        <f t="shared" si="4"/>
        <v>7.500000000000001E-8</v>
      </c>
      <c r="D42" s="76">
        <v>1</v>
      </c>
      <c r="E42" s="76" t="s">
        <v>905</v>
      </c>
      <c r="F42" s="76" t="s">
        <v>168</v>
      </c>
      <c r="G42" s="76" t="s">
        <v>169</v>
      </c>
      <c r="H42" s="76" t="s">
        <v>170</v>
      </c>
      <c r="I42" s="76">
        <v>0</v>
      </c>
      <c r="J42" s="76">
        <f t="shared" si="3"/>
        <v>1.5000000000000002E-8</v>
      </c>
      <c r="K42" s="76"/>
      <c r="L42" s="76"/>
      <c r="M42" s="76" t="s">
        <v>163</v>
      </c>
      <c r="N42" s="76"/>
      <c r="O42" s="76"/>
      <c r="P42" s="76" t="s">
        <v>171</v>
      </c>
    </row>
    <row r="43" spans="2:16" ht="12.75" customHeight="1" x14ac:dyDescent="0.2">
      <c r="B43" s="76" t="s">
        <v>167</v>
      </c>
      <c r="C43" s="76">
        <f t="shared" si="4"/>
        <v>7.500000000000001E-8</v>
      </c>
      <c r="D43" s="76">
        <v>1</v>
      </c>
      <c r="E43" s="76" t="s">
        <v>906</v>
      </c>
      <c r="F43" s="76" t="s">
        <v>168</v>
      </c>
      <c r="G43" s="76" t="s">
        <v>169</v>
      </c>
      <c r="H43" s="76" t="s">
        <v>170</v>
      </c>
      <c r="I43" s="76">
        <v>0</v>
      </c>
      <c r="J43" s="76">
        <f t="shared" si="3"/>
        <v>1.5000000000000002E-8</v>
      </c>
      <c r="K43" s="76"/>
      <c r="L43" s="76"/>
      <c r="M43" s="76" t="s">
        <v>163</v>
      </c>
      <c r="N43" s="76"/>
      <c r="O43" s="76"/>
      <c r="P43" s="76" t="s">
        <v>171</v>
      </c>
    </row>
    <row r="44" spans="2:16" ht="12.75" customHeight="1" x14ac:dyDescent="0.2">
      <c r="B44" s="76" t="s">
        <v>167</v>
      </c>
      <c r="C44" s="76">
        <f t="shared" si="4"/>
        <v>7.500000000000001E-8</v>
      </c>
      <c r="D44" s="76">
        <v>1</v>
      </c>
      <c r="E44" s="76" t="s">
        <v>907</v>
      </c>
      <c r="F44" s="76" t="s">
        <v>168</v>
      </c>
      <c r="G44" s="76" t="s">
        <v>169</v>
      </c>
      <c r="H44" s="76" t="s">
        <v>170</v>
      </c>
      <c r="I44" s="76">
        <v>0</v>
      </c>
      <c r="J44" s="76">
        <f t="shared" si="3"/>
        <v>1.5000000000000002E-8</v>
      </c>
      <c r="K44" s="76"/>
      <c r="L44" s="76"/>
      <c r="M44" s="76" t="s">
        <v>163</v>
      </c>
      <c r="N44" s="76"/>
      <c r="O44" s="76"/>
      <c r="P44" s="76" t="s">
        <v>171</v>
      </c>
    </row>
    <row r="45" spans="2:16" ht="12.75" customHeight="1" x14ac:dyDescent="0.2">
      <c r="B45" s="76" t="s">
        <v>167</v>
      </c>
      <c r="C45" s="76">
        <f t="shared" si="4"/>
        <v>7.500000000000001E-8</v>
      </c>
      <c r="D45" s="76">
        <v>1</v>
      </c>
      <c r="E45" s="76" t="s">
        <v>912</v>
      </c>
      <c r="F45" s="76" t="s">
        <v>168</v>
      </c>
      <c r="G45" s="76" t="s">
        <v>169</v>
      </c>
      <c r="H45" s="76" t="s">
        <v>170</v>
      </c>
      <c r="I45" s="76">
        <v>0</v>
      </c>
      <c r="J45" s="76">
        <f t="shared" si="3"/>
        <v>1.5000000000000002E-8</v>
      </c>
      <c r="K45" s="76"/>
      <c r="L45" s="76"/>
      <c r="M45" s="76" t="s">
        <v>163</v>
      </c>
      <c r="N45" s="76"/>
      <c r="O45" s="76"/>
      <c r="P45" s="76" t="s">
        <v>171</v>
      </c>
    </row>
    <row r="46" spans="2:16" ht="12.75" customHeight="1" x14ac:dyDescent="0.2">
      <c r="B46" s="76" t="s">
        <v>167</v>
      </c>
      <c r="C46" s="76">
        <f t="shared" si="4"/>
        <v>7.500000000000001E-8</v>
      </c>
      <c r="D46" s="76">
        <v>1</v>
      </c>
      <c r="E46" s="76" t="s">
        <v>913</v>
      </c>
      <c r="F46" s="76" t="s">
        <v>168</v>
      </c>
      <c r="G46" s="76" t="s">
        <v>169</v>
      </c>
      <c r="H46" s="76" t="s">
        <v>170</v>
      </c>
      <c r="I46" s="76">
        <v>0</v>
      </c>
      <c r="J46" s="76">
        <f t="shared" si="3"/>
        <v>1.5000000000000002E-8</v>
      </c>
      <c r="K46" s="76"/>
      <c r="L46" s="76"/>
      <c r="M46" s="76" t="s">
        <v>163</v>
      </c>
      <c r="N46" s="76"/>
      <c r="O46" s="76"/>
      <c r="P46" s="76" t="s">
        <v>171</v>
      </c>
    </row>
    <row r="47" spans="2:16" ht="12.75" customHeight="1" x14ac:dyDescent="0.2">
      <c r="B47" s="76" t="s">
        <v>167</v>
      </c>
      <c r="C47" s="76">
        <f t="shared" si="4"/>
        <v>7.500000000000001E-8</v>
      </c>
      <c r="D47" s="76">
        <v>1</v>
      </c>
      <c r="E47" s="76" t="s">
        <v>914</v>
      </c>
      <c r="F47" s="76" t="s">
        <v>168</v>
      </c>
      <c r="G47" s="76" t="s">
        <v>169</v>
      </c>
      <c r="H47" s="76" t="s">
        <v>170</v>
      </c>
      <c r="I47" s="76">
        <v>0</v>
      </c>
      <c r="J47" s="76">
        <f t="shared" si="3"/>
        <v>1.5000000000000002E-8</v>
      </c>
      <c r="K47" s="76"/>
      <c r="L47" s="76"/>
      <c r="M47" s="76" t="s">
        <v>163</v>
      </c>
      <c r="N47" s="76"/>
      <c r="O47" s="76"/>
      <c r="P47" s="76" t="s">
        <v>171</v>
      </c>
    </row>
    <row r="48" spans="2:16" ht="12.75" customHeight="1" x14ac:dyDescent="0.2">
      <c r="B48" s="76" t="s">
        <v>167</v>
      </c>
      <c r="C48" s="76">
        <f t="shared" si="4"/>
        <v>7.500000000000001E-8</v>
      </c>
      <c r="D48" s="76">
        <v>1</v>
      </c>
      <c r="E48" s="76" t="s">
        <v>915</v>
      </c>
      <c r="F48" s="76" t="s">
        <v>168</v>
      </c>
      <c r="G48" s="76" t="s">
        <v>169</v>
      </c>
      <c r="H48" s="76" t="s">
        <v>170</v>
      </c>
      <c r="I48" s="76">
        <v>0</v>
      </c>
      <c r="J48" s="76">
        <f t="shared" si="3"/>
        <v>1.5000000000000002E-8</v>
      </c>
      <c r="K48" s="76"/>
      <c r="L48" s="76"/>
      <c r="M48" s="76" t="s">
        <v>163</v>
      </c>
      <c r="N48" s="76"/>
      <c r="O48" s="76"/>
      <c r="P48" s="76" t="s">
        <v>171</v>
      </c>
    </row>
    <row r="49" spans="2:16" ht="12.75" customHeight="1" x14ac:dyDescent="0.2">
      <c r="B49" s="76" t="s">
        <v>167</v>
      </c>
      <c r="C49" s="76">
        <f t="shared" si="4"/>
        <v>7.500000000000001E-8</v>
      </c>
      <c r="D49" s="76">
        <v>1</v>
      </c>
      <c r="E49" s="76" t="s">
        <v>916</v>
      </c>
      <c r="F49" s="76" t="s">
        <v>168</v>
      </c>
      <c r="G49" s="76" t="s">
        <v>169</v>
      </c>
      <c r="H49" s="76" t="s">
        <v>170</v>
      </c>
      <c r="I49" s="76">
        <v>0</v>
      </c>
      <c r="J49" s="76">
        <f t="shared" si="3"/>
        <v>1.5000000000000002E-8</v>
      </c>
      <c r="K49" s="76"/>
      <c r="L49" s="76"/>
      <c r="M49" s="76" t="s">
        <v>163</v>
      </c>
      <c r="N49" s="76"/>
      <c r="O49" s="76"/>
      <c r="P49" s="76" t="s">
        <v>171</v>
      </c>
    </row>
    <row r="50" spans="2:16" ht="12.75" customHeight="1" x14ac:dyDescent="0.2">
      <c r="B50" s="76" t="s">
        <v>167</v>
      </c>
      <c r="C50" s="76">
        <f t="shared" si="4"/>
        <v>7.500000000000001E-8</v>
      </c>
      <c r="D50" s="76">
        <v>1</v>
      </c>
      <c r="E50" s="76" t="s">
        <v>917</v>
      </c>
      <c r="F50" s="76" t="s">
        <v>168</v>
      </c>
      <c r="G50" s="76" t="s">
        <v>169</v>
      </c>
      <c r="H50" s="76" t="s">
        <v>170</v>
      </c>
      <c r="I50" s="76">
        <v>0</v>
      </c>
      <c r="J50" s="76">
        <f t="shared" si="3"/>
        <v>1.5000000000000002E-8</v>
      </c>
      <c r="K50" s="76"/>
      <c r="L50" s="76"/>
      <c r="M50" s="76" t="s">
        <v>163</v>
      </c>
      <c r="N50" s="76"/>
      <c r="O50" s="76"/>
      <c r="P50" s="76" t="s">
        <v>171</v>
      </c>
    </row>
    <row r="51" spans="2:16" ht="12.75" customHeight="1" x14ac:dyDescent="0.2">
      <c r="B51" s="76" t="s">
        <v>167</v>
      </c>
      <c r="C51" s="76">
        <f t="shared" si="4"/>
        <v>7.500000000000001E-8</v>
      </c>
      <c r="D51" s="76">
        <v>1</v>
      </c>
      <c r="E51" s="76" t="s">
        <v>918</v>
      </c>
      <c r="F51" s="76" t="s">
        <v>168</v>
      </c>
      <c r="G51" s="76" t="s">
        <v>169</v>
      </c>
      <c r="H51" s="76" t="s">
        <v>170</v>
      </c>
      <c r="I51" s="76">
        <v>0</v>
      </c>
      <c r="J51" s="76">
        <f t="shared" si="3"/>
        <v>1.5000000000000002E-8</v>
      </c>
      <c r="K51" s="76"/>
      <c r="L51" s="76"/>
      <c r="M51" s="76" t="s">
        <v>163</v>
      </c>
      <c r="N51" s="76"/>
      <c r="O51" s="76"/>
      <c r="P51" s="76" t="s">
        <v>171</v>
      </c>
    </row>
    <row r="52" spans="2:16" ht="12.75" customHeight="1" x14ac:dyDescent="0.2">
      <c r="B52" s="76" t="s">
        <v>167</v>
      </c>
      <c r="C52" s="76">
        <f t="shared" si="4"/>
        <v>7.500000000000001E-8</v>
      </c>
      <c r="D52" s="76">
        <v>1</v>
      </c>
      <c r="E52" s="76" t="s">
        <v>919</v>
      </c>
      <c r="F52" s="76" t="s">
        <v>168</v>
      </c>
      <c r="G52" s="76" t="s">
        <v>169</v>
      </c>
      <c r="H52" s="76" t="s">
        <v>170</v>
      </c>
      <c r="I52" s="76">
        <v>0</v>
      </c>
      <c r="J52" s="76">
        <f t="shared" si="3"/>
        <v>1.5000000000000002E-8</v>
      </c>
      <c r="K52" s="76"/>
      <c r="L52" s="76"/>
      <c r="M52" s="76" t="s">
        <v>163</v>
      </c>
      <c r="N52" s="76"/>
      <c r="O52" s="76"/>
      <c r="P52" s="76" t="s">
        <v>171</v>
      </c>
    </row>
    <row r="53" spans="2:16" ht="12.75" customHeight="1" x14ac:dyDescent="0.2">
      <c r="B53" s="76" t="s">
        <v>167</v>
      </c>
      <c r="C53" s="76">
        <f t="shared" si="4"/>
        <v>7.500000000000001E-8</v>
      </c>
      <c r="D53" s="76">
        <v>1</v>
      </c>
      <c r="E53" s="76" t="s">
        <v>920</v>
      </c>
      <c r="F53" s="76" t="s">
        <v>168</v>
      </c>
      <c r="G53" s="76" t="s">
        <v>169</v>
      </c>
      <c r="H53" s="76" t="s">
        <v>170</v>
      </c>
      <c r="I53" s="76">
        <v>0</v>
      </c>
      <c r="J53" s="76">
        <f t="shared" si="3"/>
        <v>1.5000000000000002E-8</v>
      </c>
      <c r="K53" s="76"/>
      <c r="L53" s="76"/>
      <c r="M53" s="76" t="s">
        <v>163</v>
      </c>
      <c r="N53" s="76"/>
      <c r="O53" s="76"/>
      <c r="P53" s="76" t="s">
        <v>171</v>
      </c>
    </row>
    <row r="54" spans="2:16" ht="12.75" customHeight="1" x14ac:dyDescent="0.2">
      <c r="B54" s="76" t="s">
        <v>167</v>
      </c>
      <c r="C54" s="76">
        <f t="shared" si="4"/>
        <v>7.500000000000001E-8</v>
      </c>
      <c r="D54" s="76">
        <v>1</v>
      </c>
      <c r="E54" s="76" t="s">
        <v>921</v>
      </c>
      <c r="F54" s="76" t="s">
        <v>168</v>
      </c>
      <c r="G54" s="76" t="s">
        <v>169</v>
      </c>
      <c r="H54" s="76" t="s">
        <v>170</v>
      </c>
      <c r="I54" s="76">
        <v>0</v>
      </c>
      <c r="J54" s="76">
        <f t="shared" si="3"/>
        <v>1.5000000000000002E-8</v>
      </c>
      <c r="K54" s="76"/>
      <c r="L54" s="76"/>
      <c r="M54" s="76" t="s">
        <v>163</v>
      </c>
      <c r="N54" s="76"/>
      <c r="O54" s="76"/>
      <c r="P54" s="76" t="s">
        <v>171</v>
      </c>
    </row>
    <row r="55" spans="2:16" ht="12.75" customHeight="1" x14ac:dyDescent="0.2">
      <c r="B55" s="76" t="s">
        <v>167</v>
      </c>
      <c r="C55" s="76">
        <f t="shared" si="4"/>
        <v>7.500000000000001E-8</v>
      </c>
      <c r="D55" s="76">
        <v>1</v>
      </c>
      <c r="E55" s="76" t="s">
        <v>922</v>
      </c>
      <c r="F55" s="76" t="s">
        <v>168</v>
      </c>
      <c r="G55" s="76" t="s">
        <v>169</v>
      </c>
      <c r="H55" s="76" t="s">
        <v>170</v>
      </c>
      <c r="I55" s="76">
        <v>0</v>
      </c>
      <c r="J55" s="76">
        <f t="shared" si="3"/>
        <v>1.5000000000000002E-8</v>
      </c>
      <c r="K55" s="76"/>
      <c r="L55" s="76"/>
      <c r="M55" s="76" t="s">
        <v>163</v>
      </c>
      <c r="N55" s="76"/>
      <c r="O55" s="76"/>
      <c r="P55" s="76" t="s">
        <v>171</v>
      </c>
    </row>
    <row r="56" spans="2:16" ht="12.75" customHeight="1" x14ac:dyDescent="0.2">
      <c r="B56" s="76" t="s">
        <v>167</v>
      </c>
      <c r="C56" s="76">
        <f t="shared" si="4"/>
        <v>7.500000000000001E-8</v>
      </c>
      <c r="D56" s="76">
        <v>1</v>
      </c>
      <c r="E56" s="76" t="s">
        <v>923</v>
      </c>
      <c r="F56" s="76" t="s">
        <v>168</v>
      </c>
      <c r="G56" s="76" t="s">
        <v>169</v>
      </c>
      <c r="H56" s="76" t="s">
        <v>170</v>
      </c>
      <c r="I56" s="76">
        <v>0</v>
      </c>
      <c r="J56" s="76">
        <f t="shared" si="3"/>
        <v>1.5000000000000002E-8</v>
      </c>
      <c r="K56" s="76"/>
      <c r="L56" s="76"/>
      <c r="M56" s="76" t="s">
        <v>163</v>
      </c>
      <c r="N56" s="76"/>
      <c r="O56" s="76"/>
      <c r="P56" s="76" t="s">
        <v>171</v>
      </c>
    </row>
    <row r="57" spans="2:16" ht="12.75" customHeight="1" x14ac:dyDescent="0.2">
      <c r="B57" s="76" t="s">
        <v>167</v>
      </c>
      <c r="C57" s="76">
        <f t="shared" si="4"/>
        <v>7.500000000000001E-8</v>
      </c>
      <c r="D57" s="76">
        <v>1</v>
      </c>
      <c r="E57" s="76" t="s">
        <v>924</v>
      </c>
      <c r="F57" s="76" t="s">
        <v>168</v>
      </c>
      <c r="G57" s="76" t="s">
        <v>169</v>
      </c>
      <c r="H57" s="76" t="s">
        <v>170</v>
      </c>
      <c r="I57" s="76">
        <v>0</v>
      </c>
      <c r="J57" s="76">
        <f t="shared" si="3"/>
        <v>1.5000000000000002E-8</v>
      </c>
      <c r="K57" s="76"/>
      <c r="L57" s="76"/>
      <c r="M57" s="76" t="s">
        <v>163</v>
      </c>
      <c r="N57" s="76"/>
      <c r="O57" s="76"/>
      <c r="P57" s="76" t="s">
        <v>171</v>
      </c>
    </row>
    <row r="58" spans="2:16" ht="12.75" customHeight="1" x14ac:dyDescent="0.2">
      <c r="B58" s="76" t="s">
        <v>167</v>
      </c>
      <c r="C58" s="76">
        <f t="shared" si="4"/>
        <v>7.500000000000001E-8</v>
      </c>
      <c r="D58" s="76">
        <v>1</v>
      </c>
      <c r="E58" s="76" t="s">
        <v>925</v>
      </c>
      <c r="F58" s="76" t="s">
        <v>168</v>
      </c>
      <c r="G58" s="76" t="s">
        <v>169</v>
      </c>
      <c r="H58" s="76" t="s">
        <v>170</v>
      </c>
      <c r="I58" s="76">
        <v>0</v>
      </c>
      <c r="J58" s="76">
        <f t="shared" si="3"/>
        <v>1.5000000000000002E-8</v>
      </c>
      <c r="K58" s="76"/>
      <c r="L58" s="76"/>
      <c r="M58" s="76" t="s">
        <v>163</v>
      </c>
      <c r="N58" s="76"/>
      <c r="O58" s="76"/>
      <c r="P58" s="76" t="s">
        <v>171</v>
      </c>
    </row>
    <row r="59" spans="2:16" ht="12.75" customHeight="1" x14ac:dyDescent="0.2">
      <c r="B59" s="76" t="s">
        <v>167</v>
      </c>
      <c r="C59" s="76">
        <f t="shared" si="4"/>
        <v>7.500000000000001E-8</v>
      </c>
      <c r="D59" s="76">
        <v>1</v>
      </c>
      <c r="E59" s="76" t="s">
        <v>926</v>
      </c>
      <c r="F59" s="76" t="s">
        <v>168</v>
      </c>
      <c r="G59" s="76" t="s">
        <v>169</v>
      </c>
      <c r="H59" s="76" t="s">
        <v>170</v>
      </c>
      <c r="I59" s="76">
        <v>0</v>
      </c>
      <c r="J59" s="76">
        <f t="shared" si="3"/>
        <v>1.5000000000000002E-8</v>
      </c>
      <c r="K59" s="76"/>
      <c r="L59" s="76"/>
      <c r="M59" s="76" t="s">
        <v>163</v>
      </c>
      <c r="N59" s="76"/>
      <c r="O59" s="76"/>
      <c r="P59" s="76" t="s">
        <v>171</v>
      </c>
    </row>
    <row r="60" spans="2:16" ht="12.75" customHeight="1" x14ac:dyDescent="0.2">
      <c r="B60" s="76" t="s">
        <v>167</v>
      </c>
      <c r="C60" s="76">
        <f t="shared" si="4"/>
        <v>7.500000000000001E-8</v>
      </c>
      <c r="D60" s="76">
        <v>1</v>
      </c>
      <c r="E60" s="76" t="s">
        <v>927</v>
      </c>
      <c r="F60" s="76" t="s">
        <v>168</v>
      </c>
      <c r="G60" s="76" t="s">
        <v>169</v>
      </c>
      <c r="H60" s="76" t="s">
        <v>170</v>
      </c>
      <c r="I60" s="76">
        <v>0</v>
      </c>
      <c r="J60" s="76">
        <f t="shared" si="3"/>
        <v>1.5000000000000002E-8</v>
      </c>
      <c r="K60" s="76"/>
      <c r="L60" s="76"/>
      <c r="M60" s="76" t="s">
        <v>163</v>
      </c>
      <c r="N60" s="76"/>
      <c r="O60" s="76"/>
      <c r="P60" s="76" t="s">
        <v>171</v>
      </c>
    </row>
    <row r="61" spans="2:16" ht="12.75" customHeight="1" x14ac:dyDescent="0.2">
      <c r="B61" s="76" t="s">
        <v>167</v>
      </c>
      <c r="C61" s="76">
        <f t="shared" si="4"/>
        <v>7.500000000000001E-8</v>
      </c>
      <c r="D61" s="76">
        <v>1</v>
      </c>
      <c r="E61" s="76" t="s">
        <v>928</v>
      </c>
      <c r="F61" s="76" t="s">
        <v>168</v>
      </c>
      <c r="G61" s="76" t="s">
        <v>169</v>
      </c>
      <c r="H61" s="76" t="s">
        <v>170</v>
      </c>
      <c r="I61" s="76">
        <v>0</v>
      </c>
      <c r="J61" s="76">
        <f t="shared" si="3"/>
        <v>1.5000000000000002E-8</v>
      </c>
      <c r="K61" s="76"/>
      <c r="L61" s="76"/>
      <c r="M61" s="76" t="s">
        <v>163</v>
      </c>
      <c r="N61" s="76"/>
      <c r="O61" s="76"/>
      <c r="P61" s="76" t="s">
        <v>171</v>
      </c>
    </row>
    <row r="62" spans="2:16" ht="12.75" customHeight="1" x14ac:dyDescent="0.2">
      <c r="B62" s="76" t="s">
        <v>167</v>
      </c>
      <c r="C62" s="76">
        <f t="shared" si="4"/>
        <v>7.500000000000001E-8</v>
      </c>
      <c r="D62" s="76">
        <v>1</v>
      </c>
      <c r="E62" s="76" t="s">
        <v>929</v>
      </c>
      <c r="F62" s="76" t="s">
        <v>168</v>
      </c>
      <c r="G62" s="76" t="s">
        <v>169</v>
      </c>
      <c r="H62" s="76" t="s">
        <v>170</v>
      </c>
      <c r="I62" s="76">
        <v>0</v>
      </c>
      <c r="J62" s="76">
        <f t="shared" si="3"/>
        <v>1.5000000000000002E-8</v>
      </c>
      <c r="K62" s="76"/>
      <c r="L62" s="76"/>
      <c r="M62" s="76" t="s">
        <v>163</v>
      </c>
      <c r="N62" s="76"/>
      <c r="O62" s="76"/>
      <c r="P62" s="76" t="s">
        <v>171</v>
      </c>
    </row>
    <row r="63" spans="2:16" ht="12.75" customHeight="1" x14ac:dyDescent="0.2">
      <c r="B63" s="76" t="s">
        <v>167</v>
      </c>
      <c r="C63" s="76">
        <f t="shared" si="4"/>
        <v>7.500000000000001E-8</v>
      </c>
      <c r="D63" s="76">
        <v>1</v>
      </c>
      <c r="E63" s="76" t="s">
        <v>930</v>
      </c>
      <c r="F63" s="76" t="s">
        <v>168</v>
      </c>
      <c r="G63" s="76" t="s">
        <v>169</v>
      </c>
      <c r="H63" s="76" t="s">
        <v>170</v>
      </c>
      <c r="I63" s="76">
        <v>0</v>
      </c>
      <c r="J63" s="76">
        <f t="shared" si="3"/>
        <v>1.5000000000000002E-8</v>
      </c>
      <c r="K63" s="76"/>
      <c r="L63" s="76"/>
      <c r="M63" s="76" t="s">
        <v>163</v>
      </c>
      <c r="N63" s="76"/>
      <c r="O63" s="76"/>
      <c r="P63" s="76" t="s">
        <v>171</v>
      </c>
    </row>
    <row r="64" spans="2:16" ht="12.75" customHeight="1" x14ac:dyDescent="0.2">
      <c r="B64" s="76" t="s">
        <v>167</v>
      </c>
      <c r="C64" s="76">
        <f t="shared" si="4"/>
        <v>7.500000000000001E-8</v>
      </c>
      <c r="D64" s="76">
        <v>1</v>
      </c>
      <c r="E64" s="76" t="s">
        <v>931</v>
      </c>
      <c r="F64" s="76" t="s">
        <v>168</v>
      </c>
      <c r="G64" s="76" t="s">
        <v>169</v>
      </c>
      <c r="H64" s="76" t="s">
        <v>170</v>
      </c>
      <c r="I64" s="76">
        <v>0</v>
      </c>
      <c r="J64" s="76">
        <f t="shared" si="3"/>
        <v>1.5000000000000002E-8</v>
      </c>
      <c r="K64" s="76"/>
      <c r="L64" s="76"/>
      <c r="M64" s="76" t="s">
        <v>163</v>
      </c>
      <c r="N64" s="76"/>
      <c r="O64" s="76"/>
      <c r="P64" s="76" t="s">
        <v>171</v>
      </c>
    </row>
    <row r="65" spans="2:16" ht="12.75" customHeight="1" x14ac:dyDescent="0.2">
      <c r="B65" s="76" t="s">
        <v>167</v>
      </c>
      <c r="C65" s="76">
        <f t="shared" si="4"/>
        <v>7.500000000000001E-8</v>
      </c>
      <c r="D65" s="76">
        <v>1</v>
      </c>
      <c r="E65" s="76" t="s">
        <v>932</v>
      </c>
      <c r="F65" s="76" t="s">
        <v>168</v>
      </c>
      <c r="G65" s="76" t="s">
        <v>169</v>
      </c>
      <c r="H65" s="76" t="s">
        <v>170</v>
      </c>
      <c r="I65" s="76">
        <v>0</v>
      </c>
      <c r="J65" s="76">
        <f t="shared" si="3"/>
        <v>1.5000000000000002E-8</v>
      </c>
      <c r="K65" s="76"/>
      <c r="L65" s="76"/>
      <c r="M65" s="76" t="s">
        <v>163</v>
      </c>
      <c r="N65" s="76"/>
      <c r="O65" s="76"/>
      <c r="P65" s="76" t="s">
        <v>171</v>
      </c>
    </row>
    <row r="66" spans="2:16" ht="12.75" customHeight="1" x14ac:dyDescent="0.2">
      <c r="B66" s="76" t="s">
        <v>167</v>
      </c>
      <c r="C66" s="76">
        <f t="shared" si="4"/>
        <v>7.500000000000001E-8</v>
      </c>
      <c r="D66" s="76">
        <v>1</v>
      </c>
      <c r="E66" s="76" t="s">
        <v>933</v>
      </c>
      <c r="F66" s="76" t="s">
        <v>168</v>
      </c>
      <c r="G66" s="76" t="s">
        <v>169</v>
      </c>
      <c r="H66" s="76" t="s">
        <v>170</v>
      </c>
      <c r="I66" s="76">
        <v>0</v>
      </c>
      <c r="J66" s="76">
        <f t="shared" si="3"/>
        <v>1.5000000000000002E-8</v>
      </c>
      <c r="K66" s="76"/>
      <c r="L66" s="76"/>
      <c r="M66" s="76" t="s">
        <v>163</v>
      </c>
      <c r="N66" s="76"/>
      <c r="O66" s="76"/>
      <c r="P66" s="76" t="s">
        <v>171</v>
      </c>
    </row>
    <row r="67" spans="2:16" ht="12.75" customHeight="1" x14ac:dyDescent="0.2">
      <c r="B67" s="76" t="s">
        <v>167</v>
      </c>
      <c r="C67" s="76">
        <f t="shared" si="4"/>
        <v>7.500000000000001E-8</v>
      </c>
      <c r="D67" s="76">
        <v>1</v>
      </c>
      <c r="E67" s="76" t="s">
        <v>934</v>
      </c>
      <c r="F67" s="76" t="s">
        <v>168</v>
      </c>
      <c r="G67" s="76" t="s">
        <v>169</v>
      </c>
      <c r="H67" s="76" t="s">
        <v>170</v>
      </c>
      <c r="I67" s="76">
        <v>0</v>
      </c>
      <c r="J67" s="76">
        <f t="shared" ref="J67:J83" si="5">C67*0.2</f>
        <v>1.5000000000000002E-8</v>
      </c>
      <c r="K67" s="76"/>
      <c r="L67" s="76"/>
      <c r="M67" s="76" t="s">
        <v>163</v>
      </c>
      <c r="N67" s="76"/>
      <c r="O67" s="76"/>
      <c r="P67" s="76" t="s">
        <v>171</v>
      </c>
    </row>
    <row r="68" spans="2:16" ht="12.75" customHeight="1" x14ac:dyDescent="0.2">
      <c r="B68" s="76" t="s">
        <v>167</v>
      </c>
      <c r="C68" s="76">
        <f t="shared" si="4"/>
        <v>7.500000000000001E-8</v>
      </c>
      <c r="D68" s="76">
        <v>1</v>
      </c>
      <c r="E68" s="76" t="s">
        <v>935</v>
      </c>
      <c r="F68" s="76" t="s">
        <v>168</v>
      </c>
      <c r="G68" s="76" t="s">
        <v>169</v>
      </c>
      <c r="H68" s="76" t="s">
        <v>170</v>
      </c>
      <c r="I68" s="76">
        <v>0</v>
      </c>
      <c r="J68" s="76">
        <f t="shared" si="5"/>
        <v>1.5000000000000002E-8</v>
      </c>
      <c r="K68" s="76"/>
      <c r="L68" s="76"/>
      <c r="M68" s="76" t="s">
        <v>163</v>
      </c>
      <c r="N68" s="76"/>
      <c r="O68" s="76"/>
      <c r="P68" s="76" t="s">
        <v>171</v>
      </c>
    </row>
    <row r="69" spans="2:16" ht="12.75" customHeight="1" x14ac:dyDescent="0.2">
      <c r="B69" s="76" t="s">
        <v>167</v>
      </c>
      <c r="C69" s="76">
        <f t="shared" si="4"/>
        <v>7.500000000000001E-8</v>
      </c>
      <c r="D69" s="76">
        <v>1</v>
      </c>
      <c r="E69" s="76" t="s">
        <v>936</v>
      </c>
      <c r="F69" s="76" t="s">
        <v>168</v>
      </c>
      <c r="G69" s="76" t="s">
        <v>169</v>
      </c>
      <c r="H69" s="76" t="s">
        <v>170</v>
      </c>
      <c r="I69" s="76">
        <v>0</v>
      </c>
      <c r="J69" s="76">
        <f t="shared" si="5"/>
        <v>1.5000000000000002E-8</v>
      </c>
      <c r="K69" s="76"/>
      <c r="L69" s="76"/>
      <c r="M69" s="76" t="s">
        <v>163</v>
      </c>
      <c r="N69" s="76"/>
      <c r="O69" s="76"/>
      <c r="P69" s="76" t="s">
        <v>171</v>
      </c>
    </row>
    <row r="70" spans="2:16" ht="12.75" customHeight="1" x14ac:dyDescent="0.2">
      <c r="B70" s="76" t="s">
        <v>167</v>
      </c>
      <c r="C70" s="76">
        <f t="shared" si="4"/>
        <v>7.500000000000001E-8</v>
      </c>
      <c r="D70" s="76">
        <v>1</v>
      </c>
      <c r="E70" s="76" t="s">
        <v>937</v>
      </c>
      <c r="F70" s="76" t="s">
        <v>168</v>
      </c>
      <c r="G70" s="76" t="s">
        <v>169</v>
      </c>
      <c r="H70" s="76" t="s">
        <v>170</v>
      </c>
      <c r="I70" s="76">
        <v>0</v>
      </c>
      <c r="J70" s="76">
        <f t="shared" si="5"/>
        <v>1.5000000000000002E-8</v>
      </c>
      <c r="K70" s="76"/>
      <c r="L70" s="76"/>
      <c r="M70" s="76" t="s">
        <v>163</v>
      </c>
      <c r="N70" s="76"/>
      <c r="O70" s="76"/>
      <c r="P70" s="76" t="s">
        <v>171</v>
      </c>
    </row>
    <row r="71" spans="2:16" ht="12.75" customHeight="1" x14ac:dyDescent="0.2">
      <c r="B71" s="76" t="s">
        <v>167</v>
      </c>
      <c r="C71" s="76">
        <f t="shared" ref="C71:C86" si="6">75*ns</f>
        <v>7.500000000000001E-8</v>
      </c>
      <c r="D71" s="76">
        <v>1</v>
      </c>
      <c r="E71" s="76" t="s">
        <v>938</v>
      </c>
      <c r="F71" s="76" t="s">
        <v>168</v>
      </c>
      <c r="G71" s="76" t="s">
        <v>169</v>
      </c>
      <c r="H71" s="76" t="s">
        <v>170</v>
      </c>
      <c r="I71" s="76">
        <v>0</v>
      </c>
      <c r="J71" s="76">
        <f t="shared" si="5"/>
        <v>1.5000000000000002E-8</v>
      </c>
      <c r="K71" s="76"/>
      <c r="L71" s="76"/>
      <c r="M71" s="76" t="s">
        <v>163</v>
      </c>
      <c r="N71" s="76"/>
      <c r="O71" s="76"/>
      <c r="P71" s="76" t="s">
        <v>171</v>
      </c>
    </row>
    <row r="72" spans="2:16" ht="12.75" customHeight="1" x14ac:dyDescent="0.2">
      <c r="B72" s="76" t="s">
        <v>167</v>
      </c>
      <c r="C72" s="76">
        <f t="shared" si="6"/>
        <v>7.500000000000001E-8</v>
      </c>
      <c r="D72" s="76">
        <v>1</v>
      </c>
      <c r="E72" s="76" t="s">
        <v>939</v>
      </c>
      <c r="F72" s="76" t="s">
        <v>168</v>
      </c>
      <c r="G72" s="76" t="s">
        <v>169</v>
      </c>
      <c r="H72" s="76" t="s">
        <v>170</v>
      </c>
      <c r="I72" s="76">
        <v>0</v>
      </c>
      <c r="J72" s="76">
        <f t="shared" si="5"/>
        <v>1.5000000000000002E-8</v>
      </c>
      <c r="K72" s="76"/>
      <c r="L72" s="76"/>
      <c r="M72" s="76" t="s">
        <v>163</v>
      </c>
      <c r="N72" s="76"/>
      <c r="O72" s="76"/>
      <c r="P72" s="76" t="s">
        <v>171</v>
      </c>
    </row>
    <row r="73" spans="2:16" ht="12.75" customHeight="1" x14ac:dyDescent="0.2">
      <c r="B73" s="76" t="s">
        <v>167</v>
      </c>
      <c r="C73" s="76">
        <f t="shared" si="6"/>
        <v>7.500000000000001E-8</v>
      </c>
      <c r="D73" s="76">
        <v>1</v>
      </c>
      <c r="E73" s="76" t="s">
        <v>940</v>
      </c>
      <c r="F73" s="76" t="s">
        <v>168</v>
      </c>
      <c r="G73" s="76" t="s">
        <v>169</v>
      </c>
      <c r="H73" s="76" t="s">
        <v>170</v>
      </c>
      <c r="I73" s="76">
        <v>0</v>
      </c>
      <c r="J73" s="76">
        <f t="shared" si="5"/>
        <v>1.5000000000000002E-8</v>
      </c>
      <c r="K73" s="76"/>
      <c r="L73" s="76"/>
      <c r="M73" s="76" t="s">
        <v>163</v>
      </c>
      <c r="N73" s="76"/>
      <c r="O73" s="76"/>
      <c r="P73" s="76" t="s">
        <v>171</v>
      </c>
    </row>
    <row r="74" spans="2:16" ht="12.75" customHeight="1" x14ac:dyDescent="0.2">
      <c r="B74" s="76" t="s">
        <v>167</v>
      </c>
      <c r="C74" s="76">
        <f t="shared" si="6"/>
        <v>7.500000000000001E-8</v>
      </c>
      <c r="D74" s="76">
        <v>1</v>
      </c>
      <c r="E74" s="76" t="s">
        <v>941</v>
      </c>
      <c r="F74" s="76" t="s">
        <v>168</v>
      </c>
      <c r="G74" s="76" t="s">
        <v>169</v>
      </c>
      <c r="H74" s="76" t="s">
        <v>170</v>
      </c>
      <c r="I74" s="76">
        <v>0</v>
      </c>
      <c r="J74" s="76">
        <f t="shared" si="5"/>
        <v>1.5000000000000002E-8</v>
      </c>
      <c r="K74" s="76"/>
      <c r="L74" s="76"/>
      <c r="M74" s="76" t="s">
        <v>163</v>
      </c>
      <c r="N74" s="76"/>
      <c r="O74" s="76"/>
      <c r="P74" s="76" t="s">
        <v>171</v>
      </c>
    </row>
    <row r="75" spans="2:16" ht="12.75" customHeight="1" x14ac:dyDescent="0.2">
      <c r="B75" s="76" t="s">
        <v>167</v>
      </c>
      <c r="C75" s="76">
        <f t="shared" si="6"/>
        <v>7.500000000000001E-8</v>
      </c>
      <c r="D75" s="76">
        <v>1</v>
      </c>
      <c r="E75" s="76" t="s">
        <v>942</v>
      </c>
      <c r="F75" s="76" t="s">
        <v>168</v>
      </c>
      <c r="G75" s="76" t="s">
        <v>169</v>
      </c>
      <c r="H75" s="76" t="s">
        <v>170</v>
      </c>
      <c r="I75" s="76">
        <v>0</v>
      </c>
      <c r="J75" s="76">
        <f t="shared" si="5"/>
        <v>1.5000000000000002E-8</v>
      </c>
      <c r="K75" s="76"/>
      <c r="L75" s="76"/>
      <c r="M75" s="76" t="s">
        <v>163</v>
      </c>
      <c r="N75" s="76"/>
      <c r="O75" s="76"/>
      <c r="P75" s="76" t="s">
        <v>171</v>
      </c>
    </row>
    <row r="76" spans="2:16" ht="12.75" customHeight="1" x14ac:dyDescent="0.2">
      <c r="B76" s="76" t="s">
        <v>167</v>
      </c>
      <c r="C76" s="76">
        <f t="shared" si="6"/>
        <v>7.500000000000001E-8</v>
      </c>
      <c r="D76" s="76">
        <v>1</v>
      </c>
      <c r="E76" s="76" t="s">
        <v>943</v>
      </c>
      <c r="F76" s="76" t="s">
        <v>168</v>
      </c>
      <c r="G76" s="76" t="s">
        <v>169</v>
      </c>
      <c r="H76" s="76" t="s">
        <v>170</v>
      </c>
      <c r="I76" s="76">
        <v>0</v>
      </c>
      <c r="J76" s="76">
        <f t="shared" si="5"/>
        <v>1.5000000000000002E-8</v>
      </c>
      <c r="K76" s="76"/>
      <c r="L76" s="76"/>
      <c r="M76" s="76" t="s">
        <v>163</v>
      </c>
      <c r="N76" s="76"/>
      <c r="O76" s="76"/>
      <c r="P76" s="76" t="s">
        <v>171</v>
      </c>
    </row>
    <row r="77" spans="2:16" ht="12.75" customHeight="1" x14ac:dyDescent="0.2">
      <c r="B77" s="76" t="s">
        <v>167</v>
      </c>
      <c r="C77" s="76">
        <f t="shared" si="6"/>
        <v>7.500000000000001E-8</v>
      </c>
      <c r="D77" s="76">
        <v>1</v>
      </c>
      <c r="E77" s="76" t="s">
        <v>944</v>
      </c>
      <c r="F77" s="76" t="s">
        <v>168</v>
      </c>
      <c r="G77" s="76" t="s">
        <v>169</v>
      </c>
      <c r="H77" s="76" t="s">
        <v>170</v>
      </c>
      <c r="I77" s="76">
        <v>0</v>
      </c>
      <c r="J77" s="76">
        <f t="shared" si="5"/>
        <v>1.5000000000000002E-8</v>
      </c>
      <c r="K77" s="76"/>
      <c r="L77" s="76"/>
      <c r="M77" s="76" t="s">
        <v>163</v>
      </c>
      <c r="N77" s="76"/>
      <c r="O77" s="76"/>
      <c r="P77" s="76" t="s">
        <v>171</v>
      </c>
    </row>
    <row r="78" spans="2:16" ht="12.75" customHeight="1" x14ac:dyDescent="0.2">
      <c r="B78" s="76" t="s">
        <v>167</v>
      </c>
      <c r="C78" s="76">
        <f t="shared" si="6"/>
        <v>7.500000000000001E-8</v>
      </c>
      <c r="D78" s="76">
        <v>1</v>
      </c>
      <c r="E78" s="76" t="s">
        <v>945</v>
      </c>
      <c r="F78" s="76" t="s">
        <v>168</v>
      </c>
      <c r="G78" s="76" t="s">
        <v>169</v>
      </c>
      <c r="H78" s="76" t="s">
        <v>170</v>
      </c>
      <c r="I78" s="76">
        <v>0</v>
      </c>
      <c r="J78" s="76">
        <f t="shared" si="5"/>
        <v>1.5000000000000002E-8</v>
      </c>
      <c r="K78" s="76"/>
      <c r="L78" s="76"/>
      <c r="M78" s="76" t="s">
        <v>163</v>
      </c>
      <c r="N78" s="76"/>
      <c r="O78" s="76"/>
      <c r="P78" s="76" t="s">
        <v>171</v>
      </c>
    </row>
    <row r="79" spans="2:16" ht="12.75" customHeight="1" x14ac:dyDescent="0.2">
      <c r="B79" s="76" t="s">
        <v>167</v>
      </c>
      <c r="C79" s="76">
        <f t="shared" si="6"/>
        <v>7.500000000000001E-8</v>
      </c>
      <c r="D79" s="76">
        <v>1</v>
      </c>
      <c r="E79" s="76" t="s">
        <v>946</v>
      </c>
      <c r="F79" s="76" t="s">
        <v>168</v>
      </c>
      <c r="G79" s="76" t="s">
        <v>169</v>
      </c>
      <c r="H79" s="76" t="s">
        <v>170</v>
      </c>
      <c r="I79" s="76">
        <v>0</v>
      </c>
      <c r="J79" s="76">
        <f t="shared" si="5"/>
        <v>1.5000000000000002E-8</v>
      </c>
      <c r="K79" s="76"/>
      <c r="L79" s="76"/>
      <c r="M79" s="76" t="s">
        <v>163</v>
      </c>
      <c r="N79" s="76"/>
      <c r="O79" s="76"/>
      <c r="P79" s="76" t="s">
        <v>171</v>
      </c>
    </row>
    <row r="80" spans="2:16" ht="12.75" customHeight="1" x14ac:dyDescent="0.2">
      <c r="B80" s="76" t="s">
        <v>167</v>
      </c>
      <c r="C80" s="76">
        <f t="shared" si="6"/>
        <v>7.500000000000001E-8</v>
      </c>
      <c r="D80" s="76">
        <v>1</v>
      </c>
      <c r="E80" s="76" t="s">
        <v>97</v>
      </c>
      <c r="F80" s="76" t="s">
        <v>168</v>
      </c>
      <c r="G80" s="76" t="s">
        <v>169</v>
      </c>
      <c r="H80" s="76" t="s">
        <v>170</v>
      </c>
      <c r="I80" s="76">
        <v>0</v>
      </c>
      <c r="J80" s="76">
        <f t="shared" si="5"/>
        <v>1.5000000000000002E-8</v>
      </c>
      <c r="K80" s="76"/>
      <c r="L80" s="76"/>
      <c r="M80" s="76" t="s">
        <v>163</v>
      </c>
      <c r="N80" s="76"/>
      <c r="O80" s="76"/>
      <c r="P80" s="76" t="s">
        <v>171</v>
      </c>
    </row>
    <row r="81" spans="2:16" ht="12.75" customHeight="1" x14ac:dyDescent="0.2">
      <c r="B81" s="76" t="s">
        <v>167</v>
      </c>
      <c r="C81" s="76">
        <f t="shared" si="6"/>
        <v>7.500000000000001E-8</v>
      </c>
      <c r="D81" s="76">
        <v>1</v>
      </c>
      <c r="E81" s="76" t="s">
        <v>98</v>
      </c>
      <c r="F81" s="76" t="s">
        <v>168</v>
      </c>
      <c r="G81" s="76" t="s">
        <v>169</v>
      </c>
      <c r="H81" s="76" t="s">
        <v>170</v>
      </c>
      <c r="I81" s="76">
        <v>0</v>
      </c>
      <c r="J81" s="76">
        <f t="shared" si="5"/>
        <v>1.5000000000000002E-8</v>
      </c>
      <c r="K81" s="76"/>
      <c r="L81" s="76"/>
      <c r="M81" s="76" t="s">
        <v>163</v>
      </c>
      <c r="N81" s="76"/>
      <c r="O81" s="76"/>
      <c r="P81" s="76" t="s">
        <v>171</v>
      </c>
    </row>
    <row r="82" spans="2:16" ht="12.75" customHeight="1" x14ac:dyDescent="0.2">
      <c r="B82" s="76" t="s">
        <v>167</v>
      </c>
      <c r="C82" s="76">
        <f t="shared" si="6"/>
        <v>7.500000000000001E-8</v>
      </c>
      <c r="D82" s="76">
        <v>1</v>
      </c>
      <c r="E82" s="76" t="s">
        <v>103</v>
      </c>
      <c r="F82" s="76" t="s">
        <v>168</v>
      </c>
      <c r="G82" s="76" t="s">
        <v>169</v>
      </c>
      <c r="H82" s="76" t="s">
        <v>170</v>
      </c>
      <c r="I82" s="76">
        <v>0</v>
      </c>
      <c r="J82" s="76">
        <f t="shared" si="5"/>
        <v>1.5000000000000002E-8</v>
      </c>
      <c r="K82" s="76"/>
      <c r="L82" s="76"/>
      <c r="M82" s="76" t="s">
        <v>163</v>
      </c>
      <c r="N82" s="76"/>
      <c r="O82" s="76"/>
      <c r="P82" s="76" t="s">
        <v>171</v>
      </c>
    </row>
    <row r="83" spans="2:16" ht="12.75" customHeight="1" x14ac:dyDescent="0.2">
      <c r="B83" s="76" t="s">
        <v>167</v>
      </c>
      <c r="C83" s="76">
        <f t="shared" si="6"/>
        <v>7.500000000000001E-8</v>
      </c>
      <c r="D83" s="76">
        <v>1</v>
      </c>
      <c r="E83" s="76" t="s">
        <v>109</v>
      </c>
      <c r="F83" s="76" t="s">
        <v>168</v>
      </c>
      <c r="G83" s="76" t="s">
        <v>169</v>
      </c>
      <c r="H83" s="76" t="s">
        <v>170</v>
      </c>
      <c r="I83" s="76">
        <v>0</v>
      </c>
      <c r="J83" s="76">
        <f t="shared" si="5"/>
        <v>1.5000000000000002E-8</v>
      </c>
      <c r="K83" s="76"/>
      <c r="L83" s="76">
        <v>0</v>
      </c>
      <c r="M83" s="76" t="s">
        <v>172</v>
      </c>
      <c r="N83" s="76">
        <f>C83*0.9</f>
        <v>6.7500000000000015E-8</v>
      </c>
      <c r="O83" s="76"/>
      <c r="P83" s="76" t="s">
        <v>171</v>
      </c>
    </row>
    <row r="84" spans="2:16" ht="12.75" customHeight="1" x14ac:dyDescent="0.2">
      <c r="B84" s="76" t="s">
        <v>167</v>
      </c>
      <c r="C84" s="76">
        <f t="shared" si="6"/>
        <v>7.500000000000001E-8</v>
      </c>
      <c r="D84" s="76">
        <v>1</v>
      </c>
      <c r="E84" s="76" t="s">
        <v>111</v>
      </c>
      <c r="F84" s="76" t="s">
        <v>168</v>
      </c>
      <c r="G84" s="76" t="s">
        <v>169</v>
      </c>
      <c r="H84" s="76" t="s">
        <v>170</v>
      </c>
      <c r="I84" s="76">
        <v>0</v>
      </c>
      <c r="J84" s="76">
        <v>0</v>
      </c>
      <c r="K84" s="76"/>
      <c r="L84" s="76">
        <v>0</v>
      </c>
      <c r="M84" s="76" t="s">
        <v>172</v>
      </c>
      <c r="N84" s="76">
        <f>C84*0.9</f>
        <v>6.7500000000000015E-8</v>
      </c>
      <c r="O84" s="76"/>
      <c r="P84" s="76" t="s">
        <v>171</v>
      </c>
    </row>
    <row r="85" spans="2:16" ht="12.75" customHeight="1" x14ac:dyDescent="0.2">
      <c r="B85" s="76" t="s">
        <v>167</v>
      </c>
      <c r="C85" s="76">
        <f t="shared" si="6"/>
        <v>7.500000000000001E-8</v>
      </c>
      <c r="D85" s="76">
        <v>1</v>
      </c>
      <c r="E85" s="76" t="s">
        <v>120</v>
      </c>
      <c r="F85" s="76" t="s">
        <v>168</v>
      </c>
      <c r="G85" s="76" t="s">
        <v>169</v>
      </c>
      <c r="H85" s="76" t="s">
        <v>170</v>
      </c>
      <c r="I85" s="76">
        <v>0</v>
      </c>
      <c r="J85" s="76">
        <f>C85*0.2</f>
        <v>1.5000000000000002E-8</v>
      </c>
      <c r="K85" s="76"/>
      <c r="L85" s="76">
        <v>0</v>
      </c>
      <c r="M85" s="76" t="s">
        <v>172</v>
      </c>
      <c r="N85" s="76">
        <f>C85*0.9</f>
        <v>6.7500000000000015E-8</v>
      </c>
      <c r="O85" s="76"/>
      <c r="P85" s="76" t="s">
        <v>171</v>
      </c>
    </row>
    <row r="86" spans="2:16" ht="12.75" customHeight="1" x14ac:dyDescent="0.2">
      <c r="B86" s="76" t="s">
        <v>167</v>
      </c>
      <c r="C86" s="76">
        <f t="shared" si="6"/>
        <v>7.500000000000001E-8</v>
      </c>
      <c r="D86" s="76">
        <v>1</v>
      </c>
      <c r="E86" s="76" t="s">
        <v>121</v>
      </c>
      <c r="F86" s="76" t="s">
        <v>168</v>
      </c>
      <c r="G86" s="76" t="s">
        <v>169</v>
      </c>
      <c r="H86" s="76" t="s">
        <v>170</v>
      </c>
      <c r="I86" s="76">
        <v>0</v>
      </c>
      <c r="J86" s="76">
        <f>C86*0.2</f>
        <v>1.5000000000000002E-8</v>
      </c>
      <c r="K86" s="76"/>
      <c r="L86" s="76">
        <v>0</v>
      </c>
      <c r="M86" s="76" t="s">
        <v>172</v>
      </c>
      <c r="N86" s="76">
        <f>C86*0.9</f>
        <v>6.7500000000000015E-8</v>
      </c>
      <c r="O86" s="76"/>
      <c r="P86" s="76" t="s">
        <v>171</v>
      </c>
    </row>
  </sheetData>
  <autoFilter ref="E6:E7"/>
  <dataValidations count="1">
    <dataValidation type="list" allowBlank="1" showInputMessage="1" showErrorMessage="1" sqref="C3">
      <formula1>"Normal,Extended,Quad"</formula1>
    </dataValidation>
  </dataValidations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outlinePr summaryBelow="0" summaryRight="0"/>
  </sheetPr>
  <dimension ref="A1:P8"/>
  <sheetViews>
    <sheetView showGridLines="0" zoomScaleNormal="100" workbookViewId="0">
      <pane ySplit="6" topLeftCell="A7" activePane="bottomLeft" state="frozen"/>
      <selection pane="bottomLeft" activeCell="B7" sqref="B7"/>
    </sheetView>
  </sheetViews>
  <sheetFormatPr defaultRowHeight="12.75" x14ac:dyDescent="0.2"/>
  <cols>
    <col min="1" max="1" width="9.140625" style="75"/>
    <col min="2" max="3" width="13.42578125" style="75" customWidth="1"/>
    <col min="4" max="4" width="6.28515625" style="75" customWidth="1"/>
    <col min="5" max="5" width="13.42578125" style="75" customWidth="1"/>
    <col min="6" max="6" width="9.28515625" style="75" bestFit="1" customWidth="1"/>
    <col min="7" max="8" width="9.140625" style="75"/>
    <col min="9" max="12" width="13.42578125" style="75" customWidth="1"/>
    <col min="13" max="13" width="9.140625" style="75"/>
    <col min="14" max="15" width="13.42578125" style="75" customWidth="1"/>
    <col min="16" max="16" width="42.85546875" style="75" customWidth="1"/>
    <col min="17" max="16384" width="9.140625" style="75"/>
  </cols>
  <sheetData>
    <row r="1" spans="1:16" ht="25.5" customHeight="1" x14ac:dyDescent="0.2">
      <c r="A1" s="75" t="s">
        <v>61</v>
      </c>
      <c r="B1" s="75" t="s">
        <v>146</v>
      </c>
    </row>
    <row r="3" spans="1:16" x14ac:dyDescent="0.2">
      <c r="B3" s="1" t="s">
        <v>147</v>
      </c>
      <c r="C3" s="2" t="s">
        <v>237</v>
      </c>
      <c r="E3" s="1" t="s">
        <v>148</v>
      </c>
      <c r="F3" s="2">
        <f>1*us</f>
        <v>9.9999999999999995E-7</v>
      </c>
      <c r="H3" s="1" t="s">
        <v>149</v>
      </c>
      <c r="I3" s="2">
        <f>1*us</f>
        <v>9.9999999999999995E-7</v>
      </c>
    </row>
    <row r="5" spans="1:16" x14ac:dyDescent="0.2">
      <c r="C5" s="75" t="s">
        <v>150</v>
      </c>
      <c r="E5" s="75" t="s">
        <v>151</v>
      </c>
      <c r="G5" s="75" t="s">
        <v>152</v>
      </c>
      <c r="I5" s="75" t="s">
        <v>153</v>
      </c>
      <c r="M5" s="75" t="s">
        <v>154</v>
      </c>
    </row>
    <row r="6" spans="1:16" x14ac:dyDescent="0.2">
      <c r="B6" s="75" t="s">
        <v>155</v>
      </c>
      <c r="C6" s="75" t="s">
        <v>156</v>
      </c>
      <c r="D6" s="75" t="s">
        <v>157</v>
      </c>
      <c r="E6" s="75" t="s">
        <v>20</v>
      </c>
      <c r="F6" s="75" t="s">
        <v>158</v>
      </c>
      <c r="G6" s="75" t="s">
        <v>159</v>
      </c>
      <c r="H6" s="75" t="s">
        <v>160</v>
      </c>
      <c r="I6" s="75" t="s">
        <v>161</v>
      </c>
      <c r="J6" s="75" t="s">
        <v>152</v>
      </c>
      <c r="K6" s="75" t="s">
        <v>162</v>
      </c>
      <c r="L6" s="75" t="s">
        <v>163</v>
      </c>
      <c r="M6" s="75" t="s">
        <v>164</v>
      </c>
      <c r="N6" s="75" t="s">
        <v>165</v>
      </c>
      <c r="O6" s="75" t="s">
        <v>166</v>
      </c>
      <c r="P6" s="75" t="s">
        <v>4</v>
      </c>
    </row>
    <row r="7" spans="1:16" ht="19.149999999999999" customHeight="1" x14ac:dyDescent="0.2">
      <c r="B7" s="76" t="s">
        <v>167</v>
      </c>
      <c r="C7" s="76">
        <f>0.000001</f>
        <v>9.9999999999999995E-7</v>
      </c>
      <c r="D7" s="76"/>
      <c r="E7" s="76" t="s">
        <v>947</v>
      </c>
      <c r="F7" s="76" t="s">
        <v>168</v>
      </c>
      <c r="G7" s="76" t="s">
        <v>169</v>
      </c>
      <c r="H7" s="76" t="s">
        <v>170</v>
      </c>
      <c r="I7" s="76">
        <v>0</v>
      </c>
      <c r="J7" s="76">
        <v>0</v>
      </c>
      <c r="K7" s="76"/>
      <c r="L7" s="76">
        <f>C7</f>
        <v>9.9999999999999995E-7</v>
      </c>
      <c r="M7" s="76" t="s">
        <v>172</v>
      </c>
      <c r="N7" s="76">
        <f>0.9*C7</f>
        <v>8.9999999999999996E-7</v>
      </c>
      <c r="O7" s="76"/>
      <c r="P7" s="76"/>
    </row>
    <row r="8" spans="1:16" ht="12.75" customHeight="1" x14ac:dyDescent="0.2">
      <c r="B8" s="76" t="s">
        <v>167</v>
      </c>
      <c r="C8" s="76">
        <f>0.000001</f>
        <v>9.9999999999999995E-7</v>
      </c>
      <c r="D8" s="76"/>
      <c r="E8" s="76" t="s">
        <v>175</v>
      </c>
      <c r="F8" s="76" t="s">
        <v>168</v>
      </c>
      <c r="G8" s="76" t="s">
        <v>169</v>
      </c>
      <c r="H8" s="76" t="s">
        <v>170</v>
      </c>
      <c r="I8" s="76">
        <v>0</v>
      </c>
      <c r="J8" s="76">
        <v>0</v>
      </c>
      <c r="K8" s="76"/>
      <c r="L8" s="76">
        <f>C8</f>
        <v>9.9999999999999995E-7</v>
      </c>
      <c r="M8" s="76" t="s">
        <v>172</v>
      </c>
      <c r="N8" s="76">
        <f>0.9*C8</f>
        <v>8.9999999999999996E-7</v>
      </c>
      <c r="O8" s="76"/>
      <c r="P8" s="76" t="s">
        <v>837</v>
      </c>
    </row>
  </sheetData>
  <autoFilter ref="E6:E7"/>
  <dataValidations count="1">
    <dataValidation type="list" allowBlank="1" showInputMessage="1" showErrorMessage="1" sqref="C3">
      <formula1>"Normal,Extended,Quad"</formula1>
    </dataValidation>
  </dataValidations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outlinePr summaryBelow="0" summaryRight="0"/>
  </sheetPr>
  <dimension ref="A1:P87"/>
  <sheetViews>
    <sheetView showGridLines="0" zoomScaleNormal="100" workbookViewId="0">
      <pane ySplit="6" topLeftCell="A7" activePane="bottomLeft" state="frozen"/>
      <selection pane="bottomLeft" activeCell="A7" sqref="A7"/>
    </sheetView>
  </sheetViews>
  <sheetFormatPr defaultRowHeight="12.75" x14ac:dyDescent="0.2"/>
  <cols>
    <col min="1" max="1" width="9.140625" style="75"/>
    <col min="2" max="3" width="13.42578125" style="75" customWidth="1"/>
    <col min="4" max="4" width="6.28515625" style="75" customWidth="1"/>
    <col min="5" max="5" width="13.42578125" style="75" customWidth="1"/>
    <col min="6" max="6" width="9.28515625" style="75" bestFit="1" customWidth="1"/>
    <col min="7" max="8" width="9.140625" style="75"/>
    <col min="9" max="12" width="13.42578125" style="75" customWidth="1"/>
    <col min="13" max="13" width="9.140625" style="75"/>
    <col min="14" max="15" width="13.42578125" style="75" customWidth="1"/>
    <col min="16" max="16" width="42.85546875" style="75" customWidth="1"/>
    <col min="17" max="16384" width="9.140625" style="75"/>
  </cols>
  <sheetData>
    <row r="1" spans="1:16" ht="25.5" customHeight="1" x14ac:dyDescent="0.2">
      <c r="A1" s="75" t="s">
        <v>61</v>
      </c>
      <c r="B1" s="75" t="s">
        <v>146</v>
      </c>
    </row>
    <row r="3" spans="1:16" x14ac:dyDescent="0.2">
      <c r="B3" s="1" t="s">
        <v>147</v>
      </c>
      <c r="C3" s="2" t="s">
        <v>237</v>
      </c>
      <c r="E3" s="1" t="s">
        <v>148</v>
      </c>
      <c r="F3" s="2">
        <f>1*us</f>
        <v>9.9999999999999995E-7</v>
      </c>
      <c r="H3" s="1" t="s">
        <v>149</v>
      </c>
      <c r="I3" s="2">
        <f>1*us</f>
        <v>9.9999999999999995E-7</v>
      </c>
    </row>
    <row r="5" spans="1:16" x14ac:dyDescent="0.2">
      <c r="C5" s="75" t="s">
        <v>150</v>
      </c>
      <c r="E5" s="75" t="s">
        <v>151</v>
      </c>
      <c r="G5" s="75" t="s">
        <v>152</v>
      </c>
      <c r="I5" s="75" t="s">
        <v>153</v>
      </c>
      <c r="M5" s="75" t="s">
        <v>154</v>
      </c>
    </row>
    <row r="6" spans="1:16" x14ac:dyDescent="0.2">
      <c r="B6" s="75" t="s">
        <v>155</v>
      </c>
      <c r="C6" s="75" t="s">
        <v>156</v>
      </c>
      <c r="D6" s="75" t="s">
        <v>157</v>
      </c>
      <c r="E6" s="75" t="s">
        <v>20</v>
      </c>
      <c r="F6" s="75" t="s">
        <v>158</v>
      </c>
      <c r="G6" s="75" t="s">
        <v>159</v>
      </c>
      <c r="H6" s="75" t="s">
        <v>160</v>
      </c>
      <c r="I6" s="75" t="s">
        <v>161</v>
      </c>
      <c r="J6" s="75" t="s">
        <v>152</v>
      </c>
      <c r="K6" s="75" t="s">
        <v>162</v>
      </c>
      <c r="L6" s="75" t="s">
        <v>163</v>
      </c>
      <c r="M6" s="75" t="s">
        <v>164</v>
      </c>
      <c r="N6" s="75" t="s">
        <v>165</v>
      </c>
      <c r="O6" s="75" t="s">
        <v>166</v>
      </c>
      <c r="P6" s="75" t="s">
        <v>4</v>
      </c>
    </row>
    <row r="7" spans="1:16" ht="19.149999999999999" customHeight="1" x14ac:dyDescent="0.2">
      <c r="B7" s="76" t="s">
        <v>167</v>
      </c>
      <c r="C7" s="76">
        <f t="shared" ref="C7:C38" si="0">20*ns</f>
        <v>2E-8</v>
      </c>
      <c r="D7" s="76"/>
      <c r="E7" s="76" t="s">
        <v>893</v>
      </c>
      <c r="F7" s="76" t="s">
        <v>168</v>
      </c>
      <c r="G7" s="76" t="s">
        <v>169</v>
      </c>
      <c r="H7" s="76" t="s">
        <v>170</v>
      </c>
      <c r="I7" s="76">
        <v>0</v>
      </c>
      <c r="J7" s="76">
        <f>C7*0.1</f>
        <v>2.0000000000000001E-9</v>
      </c>
      <c r="K7" s="76"/>
      <c r="L7" s="76">
        <f t="shared" ref="L7:L38" si="1">C7</f>
        <v>2E-8</v>
      </c>
      <c r="M7" s="76" t="s">
        <v>163</v>
      </c>
      <c r="N7" s="76"/>
      <c r="O7" s="76"/>
      <c r="P7" s="76" t="s">
        <v>171</v>
      </c>
    </row>
    <row r="8" spans="1:16" ht="12.75" customHeight="1" x14ac:dyDescent="0.2">
      <c r="B8" s="76" t="s">
        <v>167</v>
      </c>
      <c r="C8" s="76">
        <f t="shared" si="0"/>
        <v>2E-8</v>
      </c>
      <c r="D8" s="76"/>
      <c r="E8" s="76" t="s">
        <v>894</v>
      </c>
      <c r="F8" s="76" t="s">
        <v>168</v>
      </c>
      <c r="G8" s="76" t="s">
        <v>169</v>
      </c>
      <c r="H8" s="76" t="s">
        <v>170</v>
      </c>
      <c r="I8" s="76">
        <v>0</v>
      </c>
      <c r="J8" s="76">
        <f>C8*0.2</f>
        <v>4.0000000000000002E-9</v>
      </c>
      <c r="K8" s="76"/>
      <c r="L8" s="76">
        <f t="shared" si="1"/>
        <v>2E-8</v>
      </c>
      <c r="M8" s="76" t="s">
        <v>163</v>
      </c>
      <c r="N8" s="76">
        <f>C8*0.9</f>
        <v>1.8000000000000002E-8</v>
      </c>
      <c r="O8" s="76"/>
      <c r="P8" s="76" t="s">
        <v>171</v>
      </c>
    </row>
    <row r="9" spans="1:16" ht="12.75" customHeight="1" x14ac:dyDescent="0.2">
      <c r="B9" s="76" t="s">
        <v>167</v>
      </c>
      <c r="C9" s="76">
        <f t="shared" si="0"/>
        <v>2E-8</v>
      </c>
      <c r="D9" s="76"/>
      <c r="E9" s="76" t="s">
        <v>896</v>
      </c>
      <c r="F9" s="76" t="s">
        <v>168</v>
      </c>
      <c r="G9" s="76" t="s">
        <v>169</v>
      </c>
      <c r="H9" s="76" t="s">
        <v>170</v>
      </c>
      <c r="I9" s="76">
        <v>0</v>
      </c>
      <c r="J9" s="76">
        <f>C9*0.2</f>
        <v>4.0000000000000002E-9</v>
      </c>
      <c r="K9" s="76"/>
      <c r="L9" s="76">
        <f t="shared" si="1"/>
        <v>2E-8</v>
      </c>
      <c r="M9" s="76" t="s">
        <v>163</v>
      </c>
      <c r="N9" s="76">
        <f>C9*0.9</f>
        <v>1.8000000000000002E-8</v>
      </c>
      <c r="O9" s="76"/>
      <c r="P9" s="76" t="s">
        <v>171</v>
      </c>
    </row>
    <row r="10" spans="1:16" ht="12.75" customHeight="1" x14ac:dyDescent="0.2">
      <c r="B10" s="76" t="s">
        <v>167</v>
      </c>
      <c r="C10" s="76">
        <f t="shared" si="0"/>
        <v>2E-8</v>
      </c>
      <c r="D10" s="76"/>
      <c r="E10" s="76" t="s">
        <v>897</v>
      </c>
      <c r="F10" s="76" t="s">
        <v>168</v>
      </c>
      <c r="G10" s="76" t="s">
        <v>169</v>
      </c>
      <c r="H10" s="76" t="s">
        <v>170</v>
      </c>
      <c r="I10" s="76">
        <v>0</v>
      </c>
      <c r="J10" s="76">
        <f>C10*0.1</f>
        <v>2.0000000000000001E-9</v>
      </c>
      <c r="K10" s="76"/>
      <c r="L10" s="76">
        <f t="shared" si="1"/>
        <v>2E-8</v>
      </c>
      <c r="M10" s="76" t="s">
        <v>163</v>
      </c>
      <c r="N10" s="76">
        <f>C10*0.9</f>
        <v>1.8000000000000002E-8</v>
      </c>
      <c r="O10" s="76"/>
      <c r="P10" s="76" t="s">
        <v>171</v>
      </c>
    </row>
    <row r="11" spans="1:16" ht="12.75" customHeight="1" x14ac:dyDescent="0.2">
      <c r="B11" s="76" t="s">
        <v>167</v>
      </c>
      <c r="C11" s="76">
        <f t="shared" si="0"/>
        <v>2E-8</v>
      </c>
      <c r="D11" s="76"/>
      <c r="E11" s="76" t="s">
        <v>895</v>
      </c>
      <c r="F11" s="76" t="s">
        <v>168</v>
      </c>
      <c r="G11" s="76" t="s">
        <v>169</v>
      </c>
      <c r="H11" s="76" t="s">
        <v>170</v>
      </c>
      <c r="I11" s="76">
        <v>0</v>
      </c>
      <c r="J11" s="76">
        <v>0</v>
      </c>
      <c r="K11" s="76"/>
      <c r="L11" s="76">
        <f t="shared" si="1"/>
        <v>2E-8</v>
      </c>
      <c r="M11" s="76" t="s">
        <v>172</v>
      </c>
      <c r="N11" s="76">
        <f>C11*0.9</f>
        <v>1.8000000000000002E-8</v>
      </c>
      <c r="O11" s="76"/>
      <c r="P11" s="76" t="s">
        <v>171</v>
      </c>
    </row>
    <row r="12" spans="1:16" ht="12.75" customHeight="1" x14ac:dyDescent="0.2">
      <c r="B12" s="76" t="s">
        <v>167</v>
      </c>
      <c r="C12" s="76">
        <f t="shared" si="0"/>
        <v>2E-8</v>
      </c>
      <c r="D12" s="76"/>
      <c r="E12" s="76" t="s">
        <v>909</v>
      </c>
      <c r="F12" s="76" t="s">
        <v>168</v>
      </c>
      <c r="G12" s="76" t="s">
        <v>169</v>
      </c>
      <c r="H12" s="76" t="s">
        <v>170</v>
      </c>
      <c r="I12" s="76">
        <v>0</v>
      </c>
      <c r="J12" s="76">
        <f>C12*0.1</f>
        <v>2.0000000000000001E-9</v>
      </c>
      <c r="K12" s="76"/>
      <c r="L12" s="76">
        <f t="shared" si="1"/>
        <v>2E-8</v>
      </c>
      <c r="M12" s="76" t="s">
        <v>163</v>
      </c>
      <c r="N12" s="76"/>
      <c r="O12" s="76"/>
      <c r="P12" s="76" t="s">
        <v>171</v>
      </c>
    </row>
    <row r="13" spans="1:16" ht="12.75" customHeight="1" x14ac:dyDescent="0.2">
      <c r="B13" s="76" t="s">
        <v>167</v>
      </c>
      <c r="C13" s="76">
        <f t="shared" si="0"/>
        <v>2E-8</v>
      </c>
      <c r="D13" s="76"/>
      <c r="E13" s="76" t="s">
        <v>908</v>
      </c>
      <c r="F13" s="76" t="s">
        <v>168</v>
      </c>
      <c r="G13" s="76" t="s">
        <v>169</v>
      </c>
      <c r="H13" s="76" t="s">
        <v>170</v>
      </c>
      <c r="I13" s="76">
        <v>0</v>
      </c>
      <c r="J13" s="76">
        <f>C13*0.2</f>
        <v>4.0000000000000002E-9</v>
      </c>
      <c r="K13" s="76"/>
      <c r="L13" s="76">
        <f t="shared" si="1"/>
        <v>2E-8</v>
      </c>
      <c r="M13" s="76" t="s">
        <v>163</v>
      </c>
      <c r="N13" s="76"/>
      <c r="O13" s="76"/>
      <c r="P13" s="76" t="s">
        <v>171</v>
      </c>
    </row>
    <row r="14" spans="1:16" ht="12.75" customHeight="1" x14ac:dyDescent="0.2">
      <c r="B14" s="76" t="s">
        <v>167</v>
      </c>
      <c r="C14" s="76">
        <f t="shared" si="0"/>
        <v>2E-8</v>
      </c>
      <c r="D14" s="76"/>
      <c r="E14" s="76" t="s">
        <v>910</v>
      </c>
      <c r="F14" s="76" t="s">
        <v>168</v>
      </c>
      <c r="G14" s="76" t="s">
        <v>169</v>
      </c>
      <c r="H14" s="76" t="s">
        <v>170</v>
      </c>
      <c r="I14" s="76">
        <v>0</v>
      </c>
      <c r="J14" s="76">
        <f>C14*0.2</f>
        <v>4.0000000000000002E-9</v>
      </c>
      <c r="K14" s="76"/>
      <c r="L14" s="76">
        <f t="shared" si="1"/>
        <v>2E-8</v>
      </c>
      <c r="M14" s="76" t="s">
        <v>163</v>
      </c>
      <c r="N14" s="76"/>
      <c r="O14" s="76"/>
      <c r="P14" s="76" t="s">
        <v>171</v>
      </c>
    </row>
    <row r="15" spans="1:16" ht="12.75" customHeight="1" x14ac:dyDescent="0.2">
      <c r="B15" s="76" t="s">
        <v>167</v>
      </c>
      <c r="C15" s="76">
        <f t="shared" si="0"/>
        <v>2E-8</v>
      </c>
      <c r="D15" s="76"/>
      <c r="E15" s="76" t="s">
        <v>911</v>
      </c>
      <c r="F15" s="76" t="s">
        <v>168</v>
      </c>
      <c r="G15" s="76" t="s">
        <v>169</v>
      </c>
      <c r="H15" s="76" t="s">
        <v>170</v>
      </c>
      <c r="I15" s="76">
        <v>0</v>
      </c>
      <c r="J15" s="76">
        <v>0</v>
      </c>
      <c r="K15" s="76"/>
      <c r="L15" s="76">
        <f t="shared" si="1"/>
        <v>2E-8</v>
      </c>
      <c r="M15" s="76" t="s">
        <v>172</v>
      </c>
      <c r="N15" s="76">
        <f>C15*0.9+(0*ns)</f>
        <v>1.8000000000000002E-8</v>
      </c>
      <c r="O15" s="76"/>
      <c r="P15" s="76" t="s">
        <v>337</v>
      </c>
    </row>
    <row r="16" spans="1:16" ht="12.75" customHeight="1" x14ac:dyDescent="0.2">
      <c r="B16" s="76" t="s">
        <v>167</v>
      </c>
      <c r="C16" s="76">
        <f t="shared" si="0"/>
        <v>2E-8</v>
      </c>
      <c r="D16" s="76"/>
      <c r="E16" s="76" t="s">
        <v>95</v>
      </c>
      <c r="F16" s="76" t="s">
        <v>168</v>
      </c>
      <c r="G16" s="76" t="s">
        <v>169</v>
      </c>
      <c r="H16" s="76" t="s">
        <v>170</v>
      </c>
      <c r="I16" s="76">
        <v>0</v>
      </c>
      <c r="J16" s="76">
        <f>C16*0.1</f>
        <v>2.0000000000000001E-9</v>
      </c>
      <c r="K16" s="76"/>
      <c r="L16" s="76">
        <f t="shared" si="1"/>
        <v>2E-8</v>
      </c>
      <c r="M16" s="76" t="s">
        <v>163</v>
      </c>
      <c r="N16" s="76"/>
      <c r="O16" s="76"/>
      <c r="P16" s="76" t="s">
        <v>171</v>
      </c>
    </row>
    <row r="17" spans="2:16" ht="12.75" customHeight="1" x14ac:dyDescent="0.2">
      <c r="B17" s="76" t="s">
        <v>167</v>
      </c>
      <c r="C17" s="76">
        <f t="shared" si="0"/>
        <v>2E-8</v>
      </c>
      <c r="D17" s="76"/>
      <c r="E17" s="76" t="s">
        <v>96</v>
      </c>
      <c r="F17" s="76" t="s">
        <v>168</v>
      </c>
      <c r="G17" s="76" t="s">
        <v>169</v>
      </c>
      <c r="H17" s="76" t="s">
        <v>170</v>
      </c>
      <c r="I17" s="76">
        <v>0</v>
      </c>
      <c r="J17" s="76">
        <f>C17*0.1</f>
        <v>2.0000000000000001E-9</v>
      </c>
      <c r="K17" s="76"/>
      <c r="L17" s="76">
        <f t="shared" si="1"/>
        <v>2E-8</v>
      </c>
      <c r="M17" s="76" t="s">
        <v>163</v>
      </c>
      <c r="N17" s="76"/>
      <c r="O17" s="76"/>
      <c r="P17" s="76" t="s">
        <v>171</v>
      </c>
    </row>
    <row r="18" spans="2:16" ht="12.75" customHeight="1" x14ac:dyDescent="0.2">
      <c r="B18" s="76" t="s">
        <v>167</v>
      </c>
      <c r="C18" s="76">
        <f t="shared" si="0"/>
        <v>2E-8</v>
      </c>
      <c r="D18" s="76"/>
      <c r="E18" s="76" t="s">
        <v>122</v>
      </c>
      <c r="F18" s="76" t="s">
        <v>168</v>
      </c>
      <c r="G18" s="76" t="s">
        <v>169</v>
      </c>
      <c r="H18" s="76" t="s">
        <v>170</v>
      </c>
      <c r="I18" s="76">
        <v>0</v>
      </c>
      <c r="J18" s="76">
        <f t="shared" ref="J18:J33" si="2">C18*0.2</f>
        <v>4.0000000000000002E-9</v>
      </c>
      <c r="K18" s="76"/>
      <c r="L18" s="76">
        <f t="shared" si="1"/>
        <v>2E-8</v>
      </c>
      <c r="M18" s="76" t="s">
        <v>172</v>
      </c>
      <c r="N18" s="76">
        <f t="shared" ref="N18:N34" si="3">C18*0.9</f>
        <v>1.8000000000000002E-8</v>
      </c>
      <c r="O18" s="76"/>
      <c r="P18" s="76" t="s">
        <v>171</v>
      </c>
    </row>
    <row r="19" spans="2:16" ht="12.75" customHeight="1" x14ac:dyDescent="0.2">
      <c r="B19" s="76" t="s">
        <v>167</v>
      </c>
      <c r="C19" s="76">
        <f t="shared" si="0"/>
        <v>2E-8</v>
      </c>
      <c r="D19" s="76"/>
      <c r="E19" s="76" t="s">
        <v>123</v>
      </c>
      <c r="F19" s="76" t="s">
        <v>168</v>
      </c>
      <c r="G19" s="76" t="s">
        <v>169</v>
      </c>
      <c r="H19" s="76" t="s">
        <v>170</v>
      </c>
      <c r="I19" s="76">
        <v>0</v>
      </c>
      <c r="J19" s="76">
        <f t="shared" si="2"/>
        <v>4.0000000000000002E-9</v>
      </c>
      <c r="K19" s="76"/>
      <c r="L19" s="76">
        <f t="shared" si="1"/>
        <v>2E-8</v>
      </c>
      <c r="M19" s="76" t="s">
        <v>172</v>
      </c>
      <c r="N19" s="76">
        <f t="shared" si="3"/>
        <v>1.8000000000000002E-8</v>
      </c>
      <c r="O19" s="76"/>
      <c r="P19" s="76" t="s">
        <v>171</v>
      </c>
    </row>
    <row r="20" spans="2:16" ht="12.75" customHeight="1" x14ac:dyDescent="0.2">
      <c r="B20" s="76" t="s">
        <v>167</v>
      </c>
      <c r="C20" s="76">
        <f t="shared" si="0"/>
        <v>2E-8</v>
      </c>
      <c r="D20" s="76"/>
      <c r="E20" s="76" t="s">
        <v>124</v>
      </c>
      <c r="F20" s="76" t="s">
        <v>168</v>
      </c>
      <c r="G20" s="76" t="s">
        <v>169</v>
      </c>
      <c r="H20" s="76" t="s">
        <v>170</v>
      </c>
      <c r="I20" s="76">
        <v>0</v>
      </c>
      <c r="J20" s="76">
        <f t="shared" si="2"/>
        <v>4.0000000000000002E-9</v>
      </c>
      <c r="K20" s="76"/>
      <c r="L20" s="76">
        <f t="shared" si="1"/>
        <v>2E-8</v>
      </c>
      <c r="M20" s="76" t="s">
        <v>172</v>
      </c>
      <c r="N20" s="76">
        <f t="shared" si="3"/>
        <v>1.8000000000000002E-8</v>
      </c>
      <c r="O20" s="76"/>
      <c r="P20" s="76" t="s">
        <v>171</v>
      </c>
    </row>
    <row r="21" spans="2:16" ht="12.75" customHeight="1" x14ac:dyDescent="0.2">
      <c r="B21" s="76" t="s">
        <v>167</v>
      </c>
      <c r="C21" s="76">
        <f t="shared" si="0"/>
        <v>2E-8</v>
      </c>
      <c r="D21" s="76"/>
      <c r="E21" s="76" t="s">
        <v>125</v>
      </c>
      <c r="F21" s="76" t="s">
        <v>168</v>
      </c>
      <c r="G21" s="76" t="s">
        <v>169</v>
      </c>
      <c r="H21" s="76" t="s">
        <v>170</v>
      </c>
      <c r="I21" s="76">
        <v>0</v>
      </c>
      <c r="J21" s="76">
        <f t="shared" si="2"/>
        <v>4.0000000000000002E-9</v>
      </c>
      <c r="K21" s="76"/>
      <c r="L21" s="76">
        <f t="shared" si="1"/>
        <v>2E-8</v>
      </c>
      <c r="M21" s="76" t="s">
        <v>172</v>
      </c>
      <c r="N21" s="76">
        <f t="shared" si="3"/>
        <v>1.8000000000000002E-8</v>
      </c>
      <c r="O21" s="76"/>
      <c r="P21" s="76" t="s">
        <v>171</v>
      </c>
    </row>
    <row r="22" spans="2:16" ht="12.75" customHeight="1" x14ac:dyDescent="0.2">
      <c r="B22" s="76" t="s">
        <v>167</v>
      </c>
      <c r="C22" s="76">
        <f t="shared" si="0"/>
        <v>2E-8</v>
      </c>
      <c r="D22" s="76"/>
      <c r="E22" s="76" t="s">
        <v>126</v>
      </c>
      <c r="F22" s="76" t="s">
        <v>168</v>
      </c>
      <c r="G22" s="76" t="s">
        <v>169</v>
      </c>
      <c r="H22" s="76" t="s">
        <v>170</v>
      </c>
      <c r="I22" s="76">
        <v>0</v>
      </c>
      <c r="J22" s="76">
        <f t="shared" si="2"/>
        <v>4.0000000000000002E-9</v>
      </c>
      <c r="K22" s="76"/>
      <c r="L22" s="76">
        <f t="shared" si="1"/>
        <v>2E-8</v>
      </c>
      <c r="M22" s="76" t="s">
        <v>172</v>
      </c>
      <c r="N22" s="76">
        <f t="shared" si="3"/>
        <v>1.8000000000000002E-8</v>
      </c>
      <c r="O22" s="76"/>
      <c r="P22" s="76" t="s">
        <v>171</v>
      </c>
    </row>
    <row r="23" spans="2:16" ht="12.75" customHeight="1" x14ac:dyDescent="0.2">
      <c r="B23" s="76" t="s">
        <v>167</v>
      </c>
      <c r="C23" s="76">
        <f t="shared" si="0"/>
        <v>2E-8</v>
      </c>
      <c r="D23" s="76"/>
      <c r="E23" s="76" t="s">
        <v>127</v>
      </c>
      <c r="F23" s="76" t="s">
        <v>168</v>
      </c>
      <c r="G23" s="76" t="s">
        <v>169</v>
      </c>
      <c r="H23" s="76" t="s">
        <v>170</v>
      </c>
      <c r="I23" s="76">
        <v>0</v>
      </c>
      <c r="J23" s="76">
        <f t="shared" si="2"/>
        <v>4.0000000000000002E-9</v>
      </c>
      <c r="K23" s="76"/>
      <c r="L23" s="76">
        <f t="shared" si="1"/>
        <v>2E-8</v>
      </c>
      <c r="M23" s="76" t="s">
        <v>172</v>
      </c>
      <c r="N23" s="76">
        <f t="shared" si="3"/>
        <v>1.8000000000000002E-8</v>
      </c>
      <c r="O23" s="76"/>
      <c r="P23" s="76" t="s">
        <v>171</v>
      </c>
    </row>
    <row r="24" spans="2:16" ht="12.75" customHeight="1" x14ac:dyDescent="0.2">
      <c r="B24" s="76" t="s">
        <v>167</v>
      </c>
      <c r="C24" s="76">
        <f t="shared" si="0"/>
        <v>2E-8</v>
      </c>
      <c r="D24" s="76"/>
      <c r="E24" s="76" t="s">
        <v>128</v>
      </c>
      <c r="F24" s="76" t="s">
        <v>168</v>
      </c>
      <c r="G24" s="76" t="s">
        <v>169</v>
      </c>
      <c r="H24" s="76" t="s">
        <v>170</v>
      </c>
      <c r="I24" s="76">
        <v>0</v>
      </c>
      <c r="J24" s="76">
        <f t="shared" si="2"/>
        <v>4.0000000000000002E-9</v>
      </c>
      <c r="K24" s="76"/>
      <c r="L24" s="76">
        <f t="shared" si="1"/>
        <v>2E-8</v>
      </c>
      <c r="M24" s="76" t="s">
        <v>172</v>
      </c>
      <c r="N24" s="76">
        <f t="shared" si="3"/>
        <v>1.8000000000000002E-8</v>
      </c>
      <c r="O24" s="76"/>
      <c r="P24" s="76" t="s">
        <v>171</v>
      </c>
    </row>
    <row r="25" spans="2:16" ht="12.75" customHeight="1" x14ac:dyDescent="0.2">
      <c r="B25" s="76" t="s">
        <v>167</v>
      </c>
      <c r="C25" s="76">
        <f t="shared" si="0"/>
        <v>2E-8</v>
      </c>
      <c r="D25" s="76"/>
      <c r="E25" s="76" t="s">
        <v>129</v>
      </c>
      <c r="F25" s="76" t="s">
        <v>168</v>
      </c>
      <c r="G25" s="76" t="s">
        <v>169</v>
      </c>
      <c r="H25" s="76" t="s">
        <v>170</v>
      </c>
      <c r="I25" s="76">
        <v>0</v>
      </c>
      <c r="J25" s="76">
        <f t="shared" si="2"/>
        <v>4.0000000000000002E-9</v>
      </c>
      <c r="K25" s="76"/>
      <c r="L25" s="76">
        <f t="shared" si="1"/>
        <v>2E-8</v>
      </c>
      <c r="M25" s="76" t="s">
        <v>172</v>
      </c>
      <c r="N25" s="76">
        <f t="shared" si="3"/>
        <v>1.8000000000000002E-8</v>
      </c>
      <c r="O25" s="76"/>
      <c r="P25" s="76" t="s">
        <v>171</v>
      </c>
    </row>
    <row r="26" spans="2:16" ht="12.75" customHeight="1" x14ac:dyDescent="0.2">
      <c r="B26" s="76" t="s">
        <v>167</v>
      </c>
      <c r="C26" s="76">
        <f t="shared" si="0"/>
        <v>2E-8</v>
      </c>
      <c r="D26" s="76"/>
      <c r="E26" s="76" t="s">
        <v>130</v>
      </c>
      <c r="F26" s="76" t="s">
        <v>168</v>
      </c>
      <c r="G26" s="76" t="s">
        <v>169</v>
      </c>
      <c r="H26" s="76" t="s">
        <v>170</v>
      </c>
      <c r="I26" s="76">
        <v>0</v>
      </c>
      <c r="J26" s="76">
        <f t="shared" si="2"/>
        <v>4.0000000000000002E-9</v>
      </c>
      <c r="K26" s="76"/>
      <c r="L26" s="76">
        <f t="shared" si="1"/>
        <v>2E-8</v>
      </c>
      <c r="M26" s="76" t="s">
        <v>172</v>
      </c>
      <c r="N26" s="76">
        <f t="shared" si="3"/>
        <v>1.8000000000000002E-8</v>
      </c>
      <c r="O26" s="76"/>
      <c r="P26" s="76" t="s">
        <v>171</v>
      </c>
    </row>
    <row r="27" spans="2:16" ht="12.75" customHeight="1" x14ac:dyDescent="0.2">
      <c r="B27" s="76" t="s">
        <v>167</v>
      </c>
      <c r="C27" s="76">
        <f t="shared" si="0"/>
        <v>2E-8</v>
      </c>
      <c r="D27" s="76"/>
      <c r="E27" s="76" t="s">
        <v>131</v>
      </c>
      <c r="F27" s="76" t="s">
        <v>168</v>
      </c>
      <c r="G27" s="76" t="s">
        <v>169</v>
      </c>
      <c r="H27" s="76" t="s">
        <v>170</v>
      </c>
      <c r="I27" s="76">
        <v>0</v>
      </c>
      <c r="J27" s="76">
        <f t="shared" si="2"/>
        <v>4.0000000000000002E-9</v>
      </c>
      <c r="K27" s="76"/>
      <c r="L27" s="76">
        <f t="shared" si="1"/>
        <v>2E-8</v>
      </c>
      <c r="M27" s="76" t="s">
        <v>172</v>
      </c>
      <c r="N27" s="76">
        <f t="shared" si="3"/>
        <v>1.8000000000000002E-8</v>
      </c>
      <c r="O27" s="76"/>
      <c r="P27" s="76" t="s">
        <v>171</v>
      </c>
    </row>
    <row r="28" spans="2:16" ht="12.75" customHeight="1" x14ac:dyDescent="0.2">
      <c r="B28" s="76" t="s">
        <v>167</v>
      </c>
      <c r="C28" s="76">
        <f t="shared" si="0"/>
        <v>2E-8</v>
      </c>
      <c r="D28" s="76"/>
      <c r="E28" s="76" t="s">
        <v>132</v>
      </c>
      <c r="F28" s="76" t="s">
        <v>168</v>
      </c>
      <c r="G28" s="76" t="s">
        <v>169</v>
      </c>
      <c r="H28" s="76" t="s">
        <v>170</v>
      </c>
      <c r="I28" s="76">
        <v>0</v>
      </c>
      <c r="J28" s="76">
        <f t="shared" si="2"/>
        <v>4.0000000000000002E-9</v>
      </c>
      <c r="K28" s="76"/>
      <c r="L28" s="76">
        <f t="shared" si="1"/>
        <v>2E-8</v>
      </c>
      <c r="M28" s="76" t="s">
        <v>172</v>
      </c>
      <c r="N28" s="76">
        <f t="shared" si="3"/>
        <v>1.8000000000000002E-8</v>
      </c>
      <c r="O28" s="76"/>
      <c r="P28" s="76" t="s">
        <v>171</v>
      </c>
    </row>
    <row r="29" spans="2:16" ht="12.75" customHeight="1" x14ac:dyDescent="0.2">
      <c r="B29" s="76" t="s">
        <v>167</v>
      </c>
      <c r="C29" s="76">
        <f t="shared" si="0"/>
        <v>2E-8</v>
      </c>
      <c r="D29" s="76"/>
      <c r="E29" s="76" t="s">
        <v>133</v>
      </c>
      <c r="F29" s="76" t="s">
        <v>168</v>
      </c>
      <c r="G29" s="76" t="s">
        <v>169</v>
      </c>
      <c r="H29" s="76" t="s">
        <v>170</v>
      </c>
      <c r="I29" s="76">
        <v>0</v>
      </c>
      <c r="J29" s="76">
        <f t="shared" si="2"/>
        <v>4.0000000000000002E-9</v>
      </c>
      <c r="K29" s="76"/>
      <c r="L29" s="76">
        <f t="shared" si="1"/>
        <v>2E-8</v>
      </c>
      <c r="M29" s="76" t="s">
        <v>172</v>
      </c>
      <c r="N29" s="76">
        <f t="shared" si="3"/>
        <v>1.8000000000000002E-8</v>
      </c>
      <c r="O29" s="76"/>
      <c r="P29" s="76" t="s">
        <v>171</v>
      </c>
    </row>
    <row r="30" spans="2:16" ht="12.75" customHeight="1" x14ac:dyDescent="0.2">
      <c r="B30" s="76" t="s">
        <v>167</v>
      </c>
      <c r="C30" s="76">
        <f t="shared" si="0"/>
        <v>2E-8</v>
      </c>
      <c r="D30" s="76"/>
      <c r="E30" s="76" t="s">
        <v>134</v>
      </c>
      <c r="F30" s="76" t="s">
        <v>168</v>
      </c>
      <c r="G30" s="76" t="s">
        <v>169</v>
      </c>
      <c r="H30" s="76" t="s">
        <v>170</v>
      </c>
      <c r="I30" s="76">
        <v>0</v>
      </c>
      <c r="J30" s="76">
        <f t="shared" si="2"/>
        <v>4.0000000000000002E-9</v>
      </c>
      <c r="K30" s="76"/>
      <c r="L30" s="76">
        <f t="shared" si="1"/>
        <v>2E-8</v>
      </c>
      <c r="M30" s="76" t="s">
        <v>172</v>
      </c>
      <c r="N30" s="76">
        <f t="shared" si="3"/>
        <v>1.8000000000000002E-8</v>
      </c>
      <c r="O30" s="76"/>
      <c r="P30" s="76" t="s">
        <v>171</v>
      </c>
    </row>
    <row r="31" spans="2:16" ht="12.75" customHeight="1" x14ac:dyDescent="0.2">
      <c r="B31" s="76" t="s">
        <v>167</v>
      </c>
      <c r="C31" s="76">
        <f t="shared" si="0"/>
        <v>2E-8</v>
      </c>
      <c r="D31" s="76"/>
      <c r="E31" s="76" t="s">
        <v>135</v>
      </c>
      <c r="F31" s="76" t="s">
        <v>168</v>
      </c>
      <c r="G31" s="76" t="s">
        <v>169</v>
      </c>
      <c r="H31" s="76" t="s">
        <v>170</v>
      </c>
      <c r="I31" s="76">
        <v>0</v>
      </c>
      <c r="J31" s="76">
        <f t="shared" si="2"/>
        <v>4.0000000000000002E-9</v>
      </c>
      <c r="K31" s="76"/>
      <c r="L31" s="76">
        <f t="shared" si="1"/>
        <v>2E-8</v>
      </c>
      <c r="M31" s="76" t="s">
        <v>172</v>
      </c>
      <c r="N31" s="76">
        <f t="shared" si="3"/>
        <v>1.8000000000000002E-8</v>
      </c>
      <c r="O31" s="76"/>
      <c r="P31" s="76" t="s">
        <v>171</v>
      </c>
    </row>
    <row r="32" spans="2:16" ht="12.75" customHeight="1" x14ac:dyDescent="0.2">
      <c r="B32" s="76" t="s">
        <v>167</v>
      </c>
      <c r="C32" s="76">
        <f t="shared" si="0"/>
        <v>2E-8</v>
      </c>
      <c r="D32" s="76"/>
      <c r="E32" s="76" t="s">
        <v>136</v>
      </c>
      <c r="F32" s="76" t="s">
        <v>168</v>
      </c>
      <c r="G32" s="76" t="s">
        <v>169</v>
      </c>
      <c r="H32" s="76" t="s">
        <v>170</v>
      </c>
      <c r="I32" s="76">
        <v>0</v>
      </c>
      <c r="J32" s="76">
        <f t="shared" si="2"/>
        <v>4.0000000000000002E-9</v>
      </c>
      <c r="K32" s="76"/>
      <c r="L32" s="76">
        <f t="shared" si="1"/>
        <v>2E-8</v>
      </c>
      <c r="M32" s="76" t="s">
        <v>172</v>
      </c>
      <c r="N32" s="76">
        <f t="shared" si="3"/>
        <v>1.8000000000000002E-8</v>
      </c>
      <c r="O32" s="76"/>
      <c r="P32" s="76" t="s">
        <v>171</v>
      </c>
    </row>
    <row r="33" spans="2:16" ht="12.75" customHeight="1" x14ac:dyDescent="0.2">
      <c r="B33" s="76" t="s">
        <v>167</v>
      </c>
      <c r="C33" s="76">
        <f t="shared" si="0"/>
        <v>2E-8</v>
      </c>
      <c r="D33" s="76"/>
      <c r="E33" s="76" t="s">
        <v>137</v>
      </c>
      <c r="F33" s="76" t="s">
        <v>168</v>
      </c>
      <c r="G33" s="76" t="s">
        <v>169</v>
      </c>
      <c r="H33" s="76" t="s">
        <v>170</v>
      </c>
      <c r="I33" s="76">
        <v>0</v>
      </c>
      <c r="J33" s="76">
        <f t="shared" si="2"/>
        <v>4.0000000000000002E-9</v>
      </c>
      <c r="K33" s="76"/>
      <c r="L33" s="76">
        <f t="shared" si="1"/>
        <v>2E-8</v>
      </c>
      <c r="M33" s="76" t="s">
        <v>172</v>
      </c>
      <c r="N33" s="76">
        <f t="shared" si="3"/>
        <v>1.8000000000000002E-8</v>
      </c>
      <c r="O33" s="76"/>
      <c r="P33" s="76" t="s">
        <v>171</v>
      </c>
    </row>
    <row r="34" spans="2:16" ht="12.75" customHeight="1" x14ac:dyDescent="0.2">
      <c r="B34" s="76" t="s">
        <v>167</v>
      </c>
      <c r="C34" s="76">
        <f t="shared" si="0"/>
        <v>2E-8</v>
      </c>
      <c r="D34" s="76"/>
      <c r="E34" s="76" t="s">
        <v>99</v>
      </c>
      <c r="F34" s="76" t="s">
        <v>168</v>
      </c>
      <c r="G34" s="76" t="s">
        <v>169</v>
      </c>
      <c r="H34" s="76" t="s">
        <v>170</v>
      </c>
      <c r="I34" s="76">
        <v>0</v>
      </c>
      <c r="J34" s="76">
        <v>0</v>
      </c>
      <c r="K34" s="76"/>
      <c r="L34" s="76">
        <f t="shared" si="1"/>
        <v>2E-8</v>
      </c>
      <c r="M34" s="76" t="s">
        <v>172</v>
      </c>
      <c r="N34" s="76">
        <f t="shared" si="3"/>
        <v>1.8000000000000002E-8</v>
      </c>
      <c r="O34" s="76"/>
      <c r="P34" s="76" t="s">
        <v>171</v>
      </c>
    </row>
    <row r="35" spans="2:16" ht="12.75" customHeight="1" x14ac:dyDescent="0.2">
      <c r="B35" s="76" t="s">
        <v>167</v>
      </c>
      <c r="C35" s="76">
        <f t="shared" si="0"/>
        <v>2E-8</v>
      </c>
      <c r="D35" s="76"/>
      <c r="E35" s="76" t="s">
        <v>898</v>
      </c>
      <c r="F35" s="76" t="s">
        <v>168</v>
      </c>
      <c r="G35" s="76" t="s">
        <v>169</v>
      </c>
      <c r="H35" s="76" t="s">
        <v>170</v>
      </c>
      <c r="I35" s="76">
        <v>0</v>
      </c>
      <c r="J35" s="76">
        <f t="shared" ref="J35:J66" si="4">C35*0.2</f>
        <v>4.0000000000000002E-9</v>
      </c>
      <c r="K35" s="76"/>
      <c r="L35" s="76">
        <f t="shared" si="1"/>
        <v>2E-8</v>
      </c>
      <c r="M35" s="76" t="s">
        <v>163</v>
      </c>
      <c r="N35" s="76"/>
      <c r="O35" s="76"/>
      <c r="P35" s="76" t="s">
        <v>171</v>
      </c>
    </row>
    <row r="36" spans="2:16" ht="12.75" customHeight="1" x14ac:dyDescent="0.2">
      <c r="B36" s="76" t="s">
        <v>167</v>
      </c>
      <c r="C36" s="76">
        <f t="shared" si="0"/>
        <v>2E-8</v>
      </c>
      <c r="D36" s="76"/>
      <c r="E36" s="76" t="s">
        <v>899</v>
      </c>
      <c r="F36" s="76" t="s">
        <v>168</v>
      </c>
      <c r="G36" s="76" t="s">
        <v>169</v>
      </c>
      <c r="H36" s="76" t="s">
        <v>170</v>
      </c>
      <c r="I36" s="76">
        <v>0</v>
      </c>
      <c r="J36" s="76">
        <f t="shared" si="4"/>
        <v>4.0000000000000002E-9</v>
      </c>
      <c r="K36" s="76"/>
      <c r="L36" s="76">
        <f t="shared" si="1"/>
        <v>2E-8</v>
      </c>
      <c r="M36" s="76" t="s">
        <v>163</v>
      </c>
      <c r="N36" s="76"/>
      <c r="O36" s="76"/>
      <c r="P36" s="76" t="s">
        <v>171</v>
      </c>
    </row>
    <row r="37" spans="2:16" ht="12.75" customHeight="1" x14ac:dyDescent="0.2">
      <c r="B37" s="76" t="s">
        <v>167</v>
      </c>
      <c r="C37" s="76">
        <f t="shared" si="0"/>
        <v>2E-8</v>
      </c>
      <c r="D37" s="76"/>
      <c r="E37" s="76" t="s">
        <v>900</v>
      </c>
      <c r="F37" s="76" t="s">
        <v>168</v>
      </c>
      <c r="G37" s="76" t="s">
        <v>169</v>
      </c>
      <c r="H37" s="76" t="s">
        <v>170</v>
      </c>
      <c r="I37" s="76">
        <v>0</v>
      </c>
      <c r="J37" s="76">
        <f t="shared" si="4"/>
        <v>4.0000000000000002E-9</v>
      </c>
      <c r="K37" s="76"/>
      <c r="L37" s="76">
        <f t="shared" si="1"/>
        <v>2E-8</v>
      </c>
      <c r="M37" s="76" t="s">
        <v>163</v>
      </c>
      <c r="N37" s="76"/>
      <c r="O37" s="76"/>
      <c r="P37" s="76" t="s">
        <v>171</v>
      </c>
    </row>
    <row r="38" spans="2:16" ht="12.75" customHeight="1" x14ac:dyDescent="0.2">
      <c r="B38" s="76" t="s">
        <v>167</v>
      </c>
      <c r="C38" s="76">
        <f t="shared" si="0"/>
        <v>2E-8</v>
      </c>
      <c r="D38" s="76"/>
      <c r="E38" s="76" t="s">
        <v>901</v>
      </c>
      <c r="F38" s="76" t="s">
        <v>168</v>
      </c>
      <c r="G38" s="76" t="s">
        <v>169</v>
      </c>
      <c r="H38" s="76" t="s">
        <v>170</v>
      </c>
      <c r="I38" s="76">
        <v>0</v>
      </c>
      <c r="J38" s="76">
        <f t="shared" si="4"/>
        <v>4.0000000000000002E-9</v>
      </c>
      <c r="K38" s="76"/>
      <c r="L38" s="76">
        <f t="shared" si="1"/>
        <v>2E-8</v>
      </c>
      <c r="M38" s="76" t="s">
        <v>163</v>
      </c>
      <c r="N38" s="76"/>
      <c r="O38" s="76"/>
      <c r="P38" s="76" t="s">
        <v>171</v>
      </c>
    </row>
    <row r="39" spans="2:16" ht="12.75" customHeight="1" x14ac:dyDescent="0.2">
      <c r="B39" s="76" t="s">
        <v>167</v>
      </c>
      <c r="C39" s="76">
        <f t="shared" ref="C39:C70" si="5">20*ns</f>
        <v>2E-8</v>
      </c>
      <c r="D39" s="76"/>
      <c r="E39" s="76" t="s">
        <v>902</v>
      </c>
      <c r="F39" s="76" t="s">
        <v>168</v>
      </c>
      <c r="G39" s="76" t="s">
        <v>169</v>
      </c>
      <c r="H39" s="76" t="s">
        <v>170</v>
      </c>
      <c r="I39" s="76">
        <v>0</v>
      </c>
      <c r="J39" s="76">
        <f t="shared" si="4"/>
        <v>4.0000000000000002E-9</v>
      </c>
      <c r="K39" s="76"/>
      <c r="L39" s="76">
        <f t="shared" ref="L39:L70" si="6">C39</f>
        <v>2E-8</v>
      </c>
      <c r="M39" s="76" t="s">
        <v>163</v>
      </c>
      <c r="N39" s="76"/>
      <c r="O39" s="76"/>
      <c r="P39" s="76" t="s">
        <v>171</v>
      </c>
    </row>
    <row r="40" spans="2:16" ht="12.75" customHeight="1" x14ac:dyDescent="0.2">
      <c r="B40" s="76" t="s">
        <v>167</v>
      </c>
      <c r="C40" s="76">
        <f t="shared" si="5"/>
        <v>2E-8</v>
      </c>
      <c r="D40" s="76"/>
      <c r="E40" s="76" t="s">
        <v>903</v>
      </c>
      <c r="F40" s="76" t="s">
        <v>168</v>
      </c>
      <c r="G40" s="76" t="s">
        <v>169</v>
      </c>
      <c r="H40" s="76" t="s">
        <v>170</v>
      </c>
      <c r="I40" s="76">
        <v>0</v>
      </c>
      <c r="J40" s="76">
        <f t="shared" si="4"/>
        <v>4.0000000000000002E-9</v>
      </c>
      <c r="K40" s="76"/>
      <c r="L40" s="76">
        <f t="shared" si="6"/>
        <v>2E-8</v>
      </c>
      <c r="M40" s="76" t="s">
        <v>163</v>
      </c>
      <c r="N40" s="76"/>
      <c r="O40" s="76"/>
      <c r="P40" s="76" t="s">
        <v>171</v>
      </c>
    </row>
    <row r="41" spans="2:16" ht="12.75" customHeight="1" x14ac:dyDescent="0.2">
      <c r="B41" s="76" t="s">
        <v>167</v>
      </c>
      <c r="C41" s="76">
        <f t="shared" si="5"/>
        <v>2E-8</v>
      </c>
      <c r="D41" s="76"/>
      <c r="E41" s="76" t="s">
        <v>904</v>
      </c>
      <c r="F41" s="76" t="s">
        <v>168</v>
      </c>
      <c r="G41" s="76" t="s">
        <v>169</v>
      </c>
      <c r="H41" s="76" t="s">
        <v>170</v>
      </c>
      <c r="I41" s="76">
        <v>0</v>
      </c>
      <c r="J41" s="76">
        <f t="shared" si="4"/>
        <v>4.0000000000000002E-9</v>
      </c>
      <c r="K41" s="76"/>
      <c r="L41" s="76">
        <f t="shared" si="6"/>
        <v>2E-8</v>
      </c>
      <c r="M41" s="76" t="s">
        <v>163</v>
      </c>
      <c r="N41" s="76"/>
      <c r="O41" s="76"/>
      <c r="P41" s="76" t="s">
        <v>171</v>
      </c>
    </row>
    <row r="42" spans="2:16" ht="12.75" customHeight="1" x14ac:dyDescent="0.2">
      <c r="B42" s="76" t="s">
        <v>167</v>
      </c>
      <c r="C42" s="76">
        <f t="shared" si="5"/>
        <v>2E-8</v>
      </c>
      <c r="D42" s="76"/>
      <c r="E42" s="76" t="s">
        <v>905</v>
      </c>
      <c r="F42" s="76" t="s">
        <v>168</v>
      </c>
      <c r="G42" s="76" t="s">
        <v>169</v>
      </c>
      <c r="H42" s="76" t="s">
        <v>170</v>
      </c>
      <c r="I42" s="76">
        <v>0</v>
      </c>
      <c r="J42" s="76">
        <f t="shared" si="4"/>
        <v>4.0000000000000002E-9</v>
      </c>
      <c r="K42" s="76"/>
      <c r="L42" s="76">
        <f t="shared" si="6"/>
        <v>2E-8</v>
      </c>
      <c r="M42" s="76" t="s">
        <v>163</v>
      </c>
      <c r="N42" s="76"/>
      <c r="O42" s="76"/>
      <c r="P42" s="76" t="s">
        <v>171</v>
      </c>
    </row>
    <row r="43" spans="2:16" ht="12.75" customHeight="1" x14ac:dyDescent="0.2">
      <c r="B43" s="76" t="s">
        <v>167</v>
      </c>
      <c r="C43" s="76">
        <f t="shared" si="5"/>
        <v>2E-8</v>
      </c>
      <c r="D43" s="76"/>
      <c r="E43" s="76" t="s">
        <v>906</v>
      </c>
      <c r="F43" s="76" t="s">
        <v>168</v>
      </c>
      <c r="G43" s="76" t="s">
        <v>169</v>
      </c>
      <c r="H43" s="76" t="s">
        <v>170</v>
      </c>
      <c r="I43" s="76">
        <v>0</v>
      </c>
      <c r="J43" s="76">
        <f t="shared" si="4"/>
        <v>4.0000000000000002E-9</v>
      </c>
      <c r="K43" s="76"/>
      <c r="L43" s="76">
        <f t="shared" si="6"/>
        <v>2E-8</v>
      </c>
      <c r="M43" s="76" t="s">
        <v>163</v>
      </c>
      <c r="N43" s="76"/>
      <c r="O43" s="76"/>
      <c r="P43" s="76" t="s">
        <v>171</v>
      </c>
    </row>
    <row r="44" spans="2:16" ht="12.75" customHeight="1" x14ac:dyDescent="0.2">
      <c r="B44" s="76" t="s">
        <v>167</v>
      </c>
      <c r="C44" s="76">
        <f t="shared" si="5"/>
        <v>2E-8</v>
      </c>
      <c r="D44" s="76"/>
      <c r="E44" s="76" t="s">
        <v>907</v>
      </c>
      <c r="F44" s="76" t="s">
        <v>168</v>
      </c>
      <c r="G44" s="76" t="s">
        <v>169</v>
      </c>
      <c r="H44" s="76" t="s">
        <v>170</v>
      </c>
      <c r="I44" s="76">
        <v>0</v>
      </c>
      <c r="J44" s="76">
        <f t="shared" si="4"/>
        <v>4.0000000000000002E-9</v>
      </c>
      <c r="K44" s="76"/>
      <c r="L44" s="76">
        <f t="shared" si="6"/>
        <v>2E-8</v>
      </c>
      <c r="M44" s="76" t="s">
        <v>163</v>
      </c>
      <c r="N44" s="76"/>
      <c r="O44" s="76"/>
      <c r="P44" s="76" t="s">
        <v>171</v>
      </c>
    </row>
    <row r="45" spans="2:16" ht="12.75" customHeight="1" x14ac:dyDescent="0.2">
      <c r="B45" s="76" t="s">
        <v>167</v>
      </c>
      <c r="C45" s="76">
        <f t="shared" si="5"/>
        <v>2E-8</v>
      </c>
      <c r="D45" s="76"/>
      <c r="E45" s="76" t="s">
        <v>912</v>
      </c>
      <c r="F45" s="76" t="s">
        <v>168</v>
      </c>
      <c r="G45" s="76" t="s">
        <v>169</v>
      </c>
      <c r="H45" s="76" t="s">
        <v>170</v>
      </c>
      <c r="I45" s="76">
        <v>0</v>
      </c>
      <c r="J45" s="76">
        <f t="shared" si="4"/>
        <v>4.0000000000000002E-9</v>
      </c>
      <c r="K45" s="76"/>
      <c r="L45" s="76">
        <f t="shared" si="6"/>
        <v>2E-8</v>
      </c>
      <c r="M45" s="76" t="s">
        <v>163</v>
      </c>
      <c r="N45" s="76"/>
      <c r="O45" s="76"/>
      <c r="P45" s="76" t="s">
        <v>171</v>
      </c>
    </row>
    <row r="46" spans="2:16" ht="12.75" customHeight="1" x14ac:dyDescent="0.2">
      <c r="B46" s="76" t="s">
        <v>167</v>
      </c>
      <c r="C46" s="76">
        <f t="shared" si="5"/>
        <v>2E-8</v>
      </c>
      <c r="D46" s="76"/>
      <c r="E46" s="76" t="s">
        <v>913</v>
      </c>
      <c r="F46" s="76" t="s">
        <v>168</v>
      </c>
      <c r="G46" s="76" t="s">
        <v>169</v>
      </c>
      <c r="H46" s="76" t="s">
        <v>170</v>
      </c>
      <c r="I46" s="76">
        <v>0</v>
      </c>
      <c r="J46" s="76">
        <f t="shared" si="4"/>
        <v>4.0000000000000002E-9</v>
      </c>
      <c r="K46" s="76"/>
      <c r="L46" s="76">
        <f t="shared" si="6"/>
        <v>2E-8</v>
      </c>
      <c r="M46" s="76" t="s">
        <v>163</v>
      </c>
      <c r="N46" s="76"/>
      <c r="O46" s="76"/>
      <c r="P46" s="76" t="s">
        <v>171</v>
      </c>
    </row>
    <row r="47" spans="2:16" ht="12.75" customHeight="1" x14ac:dyDescent="0.2">
      <c r="B47" s="76" t="s">
        <v>167</v>
      </c>
      <c r="C47" s="76">
        <f t="shared" si="5"/>
        <v>2E-8</v>
      </c>
      <c r="D47" s="76"/>
      <c r="E47" s="76" t="s">
        <v>914</v>
      </c>
      <c r="F47" s="76" t="s">
        <v>168</v>
      </c>
      <c r="G47" s="76" t="s">
        <v>169</v>
      </c>
      <c r="H47" s="76" t="s">
        <v>170</v>
      </c>
      <c r="I47" s="76">
        <v>0</v>
      </c>
      <c r="J47" s="76">
        <f t="shared" si="4"/>
        <v>4.0000000000000002E-9</v>
      </c>
      <c r="K47" s="76"/>
      <c r="L47" s="76">
        <f t="shared" si="6"/>
        <v>2E-8</v>
      </c>
      <c r="M47" s="76" t="s">
        <v>163</v>
      </c>
      <c r="N47" s="76"/>
      <c r="O47" s="76"/>
      <c r="P47" s="76" t="s">
        <v>171</v>
      </c>
    </row>
    <row r="48" spans="2:16" ht="12.75" customHeight="1" x14ac:dyDescent="0.2">
      <c r="B48" s="76" t="s">
        <v>167</v>
      </c>
      <c r="C48" s="76">
        <f t="shared" si="5"/>
        <v>2E-8</v>
      </c>
      <c r="D48" s="76"/>
      <c r="E48" s="76" t="s">
        <v>915</v>
      </c>
      <c r="F48" s="76" t="s">
        <v>168</v>
      </c>
      <c r="G48" s="76" t="s">
        <v>169</v>
      </c>
      <c r="H48" s="76" t="s">
        <v>170</v>
      </c>
      <c r="I48" s="76">
        <v>0</v>
      </c>
      <c r="J48" s="76">
        <f t="shared" si="4"/>
        <v>4.0000000000000002E-9</v>
      </c>
      <c r="K48" s="76"/>
      <c r="L48" s="76">
        <f t="shared" si="6"/>
        <v>2E-8</v>
      </c>
      <c r="M48" s="76" t="s">
        <v>163</v>
      </c>
      <c r="N48" s="76"/>
      <c r="O48" s="76"/>
      <c r="P48" s="76" t="s">
        <v>171</v>
      </c>
    </row>
    <row r="49" spans="2:16" ht="12.75" customHeight="1" x14ac:dyDescent="0.2">
      <c r="B49" s="76" t="s">
        <v>167</v>
      </c>
      <c r="C49" s="76">
        <f t="shared" si="5"/>
        <v>2E-8</v>
      </c>
      <c r="D49" s="76"/>
      <c r="E49" s="76" t="s">
        <v>916</v>
      </c>
      <c r="F49" s="76" t="s">
        <v>168</v>
      </c>
      <c r="G49" s="76" t="s">
        <v>169</v>
      </c>
      <c r="H49" s="76" t="s">
        <v>170</v>
      </c>
      <c r="I49" s="76">
        <v>0</v>
      </c>
      <c r="J49" s="76">
        <f t="shared" si="4"/>
        <v>4.0000000000000002E-9</v>
      </c>
      <c r="K49" s="76"/>
      <c r="L49" s="76">
        <f t="shared" si="6"/>
        <v>2E-8</v>
      </c>
      <c r="M49" s="76" t="s">
        <v>163</v>
      </c>
      <c r="N49" s="76"/>
      <c r="O49" s="76"/>
      <c r="P49" s="76" t="s">
        <v>171</v>
      </c>
    </row>
    <row r="50" spans="2:16" ht="12.75" customHeight="1" x14ac:dyDescent="0.2">
      <c r="B50" s="76" t="s">
        <v>167</v>
      </c>
      <c r="C50" s="76">
        <f t="shared" si="5"/>
        <v>2E-8</v>
      </c>
      <c r="D50" s="76"/>
      <c r="E50" s="76" t="s">
        <v>917</v>
      </c>
      <c r="F50" s="76" t="s">
        <v>168</v>
      </c>
      <c r="G50" s="76" t="s">
        <v>169</v>
      </c>
      <c r="H50" s="76" t="s">
        <v>170</v>
      </c>
      <c r="I50" s="76">
        <v>0</v>
      </c>
      <c r="J50" s="76">
        <f t="shared" si="4"/>
        <v>4.0000000000000002E-9</v>
      </c>
      <c r="K50" s="76"/>
      <c r="L50" s="76">
        <f t="shared" si="6"/>
        <v>2E-8</v>
      </c>
      <c r="M50" s="76" t="s">
        <v>163</v>
      </c>
      <c r="N50" s="76"/>
      <c r="O50" s="76"/>
      <c r="P50" s="76" t="s">
        <v>171</v>
      </c>
    </row>
    <row r="51" spans="2:16" ht="12.75" customHeight="1" x14ac:dyDescent="0.2">
      <c r="B51" s="76" t="s">
        <v>167</v>
      </c>
      <c r="C51" s="76">
        <f t="shared" si="5"/>
        <v>2E-8</v>
      </c>
      <c r="D51" s="76"/>
      <c r="E51" s="76" t="s">
        <v>918</v>
      </c>
      <c r="F51" s="76" t="s">
        <v>168</v>
      </c>
      <c r="G51" s="76" t="s">
        <v>169</v>
      </c>
      <c r="H51" s="76" t="s">
        <v>170</v>
      </c>
      <c r="I51" s="76">
        <v>0</v>
      </c>
      <c r="J51" s="76">
        <f t="shared" si="4"/>
        <v>4.0000000000000002E-9</v>
      </c>
      <c r="K51" s="76"/>
      <c r="L51" s="76">
        <f t="shared" si="6"/>
        <v>2E-8</v>
      </c>
      <c r="M51" s="76" t="s">
        <v>163</v>
      </c>
      <c r="N51" s="76"/>
      <c r="O51" s="76"/>
      <c r="P51" s="76" t="s">
        <v>171</v>
      </c>
    </row>
    <row r="52" spans="2:16" ht="12.75" customHeight="1" x14ac:dyDescent="0.2">
      <c r="B52" s="76" t="s">
        <v>167</v>
      </c>
      <c r="C52" s="76">
        <f t="shared" si="5"/>
        <v>2E-8</v>
      </c>
      <c r="D52" s="76"/>
      <c r="E52" s="76" t="s">
        <v>919</v>
      </c>
      <c r="F52" s="76" t="s">
        <v>168</v>
      </c>
      <c r="G52" s="76" t="s">
        <v>169</v>
      </c>
      <c r="H52" s="76" t="s">
        <v>170</v>
      </c>
      <c r="I52" s="76">
        <v>0</v>
      </c>
      <c r="J52" s="76">
        <f t="shared" si="4"/>
        <v>4.0000000000000002E-9</v>
      </c>
      <c r="K52" s="76"/>
      <c r="L52" s="76">
        <f t="shared" si="6"/>
        <v>2E-8</v>
      </c>
      <c r="M52" s="76" t="s">
        <v>163</v>
      </c>
      <c r="N52" s="76"/>
      <c r="O52" s="76"/>
      <c r="P52" s="76" t="s">
        <v>171</v>
      </c>
    </row>
    <row r="53" spans="2:16" ht="12.75" customHeight="1" x14ac:dyDescent="0.2">
      <c r="B53" s="76" t="s">
        <v>167</v>
      </c>
      <c r="C53" s="76">
        <f t="shared" si="5"/>
        <v>2E-8</v>
      </c>
      <c r="D53" s="76"/>
      <c r="E53" s="76" t="s">
        <v>920</v>
      </c>
      <c r="F53" s="76" t="s">
        <v>168</v>
      </c>
      <c r="G53" s="76" t="s">
        <v>169</v>
      </c>
      <c r="H53" s="76" t="s">
        <v>170</v>
      </c>
      <c r="I53" s="76">
        <v>0</v>
      </c>
      <c r="J53" s="76">
        <f t="shared" si="4"/>
        <v>4.0000000000000002E-9</v>
      </c>
      <c r="K53" s="76"/>
      <c r="L53" s="76">
        <f t="shared" si="6"/>
        <v>2E-8</v>
      </c>
      <c r="M53" s="76" t="s">
        <v>163</v>
      </c>
      <c r="N53" s="76"/>
      <c r="O53" s="76"/>
      <c r="P53" s="76" t="s">
        <v>171</v>
      </c>
    </row>
    <row r="54" spans="2:16" ht="12.75" customHeight="1" x14ac:dyDescent="0.2">
      <c r="B54" s="76" t="s">
        <v>167</v>
      </c>
      <c r="C54" s="76">
        <f t="shared" si="5"/>
        <v>2E-8</v>
      </c>
      <c r="D54" s="76"/>
      <c r="E54" s="76" t="s">
        <v>921</v>
      </c>
      <c r="F54" s="76" t="s">
        <v>168</v>
      </c>
      <c r="G54" s="76" t="s">
        <v>169</v>
      </c>
      <c r="H54" s="76" t="s">
        <v>170</v>
      </c>
      <c r="I54" s="76">
        <v>0</v>
      </c>
      <c r="J54" s="76">
        <f t="shared" si="4"/>
        <v>4.0000000000000002E-9</v>
      </c>
      <c r="K54" s="76"/>
      <c r="L54" s="76">
        <f t="shared" si="6"/>
        <v>2E-8</v>
      </c>
      <c r="M54" s="76" t="s">
        <v>163</v>
      </c>
      <c r="N54" s="76"/>
      <c r="O54" s="76"/>
      <c r="P54" s="76" t="s">
        <v>171</v>
      </c>
    </row>
    <row r="55" spans="2:16" ht="12.75" customHeight="1" x14ac:dyDescent="0.2">
      <c r="B55" s="76" t="s">
        <v>167</v>
      </c>
      <c r="C55" s="76">
        <f t="shared" si="5"/>
        <v>2E-8</v>
      </c>
      <c r="D55" s="76"/>
      <c r="E55" s="76" t="s">
        <v>922</v>
      </c>
      <c r="F55" s="76" t="s">
        <v>168</v>
      </c>
      <c r="G55" s="76" t="s">
        <v>169</v>
      </c>
      <c r="H55" s="76" t="s">
        <v>170</v>
      </c>
      <c r="I55" s="76">
        <v>0</v>
      </c>
      <c r="J55" s="76">
        <f t="shared" si="4"/>
        <v>4.0000000000000002E-9</v>
      </c>
      <c r="K55" s="76"/>
      <c r="L55" s="76">
        <f t="shared" si="6"/>
        <v>2E-8</v>
      </c>
      <c r="M55" s="76" t="s">
        <v>163</v>
      </c>
      <c r="N55" s="76"/>
      <c r="O55" s="76"/>
      <c r="P55" s="76" t="s">
        <v>171</v>
      </c>
    </row>
    <row r="56" spans="2:16" ht="12.75" customHeight="1" x14ac:dyDescent="0.2">
      <c r="B56" s="76" t="s">
        <v>167</v>
      </c>
      <c r="C56" s="76">
        <f t="shared" si="5"/>
        <v>2E-8</v>
      </c>
      <c r="D56" s="76"/>
      <c r="E56" s="76" t="s">
        <v>923</v>
      </c>
      <c r="F56" s="76" t="s">
        <v>168</v>
      </c>
      <c r="G56" s="76" t="s">
        <v>169</v>
      </c>
      <c r="H56" s="76" t="s">
        <v>170</v>
      </c>
      <c r="I56" s="76">
        <v>0</v>
      </c>
      <c r="J56" s="76">
        <f t="shared" si="4"/>
        <v>4.0000000000000002E-9</v>
      </c>
      <c r="K56" s="76"/>
      <c r="L56" s="76">
        <f t="shared" si="6"/>
        <v>2E-8</v>
      </c>
      <c r="M56" s="76" t="s">
        <v>163</v>
      </c>
      <c r="N56" s="76"/>
      <c r="O56" s="76"/>
      <c r="P56" s="76" t="s">
        <v>171</v>
      </c>
    </row>
    <row r="57" spans="2:16" ht="12.75" customHeight="1" x14ac:dyDescent="0.2">
      <c r="B57" s="76" t="s">
        <v>167</v>
      </c>
      <c r="C57" s="76">
        <f t="shared" si="5"/>
        <v>2E-8</v>
      </c>
      <c r="D57" s="76"/>
      <c r="E57" s="76" t="s">
        <v>924</v>
      </c>
      <c r="F57" s="76" t="s">
        <v>168</v>
      </c>
      <c r="G57" s="76" t="s">
        <v>169</v>
      </c>
      <c r="H57" s="76" t="s">
        <v>170</v>
      </c>
      <c r="I57" s="76">
        <v>0</v>
      </c>
      <c r="J57" s="76">
        <f t="shared" si="4"/>
        <v>4.0000000000000002E-9</v>
      </c>
      <c r="K57" s="76"/>
      <c r="L57" s="76">
        <f t="shared" si="6"/>
        <v>2E-8</v>
      </c>
      <c r="M57" s="76" t="s">
        <v>163</v>
      </c>
      <c r="N57" s="76"/>
      <c r="O57" s="76"/>
      <c r="P57" s="76" t="s">
        <v>171</v>
      </c>
    </row>
    <row r="58" spans="2:16" ht="12.75" customHeight="1" x14ac:dyDescent="0.2">
      <c r="B58" s="76" t="s">
        <v>167</v>
      </c>
      <c r="C58" s="76">
        <f t="shared" si="5"/>
        <v>2E-8</v>
      </c>
      <c r="D58" s="76"/>
      <c r="E58" s="76" t="s">
        <v>925</v>
      </c>
      <c r="F58" s="76" t="s">
        <v>168</v>
      </c>
      <c r="G58" s="76" t="s">
        <v>169</v>
      </c>
      <c r="H58" s="76" t="s">
        <v>170</v>
      </c>
      <c r="I58" s="76">
        <v>0</v>
      </c>
      <c r="J58" s="76">
        <f t="shared" si="4"/>
        <v>4.0000000000000002E-9</v>
      </c>
      <c r="K58" s="76"/>
      <c r="L58" s="76">
        <f t="shared" si="6"/>
        <v>2E-8</v>
      </c>
      <c r="M58" s="76" t="s">
        <v>163</v>
      </c>
      <c r="N58" s="76"/>
      <c r="O58" s="76"/>
      <c r="P58" s="76" t="s">
        <v>171</v>
      </c>
    </row>
    <row r="59" spans="2:16" ht="12.75" customHeight="1" x14ac:dyDescent="0.2">
      <c r="B59" s="76" t="s">
        <v>167</v>
      </c>
      <c r="C59" s="76">
        <f t="shared" si="5"/>
        <v>2E-8</v>
      </c>
      <c r="D59" s="76"/>
      <c r="E59" s="76" t="s">
        <v>926</v>
      </c>
      <c r="F59" s="76" t="s">
        <v>168</v>
      </c>
      <c r="G59" s="76" t="s">
        <v>169</v>
      </c>
      <c r="H59" s="76" t="s">
        <v>170</v>
      </c>
      <c r="I59" s="76">
        <v>0</v>
      </c>
      <c r="J59" s="76">
        <f t="shared" si="4"/>
        <v>4.0000000000000002E-9</v>
      </c>
      <c r="K59" s="76"/>
      <c r="L59" s="76">
        <f t="shared" si="6"/>
        <v>2E-8</v>
      </c>
      <c r="M59" s="76" t="s">
        <v>163</v>
      </c>
      <c r="N59" s="76"/>
      <c r="O59" s="76"/>
      <c r="P59" s="76" t="s">
        <v>171</v>
      </c>
    </row>
    <row r="60" spans="2:16" ht="12.75" customHeight="1" x14ac:dyDescent="0.2">
      <c r="B60" s="76" t="s">
        <v>167</v>
      </c>
      <c r="C60" s="76">
        <f t="shared" si="5"/>
        <v>2E-8</v>
      </c>
      <c r="D60" s="76"/>
      <c r="E60" s="76" t="s">
        <v>927</v>
      </c>
      <c r="F60" s="76" t="s">
        <v>168</v>
      </c>
      <c r="G60" s="76" t="s">
        <v>169</v>
      </c>
      <c r="H60" s="76" t="s">
        <v>170</v>
      </c>
      <c r="I60" s="76">
        <v>0</v>
      </c>
      <c r="J60" s="76">
        <f t="shared" si="4"/>
        <v>4.0000000000000002E-9</v>
      </c>
      <c r="K60" s="76"/>
      <c r="L60" s="76">
        <f t="shared" si="6"/>
        <v>2E-8</v>
      </c>
      <c r="M60" s="76" t="s">
        <v>163</v>
      </c>
      <c r="N60" s="76"/>
      <c r="O60" s="76"/>
      <c r="P60" s="76" t="s">
        <v>171</v>
      </c>
    </row>
    <row r="61" spans="2:16" ht="12.75" customHeight="1" x14ac:dyDescent="0.2">
      <c r="B61" s="76" t="s">
        <v>167</v>
      </c>
      <c r="C61" s="76">
        <f t="shared" si="5"/>
        <v>2E-8</v>
      </c>
      <c r="D61" s="76"/>
      <c r="E61" s="76" t="s">
        <v>928</v>
      </c>
      <c r="F61" s="76" t="s">
        <v>168</v>
      </c>
      <c r="G61" s="76" t="s">
        <v>169</v>
      </c>
      <c r="H61" s="76" t="s">
        <v>170</v>
      </c>
      <c r="I61" s="76">
        <v>0</v>
      </c>
      <c r="J61" s="76">
        <f t="shared" si="4"/>
        <v>4.0000000000000002E-9</v>
      </c>
      <c r="K61" s="76"/>
      <c r="L61" s="76">
        <f t="shared" si="6"/>
        <v>2E-8</v>
      </c>
      <c r="M61" s="76" t="s">
        <v>163</v>
      </c>
      <c r="N61" s="76"/>
      <c r="O61" s="76"/>
      <c r="P61" s="76" t="s">
        <v>171</v>
      </c>
    </row>
    <row r="62" spans="2:16" ht="12.75" customHeight="1" x14ac:dyDescent="0.2">
      <c r="B62" s="76" t="s">
        <v>167</v>
      </c>
      <c r="C62" s="76">
        <f t="shared" si="5"/>
        <v>2E-8</v>
      </c>
      <c r="D62" s="76"/>
      <c r="E62" s="76" t="s">
        <v>929</v>
      </c>
      <c r="F62" s="76" t="s">
        <v>168</v>
      </c>
      <c r="G62" s="76" t="s">
        <v>169</v>
      </c>
      <c r="H62" s="76" t="s">
        <v>170</v>
      </c>
      <c r="I62" s="76">
        <v>0</v>
      </c>
      <c r="J62" s="76">
        <f t="shared" si="4"/>
        <v>4.0000000000000002E-9</v>
      </c>
      <c r="K62" s="76"/>
      <c r="L62" s="76">
        <f t="shared" si="6"/>
        <v>2E-8</v>
      </c>
      <c r="M62" s="76" t="s">
        <v>163</v>
      </c>
      <c r="N62" s="76"/>
      <c r="O62" s="76"/>
      <c r="P62" s="76" t="s">
        <v>171</v>
      </c>
    </row>
    <row r="63" spans="2:16" ht="12.75" customHeight="1" x14ac:dyDescent="0.2">
      <c r="B63" s="76" t="s">
        <v>167</v>
      </c>
      <c r="C63" s="76">
        <f t="shared" si="5"/>
        <v>2E-8</v>
      </c>
      <c r="D63" s="76"/>
      <c r="E63" s="76" t="s">
        <v>930</v>
      </c>
      <c r="F63" s="76" t="s">
        <v>168</v>
      </c>
      <c r="G63" s="76" t="s">
        <v>169</v>
      </c>
      <c r="H63" s="76" t="s">
        <v>170</v>
      </c>
      <c r="I63" s="76">
        <v>0</v>
      </c>
      <c r="J63" s="76">
        <f t="shared" si="4"/>
        <v>4.0000000000000002E-9</v>
      </c>
      <c r="K63" s="76"/>
      <c r="L63" s="76">
        <f t="shared" si="6"/>
        <v>2E-8</v>
      </c>
      <c r="M63" s="76" t="s">
        <v>163</v>
      </c>
      <c r="N63" s="76"/>
      <c r="O63" s="76"/>
      <c r="P63" s="76" t="s">
        <v>171</v>
      </c>
    </row>
    <row r="64" spans="2:16" ht="12.75" customHeight="1" x14ac:dyDescent="0.2">
      <c r="B64" s="76" t="s">
        <v>167</v>
      </c>
      <c r="C64" s="76">
        <f t="shared" si="5"/>
        <v>2E-8</v>
      </c>
      <c r="D64" s="76"/>
      <c r="E64" s="76" t="s">
        <v>931</v>
      </c>
      <c r="F64" s="76" t="s">
        <v>168</v>
      </c>
      <c r="G64" s="76" t="s">
        <v>169</v>
      </c>
      <c r="H64" s="76" t="s">
        <v>170</v>
      </c>
      <c r="I64" s="76">
        <v>0</v>
      </c>
      <c r="J64" s="76">
        <f t="shared" si="4"/>
        <v>4.0000000000000002E-9</v>
      </c>
      <c r="K64" s="76"/>
      <c r="L64" s="76">
        <f t="shared" si="6"/>
        <v>2E-8</v>
      </c>
      <c r="M64" s="76" t="s">
        <v>163</v>
      </c>
      <c r="N64" s="76"/>
      <c r="O64" s="76"/>
      <c r="P64" s="76" t="s">
        <v>171</v>
      </c>
    </row>
    <row r="65" spans="2:16" ht="12.75" customHeight="1" x14ac:dyDescent="0.2">
      <c r="B65" s="76" t="s">
        <v>167</v>
      </c>
      <c r="C65" s="76">
        <f t="shared" si="5"/>
        <v>2E-8</v>
      </c>
      <c r="D65" s="76"/>
      <c r="E65" s="76" t="s">
        <v>932</v>
      </c>
      <c r="F65" s="76" t="s">
        <v>168</v>
      </c>
      <c r="G65" s="76" t="s">
        <v>169</v>
      </c>
      <c r="H65" s="76" t="s">
        <v>170</v>
      </c>
      <c r="I65" s="76">
        <v>0</v>
      </c>
      <c r="J65" s="76">
        <f t="shared" si="4"/>
        <v>4.0000000000000002E-9</v>
      </c>
      <c r="K65" s="76"/>
      <c r="L65" s="76">
        <f t="shared" si="6"/>
        <v>2E-8</v>
      </c>
      <c r="M65" s="76" t="s">
        <v>163</v>
      </c>
      <c r="N65" s="76"/>
      <c r="O65" s="76"/>
      <c r="P65" s="76" t="s">
        <v>171</v>
      </c>
    </row>
    <row r="66" spans="2:16" ht="12.75" customHeight="1" x14ac:dyDescent="0.2">
      <c r="B66" s="76" t="s">
        <v>167</v>
      </c>
      <c r="C66" s="76">
        <f t="shared" si="5"/>
        <v>2E-8</v>
      </c>
      <c r="D66" s="76"/>
      <c r="E66" s="76" t="s">
        <v>933</v>
      </c>
      <c r="F66" s="76" t="s">
        <v>168</v>
      </c>
      <c r="G66" s="76" t="s">
        <v>169</v>
      </c>
      <c r="H66" s="76" t="s">
        <v>170</v>
      </c>
      <c r="I66" s="76">
        <v>0</v>
      </c>
      <c r="J66" s="76">
        <f t="shared" si="4"/>
        <v>4.0000000000000002E-9</v>
      </c>
      <c r="K66" s="76"/>
      <c r="L66" s="76">
        <f t="shared" si="6"/>
        <v>2E-8</v>
      </c>
      <c r="M66" s="76" t="s">
        <v>163</v>
      </c>
      <c r="N66" s="76"/>
      <c r="O66" s="76"/>
      <c r="P66" s="76" t="s">
        <v>171</v>
      </c>
    </row>
    <row r="67" spans="2:16" ht="12.75" customHeight="1" x14ac:dyDescent="0.2">
      <c r="B67" s="76" t="s">
        <v>167</v>
      </c>
      <c r="C67" s="76">
        <f t="shared" si="5"/>
        <v>2E-8</v>
      </c>
      <c r="D67" s="76"/>
      <c r="E67" s="76" t="s">
        <v>934</v>
      </c>
      <c r="F67" s="76" t="s">
        <v>168</v>
      </c>
      <c r="G67" s="76" t="s">
        <v>169</v>
      </c>
      <c r="H67" s="76" t="s">
        <v>170</v>
      </c>
      <c r="I67" s="76">
        <v>0</v>
      </c>
      <c r="J67" s="76">
        <f t="shared" ref="J67:J87" si="7">C67*0.2</f>
        <v>4.0000000000000002E-9</v>
      </c>
      <c r="K67" s="76"/>
      <c r="L67" s="76">
        <f t="shared" si="6"/>
        <v>2E-8</v>
      </c>
      <c r="M67" s="76" t="s">
        <v>163</v>
      </c>
      <c r="N67" s="76"/>
      <c r="O67" s="76"/>
      <c r="P67" s="76" t="s">
        <v>171</v>
      </c>
    </row>
    <row r="68" spans="2:16" ht="12.75" customHeight="1" x14ac:dyDescent="0.2">
      <c r="B68" s="76" t="s">
        <v>167</v>
      </c>
      <c r="C68" s="76">
        <f t="shared" si="5"/>
        <v>2E-8</v>
      </c>
      <c r="D68" s="76"/>
      <c r="E68" s="76" t="s">
        <v>935</v>
      </c>
      <c r="F68" s="76" t="s">
        <v>168</v>
      </c>
      <c r="G68" s="76" t="s">
        <v>169</v>
      </c>
      <c r="H68" s="76" t="s">
        <v>170</v>
      </c>
      <c r="I68" s="76">
        <v>0</v>
      </c>
      <c r="J68" s="76">
        <f t="shared" si="7"/>
        <v>4.0000000000000002E-9</v>
      </c>
      <c r="K68" s="76"/>
      <c r="L68" s="76">
        <f t="shared" si="6"/>
        <v>2E-8</v>
      </c>
      <c r="M68" s="76" t="s">
        <v>163</v>
      </c>
      <c r="N68" s="76"/>
      <c r="O68" s="76"/>
      <c r="P68" s="76" t="s">
        <v>171</v>
      </c>
    </row>
    <row r="69" spans="2:16" ht="12.75" customHeight="1" x14ac:dyDescent="0.2">
      <c r="B69" s="76" t="s">
        <v>167</v>
      </c>
      <c r="C69" s="76">
        <f t="shared" si="5"/>
        <v>2E-8</v>
      </c>
      <c r="D69" s="76"/>
      <c r="E69" s="76" t="s">
        <v>936</v>
      </c>
      <c r="F69" s="76" t="s">
        <v>168</v>
      </c>
      <c r="G69" s="76" t="s">
        <v>169</v>
      </c>
      <c r="H69" s="76" t="s">
        <v>170</v>
      </c>
      <c r="I69" s="76">
        <v>0</v>
      </c>
      <c r="J69" s="76">
        <f t="shared" si="7"/>
        <v>4.0000000000000002E-9</v>
      </c>
      <c r="K69" s="76"/>
      <c r="L69" s="76">
        <f t="shared" si="6"/>
        <v>2E-8</v>
      </c>
      <c r="M69" s="76" t="s">
        <v>163</v>
      </c>
      <c r="N69" s="76"/>
      <c r="O69" s="76"/>
      <c r="P69" s="76" t="s">
        <v>171</v>
      </c>
    </row>
    <row r="70" spans="2:16" ht="12.75" customHeight="1" x14ac:dyDescent="0.2">
      <c r="B70" s="76" t="s">
        <v>167</v>
      </c>
      <c r="C70" s="76">
        <f t="shared" si="5"/>
        <v>2E-8</v>
      </c>
      <c r="D70" s="76"/>
      <c r="E70" s="76" t="s">
        <v>937</v>
      </c>
      <c r="F70" s="76" t="s">
        <v>168</v>
      </c>
      <c r="G70" s="76" t="s">
        <v>169</v>
      </c>
      <c r="H70" s="76" t="s">
        <v>170</v>
      </c>
      <c r="I70" s="76">
        <v>0</v>
      </c>
      <c r="J70" s="76">
        <f t="shared" si="7"/>
        <v>4.0000000000000002E-9</v>
      </c>
      <c r="K70" s="76"/>
      <c r="L70" s="76">
        <f t="shared" si="6"/>
        <v>2E-8</v>
      </c>
      <c r="M70" s="76" t="s">
        <v>163</v>
      </c>
      <c r="N70" s="76"/>
      <c r="O70" s="76"/>
      <c r="P70" s="76" t="s">
        <v>171</v>
      </c>
    </row>
    <row r="71" spans="2:16" ht="12.75" customHeight="1" x14ac:dyDescent="0.2">
      <c r="B71" s="76" t="s">
        <v>167</v>
      </c>
      <c r="C71" s="76">
        <f t="shared" ref="C71:C87" si="8">20*ns</f>
        <v>2E-8</v>
      </c>
      <c r="D71" s="76"/>
      <c r="E71" s="76" t="s">
        <v>938</v>
      </c>
      <c r="F71" s="76" t="s">
        <v>168</v>
      </c>
      <c r="G71" s="76" t="s">
        <v>169</v>
      </c>
      <c r="H71" s="76" t="s">
        <v>170</v>
      </c>
      <c r="I71" s="76">
        <v>0</v>
      </c>
      <c r="J71" s="76">
        <f t="shared" si="7"/>
        <v>4.0000000000000002E-9</v>
      </c>
      <c r="K71" s="76"/>
      <c r="L71" s="76">
        <f t="shared" ref="L71:L87" si="9">C71</f>
        <v>2E-8</v>
      </c>
      <c r="M71" s="76" t="s">
        <v>163</v>
      </c>
      <c r="N71" s="76"/>
      <c r="O71" s="76"/>
      <c r="P71" s="76" t="s">
        <v>171</v>
      </c>
    </row>
    <row r="72" spans="2:16" ht="12.75" customHeight="1" x14ac:dyDescent="0.2">
      <c r="B72" s="76" t="s">
        <v>167</v>
      </c>
      <c r="C72" s="76">
        <f t="shared" si="8"/>
        <v>2E-8</v>
      </c>
      <c r="D72" s="76"/>
      <c r="E72" s="76" t="s">
        <v>939</v>
      </c>
      <c r="F72" s="76" t="s">
        <v>168</v>
      </c>
      <c r="G72" s="76" t="s">
        <v>169</v>
      </c>
      <c r="H72" s="76" t="s">
        <v>170</v>
      </c>
      <c r="I72" s="76">
        <v>0</v>
      </c>
      <c r="J72" s="76">
        <f t="shared" si="7"/>
        <v>4.0000000000000002E-9</v>
      </c>
      <c r="K72" s="76"/>
      <c r="L72" s="76">
        <f t="shared" si="9"/>
        <v>2E-8</v>
      </c>
      <c r="M72" s="76" t="s">
        <v>163</v>
      </c>
      <c r="N72" s="76"/>
      <c r="O72" s="76"/>
      <c r="P72" s="76" t="s">
        <v>171</v>
      </c>
    </row>
    <row r="73" spans="2:16" ht="12.75" customHeight="1" x14ac:dyDescent="0.2">
      <c r="B73" s="76" t="s">
        <v>167</v>
      </c>
      <c r="C73" s="76">
        <f t="shared" si="8"/>
        <v>2E-8</v>
      </c>
      <c r="D73" s="76"/>
      <c r="E73" s="76" t="s">
        <v>940</v>
      </c>
      <c r="F73" s="76" t="s">
        <v>168</v>
      </c>
      <c r="G73" s="76" t="s">
        <v>169</v>
      </c>
      <c r="H73" s="76" t="s">
        <v>170</v>
      </c>
      <c r="I73" s="76">
        <v>0</v>
      </c>
      <c r="J73" s="76">
        <f t="shared" si="7"/>
        <v>4.0000000000000002E-9</v>
      </c>
      <c r="K73" s="76"/>
      <c r="L73" s="76">
        <f t="shared" si="9"/>
        <v>2E-8</v>
      </c>
      <c r="M73" s="76" t="s">
        <v>163</v>
      </c>
      <c r="N73" s="76"/>
      <c r="O73" s="76"/>
      <c r="P73" s="76" t="s">
        <v>171</v>
      </c>
    </row>
    <row r="74" spans="2:16" ht="12.75" customHeight="1" x14ac:dyDescent="0.2">
      <c r="B74" s="76" t="s">
        <v>167</v>
      </c>
      <c r="C74" s="76">
        <f t="shared" si="8"/>
        <v>2E-8</v>
      </c>
      <c r="D74" s="76"/>
      <c r="E74" s="76" t="s">
        <v>941</v>
      </c>
      <c r="F74" s="76" t="s">
        <v>168</v>
      </c>
      <c r="G74" s="76" t="s">
        <v>169</v>
      </c>
      <c r="H74" s="76" t="s">
        <v>170</v>
      </c>
      <c r="I74" s="76">
        <v>0</v>
      </c>
      <c r="J74" s="76">
        <f t="shared" si="7"/>
        <v>4.0000000000000002E-9</v>
      </c>
      <c r="K74" s="76"/>
      <c r="L74" s="76">
        <f t="shared" si="9"/>
        <v>2E-8</v>
      </c>
      <c r="M74" s="76" t="s">
        <v>163</v>
      </c>
      <c r="N74" s="76"/>
      <c r="O74" s="76"/>
      <c r="P74" s="76" t="s">
        <v>171</v>
      </c>
    </row>
    <row r="75" spans="2:16" ht="12.75" customHeight="1" x14ac:dyDescent="0.2">
      <c r="B75" s="76" t="s">
        <v>167</v>
      </c>
      <c r="C75" s="76">
        <f t="shared" si="8"/>
        <v>2E-8</v>
      </c>
      <c r="D75" s="76"/>
      <c r="E75" s="76" t="s">
        <v>942</v>
      </c>
      <c r="F75" s="76" t="s">
        <v>168</v>
      </c>
      <c r="G75" s="76" t="s">
        <v>169</v>
      </c>
      <c r="H75" s="76" t="s">
        <v>170</v>
      </c>
      <c r="I75" s="76">
        <v>0</v>
      </c>
      <c r="J75" s="76">
        <f t="shared" si="7"/>
        <v>4.0000000000000002E-9</v>
      </c>
      <c r="K75" s="76"/>
      <c r="L75" s="76">
        <f t="shared" si="9"/>
        <v>2E-8</v>
      </c>
      <c r="M75" s="76" t="s">
        <v>163</v>
      </c>
      <c r="N75" s="76"/>
      <c r="O75" s="76"/>
      <c r="P75" s="76" t="s">
        <v>171</v>
      </c>
    </row>
    <row r="76" spans="2:16" ht="12.75" customHeight="1" x14ac:dyDescent="0.2">
      <c r="B76" s="76" t="s">
        <v>167</v>
      </c>
      <c r="C76" s="76">
        <f t="shared" si="8"/>
        <v>2E-8</v>
      </c>
      <c r="D76" s="76"/>
      <c r="E76" s="76" t="s">
        <v>943</v>
      </c>
      <c r="F76" s="76" t="s">
        <v>168</v>
      </c>
      <c r="G76" s="76" t="s">
        <v>169</v>
      </c>
      <c r="H76" s="76" t="s">
        <v>170</v>
      </c>
      <c r="I76" s="76">
        <v>0</v>
      </c>
      <c r="J76" s="76">
        <f t="shared" si="7"/>
        <v>4.0000000000000002E-9</v>
      </c>
      <c r="K76" s="76"/>
      <c r="L76" s="76">
        <f t="shared" si="9"/>
        <v>2E-8</v>
      </c>
      <c r="M76" s="76" t="s">
        <v>163</v>
      </c>
      <c r="N76" s="76"/>
      <c r="O76" s="76"/>
      <c r="P76" s="76" t="s">
        <v>171</v>
      </c>
    </row>
    <row r="77" spans="2:16" ht="12.75" customHeight="1" x14ac:dyDescent="0.2">
      <c r="B77" s="76" t="s">
        <v>167</v>
      </c>
      <c r="C77" s="76">
        <f t="shared" si="8"/>
        <v>2E-8</v>
      </c>
      <c r="D77" s="76"/>
      <c r="E77" s="76" t="s">
        <v>944</v>
      </c>
      <c r="F77" s="76" t="s">
        <v>168</v>
      </c>
      <c r="G77" s="76" t="s">
        <v>169</v>
      </c>
      <c r="H77" s="76" t="s">
        <v>170</v>
      </c>
      <c r="I77" s="76">
        <v>0</v>
      </c>
      <c r="J77" s="76">
        <f t="shared" si="7"/>
        <v>4.0000000000000002E-9</v>
      </c>
      <c r="K77" s="76"/>
      <c r="L77" s="76">
        <f t="shared" si="9"/>
        <v>2E-8</v>
      </c>
      <c r="M77" s="76" t="s">
        <v>163</v>
      </c>
      <c r="N77" s="76"/>
      <c r="O77" s="76"/>
      <c r="P77" s="76" t="s">
        <v>171</v>
      </c>
    </row>
    <row r="78" spans="2:16" ht="12.75" customHeight="1" x14ac:dyDescent="0.2">
      <c r="B78" s="76" t="s">
        <v>167</v>
      </c>
      <c r="C78" s="76">
        <f t="shared" si="8"/>
        <v>2E-8</v>
      </c>
      <c r="D78" s="76"/>
      <c r="E78" s="76" t="s">
        <v>945</v>
      </c>
      <c r="F78" s="76" t="s">
        <v>168</v>
      </c>
      <c r="G78" s="76" t="s">
        <v>169</v>
      </c>
      <c r="H78" s="76" t="s">
        <v>170</v>
      </c>
      <c r="I78" s="76">
        <v>0</v>
      </c>
      <c r="J78" s="76">
        <f t="shared" si="7"/>
        <v>4.0000000000000002E-9</v>
      </c>
      <c r="K78" s="76"/>
      <c r="L78" s="76">
        <f t="shared" si="9"/>
        <v>2E-8</v>
      </c>
      <c r="M78" s="76" t="s">
        <v>163</v>
      </c>
      <c r="N78" s="76"/>
      <c r="O78" s="76"/>
      <c r="P78" s="76" t="s">
        <v>171</v>
      </c>
    </row>
    <row r="79" spans="2:16" ht="12.75" customHeight="1" x14ac:dyDescent="0.2">
      <c r="B79" s="76" t="s">
        <v>167</v>
      </c>
      <c r="C79" s="76">
        <f t="shared" si="8"/>
        <v>2E-8</v>
      </c>
      <c r="D79" s="76"/>
      <c r="E79" s="76" t="s">
        <v>946</v>
      </c>
      <c r="F79" s="76" t="s">
        <v>168</v>
      </c>
      <c r="G79" s="76" t="s">
        <v>169</v>
      </c>
      <c r="H79" s="76" t="s">
        <v>170</v>
      </c>
      <c r="I79" s="76">
        <v>0</v>
      </c>
      <c r="J79" s="76">
        <f t="shared" si="7"/>
        <v>4.0000000000000002E-9</v>
      </c>
      <c r="K79" s="76"/>
      <c r="L79" s="76">
        <f t="shared" si="9"/>
        <v>2E-8</v>
      </c>
      <c r="M79" s="76" t="s">
        <v>163</v>
      </c>
      <c r="N79" s="76"/>
      <c r="O79" s="76"/>
      <c r="P79" s="76" t="s">
        <v>171</v>
      </c>
    </row>
    <row r="80" spans="2:16" ht="12.75" customHeight="1" x14ac:dyDescent="0.2">
      <c r="B80" s="76" t="s">
        <v>167</v>
      </c>
      <c r="C80" s="76">
        <f t="shared" si="8"/>
        <v>2E-8</v>
      </c>
      <c r="D80" s="76"/>
      <c r="E80" s="76" t="s">
        <v>103</v>
      </c>
      <c r="F80" s="76" t="s">
        <v>168</v>
      </c>
      <c r="G80" s="76" t="s">
        <v>169</v>
      </c>
      <c r="H80" s="76" t="s">
        <v>170</v>
      </c>
      <c r="I80" s="76">
        <f>0*C80</f>
        <v>0</v>
      </c>
      <c r="J80" s="76">
        <f t="shared" si="7"/>
        <v>4.0000000000000002E-9</v>
      </c>
      <c r="K80" s="76"/>
      <c r="L80" s="76">
        <f t="shared" si="9"/>
        <v>2E-8</v>
      </c>
      <c r="M80" s="76" t="s">
        <v>163</v>
      </c>
      <c r="N80" s="76"/>
      <c r="O80" s="76"/>
      <c r="P80" s="76" t="s">
        <v>171</v>
      </c>
    </row>
    <row r="81" spans="2:16" ht="12.75" customHeight="1" x14ac:dyDescent="0.2">
      <c r="B81" s="76" t="s">
        <v>167</v>
      </c>
      <c r="C81" s="76">
        <f t="shared" si="8"/>
        <v>2E-8</v>
      </c>
      <c r="D81" s="76"/>
      <c r="E81" s="76" t="s">
        <v>111</v>
      </c>
      <c r="F81" s="76" t="s">
        <v>168</v>
      </c>
      <c r="G81" s="76" t="s">
        <v>169</v>
      </c>
      <c r="H81" s="76" t="s">
        <v>170</v>
      </c>
      <c r="I81" s="76">
        <f t="shared" ref="I81" si="10">0*C81</f>
        <v>0</v>
      </c>
      <c r="J81" s="76">
        <v>0</v>
      </c>
      <c r="K81" s="76"/>
      <c r="L81" s="76">
        <f t="shared" si="9"/>
        <v>2E-8</v>
      </c>
      <c r="M81" s="76" t="s">
        <v>172</v>
      </c>
      <c r="N81" s="76">
        <f>0.9*C81</f>
        <v>1.8000000000000002E-8</v>
      </c>
      <c r="O81" s="76"/>
      <c r="P81" s="76" t="s">
        <v>171</v>
      </c>
    </row>
    <row r="82" spans="2:16" ht="12.75" customHeight="1" x14ac:dyDescent="0.2">
      <c r="B82" s="76" t="s">
        <v>167</v>
      </c>
      <c r="C82" s="76">
        <f t="shared" si="8"/>
        <v>2E-8</v>
      </c>
      <c r="D82" s="76"/>
      <c r="E82" s="76" t="s">
        <v>97</v>
      </c>
      <c r="F82" s="76" t="s">
        <v>168</v>
      </c>
      <c r="G82" s="76" t="s">
        <v>169</v>
      </c>
      <c r="H82" s="76" t="s">
        <v>170</v>
      </c>
      <c r="I82" s="76">
        <v>0</v>
      </c>
      <c r="J82" s="76">
        <f t="shared" si="7"/>
        <v>4.0000000000000002E-9</v>
      </c>
      <c r="K82" s="76"/>
      <c r="L82" s="76">
        <f t="shared" si="9"/>
        <v>2E-8</v>
      </c>
      <c r="M82" s="76" t="s">
        <v>163</v>
      </c>
      <c r="N82" s="76"/>
      <c r="O82" s="76"/>
      <c r="P82" s="76" t="s">
        <v>171</v>
      </c>
    </row>
    <row r="83" spans="2:16" ht="12.75" customHeight="1" x14ac:dyDescent="0.2">
      <c r="B83" s="76" t="s">
        <v>167</v>
      </c>
      <c r="C83" s="76">
        <f t="shared" si="8"/>
        <v>2E-8</v>
      </c>
      <c r="D83" s="76"/>
      <c r="E83" s="76" t="s">
        <v>98</v>
      </c>
      <c r="F83" s="76" t="s">
        <v>168</v>
      </c>
      <c r="G83" s="76" t="s">
        <v>169</v>
      </c>
      <c r="H83" s="76" t="s">
        <v>170</v>
      </c>
      <c r="I83" s="76">
        <v>0</v>
      </c>
      <c r="J83" s="76">
        <f t="shared" si="7"/>
        <v>4.0000000000000002E-9</v>
      </c>
      <c r="K83" s="76"/>
      <c r="L83" s="76">
        <f t="shared" si="9"/>
        <v>2E-8</v>
      </c>
      <c r="M83" s="76" t="s">
        <v>163</v>
      </c>
      <c r="N83" s="76"/>
      <c r="O83" s="76"/>
      <c r="P83" s="76" t="s">
        <v>171</v>
      </c>
    </row>
    <row r="84" spans="2:16" ht="12.75" customHeight="1" x14ac:dyDescent="0.2">
      <c r="B84" s="76" t="s">
        <v>167</v>
      </c>
      <c r="C84" s="76">
        <f t="shared" si="8"/>
        <v>2E-8</v>
      </c>
      <c r="D84" s="76"/>
      <c r="E84" s="76" t="s">
        <v>120</v>
      </c>
      <c r="F84" s="76" t="s">
        <v>168</v>
      </c>
      <c r="G84" s="76" t="s">
        <v>169</v>
      </c>
      <c r="H84" s="76" t="s">
        <v>170</v>
      </c>
      <c r="I84" s="76">
        <v>0</v>
      </c>
      <c r="J84" s="76">
        <f t="shared" si="7"/>
        <v>4.0000000000000002E-9</v>
      </c>
      <c r="K84" s="76"/>
      <c r="L84" s="76">
        <f t="shared" si="9"/>
        <v>2E-8</v>
      </c>
      <c r="M84" s="76" t="s">
        <v>172</v>
      </c>
      <c r="N84" s="76">
        <f>C84*0.9</f>
        <v>1.8000000000000002E-8</v>
      </c>
      <c r="O84" s="76"/>
      <c r="P84" s="76" t="s">
        <v>171</v>
      </c>
    </row>
    <row r="85" spans="2:16" ht="12.75" customHeight="1" x14ac:dyDescent="0.2">
      <c r="B85" s="76" t="s">
        <v>167</v>
      </c>
      <c r="C85" s="76">
        <f t="shared" si="8"/>
        <v>2E-8</v>
      </c>
      <c r="D85" s="76"/>
      <c r="E85" s="76" t="s">
        <v>121</v>
      </c>
      <c r="F85" s="76" t="s">
        <v>168</v>
      </c>
      <c r="G85" s="76" t="s">
        <v>169</v>
      </c>
      <c r="H85" s="76" t="s">
        <v>170</v>
      </c>
      <c r="I85" s="76">
        <v>0</v>
      </c>
      <c r="J85" s="76">
        <f t="shared" si="7"/>
        <v>4.0000000000000002E-9</v>
      </c>
      <c r="K85" s="76"/>
      <c r="L85" s="76">
        <f t="shared" si="9"/>
        <v>2E-8</v>
      </c>
      <c r="M85" s="76" t="s">
        <v>172</v>
      </c>
      <c r="N85" s="76">
        <f>C85*0.9</f>
        <v>1.8000000000000002E-8</v>
      </c>
      <c r="O85" s="76"/>
      <c r="P85" s="76" t="s">
        <v>171</v>
      </c>
    </row>
    <row r="86" spans="2:16" ht="12.75" customHeight="1" x14ac:dyDescent="0.2">
      <c r="B86" s="76" t="s">
        <v>167</v>
      </c>
      <c r="C86" s="76">
        <f t="shared" si="8"/>
        <v>2E-8</v>
      </c>
      <c r="D86" s="76"/>
      <c r="E86" s="76" t="s">
        <v>109</v>
      </c>
      <c r="F86" s="76" t="s">
        <v>168</v>
      </c>
      <c r="G86" s="76" t="s">
        <v>169</v>
      </c>
      <c r="H86" s="76" t="s">
        <v>170</v>
      </c>
      <c r="I86" s="76">
        <f t="shared" ref="I86" si="11">0*C86</f>
        <v>0</v>
      </c>
      <c r="J86" s="76">
        <f>0.2*C86</f>
        <v>4.0000000000000002E-9</v>
      </c>
      <c r="K86" s="76"/>
      <c r="L86" s="76">
        <f t="shared" si="9"/>
        <v>2E-8</v>
      </c>
      <c r="M86" s="76" t="s">
        <v>172</v>
      </c>
      <c r="N86" s="76">
        <f>0.9*C86</f>
        <v>1.8000000000000002E-8</v>
      </c>
      <c r="O86" s="76"/>
      <c r="P86" s="76" t="s">
        <v>171</v>
      </c>
    </row>
    <row r="87" spans="2:16" ht="12.75" customHeight="1" x14ac:dyDescent="0.2">
      <c r="B87" s="76" t="s">
        <v>167</v>
      </c>
      <c r="C87" s="76">
        <f t="shared" si="8"/>
        <v>2E-8</v>
      </c>
      <c r="D87" s="76"/>
      <c r="E87" s="76" t="s">
        <v>1047</v>
      </c>
      <c r="F87" s="76" t="s">
        <v>168</v>
      </c>
      <c r="G87" s="76" t="s">
        <v>169</v>
      </c>
      <c r="H87" s="76" t="s">
        <v>170</v>
      </c>
      <c r="I87" s="76">
        <v>0</v>
      </c>
      <c r="J87" s="76">
        <f t="shared" si="7"/>
        <v>4.0000000000000002E-9</v>
      </c>
      <c r="K87" s="76"/>
      <c r="L87" s="76">
        <f t="shared" si="9"/>
        <v>2E-8</v>
      </c>
      <c r="M87" s="76" t="s">
        <v>163</v>
      </c>
      <c r="N87" s="76"/>
      <c r="O87" s="76"/>
      <c r="P87" s="76" t="s">
        <v>171</v>
      </c>
    </row>
  </sheetData>
  <autoFilter ref="E6:E7"/>
  <dataValidations count="1">
    <dataValidation type="list" allowBlank="1" showInputMessage="1" showErrorMessage="1" sqref="C3">
      <formula1>"Normal,Extended,Quad"</formula1>
    </dataValidation>
  </dataValidations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1:P87"/>
  <sheetViews>
    <sheetView showGridLines="0" zoomScaleNormal="100" workbookViewId="0">
      <pane ySplit="6" topLeftCell="A7" activePane="bottomLeft" state="frozen"/>
      <selection pane="bottomLeft" activeCell="B7" sqref="B7"/>
    </sheetView>
  </sheetViews>
  <sheetFormatPr defaultRowHeight="12.75" x14ac:dyDescent="0.2"/>
  <cols>
    <col min="1" max="1" width="9.140625" style="75"/>
    <col min="2" max="3" width="13.42578125" style="75" customWidth="1"/>
    <col min="4" max="4" width="6.28515625" style="75" customWidth="1"/>
    <col min="5" max="5" width="13.42578125" style="75" customWidth="1"/>
    <col min="6" max="6" width="9.28515625" style="75" bestFit="1" customWidth="1"/>
    <col min="7" max="8" width="9.140625" style="75"/>
    <col min="9" max="12" width="13.42578125" style="75" customWidth="1"/>
    <col min="13" max="13" width="9.140625" style="75"/>
    <col min="14" max="15" width="13.42578125" style="75" customWidth="1"/>
    <col min="16" max="16" width="42.85546875" style="75" customWidth="1"/>
    <col min="17" max="16384" width="9.140625" style="75"/>
  </cols>
  <sheetData>
    <row r="1" spans="1:16" ht="25.5" customHeight="1" x14ac:dyDescent="0.2">
      <c r="A1" s="75" t="s">
        <v>61</v>
      </c>
      <c r="B1" s="75" t="s">
        <v>146</v>
      </c>
    </row>
    <row r="3" spans="1:16" x14ac:dyDescent="0.2">
      <c r="B3" s="1" t="s">
        <v>147</v>
      </c>
      <c r="C3" s="2" t="s">
        <v>237</v>
      </c>
      <c r="E3" s="1" t="s">
        <v>148</v>
      </c>
      <c r="F3" s="2">
        <f>1*us</f>
        <v>9.9999999999999995E-7</v>
      </c>
      <c r="H3" s="1" t="s">
        <v>149</v>
      </c>
      <c r="I3" s="2">
        <f>1*us</f>
        <v>9.9999999999999995E-7</v>
      </c>
    </row>
    <row r="5" spans="1:16" x14ac:dyDescent="0.2">
      <c r="C5" s="75" t="s">
        <v>150</v>
      </c>
      <c r="E5" s="75" t="s">
        <v>151</v>
      </c>
      <c r="G5" s="75" t="s">
        <v>152</v>
      </c>
      <c r="I5" s="75" t="s">
        <v>153</v>
      </c>
      <c r="M5" s="75" t="s">
        <v>154</v>
      </c>
    </row>
    <row r="6" spans="1:16" x14ac:dyDescent="0.2">
      <c r="B6" s="75" t="s">
        <v>155</v>
      </c>
      <c r="C6" s="75" t="s">
        <v>156</v>
      </c>
      <c r="D6" s="75" t="s">
        <v>157</v>
      </c>
      <c r="E6" s="75" t="s">
        <v>20</v>
      </c>
      <c r="F6" s="75" t="s">
        <v>158</v>
      </c>
      <c r="G6" s="75" t="s">
        <v>159</v>
      </c>
      <c r="H6" s="75" t="s">
        <v>160</v>
      </c>
      <c r="I6" s="75" t="s">
        <v>161</v>
      </c>
      <c r="J6" s="75" t="s">
        <v>152</v>
      </c>
      <c r="K6" s="75" t="s">
        <v>162</v>
      </c>
      <c r="L6" s="75" t="s">
        <v>163</v>
      </c>
      <c r="M6" s="75" t="s">
        <v>164</v>
      </c>
      <c r="N6" s="75" t="s">
        <v>165</v>
      </c>
      <c r="O6" s="75" t="s">
        <v>166</v>
      </c>
      <c r="P6" s="75" t="s">
        <v>4</v>
      </c>
    </row>
    <row r="7" spans="1:16" ht="19.149999999999999" customHeight="1" x14ac:dyDescent="0.2">
      <c r="B7" s="76" t="s">
        <v>167</v>
      </c>
      <c r="C7" s="76">
        <f t="shared" ref="C7:C38" si="0">75*ns</f>
        <v>7.500000000000001E-8</v>
      </c>
      <c r="D7" s="76"/>
      <c r="E7" s="76" t="s">
        <v>893</v>
      </c>
      <c r="F7" s="76" t="s">
        <v>168</v>
      </c>
      <c r="G7" s="76" t="s">
        <v>169</v>
      </c>
      <c r="H7" s="76" t="s">
        <v>170</v>
      </c>
      <c r="I7" s="76">
        <v>0</v>
      </c>
      <c r="J7" s="76">
        <f>C7*0.1</f>
        <v>7.500000000000001E-9</v>
      </c>
      <c r="K7" s="76"/>
      <c r="L7" s="76">
        <f t="shared" ref="L7:L38" si="1">C7</f>
        <v>7.500000000000001E-8</v>
      </c>
      <c r="M7" s="76" t="s">
        <v>163</v>
      </c>
      <c r="N7" s="76"/>
      <c r="O7" s="76"/>
      <c r="P7" s="76" t="s">
        <v>171</v>
      </c>
    </row>
    <row r="8" spans="1:16" ht="12.75" customHeight="1" x14ac:dyDescent="0.2">
      <c r="B8" s="76" t="s">
        <v>167</v>
      </c>
      <c r="C8" s="76">
        <f t="shared" si="0"/>
        <v>7.500000000000001E-8</v>
      </c>
      <c r="D8" s="76"/>
      <c r="E8" s="76" t="s">
        <v>894</v>
      </c>
      <c r="F8" s="76" t="s">
        <v>168</v>
      </c>
      <c r="G8" s="76" t="s">
        <v>169</v>
      </c>
      <c r="H8" s="76" t="s">
        <v>170</v>
      </c>
      <c r="I8" s="76">
        <v>0</v>
      </c>
      <c r="J8" s="76">
        <f>C8*0.2</f>
        <v>1.5000000000000002E-8</v>
      </c>
      <c r="K8" s="76"/>
      <c r="L8" s="76">
        <f t="shared" si="1"/>
        <v>7.500000000000001E-8</v>
      </c>
      <c r="M8" s="76" t="s">
        <v>163</v>
      </c>
      <c r="N8" s="76">
        <f>C8*0.9</f>
        <v>6.7500000000000015E-8</v>
      </c>
      <c r="O8" s="76"/>
      <c r="P8" s="76" t="s">
        <v>171</v>
      </c>
    </row>
    <row r="9" spans="1:16" ht="12.75" customHeight="1" x14ac:dyDescent="0.2">
      <c r="B9" s="76" t="s">
        <v>167</v>
      </c>
      <c r="C9" s="76">
        <f t="shared" si="0"/>
        <v>7.500000000000001E-8</v>
      </c>
      <c r="D9" s="76"/>
      <c r="E9" s="76" t="s">
        <v>896</v>
      </c>
      <c r="F9" s="76" t="s">
        <v>168</v>
      </c>
      <c r="G9" s="76" t="s">
        <v>169</v>
      </c>
      <c r="H9" s="76" t="s">
        <v>170</v>
      </c>
      <c r="I9" s="76">
        <v>0</v>
      </c>
      <c r="J9" s="76">
        <f>C9*0.2</f>
        <v>1.5000000000000002E-8</v>
      </c>
      <c r="K9" s="76"/>
      <c r="L9" s="76">
        <f t="shared" si="1"/>
        <v>7.500000000000001E-8</v>
      </c>
      <c r="M9" s="76" t="s">
        <v>163</v>
      </c>
      <c r="N9" s="76">
        <f>C9*0.9</f>
        <v>6.7500000000000015E-8</v>
      </c>
      <c r="O9" s="76"/>
      <c r="P9" s="76" t="s">
        <v>171</v>
      </c>
    </row>
    <row r="10" spans="1:16" ht="12.75" customHeight="1" x14ac:dyDescent="0.2">
      <c r="B10" s="76" t="s">
        <v>167</v>
      </c>
      <c r="C10" s="76">
        <f t="shared" si="0"/>
        <v>7.500000000000001E-8</v>
      </c>
      <c r="D10" s="76"/>
      <c r="E10" s="76" t="s">
        <v>897</v>
      </c>
      <c r="F10" s="76" t="s">
        <v>168</v>
      </c>
      <c r="G10" s="76" t="s">
        <v>169</v>
      </c>
      <c r="H10" s="76" t="s">
        <v>170</v>
      </c>
      <c r="I10" s="76">
        <v>0</v>
      </c>
      <c r="J10" s="76">
        <f>C10*0.1</f>
        <v>7.500000000000001E-9</v>
      </c>
      <c r="K10" s="76"/>
      <c r="L10" s="76">
        <f t="shared" si="1"/>
        <v>7.500000000000001E-8</v>
      </c>
      <c r="M10" s="76" t="s">
        <v>163</v>
      </c>
      <c r="N10" s="76">
        <f>C10*0.9</f>
        <v>6.7500000000000015E-8</v>
      </c>
      <c r="O10" s="76"/>
      <c r="P10" s="76" t="s">
        <v>171</v>
      </c>
    </row>
    <row r="11" spans="1:16" ht="12.75" customHeight="1" x14ac:dyDescent="0.2">
      <c r="B11" s="76" t="s">
        <v>167</v>
      </c>
      <c r="C11" s="76">
        <f t="shared" si="0"/>
        <v>7.500000000000001E-8</v>
      </c>
      <c r="D11" s="76"/>
      <c r="E11" s="76" t="s">
        <v>895</v>
      </c>
      <c r="F11" s="76" t="s">
        <v>168</v>
      </c>
      <c r="G11" s="76" t="s">
        <v>169</v>
      </c>
      <c r="H11" s="76" t="s">
        <v>170</v>
      </c>
      <c r="I11" s="76">
        <v>0</v>
      </c>
      <c r="J11" s="76">
        <v>0</v>
      </c>
      <c r="K11" s="76"/>
      <c r="L11" s="76">
        <f t="shared" si="1"/>
        <v>7.500000000000001E-8</v>
      </c>
      <c r="M11" s="76" t="s">
        <v>172</v>
      </c>
      <c r="N11" s="76">
        <f>C11*0.9</f>
        <v>6.7500000000000015E-8</v>
      </c>
      <c r="O11" s="76"/>
      <c r="P11" s="76" t="s">
        <v>171</v>
      </c>
    </row>
    <row r="12" spans="1:16" ht="12.75" customHeight="1" x14ac:dyDescent="0.2">
      <c r="B12" s="76" t="s">
        <v>167</v>
      </c>
      <c r="C12" s="76">
        <f t="shared" si="0"/>
        <v>7.500000000000001E-8</v>
      </c>
      <c r="D12" s="76"/>
      <c r="E12" s="76" t="s">
        <v>909</v>
      </c>
      <c r="F12" s="76" t="s">
        <v>168</v>
      </c>
      <c r="G12" s="76" t="s">
        <v>169</v>
      </c>
      <c r="H12" s="76" t="s">
        <v>170</v>
      </c>
      <c r="I12" s="76">
        <v>0</v>
      </c>
      <c r="J12" s="76">
        <f>C12*0.1</f>
        <v>7.500000000000001E-9</v>
      </c>
      <c r="K12" s="76"/>
      <c r="L12" s="76">
        <f t="shared" si="1"/>
        <v>7.500000000000001E-8</v>
      </c>
      <c r="M12" s="76" t="s">
        <v>163</v>
      </c>
      <c r="N12" s="76"/>
      <c r="O12" s="76"/>
      <c r="P12" s="76" t="s">
        <v>171</v>
      </c>
    </row>
    <row r="13" spans="1:16" ht="12.75" customHeight="1" x14ac:dyDescent="0.2">
      <c r="B13" s="76" t="s">
        <v>167</v>
      </c>
      <c r="C13" s="76">
        <f t="shared" si="0"/>
        <v>7.500000000000001E-8</v>
      </c>
      <c r="D13" s="76"/>
      <c r="E13" s="76" t="s">
        <v>908</v>
      </c>
      <c r="F13" s="76" t="s">
        <v>168</v>
      </c>
      <c r="G13" s="76" t="s">
        <v>169</v>
      </c>
      <c r="H13" s="76" t="s">
        <v>170</v>
      </c>
      <c r="I13" s="76">
        <v>0</v>
      </c>
      <c r="J13" s="76">
        <f>C13*0.2</f>
        <v>1.5000000000000002E-8</v>
      </c>
      <c r="K13" s="76"/>
      <c r="L13" s="76">
        <f t="shared" si="1"/>
        <v>7.500000000000001E-8</v>
      </c>
      <c r="M13" s="76" t="s">
        <v>163</v>
      </c>
      <c r="N13" s="76"/>
      <c r="O13" s="76"/>
      <c r="P13" s="76" t="s">
        <v>171</v>
      </c>
    </row>
    <row r="14" spans="1:16" ht="12.75" customHeight="1" x14ac:dyDescent="0.2">
      <c r="B14" s="76" t="s">
        <v>167</v>
      </c>
      <c r="C14" s="76">
        <f t="shared" si="0"/>
        <v>7.500000000000001E-8</v>
      </c>
      <c r="D14" s="76"/>
      <c r="E14" s="76" t="s">
        <v>910</v>
      </c>
      <c r="F14" s="76" t="s">
        <v>168</v>
      </c>
      <c r="G14" s="76" t="s">
        <v>169</v>
      </c>
      <c r="H14" s="76" t="s">
        <v>170</v>
      </c>
      <c r="I14" s="76">
        <v>0</v>
      </c>
      <c r="J14" s="76">
        <f>C14*0.2</f>
        <v>1.5000000000000002E-8</v>
      </c>
      <c r="K14" s="76"/>
      <c r="L14" s="76">
        <f t="shared" si="1"/>
        <v>7.500000000000001E-8</v>
      </c>
      <c r="M14" s="76" t="s">
        <v>163</v>
      </c>
      <c r="N14" s="76"/>
      <c r="O14" s="76"/>
      <c r="P14" s="76" t="s">
        <v>171</v>
      </c>
    </row>
    <row r="15" spans="1:16" ht="12.75" customHeight="1" x14ac:dyDescent="0.2">
      <c r="B15" s="76" t="s">
        <v>167</v>
      </c>
      <c r="C15" s="76">
        <f t="shared" si="0"/>
        <v>7.500000000000001E-8</v>
      </c>
      <c r="D15" s="76"/>
      <c r="E15" s="76" t="s">
        <v>911</v>
      </c>
      <c r="F15" s="76" t="s">
        <v>168</v>
      </c>
      <c r="G15" s="76" t="s">
        <v>169</v>
      </c>
      <c r="H15" s="76" t="s">
        <v>170</v>
      </c>
      <c r="I15" s="76">
        <v>0</v>
      </c>
      <c r="J15" s="76">
        <v>0</v>
      </c>
      <c r="K15" s="76"/>
      <c r="L15" s="76">
        <f t="shared" si="1"/>
        <v>7.500000000000001E-8</v>
      </c>
      <c r="M15" s="76" t="s">
        <v>172</v>
      </c>
      <c r="N15" s="76">
        <f>C15*0.9+(0*ns)</f>
        <v>6.7500000000000015E-8</v>
      </c>
      <c r="O15" s="76"/>
      <c r="P15" s="76" t="s">
        <v>337</v>
      </c>
    </row>
    <row r="16" spans="1:16" ht="12.75" customHeight="1" x14ac:dyDescent="0.2">
      <c r="B16" s="76" t="s">
        <v>167</v>
      </c>
      <c r="C16" s="76">
        <f t="shared" si="0"/>
        <v>7.500000000000001E-8</v>
      </c>
      <c r="D16" s="76"/>
      <c r="E16" s="76" t="s">
        <v>95</v>
      </c>
      <c r="F16" s="76" t="s">
        <v>168</v>
      </c>
      <c r="G16" s="76" t="s">
        <v>169</v>
      </c>
      <c r="H16" s="76" t="s">
        <v>170</v>
      </c>
      <c r="I16" s="76">
        <v>0</v>
      </c>
      <c r="J16" s="76">
        <f>C16*0.1</f>
        <v>7.500000000000001E-9</v>
      </c>
      <c r="K16" s="76"/>
      <c r="L16" s="76">
        <f t="shared" si="1"/>
        <v>7.500000000000001E-8</v>
      </c>
      <c r="M16" s="76" t="s">
        <v>163</v>
      </c>
      <c r="N16" s="76"/>
      <c r="O16" s="76"/>
      <c r="P16" s="76" t="s">
        <v>171</v>
      </c>
    </row>
    <row r="17" spans="2:16" ht="12.75" customHeight="1" x14ac:dyDescent="0.2">
      <c r="B17" s="76" t="s">
        <v>167</v>
      </c>
      <c r="C17" s="76">
        <f t="shared" si="0"/>
        <v>7.500000000000001E-8</v>
      </c>
      <c r="D17" s="76"/>
      <c r="E17" s="76" t="s">
        <v>96</v>
      </c>
      <c r="F17" s="76" t="s">
        <v>168</v>
      </c>
      <c r="G17" s="76" t="s">
        <v>169</v>
      </c>
      <c r="H17" s="76" t="s">
        <v>170</v>
      </c>
      <c r="I17" s="76">
        <v>0</v>
      </c>
      <c r="J17" s="76">
        <f>C17*0.1</f>
        <v>7.500000000000001E-9</v>
      </c>
      <c r="K17" s="76"/>
      <c r="L17" s="76">
        <f t="shared" si="1"/>
        <v>7.500000000000001E-8</v>
      </c>
      <c r="M17" s="76" t="s">
        <v>163</v>
      </c>
      <c r="N17" s="76"/>
      <c r="O17" s="76"/>
      <c r="P17" s="76" t="s">
        <v>171</v>
      </c>
    </row>
    <row r="18" spans="2:16" ht="12.75" customHeight="1" x14ac:dyDescent="0.2">
      <c r="B18" s="76" t="s">
        <v>167</v>
      </c>
      <c r="C18" s="76">
        <f t="shared" si="0"/>
        <v>7.500000000000001E-8</v>
      </c>
      <c r="D18" s="76"/>
      <c r="E18" s="76" t="s">
        <v>122</v>
      </c>
      <c r="F18" s="76" t="s">
        <v>168</v>
      </c>
      <c r="G18" s="76" t="s">
        <v>169</v>
      </c>
      <c r="H18" s="76" t="s">
        <v>170</v>
      </c>
      <c r="I18" s="76">
        <v>0</v>
      </c>
      <c r="J18" s="76">
        <f t="shared" ref="J18:J33" si="2">C18*0.2</f>
        <v>1.5000000000000002E-8</v>
      </c>
      <c r="K18" s="76"/>
      <c r="L18" s="76">
        <f t="shared" si="1"/>
        <v>7.500000000000001E-8</v>
      </c>
      <c r="M18" s="76" t="s">
        <v>172</v>
      </c>
      <c r="N18" s="76">
        <f t="shared" ref="N18:N34" si="3">C18*0.9</f>
        <v>6.7500000000000015E-8</v>
      </c>
      <c r="O18" s="76"/>
      <c r="P18" s="76" t="s">
        <v>1582</v>
      </c>
    </row>
    <row r="19" spans="2:16" ht="12.75" customHeight="1" x14ac:dyDescent="0.2">
      <c r="B19" s="76" t="s">
        <v>167</v>
      </c>
      <c r="C19" s="76">
        <f t="shared" si="0"/>
        <v>7.500000000000001E-8</v>
      </c>
      <c r="D19" s="76"/>
      <c r="E19" s="76" t="s">
        <v>123</v>
      </c>
      <c r="F19" s="76" t="s">
        <v>168</v>
      </c>
      <c r="G19" s="76" t="s">
        <v>169</v>
      </c>
      <c r="H19" s="76" t="s">
        <v>170</v>
      </c>
      <c r="I19" s="76">
        <v>0</v>
      </c>
      <c r="J19" s="76">
        <f t="shared" si="2"/>
        <v>1.5000000000000002E-8</v>
      </c>
      <c r="K19" s="76"/>
      <c r="L19" s="76">
        <f t="shared" si="1"/>
        <v>7.500000000000001E-8</v>
      </c>
      <c r="M19" s="76" t="s">
        <v>172</v>
      </c>
      <c r="N19" s="76">
        <f t="shared" si="3"/>
        <v>6.7500000000000015E-8</v>
      </c>
      <c r="O19" s="76"/>
      <c r="P19" s="76" t="s">
        <v>171</v>
      </c>
    </row>
    <row r="20" spans="2:16" ht="12.75" customHeight="1" x14ac:dyDescent="0.2">
      <c r="B20" s="76" t="s">
        <v>167</v>
      </c>
      <c r="C20" s="76">
        <f t="shared" si="0"/>
        <v>7.500000000000001E-8</v>
      </c>
      <c r="D20" s="76"/>
      <c r="E20" s="76" t="s">
        <v>124</v>
      </c>
      <c r="F20" s="76" t="s">
        <v>168</v>
      </c>
      <c r="G20" s="76" t="s">
        <v>169</v>
      </c>
      <c r="H20" s="76" t="s">
        <v>170</v>
      </c>
      <c r="I20" s="76">
        <v>0</v>
      </c>
      <c r="J20" s="76">
        <f t="shared" si="2"/>
        <v>1.5000000000000002E-8</v>
      </c>
      <c r="K20" s="76"/>
      <c r="L20" s="76">
        <f t="shared" si="1"/>
        <v>7.500000000000001E-8</v>
      </c>
      <c r="M20" s="76" t="s">
        <v>172</v>
      </c>
      <c r="N20" s="76">
        <f t="shared" si="3"/>
        <v>6.7500000000000015E-8</v>
      </c>
      <c r="O20" s="76"/>
      <c r="P20" s="76" t="s">
        <v>171</v>
      </c>
    </row>
    <row r="21" spans="2:16" ht="12.75" customHeight="1" x14ac:dyDescent="0.2">
      <c r="B21" s="76" t="s">
        <v>167</v>
      </c>
      <c r="C21" s="76">
        <f t="shared" si="0"/>
        <v>7.500000000000001E-8</v>
      </c>
      <c r="D21" s="76"/>
      <c r="E21" s="76" t="s">
        <v>125</v>
      </c>
      <c r="F21" s="76" t="s">
        <v>168</v>
      </c>
      <c r="G21" s="76" t="s">
        <v>169</v>
      </c>
      <c r="H21" s="76" t="s">
        <v>170</v>
      </c>
      <c r="I21" s="76">
        <v>0</v>
      </c>
      <c r="J21" s="76">
        <f t="shared" si="2"/>
        <v>1.5000000000000002E-8</v>
      </c>
      <c r="K21" s="76"/>
      <c r="L21" s="76">
        <f t="shared" si="1"/>
        <v>7.500000000000001E-8</v>
      </c>
      <c r="M21" s="76" t="s">
        <v>172</v>
      </c>
      <c r="N21" s="76">
        <f t="shared" si="3"/>
        <v>6.7500000000000015E-8</v>
      </c>
      <c r="O21" s="76"/>
      <c r="P21" s="76" t="s">
        <v>171</v>
      </c>
    </row>
    <row r="22" spans="2:16" ht="12.75" customHeight="1" x14ac:dyDescent="0.2">
      <c r="B22" s="76" t="s">
        <v>167</v>
      </c>
      <c r="C22" s="76">
        <f t="shared" si="0"/>
        <v>7.500000000000001E-8</v>
      </c>
      <c r="D22" s="76"/>
      <c r="E22" s="76" t="s">
        <v>126</v>
      </c>
      <c r="F22" s="76" t="s">
        <v>168</v>
      </c>
      <c r="G22" s="76" t="s">
        <v>169</v>
      </c>
      <c r="H22" s="76" t="s">
        <v>170</v>
      </c>
      <c r="I22" s="76">
        <v>0</v>
      </c>
      <c r="J22" s="76">
        <f t="shared" si="2"/>
        <v>1.5000000000000002E-8</v>
      </c>
      <c r="K22" s="76"/>
      <c r="L22" s="76">
        <f t="shared" si="1"/>
        <v>7.500000000000001E-8</v>
      </c>
      <c r="M22" s="76" t="s">
        <v>172</v>
      </c>
      <c r="N22" s="76">
        <f t="shared" si="3"/>
        <v>6.7500000000000015E-8</v>
      </c>
      <c r="O22" s="76"/>
      <c r="P22" s="76" t="s">
        <v>171</v>
      </c>
    </row>
    <row r="23" spans="2:16" ht="12.75" customHeight="1" x14ac:dyDescent="0.2">
      <c r="B23" s="76" t="s">
        <v>167</v>
      </c>
      <c r="C23" s="76">
        <f t="shared" si="0"/>
        <v>7.500000000000001E-8</v>
      </c>
      <c r="D23" s="76"/>
      <c r="E23" s="76" t="s">
        <v>127</v>
      </c>
      <c r="F23" s="76" t="s">
        <v>168</v>
      </c>
      <c r="G23" s="76" t="s">
        <v>169</v>
      </c>
      <c r="H23" s="76" t="s">
        <v>170</v>
      </c>
      <c r="I23" s="76">
        <v>0</v>
      </c>
      <c r="J23" s="76">
        <f t="shared" si="2"/>
        <v>1.5000000000000002E-8</v>
      </c>
      <c r="K23" s="76"/>
      <c r="L23" s="76">
        <f t="shared" si="1"/>
        <v>7.500000000000001E-8</v>
      </c>
      <c r="M23" s="76" t="s">
        <v>172</v>
      </c>
      <c r="N23" s="76">
        <f t="shared" si="3"/>
        <v>6.7500000000000015E-8</v>
      </c>
      <c r="O23" s="76"/>
      <c r="P23" s="76" t="s">
        <v>171</v>
      </c>
    </row>
    <row r="24" spans="2:16" ht="12.75" customHeight="1" x14ac:dyDescent="0.2">
      <c r="B24" s="76" t="s">
        <v>167</v>
      </c>
      <c r="C24" s="76">
        <f t="shared" si="0"/>
        <v>7.500000000000001E-8</v>
      </c>
      <c r="D24" s="76"/>
      <c r="E24" s="76" t="s">
        <v>128</v>
      </c>
      <c r="F24" s="76" t="s">
        <v>168</v>
      </c>
      <c r="G24" s="76" t="s">
        <v>169</v>
      </c>
      <c r="H24" s="76" t="s">
        <v>170</v>
      </c>
      <c r="I24" s="76">
        <v>0</v>
      </c>
      <c r="J24" s="76">
        <f t="shared" si="2"/>
        <v>1.5000000000000002E-8</v>
      </c>
      <c r="K24" s="76"/>
      <c r="L24" s="76">
        <f t="shared" si="1"/>
        <v>7.500000000000001E-8</v>
      </c>
      <c r="M24" s="76" t="s">
        <v>172</v>
      </c>
      <c r="N24" s="76">
        <f t="shared" si="3"/>
        <v>6.7500000000000015E-8</v>
      </c>
      <c r="O24" s="76"/>
      <c r="P24" s="76" t="s">
        <v>171</v>
      </c>
    </row>
    <row r="25" spans="2:16" ht="12.75" customHeight="1" x14ac:dyDescent="0.2">
      <c r="B25" s="76" t="s">
        <v>167</v>
      </c>
      <c r="C25" s="76">
        <f t="shared" si="0"/>
        <v>7.500000000000001E-8</v>
      </c>
      <c r="D25" s="76"/>
      <c r="E25" s="76" t="s">
        <v>129</v>
      </c>
      <c r="F25" s="76" t="s">
        <v>168</v>
      </c>
      <c r="G25" s="76" t="s">
        <v>169</v>
      </c>
      <c r="H25" s="76" t="s">
        <v>170</v>
      </c>
      <c r="I25" s="76">
        <v>0</v>
      </c>
      <c r="J25" s="76">
        <f t="shared" si="2"/>
        <v>1.5000000000000002E-8</v>
      </c>
      <c r="K25" s="76"/>
      <c r="L25" s="76">
        <f t="shared" si="1"/>
        <v>7.500000000000001E-8</v>
      </c>
      <c r="M25" s="76" t="s">
        <v>172</v>
      </c>
      <c r="N25" s="76">
        <f t="shared" si="3"/>
        <v>6.7500000000000015E-8</v>
      </c>
      <c r="O25" s="76"/>
      <c r="P25" s="76" t="s">
        <v>171</v>
      </c>
    </row>
    <row r="26" spans="2:16" ht="12.75" customHeight="1" x14ac:dyDescent="0.2">
      <c r="B26" s="76" t="s">
        <v>167</v>
      </c>
      <c r="C26" s="76">
        <f t="shared" si="0"/>
        <v>7.500000000000001E-8</v>
      </c>
      <c r="D26" s="76"/>
      <c r="E26" s="76" t="s">
        <v>130</v>
      </c>
      <c r="F26" s="76" t="s">
        <v>168</v>
      </c>
      <c r="G26" s="76" t="s">
        <v>169</v>
      </c>
      <c r="H26" s="76" t="s">
        <v>170</v>
      </c>
      <c r="I26" s="76">
        <v>0</v>
      </c>
      <c r="J26" s="76">
        <f t="shared" si="2"/>
        <v>1.5000000000000002E-8</v>
      </c>
      <c r="K26" s="76"/>
      <c r="L26" s="76">
        <f t="shared" si="1"/>
        <v>7.500000000000001E-8</v>
      </c>
      <c r="M26" s="76" t="s">
        <v>172</v>
      </c>
      <c r="N26" s="76">
        <f t="shared" si="3"/>
        <v>6.7500000000000015E-8</v>
      </c>
      <c r="O26" s="76"/>
      <c r="P26" s="76" t="s">
        <v>171</v>
      </c>
    </row>
    <row r="27" spans="2:16" ht="12.75" customHeight="1" x14ac:dyDescent="0.2">
      <c r="B27" s="76" t="s">
        <v>167</v>
      </c>
      <c r="C27" s="76">
        <f t="shared" si="0"/>
        <v>7.500000000000001E-8</v>
      </c>
      <c r="D27" s="76"/>
      <c r="E27" s="76" t="s">
        <v>131</v>
      </c>
      <c r="F27" s="76" t="s">
        <v>168</v>
      </c>
      <c r="G27" s="76" t="s">
        <v>169</v>
      </c>
      <c r="H27" s="76" t="s">
        <v>170</v>
      </c>
      <c r="I27" s="76">
        <v>0</v>
      </c>
      <c r="J27" s="76">
        <f t="shared" si="2"/>
        <v>1.5000000000000002E-8</v>
      </c>
      <c r="K27" s="76"/>
      <c r="L27" s="76">
        <f t="shared" si="1"/>
        <v>7.500000000000001E-8</v>
      </c>
      <c r="M27" s="76" t="s">
        <v>172</v>
      </c>
      <c r="N27" s="76">
        <f t="shared" si="3"/>
        <v>6.7500000000000015E-8</v>
      </c>
      <c r="O27" s="76"/>
      <c r="P27" s="76" t="s">
        <v>171</v>
      </c>
    </row>
    <row r="28" spans="2:16" ht="12.75" customHeight="1" x14ac:dyDescent="0.2">
      <c r="B28" s="76" t="s">
        <v>167</v>
      </c>
      <c r="C28" s="76">
        <f t="shared" si="0"/>
        <v>7.500000000000001E-8</v>
      </c>
      <c r="D28" s="76"/>
      <c r="E28" s="76" t="s">
        <v>132</v>
      </c>
      <c r="F28" s="76" t="s">
        <v>168</v>
      </c>
      <c r="G28" s="76" t="s">
        <v>169</v>
      </c>
      <c r="H28" s="76" t="s">
        <v>170</v>
      </c>
      <c r="I28" s="76">
        <v>0</v>
      </c>
      <c r="J28" s="76">
        <f t="shared" si="2"/>
        <v>1.5000000000000002E-8</v>
      </c>
      <c r="K28" s="76"/>
      <c r="L28" s="76">
        <f t="shared" si="1"/>
        <v>7.500000000000001E-8</v>
      </c>
      <c r="M28" s="76" t="s">
        <v>172</v>
      </c>
      <c r="N28" s="76">
        <f t="shared" si="3"/>
        <v>6.7500000000000015E-8</v>
      </c>
      <c r="O28" s="76"/>
      <c r="P28" s="76" t="s">
        <v>171</v>
      </c>
    </row>
    <row r="29" spans="2:16" ht="12.75" customHeight="1" x14ac:dyDescent="0.2">
      <c r="B29" s="76" t="s">
        <v>167</v>
      </c>
      <c r="C29" s="76">
        <f t="shared" si="0"/>
        <v>7.500000000000001E-8</v>
      </c>
      <c r="D29" s="76"/>
      <c r="E29" s="76" t="s">
        <v>133</v>
      </c>
      <c r="F29" s="76" t="s">
        <v>168</v>
      </c>
      <c r="G29" s="76" t="s">
        <v>169</v>
      </c>
      <c r="H29" s="76" t="s">
        <v>170</v>
      </c>
      <c r="I29" s="76">
        <v>0</v>
      </c>
      <c r="J29" s="76">
        <f t="shared" si="2"/>
        <v>1.5000000000000002E-8</v>
      </c>
      <c r="K29" s="76"/>
      <c r="L29" s="76">
        <f t="shared" si="1"/>
        <v>7.500000000000001E-8</v>
      </c>
      <c r="M29" s="76" t="s">
        <v>172</v>
      </c>
      <c r="N29" s="76">
        <f t="shared" si="3"/>
        <v>6.7500000000000015E-8</v>
      </c>
      <c r="O29" s="76"/>
      <c r="P29" s="76" t="s">
        <v>171</v>
      </c>
    </row>
    <row r="30" spans="2:16" ht="12.75" customHeight="1" x14ac:dyDescent="0.2">
      <c r="B30" s="76" t="s">
        <v>167</v>
      </c>
      <c r="C30" s="76">
        <f t="shared" si="0"/>
        <v>7.500000000000001E-8</v>
      </c>
      <c r="D30" s="76"/>
      <c r="E30" s="76" t="s">
        <v>134</v>
      </c>
      <c r="F30" s="76" t="s">
        <v>168</v>
      </c>
      <c r="G30" s="76" t="s">
        <v>169</v>
      </c>
      <c r="H30" s="76" t="s">
        <v>170</v>
      </c>
      <c r="I30" s="76">
        <v>0</v>
      </c>
      <c r="J30" s="76">
        <f t="shared" si="2"/>
        <v>1.5000000000000002E-8</v>
      </c>
      <c r="K30" s="76"/>
      <c r="L30" s="76">
        <f t="shared" si="1"/>
        <v>7.500000000000001E-8</v>
      </c>
      <c r="M30" s="76" t="s">
        <v>172</v>
      </c>
      <c r="N30" s="76">
        <f t="shared" si="3"/>
        <v>6.7500000000000015E-8</v>
      </c>
      <c r="O30" s="76"/>
      <c r="P30" s="76" t="s">
        <v>171</v>
      </c>
    </row>
    <row r="31" spans="2:16" ht="12.75" customHeight="1" x14ac:dyDescent="0.2">
      <c r="B31" s="76" t="s">
        <v>167</v>
      </c>
      <c r="C31" s="76">
        <f t="shared" si="0"/>
        <v>7.500000000000001E-8</v>
      </c>
      <c r="D31" s="76"/>
      <c r="E31" s="76" t="s">
        <v>135</v>
      </c>
      <c r="F31" s="76" t="s">
        <v>168</v>
      </c>
      <c r="G31" s="76" t="s">
        <v>169</v>
      </c>
      <c r="H31" s="76" t="s">
        <v>170</v>
      </c>
      <c r="I31" s="76">
        <v>0</v>
      </c>
      <c r="J31" s="76">
        <f t="shared" si="2"/>
        <v>1.5000000000000002E-8</v>
      </c>
      <c r="K31" s="76"/>
      <c r="L31" s="76">
        <f t="shared" si="1"/>
        <v>7.500000000000001E-8</v>
      </c>
      <c r="M31" s="76" t="s">
        <v>172</v>
      </c>
      <c r="N31" s="76">
        <f t="shared" si="3"/>
        <v>6.7500000000000015E-8</v>
      </c>
      <c r="O31" s="76"/>
      <c r="P31" s="76" t="s">
        <v>171</v>
      </c>
    </row>
    <row r="32" spans="2:16" ht="12.75" customHeight="1" x14ac:dyDescent="0.2">
      <c r="B32" s="76" t="s">
        <v>167</v>
      </c>
      <c r="C32" s="76">
        <f t="shared" si="0"/>
        <v>7.500000000000001E-8</v>
      </c>
      <c r="D32" s="76"/>
      <c r="E32" s="76" t="s">
        <v>136</v>
      </c>
      <c r="F32" s="76" t="s">
        <v>168</v>
      </c>
      <c r="G32" s="76" t="s">
        <v>169</v>
      </c>
      <c r="H32" s="76" t="s">
        <v>170</v>
      </c>
      <c r="I32" s="76">
        <v>0</v>
      </c>
      <c r="J32" s="76">
        <f t="shared" si="2"/>
        <v>1.5000000000000002E-8</v>
      </c>
      <c r="K32" s="76"/>
      <c r="L32" s="76">
        <f t="shared" si="1"/>
        <v>7.500000000000001E-8</v>
      </c>
      <c r="M32" s="76" t="s">
        <v>172</v>
      </c>
      <c r="N32" s="76">
        <f t="shared" si="3"/>
        <v>6.7500000000000015E-8</v>
      </c>
      <c r="O32" s="76"/>
      <c r="P32" s="76" t="s">
        <v>171</v>
      </c>
    </row>
    <row r="33" spans="2:16" ht="12.75" customHeight="1" x14ac:dyDescent="0.2">
      <c r="B33" s="76" t="s">
        <v>167</v>
      </c>
      <c r="C33" s="76">
        <f t="shared" si="0"/>
        <v>7.500000000000001E-8</v>
      </c>
      <c r="D33" s="76"/>
      <c r="E33" s="76" t="s">
        <v>137</v>
      </c>
      <c r="F33" s="76" t="s">
        <v>168</v>
      </c>
      <c r="G33" s="76" t="s">
        <v>169</v>
      </c>
      <c r="H33" s="76" t="s">
        <v>170</v>
      </c>
      <c r="I33" s="76">
        <v>0</v>
      </c>
      <c r="J33" s="76">
        <f t="shared" si="2"/>
        <v>1.5000000000000002E-8</v>
      </c>
      <c r="K33" s="76"/>
      <c r="L33" s="76">
        <f t="shared" si="1"/>
        <v>7.500000000000001E-8</v>
      </c>
      <c r="M33" s="76" t="s">
        <v>172</v>
      </c>
      <c r="N33" s="76">
        <f t="shared" si="3"/>
        <v>6.7500000000000015E-8</v>
      </c>
      <c r="O33" s="76"/>
      <c r="P33" s="76" t="s">
        <v>171</v>
      </c>
    </row>
    <row r="34" spans="2:16" ht="12.75" customHeight="1" x14ac:dyDescent="0.2">
      <c r="B34" s="76" t="s">
        <v>167</v>
      </c>
      <c r="C34" s="76">
        <f t="shared" si="0"/>
        <v>7.500000000000001E-8</v>
      </c>
      <c r="D34" s="76"/>
      <c r="E34" s="76" t="s">
        <v>99</v>
      </c>
      <c r="F34" s="76" t="s">
        <v>168</v>
      </c>
      <c r="G34" s="76" t="s">
        <v>169</v>
      </c>
      <c r="H34" s="76" t="s">
        <v>170</v>
      </c>
      <c r="I34" s="76">
        <v>0</v>
      </c>
      <c r="J34" s="76">
        <v>0</v>
      </c>
      <c r="K34" s="76"/>
      <c r="L34" s="76">
        <f t="shared" si="1"/>
        <v>7.500000000000001E-8</v>
      </c>
      <c r="M34" s="76" t="s">
        <v>172</v>
      </c>
      <c r="N34" s="76">
        <f t="shared" si="3"/>
        <v>6.7500000000000015E-8</v>
      </c>
      <c r="O34" s="76"/>
      <c r="P34" s="76" t="s">
        <v>171</v>
      </c>
    </row>
    <row r="35" spans="2:16" ht="12.75" customHeight="1" x14ac:dyDescent="0.2">
      <c r="B35" s="76" t="s">
        <v>167</v>
      </c>
      <c r="C35" s="76">
        <f t="shared" si="0"/>
        <v>7.500000000000001E-8</v>
      </c>
      <c r="D35" s="76"/>
      <c r="E35" s="76" t="s">
        <v>898</v>
      </c>
      <c r="F35" s="76" t="s">
        <v>168</v>
      </c>
      <c r="G35" s="76" t="s">
        <v>169</v>
      </c>
      <c r="H35" s="76" t="s">
        <v>170</v>
      </c>
      <c r="I35" s="76">
        <v>0</v>
      </c>
      <c r="J35" s="76">
        <f t="shared" ref="J35:J79" si="4">C35*0.2</f>
        <v>1.5000000000000002E-8</v>
      </c>
      <c r="K35" s="76"/>
      <c r="L35" s="76">
        <f t="shared" si="1"/>
        <v>7.500000000000001E-8</v>
      </c>
      <c r="M35" s="76" t="s">
        <v>163</v>
      </c>
      <c r="N35" s="76"/>
      <c r="O35" s="76"/>
      <c r="P35" s="76" t="s">
        <v>171</v>
      </c>
    </row>
    <row r="36" spans="2:16" ht="12.75" customHeight="1" x14ac:dyDescent="0.2">
      <c r="B36" s="76" t="s">
        <v>167</v>
      </c>
      <c r="C36" s="76">
        <f t="shared" si="0"/>
        <v>7.500000000000001E-8</v>
      </c>
      <c r="D36" s="76"/>
      <c r="E36" s="76" t="s">
        <v>899</v>
      </c>
      <c r="F36" s="76" t="s">
        <v>168</v>
      </c>
      <c r="G36" s="76" t="s">
        <v>169</v>
      </c>
      <c r="H36" s="76" t="s">
        <v>170</v>
      </c>
      <c r="I36" s="76">
        <v>0</v>
      </c>
      <c r="J36" s="76">
        <f t="shared" si="4"/>
        <v>1.5000000000000002E-8</v>
      </c>
      <c r="K36" s="76"/>
      <c r="L36" s="76">
        <f t="shared" si="1"/>
        <v>7.500000000000001E-8</v>
      </c>
      <c r="M36" s="76" t="s">
        <v>163</v>
      </c>
      <c r="N36" s="76"/>
      <c r="O36" s="76"/>
      <c r="P36" s="76" t="s">
        <v>171</v>
      </c>
    </row>
    <row r="37" spans="2:16" ht="12.75" customHeight="1" x14ac:dyDescent="0.2">
      <c r="B37" s="76" t="s">
        <v>167</v>
      </c>
      <c r="C37" s="76">
        <f t="shared" si="0"/>
        <v>7.500000000000001E-8</v>
      </c>
      <c r="D37" s="76"/>
      <c r="E37" s="76" t="s">
        <v>900</v>
      </c>
      <c r="F37" s="76" t="s">
        <v>168</v>
      </c>
      <c r="G37" s="76" t="s">
        <v>169</v>
      </c>
      <c r="H37" s="76" t="s">
        <v>170</v>
      </c>
      <c r="I37" s="76">
        <v>0</v>
      </c>
      <c r="J37" s="76">
        <f t="shared" si="4"/>
        <v>1.5000000000000002E-8</v>
      </c>
      <c r="K37" s="76"/>
      <c r="L37" s="76">
        <f t="shared" si="1"/>
        <v>7.500000000000001E-8</v>
      </c>
      <c r="M37" s="76" t="s">
        <v>163</v>
      </c>
      <c r="N37" s="76"/>
      <c r="O37" s="76"/>
      <c r="P37" s="76" t="s">
        <v>171</v>
      </c>
    </row>
    <row r="38" spans="2:16" ht="12.75" customHeight="1" x14ac:dyDescent="0.2">
      <c r="B38" s="76" t="s">
        <v>167</v>
      </c>
      <c r="C38" s="76">
        <f t="shared" si="0"/>
        <v>7.500000000000001E-8</v>
      </c>
      <c r="D38" s="76"/>
      <c r="E38" s="76" t="s">
        <v>901</v>
      </c>
      <c r="F38" s="76" t="s">
        <v>168</v>
      </c>
      <c r="G38" s="76" t="s">
        <v>169</v>
      </c>
      <c r="H38" s="76" t="s">
        <v>170</v>
      </c>
      <c r="I38" s="76">
        <v>0</v>
      </c>
      <c r="J38" s="76">
        <f t="shared" si="4"/>
        <v>1.5000000000000002E-8</v>
      </c>
      <c r="K38" s="76"/>
      <c r="L38" s="76">
        <f t="shared" si="1"/>
        <v>7.500000000000001E-8</v>
      </c>
      <c r="M38" s="76" t="s">
        <v>163</v>
      </c>
      <c r="N38" s="76"/>
      <c r="O38" s="76"/>
      <c r="P38" s="76" t="s">
        <v>171</v>
      </c>
    </row>
    <row r="39" spans="2:16" ht="12.75" customHeight="1" x14ac:dyDescent="0.2">
      <c r="B39" s="76" t="s">
        <v>167</v>
      </c>
      <c r="C39" s="76">
        <f t="shared" ref="C39:C70" si="5">75*ns</f>
        <v>7.500000000000001E-8</v>
      </c>
      <c r="D39" s="76"/>
      <c r="E39" s="76" t="s">
        <v>902</v>
      </c>
      <c r="F39" s="76" t="s">
        <v>168</v>
      </c>
      <c r="G39" s="76" t="s">
        <v>169</v>
      </c>
      <c r="H39" s="76" t="s">
        <v>170</v>
      </c>
      <c r="I39" s="76">
        <v>0</v>
      </c>
      <c r="J39" s="76">
        <f t="shared" si="4"/>
        <v>1.5000000000000002E-8</v>
      </c>
      <c r="K39" s="76"/>
      <c r="L39" s="76">
        <f t="shared" ref="L39:L70" si="6">C39</f>
        <v>7.500000000000001E-8</v>
      </c>
      <c r="M39" s="76" t="s">
        <v>163</v>
      </c>
      <c r="N39" s="76"/>
      <c r="O39" s="76"/>
      <c r="P39" s="76" t="s">
        <v>171</v>
      </c>
    </row>
    <row r="40" spans="2:16" ht="12.75" customHeight="1" x14ac:dyDescent="0.2">
      <c r="B40" s="76" t="s">
        <v>167</v>
      </c>
      <c r="C40" s="76">
        <f t="shared" si="5"/>
        <v>7.500000000000001E-8</v>
      </c>
      <c r="D40" s="76"/>
      <c r="E40" s="76" t="s">
        <v>903</v>
      </c>
      <c r="F40" s="76" t="s">
        <v>168</v>
      </c>
      <c r="G40" s="76" t="s">
        <v>169</v>
      </c>
      <c r="H40" s="76" t="s">
        <v>170</v>
      </c>
      <c r="I40" s="76">
        <v>0</v>
      </c>
      <c r="J40" s="76">
        <f t="shared" si="4"/>
        <v>1.5000000000000002E-8</v>
      </c>
      <c r="K40" s="76"/>
      <c r="L40" s="76">
        <f t="shared" si="6"/>
        <v>7.500000000000001E-8</v>
      </c>
      <c r="M40" s="76" t="s">
        <v>163</v>
      </c>
      <c r="N40" s="76"/>
      <c r="O40" s="76"/>
      <c r="P40" s="76" t="s">
        <v>171</v>
      </c>
    </row>
    <row r="41" spans="2:16" ht="12.75" customHeight="1" x14ac:dyDescent="0.2">
      <c r="B41" s="76" t="s">
        <v>167</v>
      </c>
      <c r="C41" s="76">
        <f t="shared" si="5"/>
        <v>7.500000000000001E-8</v>
      </c>
      <c r="D41" s="76"/>
      <c r="E41" s="76" t="s">
        <v>904</v>
      </c>
      <c r="F41" s="76" t="s">
        <v>168</v>
      </c>
      <c r="G41" s="76" t="s">
        <v>169</v>
      </c>
      <c r="H41" s="76" t="s">
        <v>170</v>
      </c>
      <c r="I41" s="76">
        <v>0</v>
      </c>
      <c r="J41" s="76">
        <f t="shared" si="4"/>
        <v>1.5000000000000002E-8</v>
      </c>
      <c r="K41" s="76"/>
      <c r="L41" s="76">
        <f t="shared" si="6"/>
        <v>7.500000000000001E-8</v>
      </c>
      <c r="M41" s="76" t="s">
        <v>163</v>
      </c>
      <c r="N41" s="76"/>
      <c r="O41" s="76"/>
      <c r="P41" s="76" t="s">
        <v>171</v>
      </c>
    </row>
    <row r="42" spans="2:16" ht="12.75" customHeight="1" x14ac:dyDescent="0.2">
      <c r="B42" s="76" t="s">
        <v>167</v>
      </c>
      <c r="C42" s="76">
        <f t="shared" si="5"/>
        <v>7.500000000000001E-8</v>
      </c>
      <c r="D42" s="76"/>
      <c r="E42" s="76" t="s">
        <v>905</v>
      </c>
      <c r="F42" s="76" t="s">
        <v>168</v>
      </c>
      <c r="G42" s="76" t="s">
        <v>169</v>
      </c>
      <c r="H42" s="76" t="s">
        <v>170</v>
      </c>
      <c r="I42" s="76">
        <v>0</v>
      </c>
      <c r="J42" s="76">
        <f t="shared" si="4"/>
        <v>1.5000000000000002E-8</v>
      </c>
      <c r="K42" s="76"/>
      <c r="L42" s="76">
        <f t="shared" si="6"/>
        <v>7.500000000000001E-8</v>
      </c>
      <c r="M42" s="76" t="s">
        <v>163</v>
      </c>
      <c r="N42" s="76"/>
      <c r="O42" s="76"/>
      <c r="P42" s="76" t="s">
        <v>171</v>
      </c>
    </row>
    <row r="43" spans="2:16" ht="12.75" customHeight="1" x14ac:dyDescent="0.2">
      <c r="B43" s="76" t="s">
        <v>167</v>
      </c>
      <c r="C43" s="76">
        <f t="shared" si="5"/>
        <v>7.500000000000001E-8</v>
      </c>
      <c r="D43" s="76"/>
      <c r="E43" s="76" t="s">
        <v>906</v>
      </c>
      <c r="F43" s="76" t="s">
        <v>168</v>
      </c>
      <c r="G43" s="76" t="s">
        <v>169</v>
      </c>
      <c r="H43" s="76" t="s">
        <v>170</v>
      </c>
      <c r="I43" s="76">
        <v>0</v>
      </c>
      <c r="J43" s="76">
        <f t="shared" si="4"/>
        <v>1.5000000000000002E-8</v>
      </c>
      <c r="K43" s="76"/>
      <c r="L43" s="76">
        <f t="shared" si="6"/>
        <v>7.500000000000001E-8</v>
      </c>
      <c r="M43" s="76" t="s">
        <v>163</v>
      </c>
      <c r="N43" s="76"/>
      <c r="O43" s="76"/>
      <c r="P43" s="76" t="s">
        <v>171</v>
      </c>
    </row>
    <row r="44" spans="2:16" ht="12.75" customHeight="1" x14ac:dyDescent="0.2">
      <c r="B44" s="76" t="s">
        <v>167</v>
      </c>
      <c r="C44" s="76">
        <f t="shared" si="5"/>
        <v>7.500000000000001E-8</v>
      </c>
      <c r="D44" s="76"/>
      <c r="E44" s="76" t="s">
        <v>907</v>
      </c>
      <c r="F44" s="76" t="s">
        <v>168</v>
      </c>
      <c r="G44" s="76" t="s">
        <v>169</v>
      </c>
      <c r="H44" s="76" t="s">
        <v>170</v>
      </c>
      <c r="I44" s="76">
        <v>0</v>
      </c>
      <c r="J44" s="76">
        <f t="shared" si="4"/>
        <v>1.5000000000000002E-8</v>
      </c>
      <c r="K44" s="76"/>
      <c r="L44" s="76">
        <f t="shared" si="6"/>
        <v>7.500000000000001E-8</v>
      </c>
      <c r="M44" s="76" t="s">
        <v>163</v>
      </c>
      <c r="N44" s="76"/>
      <c r="O44" s="76"/>
      <c r="P44" s="76" t="s">
        <v>171</v>
      </c>
    </row>
    <row r="45" spans="2:16" ht="12.75" customHeight="1" x14ac:dyDescent="0.2">
      <c r="B45" s="76" t="s">
        <v>167</v>
      </c>
      <c r="C45" s="76">
        <f t="shared" si="5"/>
        <v>7.500000000000001E-8</v>
      </c>
      <c r="D45" s="76"/>
      <c r="E45" s="76" t="s">
        <v>912</v>
      </c>
      <c r="F45" s="76" t="s">
        <v>168</v>
      </c>
      <c r="G45" s="76" t="s">
        <v>169</v>
      </c>
      <c r="H45" s="76" t="s">
        <v>170</v>
      </c>
      <c r="I45" s="76">
        <v>0</v>
      </c>
      <c r="J45" s="76">
        <f t="shared" si="4"/>
        <v>1.5000000000000002E-8</v>
      </c>
      <c r="K45" s="76"/>
      <c r="L45" s="76">
        <f t="shared" si="6"/>
        <v>7.500000000000001E-8</v>
      </c>
      <c r="M45" s="76" t="s">
        <v>163</v>
      </c>
      <c r="N45" s="76"/>
      <c r="O45" s="76"/>
      <c r="P45" s="76" t="s">
        <v>171</v>
      </c>
    </row>
    <row r="46" spans="2:16" ht="12.75" customHeight="1" x14ac:dyDescent="0.2">
      <c r="B46" s="76" t="s">
        <v>167</v>
      </c>
      <c r="C46" s="76">
        <f t="shared" si="5"/>
        <v>7.500000000000001E-8</v>
      </c>
      <c r="D46" s="76"/>
      <c r="E46" s="76" t="s">
        <v>913</v>
      </c>
      <c r="F46" s="76" t="s">
        <v>168</v>
      </c>
      <c r="G46" s="76" t="s">
        <v>169</v>
      </c>
      <c r="H46" s="76" t="s">
        <v>170</v>
      </c>
      <c r="I46" s="76">
        <v>0</v>
      </c>
      <c r="J46" s="76">
        <f t="shared" si="4"/>
        <v>1.5000000000000002E-8</v>
      </c>
      <c r="K46" s="76"/>
      <c r="L46" s="76">
        <f t="shared" si="6"/>
        <v>7.500000000000001E-8</v>
      </c>
      <c r="M46" s="76" t="s">
        <v>163</v>
      </c>
      <c r="N46" s="76"/>
      <c r="O46" s="76"/>
      <c r="P46" s="76" t="s">
        <v>171</v>
      </c>
    </row>
    <row r="47" spans="2:16" ht="12.75" customHeight="1" x14ac:dyDescent="0.2">
      <c r="B47" s="76" t="s">
        <v>167</v>
      </c>
      <c r="C47" s="76">
        <f t="shared" si="5"/>
        <v>7.500000000000001E-8</v>
      </c>
      <c r="D47" s="76"/>
      <c r="E47" s="76" t="s">
        <v>914</v>
      </c>
      <c r="F47" s="76" t="s">
        <v>168</v>
      </c>
      <c r="G47" s="76" t="s">
        <v>169</v>
      </c>
      <c r="H47" s="76" t="s">
        <v>170</v>
      </c>
      <c r="I47" s="76">
        <v>0</v>
      </c>
      <c r="J47" s="76">
        <f t="shared" si="4"/>
        <v>1.5000000000000002E-8</v>
      </c>
      <c r="K47" s="76"/>
      <c r="L47" s="76">
        <f t="shared" si="6"/>
        <v>7.500000000000001E-8</v>
      </c>
      <c r="M47" s="76" t="s">
        <v>163</v>
      </c>
      <c r="N47" s="76"/>
      <c r="O47" s="76"/>
      <c r="P47" s="76" t="s">
        <v>171</v>
      </c>
    </row>
    <row r="48" spans="2:16" ht="12.75" customHeight="1" x14ac:dyDescent="0.2">
      <c r="B48" s="76" t="s">
        <v>167</v>
      </c>
      <c r="C48" s="76">
        <f t="shared" si="5"/>
        <v>7.500000000000001E-8</v>
      </c>
      <c r="D48" s="76"/>
      <c r="E48" s="76" t="s">
        <v>915</v>
      </c>
      <c r="F48" s="76" t="s">
        <v>168</v>
      </c>
      <c r="G48" s="76" t="s">
        <v>169</v>
      </c>
      <c r="H48" s="76" t="s">
        <v>170</v>
      </c>
      <c r="I48" s="76">
        <v>0</v>
      </c>
      <c r="J48" s="76">
        <f t="shared" si="4"/>
        <v>1.5000000000000002E-8</v>
      </c>
      <c r="K48" s="76"/>
      <c r="L48" s="76">
        <f t="shared" si="6"/>
        <v>7.500000000000001E-8</v>
      </c>
      <c r="M48" s="76" t="s">
        <v>163</v>
      </c>
      <c r="N48" s="76"/>
      <c r="O48" s="76"/>
      <c r="P48" s="76" t="s">
        <v>171</v>
      </c>
    </row>
    <row r="49" spans="2:16" ht="12.75" customHeight="1" x14ac:dyDescent="0.2">
      <c r="B49" s="76" t="s">
        <v>167</v>
      </c>
      <c r="C49" s="76">
        <f t="shared" si="5"/>
        <v>7.500000000000001E-8</v>
      </c>
      <c r="D49" s="76"/>
      <c r="E49" s="76" t="s">
        <v>916</v>
      </c>
      <c r="F49" s="76" t="s">
        <v>168</v>
      </c>
      <c r="G49" s="76" t="s">
        <v>169</v>
      </c>
      <c r="H49" s="76" t="s">
        <v>170</v>
      </c>
      <c r="I49" s="76">
        <v>0</v>
      </c>
      <c r="J49" s="76">
        <f t="shared" si="4"/>
        <v>1.5000000000000002E-8</v>
      </c>
      <c r="K49" s="76"/>
      <c r="L49" s="76">
        <f t="shared" si="6"/>
        <v>7.500000000000001E-8</v>
      </c>
      <c r="M49" s="76" t="s">
        <v>163</v>
      </c>
      <c r="N49" s="76"/>
      <c r="O49" s="76"/>
      <c r="P49" s="76" t="s">
        <v>171</v>
      </c>
    </row>
    <row r="50" spans="2:16" ht="12.75" customHeight="1" x14ac:dyDescent="0.2">
      <c r="B50" s="76" t="s">
        <v>167</v>
      </c>
      <c r="C50" s="76">
        <f t="shared" si="5"/>
        <v>7.500000000000001E-8</v>
      </c>
      <c r="D50" s="76"/>
      <c r="E50" s="76" t="s">
        <v>917</v>
      </c>
      <c r="F50" s="76" t="s">
        <v>168</v>
      </c>
      <c r="G50" s="76" t="s">
        <v>169</v>
      </c>
      <c r="H50" s="76" t="s">
        <v>170</v>
      </c>
      <c r="I50" s="76">
        <v>0</v>
      </c>
      <c r="J50" s="76">
        <f t="shared" si="4"/>
        <v>1.5000000000000002E-8</v>
      </c>
      <c r="K50" s="76"/>
      <c r="L50" s="76">
        <f t="shared" si="6"/>
        <v>7.500000000000001E-8</v>
      </c>
      <c r="M50" s="76" t="s">
        <v>163</v>
      </c>
      <c r="N50" s="76"/>
      <c r="O50" s="76"/>
      <c r="P50" s="76" t="s">
        <v>171</v>
      </c>
    </row>
    <row r="51" spans="2:16" ht="12.75" customHeight="1" x14ac:dyDescent="0.2">
      <c r="B51" s="76" t="s">
        <v>167</v>
      </c>
      <c r="C51" s="76">
        <f t="shared" si="5"/>
        <v>7.500000000000001E-8</v>
      </c>
      <c r="D51" s="76"/>
      <c r="E51" s="76" t="s">
        <v>918</v>
      </c>
      <c r="F51" s="76" t="s">
        <v>168</v>
      </c>
      <c r="G51" s="76" t="s">
        <v>169</v>
      </c>
      <c r="H51" s="76" t="s">
        <v>170</v>
      </c>
      <c r="I51" s="76">
        <v>0</v>
      </c>
      <c r="J51" s="76">
        <f t="shared" si="4"/>
        <v>1.5000000000000002E-8</v>
      </c>
      <c r="K51" s="76"/>
      <c r="L51" s="76">
        <f t="shared" si="6"/>
        <v>7.500000000000001E-8</v>
      </c>
      <c r="M51" s="76" t="s">
        <v>163</v>
      </c>
      <c r="N51" s="76"/>
      <c r="O51" s="76"/>
      <c r="P51" s="76" t="s">
        <v>171</v>
      </c>
    </row>
    <row r="52" spans="2:16" ht="12.75" customHeight="1" x14ac:dyDescent="0.2">
      <c r="B52" s="76" t="s">
        <v>167</v>
      </c>
      <c r="C52" s="76">
        <f t="shared" si="5"/>
        <v>7.500000000000001E-8</v>
      </c>
      <c r="D52" s="76"/>
      <c r="E52" s="76" t="s">
        <v>919</v>
      </c>
      <c r="F52" s="76" t="s">
        <v>168</v>
      </c>
      <c r="G52" s="76" t="s">
        <v>169</v>
      </c>
      <c r="H52" s="76" t="s">
        <v>170</v>
      </c>
      <c r="I52" s="76">
        <v>0</v>
      </c>
      <c r="J52" s="76">
        <f t="shared" si="4"/>
        <v>1.5000000000000002E-8</v>
      </c>
      <c r="K52" s="76"/>
      <c r="L52" s="76">
        <f t="shared" si="6"/>
        <v>7.500000000000001E-8</v>
      </c>
      <c r="M52" s="76" t="s">
        <v>163</v>
      </c>
      <c r="N52" s="76"/>
      <c r="O52" s="76"/>
      <c r="P52" s="76" t="s">
        <v>171</v>
      </c>
    </row>
    <row r="53" spans="2:16" ht="12.75" customHeight="1" x14ac:dyDescent="0.2">
      <c r="B53" s="76" t="s">
        <v>167</v>
      </c>
      <c r="C53" s="76">
        <f t="shared" si="5"/>
        <v>7.500000000000001E-8</v>
      </c>
      <c r="D53" s="76"/>
      <c r="E53" s="76" t="s">
        <v>920</v>
      </c>
      <c r="F53" s="76" t="s">
        <v>168</v>
      </c>
      <c r="G53" s="76" t="s">
        <v>169</v>
      </c>
      <c r="H53" s="76" t="s">
        <v>170</v>
      </c>
      <c r="I53" s="76">
        <v>0</v>
      </c>
      <c r="J53" s="76">
        <f t="shared" si="4"/>
        <v>1.5000000000000002E-8</v>
      </c>
      <c r="K53" s="76"/>
      <c r="L53" s="76">
        <f t="shared" si="6"/>
        <v>7.500000000000001E-8</v>
      </c>
      <c r="M53" s="76" t="s">
        <v>163</v>
      </c>
      <c r="N53" s="76"/>
      <c r="O53" s="76"/>
      <c r="P53" s="76" t="s">
        <v>171</v>
      </c>
    </row>
    <row r="54" spans="2:16" ht="12.75" customHeight="1" x14ac:dyDescent="0.2">
      <c r="B54" s="76" t="s">
        <v>167</v>
      </c>
      <c r="C54" s="76">
        <f t="shared" si="5"/>
        <v>7.500000000000001E-8</v>
      </c>
      <c r="D54" s="76"/>
      <c r="E54" s="76" t="s">
        <v>921</v>
      </c>
      <c r="F54" s="76" t="s">
        <v>168</v>
      </c>
      <c r="G54" s="76" t="s">
        <v>169</v>
      </c>
      <c r="H54" s="76" t="s">
        <v>170</v>
      </c>
      <c r="I54" s="76">
        <v>0</v>
      </c>
      <c r="J54" s="76">
        <f t="shared" si="4"/>
        <v>1.5000000000000002E-8</v>
      </c>
      <c r="K54" s="76"/>
      <c r="L54" s="76">
        <f t="shared" si="6"/>
        <v>7.500000000000001E-8</v>
      </c>
      <c r="M54" s="76" t="s">
        <v>163</v>
      </c>
      <c r="N54" s="76"/>
      <c r="O54" s="76"/>
      <c r="P54" s="76" t="s">
        <v>171</v>
      </c>
    </row>
    <row r="55" spans="2:16" ht="12.75" customHeight="1" x14ac:dyDescent="0.2">
      <c r="B55" s="76" t="s">
        <v>167</v>
      </c>
      <c r="C55" s="76">
        <f t="shared" si="5"/>
        <v>7.500000000000001E-8</v>
      </c>
      <c r="D55" s="76"/>
      <c r="E55" s="76" t="s">
        <v>922</v>
      </c>
      <c r="F55" s="76" t="s">
        <v>168</v>
      </c>
      <c r="G55" s="76" t="s">
        <v>169</v>
      </c>
      <c r="H55" s="76" t="s">
        <v>170</v>
      </c>
      <c r="I55" s="76">
        <v>0</v>
      </c>
      <c r="J55" s="76">
        <f t="shared" si="4"/>
        <v>1.5000000000000002E-8</v>
      </c>
      <c r="K55" s="76"/>
      <c r="L55" s="76">
        <f t="shared" si="6"/>
        <v>7.500000000000001E-8</v>
      </c>
      <c r="M55" s="76" t="s">
        <v>163</v>
      </c>
      <c r="N55" s="76"/>
      <c r="O55" s="76"/>
      <c r="P55" s="76" t="s">
        <v>171</v>
      </c>
    </row>
    <row r="56" spans="2:16" ht="12.75" customHeight="1" x14ac:dyDescent="0.2">
      <c r="B56" s="76" t="s">
        <v>167</v>
      </c>
      <c r="C56" s="76">
        <f t="shared" si="5"/>
        <v>7.500000000000001E-8</v>
      </c>
      <c r="D56" s="76"/>
      <c r="E56" s="76" t="s">
        <v>923</v>
      </c>
      <c r="F56" s="76" t="s">
        <v>168</v>
      </c>
      <c r="G56" s="76" t="s">
        <v>169</v>
      </c>
      <c r="H56" s="76" t="s">
        <v>170</v>
      </c>
      <c r="I56" s="76">
        <v>0</v>
      </c>
      <c r="J56" s="76">
        <f t="shared" si="4"/>
        <v>1.5000000000000002E-8</v>
      </c>
      <c r="K56" s="76"/>
      <c r="L56" s="76">
        <f t="shared" si="6"/>
        <v>7.500000000000001E-8</v>
      </c>
      <c r="M56" s="76" t="s">
        <v>163</v>
      </c>
      <c r="N56" s="76"/>
      <c r="O56" s="76"/>
      <c r="P56" s="76" t="s">
        <v>171</v>
      </c>
    </row>
    <row r="57" spans="2:16" ht="12.75" customHeight="1" x14ac:dyDescent="0.2">
      <c r="B57" s="76" t="s">
        <v>167</v>
      </c>
      <c r="C57" s="76">
        <f t="shared" si="5"/>
        <v>7.500000000000001E-8</v>
      </c>
      <c r="D57" s="76"/>
      <c r="E57" s="76" t="s">
        <v>924</v>
      </c>
      <c r="F57" s="76" t="s">
        <v>168</v>
      </c>
      <c r="G57" s="76" t="s">
        <v>169</v>
      </c>
      <c r="H57" s="76" t="s">
        <v>170</v>
      </c>
      <c r="I57" s="76">
        <v>0</v>
      </c>
      <c r="J57" s="76">
        <f t="shared" si="4"/>
        <v>1.5000000000000002E-8</v>
      </c>
      <c r="K57" s="76"/>
      <c r="L57" s="76">
        <f t="shared" si="6"/>
        <v>7.500000000000001E-8</v>
      </c>
      <c r="M57" s="76" t="s">
        <v>163</v>
      </c>
      <c r="N57" s="76"/>
      <c r="O57" s="76"/>
      <c r="P57" s="76" t="s">
        <v>171</v>
      </c>
    </row>
    <row r="58" spans="2:16" ht="12.75" customHeight="1" x14ac:dyDescent="0.2">
      <c r="B58" s="76" t="s">
        <v>167</v>
      </c>
      <c r="C58" s="76">
        <f t="shared" si="5"/>
        <v>7.500000000000001E-8</v>
      </c>
      <c r="D58" s="76"/>
      <c r="E58" s="76" t="s">
        <v>925</v>
      </c>
      <c r="F58" s="76" t="s">
        <v>168</v>
      </c>
      <c r="G58" s="76" t="s">
        <v>169</v>
      </c>
      <c r="H58" s="76" t="s">
        <v>170</v>
      </c>
      <c r="I58" s="76">
        <v>0</v>
      </c>
      <c r="J58" s="76">
        <f t="shared" si="4"/>
        <v>1.5000000000000002E-8</v>
      </c>
      <c r="K58" s="76"/>
      <c r="L58" s="76">
        <f t="shared" si="6"/>
        <v>7.500000000000001E-8</v>
      </c>
      <c r="M58" s="76" t="s">
        <v>163</v>
      </c>
      <c r="N58" s="76"/>
      <c r="O58" s="76"/>
      <c r="P58" s="76" t="s">
        <v>171</v>
      </c>
    </row>
    <row r="59" spans="2:16" ht="12.75" customHeight="1" x14ac:dyDescent="0.2">
      <c r="B59" s="76" t="s">
        <v>167</v>
      </c>
      <c r="C59" s="76">
        <f t="shared" si="5"/>
        <v>7.500000000000001E-8</v>
      </c>
      <c r="D59" s="76"/>
      <c r="E59" s="76" t="s">
        <v>926</v>
      </c>
      <c r="F59" s="76" t="s">
        <v>168</v>
      </c>
      <c r="G59" s="76" t="s">
        <v>169</v>
      </c>
      <c r="H59" s="76" t="s">
        <v>170</v>
      </c>
      <c r="I59" s="76">
        <v>0</v>
      </c>
      <c r="J59" s="76">
        <f t="shared" si="4"/>
        <v>1.5000000000000002E-8</v>
      </c>
      <c r="K59" s="76"/>
      <c r="L59" s="76">
        <f t="shared" si="6"/>
        <v>7.500000000000001E-8</v>
      </c>
      <c r="M59" s="76" t="s">
        <v>163</v>
      </c>
      <c r="N59" s="76"/>
      <c r="O59" s="76"/>
      <c r="P59" s="76" t="s">
        <v>171</v>
      </c>
    </row>
    <row r="60" spans="2:16" ht="12.75" customHeight="1" x14ac:dyDescent="0.2">
      <c r="B60" s="76" t="s">
        <v>167</v>
      </c>
      <c r="C60" s="76">
        <f t="shared" si="5"/>
        <v>7.500000000000001E-8</v>
      </c>
      <c r="D60" s="76"/>
      <c r="E60" s="76" t="s">
        <v>927</v>
      </c>
      <c r="F60" s="76" t="s">
        <v>168</v>
      </c>
      <c r="G60" s="76" t="s">
        <v>169</v>
      </c>
      <c r="H60" s="76" t="s">
        <v>170</v>
      </c>
      <c r="I60" s="76">
        <v>0</v>
      </c>
      <c r="J60" s="76">
        <f t="shared" si="4"/>
        <v>1.5000000000000002E-8</v>
      </c>
      <c r="K60" s="76"/>
      <c r="L60" s="76">
        <f t="shared" si="6"/>
        <v>7.500000000000001E-8</v>
      </c>
      <c r="M60" s="76" t="s">
        <v>163</v>
      </c>
      <c r="N60" s="76"/>
      <c r="O60" s="76"/>
      <c r="P60" s="76" t="s">
        <v>171</v>
      </c>
    </row>
    <row r="61" spans="2:16" ht="12.75" customHeight="1" x14ac:dyDescent="0.2">
      <c r="B61" s="76" t="s">
        <v>167</v>
      </c>
      <c r="C61" s="76">
        <f t="shared" si="5"/>
        <v>7.500000000000001E-8</v>
      </c>
      <c r="D61" s="76"/>
      <c r="E61" s="76" t="s">
        <v>928</v>
      </c>
      <c r="F61" s="76" t="s">
        <v>168</v>
      </c>
      <c r="G61" s="76" t="s">
        <v>169</v>
      </c>
      <c r="H61" s="76" t="s">
        <v>170</v>
      </c>
      <c r="I61" s="76">
        <v>0</v>
      </c>
      <c r="J61" s="76">
        <f t="shared" si="4"/>
        <v>1.5000000000000002E-8</v>
      </c>
      <c r="K61" s="76"/>
      <c r="L61" s="76">
        <f t="shared" si="6"/>
        <v>7.500000000000001E-8</v>
      </c>
      <c r="M61" s="76" t="s">
        <v>163</v>
      </c>
      <c r="N61" s="76"/>
      <c r="O61" s="76"/>
      <c r="P61" s="76" t="s">
        <v>171</v>
      </c>
    </row>
    <row r="62" spans="2:16" ht="12.75" customHeight="1" x14ac:dyDescent="0.2">
      <c r="B62" s="76" t="s">
        <v>167</v>
      </c>
      <c r="C62" s="76">
        <f t="shared" si="5"/>
        <v>7.500000000000001E-8</v>
      </c>
      <c r="D62" s="76"/>
      <c r="E62" s="76" t="s">
        <v>929</v>
      </c>
      <c r="F62" s="76" t="s">
        <v>168</v>
      </c>
      <c r="G62" s="76" t="s">
        <v>169</v>
      </c>
      <c r="H62" s="76" t="s">
        <v>170</v>
      </c>
      <c r="I62" s="76">
        <v>0</v>
      </c>
      <c r="J62" s="76">
        <f t="shared" si="4"/>
        <v>1.5000000000000002E-8</v>
      </c>
      <c r="K62" s="76"/>
      <c r="L62" s="76">
        <f t="shared" si="6"/>
        <v>7.500000000000001E-8</v>
      </c>
      <c r="M62" s="76" t="s">
        <v>163</v>
      </c>
      <c r="N62" s="76"/>
      <c r="O62" s="76"/>
      <c r="P62" s="76" t="s">
        <v>171</v>
      </c>
    </row>
    <row r="63" spans="2:16" ht="12.75" customHeight="1" x14ac:dyDescent="0.2">
      <c r="B63" s="76" t="s">
        <v>167</v>
      </c>
      <c r="C63" s="76">
        <f t="shared" si="5"/>
        <v>7.500000000000001E-8</v>
      </c>
      <c r="D63" s="76"/>
      <c r="E63" s="76" t="s">
        <v>930</v>
      </c>
      <c r="F63" s="76" t="s">
        <v>168</v>
      </c>
      <c r="G63" s="76" t="s">
        <v>169</v>
      </c>
      <c r="H63" s="76" t="s">
        <v>170</v>
      </c>
      <c r="I63" s="76">
        <v>0</v>
      </c>
      <c r="J63" s="76">
        <f t="shared" si="4"/>
        <v>1.5000000000000002E-8</v>
      </c>
      <c r="K63" s="76"/>
      <c r="L63" s="76">
        <f t="shared" si="6"/>
        <v>7.500000000000001E-8</v>
      </c>
      <c r="M63" s="76" t="s">
        <v>163</v>
      </c>
      <c r="N63" s="76"/>
      <c r="O63" s="76"/>
      <c r="P63" s="76" t="s">
        <v>171</v>
      </c>
    </row>
    <row r="64" spans="2:16" ht="12.75" customHeight="1" x14ac:dyDescent="0.2">
      <c r="B64" s="76" t="s">
        <v>167</v>
      </c>
      <c r="C64" s="76">
        <f t="shared" si="5"/>
        <v>7.500000000000001E-8</v>
      </c>
      <c r="D64" s="76"/>
      <c r="E64" s="76" t="s">
        <v>931</v>
      </c>
      <c r="F64" s="76" t="s">
        <v>168</v>
      </c>
      <c r="G64" s="76" t="s">
        <v>169</v>
      </c>
      <c r="H64" s="76" t="s">
        <v>170</v>
      </c>
      <c r="I64" s="76">
        <v>0</v>
      </c>
      <c r="J64" s="76">
        <f t="shared" si="4"/>
        <v>1.5000000000000002E-8</v>
      </c>
      <c r="K64" s="76"/>
      <c r="L64" s="76">
        <f t="shared" si="6"/>
        <v>7.500000000000001E-8</v>
      </c>
      <c r="M64" s="76" t="s">
        <v>163</v>
      </c>
      <c r="N64" s="76"/>
      <c r="O64" s="76"/>
      <c r="P64" s="76" t="s">
        <v>171</v>
      </c>
    </row>
    <row r="65" spans="2:16" ht="12.75" customHeight="1" x14ac:dyDescent="0.2">
      <c r="B65" s="76" t="s">
        <v>167</v>
      </c>
      <c r="C65" s="76">
        <f t="shared" si="5"/>
        <v>7.500000000000001E-8</v>
      </c>
      <c r="D65" s="76"/>
      <c r="E65" s="76" t="s">
        <v>932</v>
      </c>
      <c r="F65" s="76" t="s">
        <v>168</v>
      </c>
      <c r="G65" s="76" t="s">
        <v>169</v>
      </c>
      <c r="H65" s="76" t="s">
        <v>170</v>
      </c>
      <c r="I65" s="76">
        <v>0</v>
      </c>
      <c r="J65" s="76">
        <f t="shared" si="4"/>
        <v>1.5000000000000002E-8</v>
      </c>
      <c r="K65" s="76"/>
      <c r="L65" s="76">
        <f t="shared" si="6"/>
        <v>7.500000000000001E-8</v>
      </c>
      <c r="M65" s="76" t="s">
        <v>163</v>
      </c>
      <c r="N65" s="76"/>
      <c r="O65" s="76"/>
      <c r="P65" s="76" t="s">
        <v>171</v>
      </c>
    </row>
    <row r="66" spans="2:16" ht="12.75" customHeight="1" x14ac:dyDescent="0.2">
      <c r="B66" s="76" t="s">
        <v>167</v>
      </c>
      <c r="C66" s="76">
        <f t="shared" si="5"/>
        <v>7.500000000000001E-8</v>
      </c>
      <c r="D66" s="76"/>
      <c r="E66" s="76" t="s">
        <v>933</v>
      </c>
      <c r="F66" s="76" t="s">
        <v>168</v>
      </c>
      <c r="G66" s="76" t="s">
        <v>169</v>
      </c>
      <c r="H66" s="76" t="s">
        <v>170</v>
      </c>
      <c r="I66" s="76">
        <v>0</v>
      </c>
      <c r="J66" s="76">
        <f t="shared" si="4"/>
        <v>1.5000000000000002E-8</v>
      </c>
      <c r="K66" s="76"/>
      <c r="L66" s="76">
        <f t="shared" si="6"/>
        <v>7.500000000000001E-8</v>
      </c>
      <c r="M66" s="76" t="s">
        <v>163</v>
      </c>
      <c r="N66" s="76"/>
      <c r="O66" s="76"/>
      <c r="P66" s="76" t="s">
        <v>171</v>
      </c>
    </row>
    <row r="67" spans="2:16" ht="12.75" customHeight="1" x14ac:dyDescent="0.2">
      <c r="B67" s="76" t="s">
        <v>167</v>
      </c>
      <c r="C67" s="76">
        <f t="shared" si="5"/>
        <v>7.500000000000001E-8</v>
      </c>
      <c r="D67" s="76"/>
      <c r="E67" s="76" t="s">
        <v>934</v>
      </c>
      <c r="F67" s="76" t="s">
        <v>168</v>
      </c>
      <c r="G67" s="76" t="s">
        <v>169</v>
      </c>
      <c r="H67" s="76" t="s">
        <v>170</v>
      </c>
      <c r="I67" s="76">
        <v>0</v>
      </c>
      <c r="J67" s="76">
        <f t="shared" si="4"/>
        <v>1.5000000000000002E-8</v>
      </c>
      <c r="K67" s="76"/>
      <c r="L67" s="76">
        <f t="shared" si="6"/>
        <v>7.500000000000001E-8</v>
      </c>
      <c r="M67" s="76" t="s">
        <v>163</v>
      </c>
      <c r="N67" s="76"/>
      <c r="O67" s="76"/>
      <c r="P67" s="76" t="s">
        <v>171</v>
      </c>
    </row>
    <row r="68" spans="2:16" ht="12.75" customHeight="1" x14ac:dyDescent="0.2">
      <c r="B68" s="76" t="s">
        <v>167</v>
      </c>
      <c r="C68" s="76">
        <f t="shared" si="5"/>
        <v>7.500000000000001E-8</v>
      </c>
      <c r="D68" s="76"/>
      <c r="E68" s="76" t="s">
        <v>935</v>
      </c>
      <c r="F68" s="76" t="s">
        <v>168</v>
      </c>
      <c r="G68" s="76" t="s">
        <v>169</v>
      </c>
      <c r="H68" s="76" t="s">
        <v>170</v>
      </c>
      <c r="I68" s="76">
        <v>0</v>
      </c>
      <c r="J68" s="76">
        <f t="shared" si="4"/>
        <v>1.5000000000000002E-8</v>
      </c>
      <c r="K68" s="76"/>
      <c r="L68" s="76">
        <f t="shared" si="6"/>
        <v>7.500000000000001E-8</v>
      </c>
      <c r="M68" s="76" t="s">
        <v>163</v>
      </c>
      <c r="N68" s="76"/>
      <c r="O68" s="76"/>
      <c r="P68" s="76" t="s">
        <v>171</v>
      </c>
    </row>
    <row r="69" spans="2:16" ht="12.75" customHeight="1" x14ac:dyDescent="0.2">
      <c r="B69" s="76" t="s">
        <v>167</v>
      </c>
      <c r="C69" s="76">
        <f t="shared" si="5"/>
        <v>7.500000000000001E-8</v>
      </c>
      <c r="D69" s="76"/>
      <c r="E69" s="76" t="s">
        <v>936</v>
      </c>
      <c r="F69" s="76" t="s">
        <v>168</v>
      </c>
      <c r="G69" s="76" t="s">
        <v>169</v>
      </c>
      <c r="H69" s="76" t="s">
        <v>170</v>
      </c>
      <c r="I69" s="76">
        <v>0</v>
      </c>
      <c r="J69" s="76">
        <f t="shared" si="4"/>
        <v>1.5000000000000002E-8</v>
      </c>
      <c r="K69" s="76"/>
      <c r="L69" s="76">
        <f t="shared" si="6"/>
        <v>7.500000000000001E-8</v>
      </c>
      <c r="M69" s="76" t="s">
        <v>163</v>
      </c>
      <c r="N69" s="76"/>
      <c r="O69" s="76"/>
      <c r="P69" s="76" t="s">
        <v>171</v>
      </c>
    </row>
    <row r="70" spans="2:16" ht="12.75" customHeight="1" x14ac:dyDescent="0.2">
      <c r="B70" s="76" t="s">
        <v>167</v>
      </c>
      <c r="C70" s="76">
        <f t="shared" si="5"/>
        <v>7.500000000000001E-8</v>
      </c>
      <c r="D70" s="76"/>
      <c r="E70" s="76" t="s">
        <v>937</v>
      </c>
      <c r="F70" s="76" t="s">
        <v>168</v>
      </c>
      <c r="G70" s="76" t="s">
        <v>169</v>
      </c>
      <c r="H70" s="76" t="s">
        <v>170</v>
      </c>
      <c r="I70" s="76">
        <v>0</v>
      </c>
      <c r="J70" s="76">
        <f t="shared" si="4"/>
        <v>1.5000000000000002E-8</v>
      </c>
      <c r="K70" s="76"/>
      <c r="L70" s="76">
        <f t="shared" si="6"/>
        <v>7.500000000000001E-8</v>
      </c>
      <c r="M70" s="76" t="s">
        <v>163</v>
      </c>
      <c r="N70" s="76"/>
      <c r="O70" s="76"/>
      <c r="P70" s="76" t="s">
        <v>171</v>
      </c>
    </row>
    <row r="71" spans="2:16" ht="12.75" customHeight="1" x14ac:dyDescent="0.2">
      <c r="B71" s="76" t="s">
        <v>167</v>
      </c>
      <c r="C71" s="76">
        <f t="shared" ref="C71:C79" si="7">75*ns</f>
        <v>7.500000000000001E-8</v>
      </c>
      <c r="D71" s="76"/>
      <c r="E71" s="76" t="s">
        <v>938</v>
      </c>
      <c r="F71" s="76" t="s">
        <v>168</v>
      </c>
      <c r="G71" s="76" t="s">
        <v>169</v>
      </c>
      <c r="H71" s="76" t="s">
        <v>170</v>
      </c>
      <c r="I71" s="76">
        <v>0</v>
      </c>
      <c r="J71" s="76">
        <f t="shared" si="4"/>
        <v>1.5000000000000002E-8</v>
      </c>
      <c r="K71" s="76"/>
      <c r="L71" s="76">
        <f t="shared" ref="L71:L79" si="8">C71</f>
        <v>7.500000000000001E-8</v>
      </c>
      <c r="M71" s="76" t="s">
        <v>163</v>
      </c>
      <c r="N71" s="76"/>
      <c r="O71" s="76"/>
      <c r="P71" s="76" t="s">
        <v>171</v>
      </c>
    </row>
    <row r="72" spans="2:16" ht="12.75" customHeight="1" x14ac:dyDescent="0.2">
      <c r="B72" s="76" t="s">
        <v>167</v>
      </c>
      <c r="C72" s="76">
        <f t="shared" si="7"/>
        <v>7.500000000000001E-8</v>
      </c>
      <c r="D72" s="76"/>
      <c r="E72" s="76" t="s">
        <v>939</v>
      </c>
      <c r="F72" s="76" t="s">
        <v>168</v>
      </c>
      <c r="G72" s="76" t="s">
        <v>169</v>
      </c>
      <c r="H72" s="76" t="s">
        <v>170</v>
      </c>
      <c r="I72" s="76">
        <v>0</v>
      </c>
      <c r="J72" s="76">
        <f t="shared" si="4"/>
        <v>1.5000000000000002E-8</v>
      </c>
      <c r="K72" s="76"/>
      <c r="L72" s="76">
        <f t="shared" si="8"/>
        <v>7.500000000000001E-8</v>
      </c>
      <c r="M72" s="76" t="s">
        <v>163</v>
      </c>
      <c r="N72" s="76"/>
      <c r="O72" s="76"/>
      <c r="P72" s="76" t="s">
        <v>171</v>
      </c>
    </row>
    <row r="73" spans="2:16" ht="12.75" customHeight="1" x14ac:dyDescent="0.2">
      <c r="B73" s="76" t="s">
        <v>167</v>
      </c>
      <c r="C73" s="76">
        <f t="shared" si="7"/>
        <v>7.500000000000001E-8</v>
      </c>
      <c r="D73" s="76"/>
      <c r="E73" s="76" t="s">
        <v>940</v>
      </c>
      <c r="F73" s="76" t="s">
        <v>168</v>
      </c>
      <c r="G73" s="76" t="s">
        <v>169</v>
      </c>
      <c r="H73" s="76" t="s">
        <v>170</v>
      </c>
      <c r="I73" s="76">
        <v>0</v>
      </c>
      <c r="J73" s="76">
        <f t="shared" si="4"/>
        <v>1.5000000000000002E-8</v>
      </c>
      <c r="K73" s="76"/>
      <c r="L73" s="76">
        <f t="shared" si="8"/>
        <v>7.500000000000001E-8</v>
      </c>
      <c r="M73" s="76" t="s">
        <v>163</v>
      </c>
      <c r="N73" s="76"/>
      <c r="O73" s="76"/>
      <c r="P73" s="76" t="s">
        <v>171</v>
      </c>
    </row>
    <row r="74" spans="2:16" ht="12.75" customHeight="1" x14ac:dyDescent="0.2">
      <c r="B74" s="76" t="s">
        <v>167</v>
      </c>
      <c r="C74" s="76">
        <f t="shared" si="7"/>
        <v>7.500000000000001E-8</v>
      </c>
      <c r="D74" s="76"/>
      <c r="E74" s="76" t="s">
        <v>941</v>
      </c>
      <c r="F74" s="76" t="s">
        <v>168</v>
      </c>
      <c r="G74" s="76" t="s">
        <v>169</v>
      </c>
      <c r="H74" s="76" t="s">
        <v>170</v>
      </c>
      <c r="I74" s="76">
        <v>0</v>
      </c>
      <c r="J74" s="76">
        <f t="shared" si="4"/>
        <v>1.5000000000000002E-8</v>
      </c>
      <c r="K74" s="76"/>
      <c r="L74" s="76">
        <f t="shared" si="8"/>
        <v>7.500000000000001E-8</v>
      </c>
      <c r="M74" s="76" t="s">
        <v>163</v>
      </c>
      <c r="N74" s="76"/>
      <c r="O74" s="76"/>
      <c r="P74" s="76" t="s">
        <v>171</v>
      </c>
    </row>
    <row r="75" spans="2:16" ht="12.75" customHeight="1" x14ac:dyDescent="0.2">
      <c r="B75" s="76" t="s">
        <v>167</v>
      </c>
      <c r="C75" s="76">
        <f t="shared" si="7"/>
        <v>7.500000000000001E-8</v>
      </c>
      <c r="D75" s="76"/>
      <c r="E75" s="76" t="s">
        <v>942</v>
      </c>
      <c r="F75" s="76" t="s">
        <v>168</v>
      </c>
      <c r="G75" s="76" t="s">
        <v>169</v>
      </c>
      <c r="H75" s="76" t="s">
        <v>170</v>
      </c>
      <c r="I75" s="76">
        <v>0</v>
      </c>
      <c r="J75" s="76">
        <f t="shared" si="4"/>
        <v>1.5000000000000002E-8</v>
      </c>
      <c r="K75" s="76"/>
      <c r="L75" s="76">
        <f t="shared" si="8"/>
        <v>7.500000000000001E-8</v>
      </c>
      <c r="M75" s="76" t="s">
        <v>163</v>
      </c>
      <c r="N75" s="76"/>
      <c r="O75" s="76"/>
      <c r="P75" s="76" t="s">
        <v>171</v>
      </c>
    </row>
    <row r="76" spans="2:16" ht="12.75" customHeight="1" x14ac:dyDescent="0.2">
      <c r="B76" s="76" t="s">
        <v>167</v>
      </c>
      <c r="C76" s="76">
        <f t="shared" si="7"/>
        <v>7.500000000000001E-8</v>
      </c>
      <c r="D76" s="76"/>
      <c r="E76" s="76" t="s">
        <v>943</v>
      </c>
      <c r="F76" s="76" t="s">
        <v>168</v>
      </c>
      <c r="G76" s="76" t="s">
        <v>169</v>
      </c>
      <c r="H76" s="76" t="s">
        <v>170</v>
      </c>
      <c r="I76" s="76">
        <v>0</v>
      </c>
      <c r="J76" s="76">
        <f t="shared" si="4"/>
        <v>1.5000000000000002E-8</v>
      </c>
      <c r="K76" s="76"/>
      <c r="L76" s="76">
        <f t="shared" si="8"/>
        <v>7.500000000000001E-8</v>
      </c>
      <c r="M76" s="76" t="s">
        <v>163</v>
      </c>
      <c r="N76" s="76"/>
      <c r="O76" s="76"/>
      <c r="P76" s="76" t="s">
        <v>171</v>
      </c>
    </row>
    <row r="77" spans="2:16" ht="12.75" customHeight="1" x14ac:dyDescent="0.2">
      <c r="B77" s="76" t="s">
        <v>167</v>
      </c>
      <c r="C77" s="76">
        <f t="shared" si="7"/>
        <v>7.500000000000001E-8</v>
      </c>
      <c r="D77" s="76"/>
      <c r="E77" s="76" t="s">
        <v>944</v>
      </c>
      <c r="F77" s="76" t="s">
        <v>168</v>
      </c>
      <c r="G77" s="76" t="s">
        <v>169</v>
      </c>
      <c r="H77" s="76" t="s">
        <v>170</v>
      </c>
      <c r="I77" s="76">
        <v>0</v>
      </c>
      <c r="J77" s="76">
        <f t="shared" si="4"/>
        <v>1.5000000000000002E-8</v>
      </c>
      <c r="K77" s="76"/>
      <c r="L77" s="76">
        <f t="shared" si="8"/>
        <v>7.500000000000001E-8</v>
      </c>
      <c r="M77" s="76" t="s">
        <v>163</v>
      </c>
      <c r="N77" s="76"/>
      <c r="O77" s="76"/>
      <c r="P77" s="76" t="s">
        <v>171</v>
      </c>
    </row>
    <row r="78" spans="2:16" ht="12.75" customHeight="1" x14ac:dyDescent="0.2">
      <c r="B78" s="76" t="s">
        <v>167</v>
      </c>
      <c r="C78" s="76">
        <f t="shared" si="7"/>
        <v>7.500000000000001E-8</v>
      </c>
      <c r="D78" s="76"/>
      <c r="E78" s="76" t="s">
        <v>945</v>
      </c>
      <c r="F78" s="76" t="s">
        <v>168</v>
      </c>
      <c r="G78" s="76" t="s">
        <v>169</v>
      </c>
      <c r="H78" s="76" t="s">
        <v>170</v>
      </c>
      <c r="I78" s="76">
        <v>0</v>
      </c>
      <c r="J78" s="76">
        <f t="shared" si="4"/>
        <v>1.5000000000000002E-8</v>
      </c>
      <c r="K78" s="76"/>
      <c r="L78" s="76">
        <f t="shared" si="8"/>
        <v>7.500000000000001E-8</v>
      </c>
      <c r="M78" s="76" t="s">
        <v>163</v>
      </c>
      <c r="N78" s="76"/>
      <c r="O78" s="76"/>
      <c r="P78" s="76" t="s">
        <v>171</v>
      </c>
    </row>
    <row r="79" spans="2:16" ht="12.75" customHeight="1" x14ac:dyDescent="0.2">
      <c r="B79" s="76" t="s">
        <v>167</v>
      </c>
      <c r="C79" s="76">
        <f t="shared" si="7"/>
        <v>7.500000000000001E-8</v>
      </c>
      <c r="D79" s="76"/>
      <c r="E79" s="76" t="s">
        <v>946</v>
      </c>
      <c r="F79" s="76" t="s">
        <v>168</v>
      </c>
      <c r="G79" s="76" t="s">
        <v>169</v>
      </c>
      <c r="H79" s="76" t="s">
        <v>170</v>
      </c>
      <c r="I79" s="76">
        <v>0</v>
      </c>
      <c r="J79" s="76">
        <f t="shared" si="4"/>
        <v>1.5000000000000002E-8</v>
      </c>
      <c r="K79" s="76"/>
      <c r="L79" s="76">
        <f t="shared" si="8"/>
        <v>7.500000000000001E-8</v>
      </c>
      <c r="M79" s="76" t="s">
        <v>163</v>
      </c>
      <c r="N79" s="76"/>
      <c r="O79" s="76"/>
      <c r="P79" s="76" t="s">
        <v>171</v>
      </c>
    </row>
    <row r="80" spans="2:16" ht="12.75" customHeight="1" x14ac:dyDescent="0.2">
      <c r="B80" s="76" t="s">
        <v>167</v>
      </c>
      <c r="C80" s="76">
        <f t="shared" ref="C80:C81" si="9">75*ns</f>
        <v>7.500000000000001E-8</v>
      </c>
      <c r="D80" s="76"/>
      <c r="E80" s="76" t="s">
        <v>103</v>
      </c>
      <c r="F80" s="76" t="s">
        <v>168</v>
      </c>
      <c r="G80" s="76" t="s">
        <v>169</v>
      </c>
      <c r="H80" s="76" t="s">
        <v>170</v>
      </c>
      <c r="I80" s="76">
        <f>0*C80</f>
        <v>0</v>
      </c>
      <c r="J80" s="76">
        <f t="shared" ref="J80" si="10">C80*0.2</f>
        <v>1.5000000000000002E-8</v>
      </c>
      <c r="K80" s="76"/>
      <c r="L80" s="76">
        <f t="shared" ref="L80:L81" si="11">C80</f>
        <v>7.500000000000001E-8</v>
      </c>
      <c r="M80" s="76" t="s">
        <v>163</v>
      </c>
      <c r="N80" s="76"/>
      <c r="O80" s="76"/>
      <c r="P80" s="76" t="s">
        <v>171</v>
      </c>
    </row>
    <row r="81" spans="2:16" ht="12.75" customHeight="1" x14ac:dyDescent="0.2">
      <c r="B81" s="76" t="s">
        <v>167</v>
      </c>
      <c r="C81" s="76">
        <f t="shared" si="9"/>
        <v>7.500000000000001E-8</v>
      </c>
      <c r="D81" s="76"/>
      <c r="E81" s="76" t="s">
        <v>111</v>
      </c>
      <c r="F81" s="76" t="s">
        <v>168</v>
      </c>
      <c r="G81" s="76" t="s">
        <v>169</v>
      </c>
      <c r="H81" s="76" t="s">
        <v>170</v>
      </c>
      <c r="I81" s="76">
        <f t="shared" ref="I81" si="12">0*C81</f>
        <v>0</v>
      </c>
      <c r="J81" s="76">
        <v>0</v>
      </c>
      <c r="K81" s="76"/>
      <c r="L81" s="76">
        <f t="shared" si="11"/>
        <v>7.500000000000001E-8</v>
      </c>
      <c r="M81" s="76" t="s">
        <v>172</v>
      </c>
      <c r="N81" s="76">
        <f>0.9*C81</f>
        <v>6.7500000000000015E-8</v>
      </c>
      <c r="O81" s="76"/>
      <c r="P81" s="76" t="s">
        <v>171</v>
      </c>
    </row>
    <row r="82" spans="2:16" ht="12.75" customHeight="1" x14ac:dyDescent="0.2">
      <c r="B82" s="76" t="s">
        <v>167</v>
      </c>
      <c r="C82" s="76">
        <f t="shared" ref="C82:C87" si="13">75*ns</f>
        <v>7.500000000000001E-8</v>
      </c>
      <c r="D82" s="76"/>
      <c r="E82" s="76" t="s">
        <v>97</v>
      </c>
      <c r="F82" s="76" t="s">
        <v>168</v>
      </c>
      <c r="G82" s="76" t="s">
        <v>169</v>
      </c>
      <c r="H82" s="76" t="s">
        <v>170</v>
      </c>
      <c r="I82" s="76">
        <v>0</v>
      </c>
      <c r="J82" s="76">
        <f t="shared" ref="J82:J87" si="14">C82*0.2</f>
        <v>1.5000000000000002E-8</v>
      </c>
      <c r="K82" s="76"/>
      <c r="L82" s="76">
        <f>C82</f>
        <v>7.500000000000001E-8</v>
      </c>
      <c r="M82" s="76" t="s">
        <v>163</v>
      </c>
      <c r="N82" s="76"/>
      <c r="O82" s="76"/>
      <c r="P82" s="76" t="s">
        <v>171</v>
      </c>
    </row>
    <row r="83" spans="2:16" ht="12.75" customHeight="1" x14ac:dyDescent="0.2">
      <c r="B83" s="76" t="s">
        <v>167</v>
      </c>
      <c r="C83" s="76">
        <f t="shared" si="13"/>
        <v>7.500000000000001E-8</v>
      </c>
      <c r="D83" s="76"/>
      <c r="E83" s="76" t="s">
        <v>98</v>
      </c>
      <c r="F83" s="76" t="s">
        <v>168</v>
      </c>
      <c r="G83" s="76" t="s">
        <v>169</v>
      </c>
      <c r="H83" s="76" t="s">
        <v>170</v>
      </c>
      <c r="I83" s="76">
        <v>0</v>
      </c>
      <c r="J83" s="76">
        <f t="shared" si="14"/>
        <v>1.5000000000000002E-8</v>
      </c>
      <c r="K83" s="76"/>
      <c r="L83" s="76">
        <f>C83</f>
        <v>7.500000000000001E-8</v>
      </c>
      <c r="M83" s="76" t="s">
        <v>163</v>
      </c>
      <c r="N83" s="76"/>
      <c r="O83" s="76"/>
      <c r="P83" s="76" t="s">
        <v>171</v>
      </c>
    </row>
    <row r="84" spans="2:16" ht="12.75" customHeight="1" x14ac:dyDescent="0.2">
      <c r="B84" s="76" t="s">
        <v>167</v>
      </c>
      <c r="C84" s="76">
        <f t="shared" si="13"/>
        <v>7.500000000000001E-8</v>
      </c>
      <c r="D84" s="76"/>
      <c r="E84" s="76" t="s">
        <v>120</v>
      </c>
      <c r="F84" s="76" t="s">
        <v>168</v>
      </c>
      <c r="G84" s="76" t="s">
        <v>169</v>
      </c>
      <c r="H84" s="76" t="s">
        <v>170</v>
      </c>
      <c r="I84" s="76">
        <v>0</v>
      </c>
      <c r="J84" s="76">
        <f t="shared" si="14"/>
        <v>1.5000000000000002E-8</v>
      </c>
      <c r="K84" s="76"/>
      <c r="L84" s="76">
        <f>C84</f>
        <v>7.500000000000001E-8</v>
      </c>
      <c r="M84" s="76" t="s">
        <v>172</v>
      </c>
      <c r="N84" s="76">
        <f>C84*0.9</f>
        <v>6.7500000000000015E-8</v>
      </c>
      <c r="O84" s="76"/>
      <c r="P84" s="76" t="s">
        <v>171</v>
      </c>
    </row>
    <row r="85" spans="2:16" ht="12.75" customHeight="1" x14ac:dyDescent="0.2">
      <c r="B85" s="76" t="s">
        <v>167</v>
      </c>
      <c r="C85" s="76">
        <f t="shared" si="13"/>
        <v>7.500000000000001E-8</v>
      </c>
      <c r="D85" s="76"/>
      <c r="E85" s="76" t="s">
        <v>121</v>
      </c>
      <c r="F85" s="76" t="s">
        <v>168</v>
      </c>
      <c r="G85" s="76" t="s">
        <v>169</v>
      </c>
      <c r="H85" s="76" t="s">
        <v>170</v>
      </c>
      <c r="I85" s="76">
        <v>0</v>
      </c>
      <c r="J85" s="76">
        <f t="shared" si="14"/>
        <v>1.5000000000000002E-8</v>
      </c>
      <c r="K85" s="76"/>
      <c r="L85" s="76">
        <f>C85</f>
        <v>7.500000000000001E-8</v>
      </c>
      <c r="M85" s="76" t="s">
        <v>172</v>
      </c>
      <c r="N85" s="76">
        <f>C85*0.9</f>
        <v>6.7500000000000015E-8</v>
      </c>
      <c r="O85" s="76"/>
      <c r="P85" s="76" t="s">
        <v>171</v>
      </c>
    </row>
    <row r="86" spans="2:16" ht="12.75" customHeight="1" x14ac:dyDescent="0.2">
      <c r="B86" s="76" t="s">
        <v>167</v>
      </c>
      <c r="C86" s="76">
        <f t="shared" si="13"/>
        <v>7.500000000000001E-8</v>
      </c>
      <c r="D86" s="76"/>
      <c r="E86" s="76" t="s">
        <v>109</v>
      </c>
      <c r="F86" s="76" t="s">
        <v>168</v>
      </c>
      <c r="G86" s="76" t="s">
        <v>169</v>
      </c>
      <c r="H86" s="76" t="s">
        <v>170</v>
      </c>
      <c r="I86" s="76">
        <f t="shared" ref="I86" si="15">0*C86</f>
        <v>0</v>
      </c>
      <c r="J86" s="76">
        <f t="shared" si="14"/>
        <v>1.5000000000000002E-8</v>
      </c>
      <c r="K86" s="76"/>
      <c r="L86" s="76">
        <f t="shared" ref="L86" si="16">C86</f>
        <v>7.500000000000001E-8</v>
      </c>
      <c r="M86" s="76" t="s">
        <v>172</v>
      </c>
      <c r="N86" s="76">
        <f>0.9*C86</f>
        <v>6.7500000000000015E-8</v>
      </c>
      <c r="O86" s="76"/>
      <c r="P86" s="76" t="s">
        <v>171</v>
      </c>
    </row>
    <row r="87" spans="2:16" ht="12.75" customHeight="1" x14ac:dyDescent="0.2">
      <c r="B87" s="76" t="s">
        <v>167</v>
      </c>
      <c r="C87" s="76">
        <f t="shared" si="13"/>
        <v>7.500000000000001E-8</v>
      </c>
      <c r="D87" s="76"/>
      <c r="E87" s="76" t="s">
        <v>1047</v>
      </c>
      <c r="F87" s="76" t="s">
        <v>168</v>
      </c>
      <c r="G87" s="76" t="s">
        <v>169</v>
      </c>
      <c r="H87" s="76" t="s">
        <v>170</v>
      </c>
      <c r="I87" s="76">
        <v>0</v>
      </c>
      <c r="J87" s="76">
        <f t="shared" si="14"/>
        <v>1.5000000000000002E-8</v>
      </c>
      <c r="K87" s="76"/>
      <c r="L87" s="76">
        <f>C87</f>
        <v>7.500000000000001E-8</v>
      </c>
      <c r="M87" s="76" t="s">
        <v>163</v>
      </c>
      <c r="N87" s="76"/>
      <c r="O87" s="76"/>
      <c r="P87" s="76" t="s">
        <v>171</v>
      </c>
    </row>
  </sheetData>
  <autoFilter ref="E6:E7"/>
  <dataValidations count="1">
    <dataValidation type="list" allowBlank="1" showInputMessage="1" showErrorMessage="1" sqref="C3">
      <formula1>"Normal,Extended,Quad"</formula1>
    </dataValidation>
  </dataValidations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outlinePr summaryBelow="0" summaryRight="0"/>
  </sheetPr>
  <dimension ref="A1:AE14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5" sqref="B5"/>
    </sheetView>
  </sheetViews>
  <sheetFormatPr defaultRowHeight="12.75" outlineLevelRow="1" outlineLevelCol="1" x14ac:dyDescent="0.2"/>
  <cols>
    <col min="1" max="1" width="9.140625" style="75"/>
    <col min="2" max="2" width="42.85546875" style="75" customWidth="1"/>
    <col min="3" max="4" width="13.42578125" style="75" customWidth="1"/>
    <col min="5" max="5" width="9.140625" style="75"/>
    <col min="6" max="8" width="13.42578125" style="75" customWidth="1"/>
    <col min="9" max="9" width="9.140625" style="75"/>
    <col min="10" max="14" width="13.42578125" style="75" customWidth="1"/>
    <col min="15" max="15" width="13.42578125" style="75" customWidth="1" collapsed="1"/>
    <col min="16" max="18" width="17.5703125" style="75" hidden="1" customWidth="1" outlineLevel="1"/>
    <col min="19" max="30" width="13.42578125" style="75" hidden="1" customWidth="1" outlineLevel="1"/>
    <col min="31" max="31" width="42.85546875" style="75" customWidth="1"/>
    <col min="32" max="16384" width="9.140625" style="75"/>
  </cols>
  <sheetData>
    <row r="1" spans="1:31" ht="25.5" customHeight="1" x14ac:dyDescent="0.4">
      <c r="A1" s="81" t="s">
        <v>298</v>
      </c>
      <c r="B1" s="82" t="s">
        <v>277</v>
      </c>
      <c r="C1" s="82"/>
      <c r="D1" s="82"/>
      <c r="E1" s="82"/>
      <c r="F1" s="82"/>
    </row>
    <row r="3" spans="1:31" x14ac:dyDescent="0.2">
      <c r="E3" s="77" t="s">
        <v>301</v>
      </c>
      <c r="F3" s="77"/>
      <c r="G3" s="77" t="s">
        <v>302</v>
      </c>
      <c r="H3" s="77"/>
      <c r="I3" s="77"/>
      <c r="J3" s="77"/>
      <c r="K3" s="77"/>
      <c r="L3" s="77"/>
      <c r="M3" s="77" t="s">
        <v>309</v>
      </c>
      <c r="N3" s="77"/>
      <c r="O3" s="77"/>
      <c r="P3" s="83" t="s">
        <v>313</v>
      </c>
      <c r="Q3" s="83"/>
      <c r="R3" s="83"/>
      <c r="S3" s="83" t="s">
        <v>316</v>
      </c>
      <c r="T3" s="83"/>
      <c r="U3" s="83" t="s">
        <v>186</v>
      </c>
      <c r="V3" s="83"/>
      <c r="W3" s="83" t="s">
        <v>320</v>
      </c>
      <c r="X3" s="83"/>
      <c r="Y3" s="83"/>
      <c r="Z3" s="83"/>
      <c r="AA3" s="83"/>
      <c r="AB3" s="83"/>
      <c r="AC3" s="83"/>
      <c r="AD3" s="83"/>
    </row>
    <row r="4" spans="1:31" x14ac:dyDescent="0.2">
      <c r="B4" s="78" t="s">
        <v>299</v>
      </c>
      <c r="C4" s="79" t="s">
        <v>300</v>
      </c>
      <c r="D4" s="78" t="s">
        <v>164</v>
      </c>
      <c r="E4" s="78" t="s">
        <v>3</v>
      </c>
      <c r="F4" s="78" t="s">
        <v>20</v>
      </c>
      <c r="G4" s="78" t="s">
        <v>303</v>
      </c>
      <c r="H4" s="78" t="s">
        <v>304</v>
      </c>
      <c r="I4" s="78" t="s">
        <v>305</v>
      </c>
      <c r="J4" s="78" t="s">
        <v>306</v>
      </c>
      <c r="K4" s="78" t="s">
        <v>307</v>
      </c>
      <c r="L4" s="78" t="s">
        <v>308</v>
      </c>
      <c r="M4" s="78" t="s">
        <v>310</v>
      </c>
      <c r="N4" s="78" t="s">
        <v>311</v>
      </c>
      <c r="O4" s="79" t="s">
        <v>312</v>
      </c>
      <c r="P4" s="79" t="s">
        <v>314</v>
      </c>
      <c r="Q4" s="79" t="s">
        <v>315</v>
      </c>
      <c r="R4" s="79" t="s">
        <v>27</v>
      </c>
      <c r="S4" s="79" t="s">
        <v>317</v>
      </c>
      <c r="T4" s="79" t="s">
        <v>318</v>
      </c>
      <c r="U4" s="79" t="s">
        <v>319</v>
      </c>
      <c r="V4" s="79" t="s">
        <v>295</v>
      </c>
      <c r="W4" s="79" t="s">
        <v>321</v>
      </c>
      <c r="X4" s="79" t="s">
        <v>322</v>
      </c>
      <c r="Y4" s="79" t="s">
        <v>323</v>
      </c>
      <c r="Z4" s="79" t="s">
        <v>322</v>
      </c>
      <c r="AA4" s="79" t="s">
        <v>324</v>
      </c>
      <c r="AB4" s="79" t="s">
        <v>322</v>
      </c>
      <c r="AC4" s="79" t="s">
        <v>325</v>
      </c>
      <c r="AD4" s="79" t="s">
        <v>322</v>
      </c>
      <c r="AE4" s="79" t="s">
        <v>4</v>
      </c>
    </row>
    <row r="5" spans="1:31" ht="19.149999999999999" customHeight="1" collapsed="1" x14ac:dyDescent="0.25">
      <c r="B5" s="87" t="s">
        <v>606</v>
      </c>
      <c r="C5" s="91" t="s">
        <v>282</v>
      </c>
      <c r="D5" s="87" t="s">
        <v>326</v>
      </c>
      <c r="E5" s="87" t="s">
        <v>327</v>
      </c>
      <c r="F5" s="87" t="s">
        <v>201</v>
      </c>
      <c r="G5" s="92">
        <v>0.9</v>
      </c>
      <c r="H5" s="92">
        <v>1.6</v>
      </c>
      <c r="I5" s="87">
        <v>20</v>
      </c>
      <c r="J5" s="92">
        <v>3.5000000000000003E-2</v>
      </c>
      <c r="K5" s="94"/>
      <c r="L5" s="94"/>
      <c r="M5" s="87" t="s">
        <v>328</v>
      </c>
      <c r="N5" s="87" t="s">
        <v>329</v>
      </c>
      <c r="O5" s="91" t="s">
        <v>282</v>
      </c>
      <c r="P5" s="91" t="s">
        <v>282</v>
      </c>
      <c r="Q5" s="91" t="s">
        <v>331</v>
      </c>
      <c r="R5" s="87" t="s">
        <v>282</v>
      </c>
      <c r="S5" s="91" t="s">
        <v>282</v>
      </c>
      <c r="T5" s="91" t="s">
        <v>282</v>
      </c>
      <c r="U5" s="87" t="s">
        <v>282</v>
      </c>
      <c r="V5" s="87" t="s">
        <v>282</v>
      </c>
      <c r="W5" s="87" t="s">
        <v>282</v>
      </c>
      <c r="X5" s="87" t="s">
        <v>282</v>
      </c>
      <c r="Y5" s="87" t="s">
        <v>282</v>
      </c>
      <c r="Z5" s="87" t="s">
        <v>282</v>
      </c>
      <c r="AA5" s="87" t="s">
        <v>282</v>
      </c>
      <c r="AB5" s="87" t="s">
        <v>282</v>
      </c>
      <c r="AC5" s="87" t="s">
        <v>282</v>
      </c>
      <c r="AD5" s="87" t="s">
        <v>282</v>
      </c>
      <c r="AE5" s="88"/>
    </row>
    <row r="6" spans="1:31" ht="13.5" hidden="1" outlineLevel="1" x14ac:dyDescent="0.25">
      <c r="B6" s="90" t="s">
        <v>606</v>
      </c>
      <c r="C6" s="91" t="s">
        <v>282</v>
      </c>
      <c r="D6" s="87" t="s">
        <v>605</v>
      </c>
      <c r="E6" s="87" t="s">
        <v>327</v>
      </c>
      <c r="F6" s="87" t="s">
        <v>202</v>
      </c>
      <c r="G6" s="92">
        <v>0.1</v>
      </c>
      <c r="H6" s="92">
        <v>0.5</v>
      </c>
      <c r="I6" s="87">
        <v>20</v>
      </c>
      <c r="J6" s="92">
        <v>0.02</v>
      </c>
      <c r="K6" s="94"/>
      <c r="L6" s="94"/>
      <c r="M6" s="87" t="s">
        <v>328</v>
      </c>
      <c r="N6" s="91" t="s">
        <v>282</v>
      </c>
      <c r="O6" s="91" t="s">
        <v>282</v>
      </c>
      <c r="P6" s="91" t="s">
        <v>282</v>
      </c>
      <c r="Q6" s="91" t="s">
        <v>331</v>
      </c>
      <c r="R6" s="87" t="s">
        <v>282</v>
      </c>
      <c r="S6" s="91" t="s">
        <v>282</v>
      </c>
      <c r="T6" s="91" t="s">
        <v>282</v>
      </c>
      <c r="U6" s="91" t="s">
        <v>282</v>
      </c>
      <c r="V6" s="91" t="s">
        <v>282</v>
      </c>
      <c r="W6" s="87" t="s">
        <v>282</v>
      </c>
      <c r="X6" s="87" t="s">
        <v>282</v>
      </c>
      <c r="Y6" s="87" t="s">
        <v>282</v>
      </c>
      <c r="Z6" s="91" t="s">
        <v>282</v>
      </c>
      <c r="AA6" s="87" t="s">
        <v>282</v>
      </c>
      <c r="AB6" s="91" t="s">
        <v>282</v>
      </c>
      <c r="AC6" s="87" t="s">
        <v>282</v>
      </c>
      <c r="AD6" s="87" t="s">
        <v>282</v>
      </c>
      <c r="AE6" s="88"/>
    </row>
    <row r="7" spans="1:31" ht="19.149999999999999" customHeight="1" collapsed="1" x14ac:dyDescent="0.25">
      <c r="B7" s="87" t="s">
        <v>1005</v>
      </c>
      <c r="C7" s="91" t="s">
        <v>282</v>
      </c>
      <c r="D7" s="87" t="s">
        <v>326</v>
      </c>
      <c r="E7" s="87" t="s">
        <v>327</v>
      </c>
      <c r="F7" s="87" t="s">
        <v>201</v>
      </c>
      <c r="G7" s="92">
        <v>0.9</v>
      </c>
      <c r="H7" s="92">
        <v>1.7</v>
      </c>
      <c r="I7" s="87">
        <v>20</v>
      </c>
      <c r="J7" s="92">
        <v>3.9999999999999994E-2</v>
      </c>
      <c r="K7" s="94"/>
      <c r="L7" s="94"/>
      <c r="M7" s="87" t="s">
        <v>328</v>
      </c>
      <c r="N7" s="87" t="s">
        <v>1010</v>
      </c>
      <c r="O7" s="91" t="s">
        <v>282</v>
      </c>
      <c r="P7" s="91" t="s">
        <v>282</v>
      </c>
      <c r="Q7" s="91" t="s">
        <v>331</v>
      </c>
      <c r="R7" s="87"/>
      <c r="S7" s="91" t="s">
        <v>282</v>
      </c>
      <c r="T7" s="91" t="s">
        <v>282</v>
      </c>
      <c r="U7" s="87" t="s">
        <v>282</v>
      </c>
      <c r="V7" s="87" t="s">
        <v>282</v>
      </c>
      <c r="W7" s="87"/>
      <c r="X7" s="87"/>
      <c r="Y7" s="87"/>
      <c r="Z7" s="87" t="s">
        <v>282</v>
      </c>
      <c r="AA7" s="87" t="s">
        <v>1009</v>
      </c>
      <c r="AB7" s="87" t="s">
        <v>282</v>
      </c>
      <c r="AC7" s="87"/>
      <c r="AD7" s="87"/>
      <c r="AE7" s="88"/>
    </row>
    <row r="8" spans="1:31" ht="13.5" hidden="1" outlineLevel="1" x14ac:dyDescent="0.25">
      <c r="B8" s="90" t="s">
        <v>1005</v>
      </c>
      <c r="C8" s="91" t="s">
        <v>282</v>
      </c>
      <c r="D8" s="87" t="s">
        <v>605</v>
      </c>
      <c r="E8" s="87" t="s">
        <v>327</v>
      </c>
      <c r="F8" s="87" t="s">
        <v>202</v>
      </c>
      <c r="G8" s="92">
        <v>0.1</v>
      </c>
      <c r="H8" s="92">
        <v>0.5</v>
      </c>
      <c r="I8" s="87">
        <v>20</v>
      </c>
      <c r="J8" s="92">
        <v>0.02</v>
      </c>
      <c r="K8" s="94"/>
      <c r="L8" s="94"/>
      <c r="M8" s="87" t="s">
        <v>328</v>
      </c>
      <c r="N8" s="91" t="s">
        <v>282</v>
      </c>
      <c r="O8" s="91" t="s">
        <v>282</v>
      </c>
      <c r="P8" s="91" t="s">
        <v>282</v>
      </c>
      <c r="Q8" s="91" t="s">
        <v>331</v>
      </c>
      <c r="R8" s="87"/>
      <c r="S8" s="91" t="s">
        <v>282</v>
      </c>
      <c r="T8" s="91" t="s">
        <v>282</v>
      </c>
      <c r="U8" s="91" t="s">
        <v>282</v>
      </c>
      <c r="V8" s="91" t="s">
        <v>282</v>
      </c>
      <c r="W8" s="87"/>
      <c r="X8" s="87"/>
      <c r="Y8" s="87"/>
      <c r="Z8" s="91" t="s">
        <v>282</v>
      </c>
      <c r="AA8" s="87"/>
      <c r="AB8" s="91" t="s">
        <v>282</v>
      </c>
      <c r="AC8" s="87"/>
      <c r="AD8" s="87"/>
      <c r="AE8" s="88"/>
    </row>
    <row r="9" spans="1:31" ht="19.149999999999999" customHeight="1" x14ac:dyDescent="0.25">
      <c r="B9" s="87" t="s">
        <v>1006</v>
      </c>
      <c r="C9" s="91" t="s">
        <v>282</v>
      </c>
      <c r="D9" s="87" t="s">
        <v>326</v>
      </c>
      <c r="E9" s="87" t="s">
        <v>1008</v>
      </c>
      <c r="F9" s="87" t="s">
        <v>1007</v>
      </c>
      <c r="G9" s="92">
        <v>8.0000000000000002E-8</v>
      </c>
      <c r="H9" s="92">
        <v>2.9999999999999999E-7</v>
      </c>
      <c r="I9" s="87">
        <v>20</v>
      </c>
      <c r="J9" s="92">
        <v>1.0999999999999999E-8</v>
      </c>
      <c r="K9" s="94"/>
      <c r="L9" s="94"/>
      <c r="M9" s="87" t="s">
        <v>328</v>
      </c>
      <c r="N9" s="87" t="s">
        <v>329</v>
      </c>
      <c r="O9" s="91" t="s">
        <v>282</v>
      </c>
      <c r="P9" s="91" t="s">
        <v>282</v>
      </c>
      <c r="Q9" s="91" t="s">
        <v>331</v>
      </c>
      <c r="R9" s="87"/>
      <c r="S9" s="91" t="s">
        <v>282</v>
      </c>
      <c r="T9" s="91" t="s">
        <v>282</v>
      </c>
      <c r="U9" s="87" t="s">
        <v>282</v>
      </c>
      <c r="V9" s="87" t="s">
        <v>282</v>
      </c>
      <c r="W9" s="87"/>
      <c r="X9" s="87"/>
      <c r="Y9" s="87"/>
      <c r="Z9" s="87" t="s">
        <v>282</v>
      </c>
      <c r="AA9" s="87" t="s">
        <v>1009</v>
      </c>
      <c r="AB9" s="87" t="s">
        <v>282</v>
      </c>
      <c r="AC9" s="87"/>
      <c r="AD9" s="87"/>
      <c r="AE9" s="88"/>
    </row>
    <row r="10" spans="1:31" ht="19.149999999999999" customHeight="1" collapsed="1" x14ac:dyDescent="0.25">
      <c r="B10" s="87" t="s">
        <v>1011</v>
      </c>
      <c r="C10" s="91" t="s">
        <v>282</v>
      </c>
      <c r="D10" s="87" t="s">
        <v>326</v>
      </c>
      <c r="E10" s="87" t="s">
        <v>327</v>
      </c>
      <c r="F10" s="87" t="s">
        <v>200</v>
      </c>
      <c r="G10" s="92">
        <v>0.15</v>
      </c>
      <c r="H10" s="92">
        <v>0.9</v>
      </c>
      <c r="I10" s="87">
        <v>10</v>
      </c>
      <c r="J10" s="92">
        <v>7.4999999999999997E-2</v>
      </c>
      <c r="K10" s="94"/>
      <c r="L10" s="94"/>
      <c r="M10" s="87" t="s">
        <v>328</v>
      </c>
      <c r="N10" s="87" t="s">
        <v>329</v>
      </c>
      <c r="O10" s="91" t="s">
        <v>282</v>
      </c>
      <c r="P10" s="91" t="s">
        <v>282</v>
      </c>
      <c r="Q10" s="91" t="s">
        <v>331</v>
      </c>
      <c r="R10" s="87"/>
      <c r="S10" s="91" t="s">
        <v>282</v>
      </c>
      <c r="T10" s="91" t="s">
        <v>282</v>
      </c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8"/>
    </row>
    <row r="11" spans="1:31" ht="12.75" hidden="1" customHeight="1" outlineLevel="1" x14ac:dyDescent="0.25">
      <c r="B11" s="90" t="s">
        <v>1011</v>
      </c>
      <c r="C11" s="91" t="s">
        <v>282</v>
      </c>
      <c r="D11" s="87" t="s">
        <v>605</v>
      </c>
      <c r="E11" s="87" t="s">
        <v>327</v>
      </c>
      <c r="F11" s="87" t="s">
        <v>199</v>
      </c>
      <c r="G11" s="92">
        <v>0.9</v>
      </c>
      <c r="H11" s="92">
        <v>1.7</v>
      </c>
      <c r="I11" s="87">
        <v>10</v>
      </c>
      <c r="J11" s="92">
        <v>7.9999999999999988E-2</v>
      </c>
      <c r="K11" s="94"/>
      <c r="L11" s="94"/>
      <c r="M11" s="87" t="s">
        <v>328</v>
      </c>
      <c r="N11" s="91"/>
      <c r="O11" s="91" t="s">
        <v>282</v>
      </c>
      <c r="P11" s="91" t="s">
        <v>282</v>
      </c>
      <c r="Q11" s="91" t="s">
        <v>331</v>
      </c>
      <c r="R11" s="87"/>
      <c r="S11" s="91" t="s">
        <v>282</v>
      </c>
      <c r="T11" s="91" t="s">
        <v>282</v>
      </c>
      <c r="U11" s="91"/>
      <c r="V11" s="91"/>
      <c r="W11" s="87"/>
      <c r="X11" s="87"/>
      <c r="Y11" s="87"/>
      <c r="Z11" s="91"/>
      <c r="AA11" s="87"/>
      <c r="AB11" s="91"/>
      <c r="AC11" s="87"/>
      <c r="AD11" s="87"/>
      <c r="AE11" s="88"/>
    </row>
    <row r="12" spans="1:31" ht="19.149999999999999" customHeight="1" x14ac:dyDescent="0.25">
      <c r="B12" s="87" t="s">
        <v>1013</v>
      </c>
      <c r="C12" s="91" t="s">
        <v>282</v>
      </c>
      <c r="D12" s="87" t="s">
        <v>326</v>
      </c>
      <c r="E12" s="87" t="s">
        <v>1008</v>
      </c>
      <c r="F12" s="87" t="s">
        <v>1012</v>
      </c>
      <c r="G12" s="92">
        <v>1E-8</v>
      </c>
      <c r="H12" s="92">
        <v>4.0000000000000001E-8</v>
      </c>
      <c r="I12" s="87">
        <v>10</v>
      </c>
      <c r="J12" s="92">
        <v>3E-9</v>
      </c>
      <c r="K12" s="94"/>
      <c r="L12" s="94"/>
      <c r="M12" s="87" t="s">
        <v>328</v>
      </c>
      <c r="N12" s="87" t="s">
        <v>1010</v>
      </c>
      <c r="O12" s="91" t="s">
        <v>282</v>
      </c>
      <c r="P12" s="91" t="s">
        <v>282</v>
      </c>
      <c r="Q12" s="91" t="s">
        <v>331</v>
      </c>
      <c r="R12" s="87"/>
      <c r="S12" s="91" t="s">
        <v>282</v>
      </c>
      <c r="T12" s="91" t="s">
        <v>282</v>
      </c>
      <c r="U12" s="87" t="s">
        <v>282</v>
      </c>
      <c r="V12" s="87" t="s">
        <v>282</v>
      </c>
      <c r="W12" s="87"/>
      <c r="X12" s="87"/>
      <c r="Y12" s="87"/>
      <c r="Z12" s="87" t="s">
        <v>282</v>
      </c>
      <c r="AA12" s="87"/>
      <c r="AB12" s="87" t="s">
        <v>282</v>
      </c>
      <c r="AC12" s="87"/>
      <c r="AD12" s="87"/>
      <c r="AE12" s="88"/>
    </row>
    <row r="13" spans="1:31" ht="19.149999999999999" customHeight="1" collapsed="1" x14ac:dyDescent="0.25">
      <c r="B13" s="87" t="s">
        <v>1014</v>
      </c>
      <c r="C13" s="91" t="s">
        <v>282</v>
      </c>
      <c r="D13" s="87" t="s">
        <v>326</v>
      </c>
      <c r="E13" s="87" t="s">
        <v>327</v>
      </c>
      <c r="F13" s="87" t="s">
        <v>200</v>
      </c>
      <c r="G13" s="92">
        <v>0.1</v>
      </c>
      <c r="H13" s="92">
        <v>0.9</v>
      </c>
      <c r="I13" s="87">
        <v>10</v>
      </c>
      <c r="J13" s="92">
        <v>0.08</v>
      </c>
      <c r="K13" s="94"/>
      <c r="L13" s="94"/>
      <c r="M13" s="87" t="s">
        <v>328</v>
      </c>
      <c r="N13" s="87" t="s">
        <v>329</v>
      </c>
      <c r="O13" s="91" t="s">
        <v>282</v>
      </c>
      <c r="P13" s="91" t="s">
        <v>282</v>
      </c>
      <c r="Q13" s="91" t="s">
        <v>331</v>
      </c>
      <c r="R13" s="87"/>
      <c r="S13" s="91" t="s">
        <v>282</v>
      </c>
      <c r="T13" s="91" t="s">
        <v>282</v>
      </c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8"/>
    </row>
    <row r="14" spans="1:31" ht="12.75" hidden="1" customHeight="1" outlineLevel="1" x14ac:dyDescent="0.25">
      <c r="B14" s="90" t="s">
        <v>1014</v>
      </c>
      <c r="C14" s="91" t="s">
        <v>282</v>
      </c>
      <c r="D14" s="87" t="s">
        <v>605</v>
      </c>
      <c r="E14" s="87" t="s">
        <v>327</v>
      </c>
      <c r="F14" s="87" t="s">
        <v>199</v>
      </c>
      <c r="G14" s="92">
        <v>0.9</v>
      </c>
      <c r="H14" s="92">
        <v>1.7</v>
      </c>
      <c r="I14" s="87">
        <v>10</v>
      </c>
      <c r="J14" s="92">
        <v>7.9999999999999988E-2</v>
      </c>
      <c r="K14" s="94"/>
      <c r="L14" s="94"/>
      <c r="M14" s="87" t="s">
        <v>328</v>
      </c>
      <c r="N14" s="91"/>
      <c r="O14" s="91" t="s">
        <v>282</v>
      </c>
      <c r="P14" s="91" t="s">
        <v>282</v>
      </c>
      <c r="Q14" s="91" t="s">
        <v>331</v>
      </c>
      <c r="R14" s="87"/>
      <c r="S14" s="91" t="s">
        <v>282</v>
      </c>
      <c r="T14" s="91" t="s">
        <v>282</v>
      </c>
      <c r="U14" s="91"/>
      <c r="V14" s="91"/>
      <c r="W14" s="87"/>
      <c r="X14" s="87"/>
      <c r="Y14" s="87"/>
      <c r="Z14" s="91"/>
      <c r="AA14" s="87"/>
      <c r="AB14" s="91"/>
      <c r="AC14" s="87"/>
      <c r="AD14" s="87"/>
      <c r="AE14" s="88"/>
    </row>
  </sheetData>
  <mergeCells count="9">
    <mergeCell ref="W3:AD3"/>
    <mergeCell ref="B1:C1"/>
    <mergeCell ref="D1:F1"/>
    <mergeCell ref="E3:F3"/>
    <mergeCell ref="G3:L3"/>
    <mergeCell ref="M3:O3"/>
    <mergeCell ref="P3:R3"/>
    <mergeCell ref="S3:T3"/>
    <mergeCell ref="U3:V3"/>
  </mergeCells>
  <dataValidations count="4">
    <dataValidation type="list" allowBlank="1" showInputMessage="1" showErrorMessage="1" sqref="D11 D14 D5 D7 D13 D10 D6 D8 D9 D12">
      <formula1>"X Shmoo,Y Shmoo,Z Shmoo,Adjust,Adjust From,Margin,Measure,None"</formula1>
    </dataValidation>
    <dataValidation type="list" allowBlank="1" showInputMessage="1" showErrorMessage="1" sqref="E11 E14 E5 E7 E13 E10 E6 E8 E9 E12">
      <formula1>"AC Spec,DC Spec,Global Spec,Edge,Level,Period,LCD Level,LCD Timing"</formula1>
    </dataValidation>
    <dataValidation type="list" allowBlank="1" showInputMessage="1" showErrorMessage="1" sqref="M11 M14 M5 M7 M13 M10 M6 M8 M9 M12">
      <formula1>"Linear,List"</formula1>
    </dataValidation>
    <dataValidation type="list" allowBlank="1" showInputMessage="1" showErrorMessage="1" sqref="N10 N13 N5 N7 N9 N12">
      <formula1>"Reburst,Retest"</formula1>
    </dataValidation>
  </dataValidations>
  <pageMargins left="0.7" right="0.7" top="0.75" bottom="0.75" header="0.3" footer="0.3"/>
  <pageSetup orientation="landscape" horizontalDpi="200" verticalDpi="200" copies="0" r:id="rId1"/>
  <headerFooter>
    <oddHeader>&amp;L&amp;LTeradyne IG-XL</oddHeader>
    <oddFooter>&amp;L&amp;LWorkbook '&amp;F', Sheet '&amp;A'&amp;R&amp;R&amp;D &amp;T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outlinePr summaryBelow="0" summaryRight="0"/>
  </sheetPr>
  <dimension ref="A1:CP47"/>
  <sheetViews>
    <sheetView showGridLines="0" zoomScale="98" zoomScaleNormal="98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5" sqref="B5"/>
    </sheetView>
  </sheetViews>
  <sheetFormatPr defaultRowHeight="12.75" outlineLevelRow="1" outlineLevelCol="1" x14ac:dyDescent="0.2"/>
  <cols>
    <col min="1" max="1" width="9.140625" style="75"/>
    <col min="2" max="2" width="27.28515625" style="75" customWidth="1"/>
    <col min="3" max="12" width="13.42578125" style="75" customWidth="1"/>
    <col min="13" max="13" width="13.42578125" style="75" customWidth="1" collapsed="1"/>
    <col min="14" max="16" width="9.140625" style="75" hidden="1" customWidth="1" outlineLevel="1"/>
    <col min="17" max="17" width="9.28515625" style="75" hidden="1" customWidth="1" outlineLevel="1"/>
    <col min="18" max="20" width="9.140625" style="75" hidden="1" customWidth="1" outlineLevel="1"/>
    <col min="21" max="21" width="9.28515625" style="75" hidden="1" customWidth="1" outlineLevel="1"/>
    <col min="22" max="27" width="9.140625" style="75" hidden="1" customWidth="1" outlineLevel="1"/>
    <col min="28" max="28" width="9.28515625" style="75" hidden="1" customWidth="1" outlineLevel="1"/>
    <col min="29" max="36" width="9.140625" style="75" hidden="1" customWidth="1" outlineLevel="1"/>
    <col min="37" max="42" width="9.28515625" style="75" hidden="1" customWidth="1" outlineLevel="1"/>
    <col min="43" max="43" width="9.140625" style="75" hidden="1" customWidth="1" outlineLevel="1"/>
    <col min="44" max="51" width="9.28515625" style="75" hidden="1" customWidth="1" outlineLevel="1"/>
    <col min="52" max="52" width="9.140625" style="75" hidden="1" customWidth="1" outlineLevel="1"/>
    <col min="53" max="55" width="9.28515625" style="75" hidden="1" customWidth="1" outlineLevel="1"/>
    <col min="56" max="57" width="9.140625" style="75" hidden="1" customWidth="1" outlineLevel="1"/>
    <col min="58" max="58" width="9.28515625" style="75" hidden="1" customWidth="1" outlineLevel="1"/>
    <col min="59" max="59" width="9.140625" style="75" hidden="1" customWidth="1" outlineLevel="1"/>
    <col min="60" max="61" width="9.28515625" style="75" hidden="1" customWidth="1" outlineLevel="1"/>
    <col min="62" max="66" width="9.140625" style="75" hidden="1" customWidth="1" outlineLevel="1"/>
    <col min="67" max="67" width="9.28515625" style="75" hidden="1" customWidth="1" outlineLevel="1"/>
    <col min="68" max="69" width="9.140625" style="75" hidden="1" customWidth="1" outlineLevel="1"/>
    <col min="70" max="72" width="9.28515625" style="75" hidden="1" customWidth="1" outlineLevel="1"/>
    <col min="73" max="93" width="9.140625" style="75" hidden="1" customWidth="1" outlineLevel="1"/>
    <col min="94" max="94" width="42.85546875" style="75" customWidth="1"/>
    <col min="95" max="16384" width="9.140625" style="75"/>
  </cols>
  <sheetData>
    <row r="1" spans="1:94" ht="25.5" customHeight="1" x14ac:dyDescent="0.4">
      <c r="A1" s="81" t="s">
        <v>83</v>
      </c>
      <c r="B1" s="82" t="s">
        <v>31</v>
      </c>
      <c r="C1" s="82"/>
      <c r="D1" s="82"/>
      <c r="E1" s="82"/>
      <c r="F1" s="82"/>
    </row>
    <row r="3" spans="1:94" x14ac:dyDescent="0.2">
      <c r="C3" s="77" t="s">
        <v>19</v>
      </c>
      <c r="D3" s="77"/>
      <c r="E3" s="77"/>
      <c r="F3" s="83" t="s">
        <v>22</v>
      </c>
      <c r="G3" s="83"/>
      <c r="H3" s="83" t="s">
        <v>25</v>
      </c>
      <c r="I3" s="83"/>
      <c r="J3" s="83" t="s">
        <v>26</v>
      </c>
      <c r="K3" s="83"/>
      <c r="L3" s="83"/>
      <c r="N3" s="83" t="s">
        <v>30</v>
      </c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3"/>
      <c r="AN3" s="83"/>
      <c r="AO3" s="83"/>
      <c r="AP3" s="83"/>
      <c r="AQ3" s="83"/>
      <c r="AR3" s="83"/>
      <c r="AS3" s="83"/>
      <c r="AT3" s="83"/>
      <c r="AU3" s="83"/>
      <c r="AV3" s="83"/>
      <c r="AW3" s="83"/>
      <c r="AX3" s="83"/>
      <c r="AY3" s="83"/>
      <c r="AZ3" s="83"/>
      <c r="BA3" s="83"/>
      <c r="BB3" s="83"/>
      <c r="BC3" s="83"/>
      <c r="BD3" s="83"/>
      <c r="BE3" s="83"/>
      <c r="BF3" s="83"/>
      <c r="BG3" s="83"/>
      <c r="BH3" s="83"/>
      <c r="BI3" s="83"/>
      <c r="BJ3" s="83"/>
      <c r="BK3" s="83"/>
      <c r="BL3" s="83"/>
      <c r="BM3" s="83"/>
      <c r="BN3" s="83"/>
      <c r="BO3" s="83"/>
      <c r="BP3" s="83"/>
      <c r="BQ3" s="83"/>
      <c r="BR3" s="83"/>
      <c r="BS3" s="83"/>
      <c r="BT3" s="83"/>
      <c r="BU3" s="83"/>
      <c r="BV3" s="83"/>
      <c r="BW3" s="83"/>
      <c r="BX3" s="83"/>
      <c r="BY3" s="83"/>
      <c r="BZ3" s="83"/>
      <c r="CA3" s="83"/>
      <c r="CB3" s="83"/>
      <c r="CC3" s="83"/>
      <c r="CD3" s="83"/>
      <c r="CE3" s="83"/>
      <c r="CF3" s="83"/>
      <c r="CG3" s="83"/>
      <c r="CH3" s="83"/>
      <c r="CI3" s="83"/>
      <c r="CJ3" s="83"/>
      <c r="CK3" s="83"/>
      <c r="CL3" s="83"/>
      <c r="CM3" s="83"/>
      <c r="CN3" s="83"/>
      <c r="CO3" s="83"/>
    </row>
    <row r="4" spans="1:94" x14ac:dyDescent="0.2">
      <c r="B4" s="78" t="s">
        <v>18</v>
      </c>
      <c r="C4" s="78" t="s">
        <v>3</v>
      </c>
      <c r="D4" s="78" t="s">
        <v>20</v>
      </c>
      <c r="E4" s="78" t="s">
        <v>21</v>
      </c>
      <c r="F4" s="79" t="s">
        <v>23</v>
      </c>
      <c r="G4" s="79" t="s">
        <v>24</v>
      </c>
      <c r="H4" s="79" t="s">
        <v>23</v>
      </c>
      <c r="I4" s="79" t="s">
        <v>24</v>
      </c>
      <c r="J4" s="79" t="s">
        <v>27</v>
      </c>
      <c r="K4" s="79" t="s">
        <v>28</v>
      </c>
      <c r="L4" s="79" t="s">
        <v>29</v>
      </c>
      <c r="M4" s="79" t="s">
        <v>62</v>
      </c>
      <c r="N4" s="79" t="s">
        <v>1903</v>
      </c>
      <c r="O4" s="79" t="s">
        <v>1904</v>
      </c>
      <c r="P4" s="79" t="s">
        <v>1905</v>
      </c>
      <c r="Q4" s="79" t="s">
        <v>1906</v>
      </c>
      <c r="R4" s="79" t="s">
        <v>1907</v>
      </c>
      <c r="S4" s="79" t="s">
        <v>1908</v>
      </c>
      <c r="T4" s="79" t="s">
        <v>1909</v>
      </c>
      <c r="U4" s="79" t="s">
        <v>1910</v>
      </c>
      <c r="V4" s="79" t="s">
        <v>1911</v>
      </c>
      <c r="W4" s="79" t="s">
        <v>1912</v>
      </c>
      <c r="X4" s="79" t="s">
        <v>1913</v>
      </c>
      <c r="Y4" s="79" t="s">
        <v>1914</v>
      </c>
      <c r="Z4" s="79" t="s">
        <v>1915</v>
      </c>
      <c r="AA4" s="79" t="s">
        <v>1916</v>
      </c>
      <c r="AB4" s="79" t="s">
        <v>1917</v>
      </c>
      <c r="AC4" s="79" t="s">
        <v>1918</v>
      </c>
      <c r="AD4" s="79" t="s">
        <v>1919</v>
      </c>
      <c r="AE4" s="79" t="s">
        <v>1920</v>
      </c>
      <c r="AF4" s="79" t="s">
        <v>1921</v>
      </c>
      <c r="AG4" s="79" t="s">
        <v>1922</v>
      </c>
      <c r="AH4" s="79" t="s">
        <v>1923</v>
      </c>
      <c r="AI4" s="79" t="s">
        <v>1924</v>
      </c>
      <c r="AJ4" s="79" t="s">
        <v>1925</v>
      </c>
      <c r="AK4" s="79" t="s">
        <v>1926</v>
      </c>
      <c r="AL4" s="79" t="s">
        <v>1495</v>
      </c>
      <c r="AM4" s="79" t="s">
        <v>1496</v>
      </c>
      <c r="AN4" s="79" t="s">
        <v>1497</v>
      </c>
      <c r="AO4" s="79" t="s">
        <v>1498</v>
      </c>
      <c r="AP4" s="79" t="s">
        <v>1499</v>
      </c>
      <c r="AQ4" s="79" t="s">
        <v>1500</v>
      </c>
      <c r="AR4" s="79" t="s">
        <v>1501</v>
      </c>
      <c r="AS4" s="79" t="s">
        <v>1502</v>
      </c>
      <c r="AT4" s="79" t="s">
        <v>1503</v>
      </c>
      <c r="AU4" s="79" t="s">
        <v>1504</v>
      </c>
      <c r="AV4" s="79" t="s">
        <v>1505</v>
      </c>
      <c r="AW4" s="79" t="s">
        <v>1506</v>
      </c>
      <c r="AX4" s="79" t="s">
        <v>1507</v>
      </c>
      <c r="AY4" s="79" t="s">
        <v>1508</v>
      </c>
      <c r="AZ4" s="79" t="s">
        <v>1509</v>
      </c>
      <c r="BA4" s="79" t="s">
        <v>1510</v>
      </c>
      <c r="BB4" s="79" t="s">
        <v>1511</v>
      </c>
      <c r="BC4" s="79" t="s">
        <v>1512</v>
      </c>
      <c r="BD4" s="79" t="s">
        <v>1513</v>
      </c>
      <c r="BE4" s="79" t="s">
        <v>1514</v>
      </c>
      <c r="BF4" s="79" t="s">
        <v>1515</v>
      </c>
      <c r="BG4" s="79" t="s">
        <v>1516</v>
      </c>
      <c r="BH4" s="79" t="s">
        <v>1517</v>
      </c>
      <c r="BI4" s="79" t="s">
        <v>762</v>
      </c>
      <c r="BJ4" s="79" t="s">
        <v>763</v>
      </c>
      <c r="BK4" s="79" t="s">
        <v>764</v>
      </c>
      <c r="BL4" s="79" t="s">
        <v>765</v>
      </c>
      <c r="BM4" s="79" t="s">
        <v>766</v>
      </c>
      <c r="BN4" s="79" t="s">
        <v>767</v>
      </c>
      <c r="BO4" s="79" t="s">
        <v>768</v>
      </c>
      <c r="BP4" s="79" t="s">
        <v>769</v>
      </c>
      <c r="BQ4" s="79" t="s">
        <v>770</v>
      </c>
      <c r="BR4" s="79" t="s">
        <v>771</v>
      </c>
      <c r="BS4" s="79" t="s">
        <v>772</v>
      </c>
      <c r="BT4" s="79" t="s">
        <v>773</v>
      </c>
      <c r="BU4" s="79" t="s">
        <v>60</v>
      </c>
      <c r="BV4" s="79" t="s">
        <v>63</v>
      </c>
      <c r="BW4" s="79" t="s">
        <v>64</v>
      </c>
      <c r="BX4" s="79" t="s">
        <v>65</v>
      </c>
      <c r="BY4" s="79" t="s">
        <v>66</v>
      </c>
      <c r="BZ4" s="79" t="s">
        <v>67</v>
      </c>
      <c r="CA4" s="79" t="s">
        <v>68</v>
      </c>
      <c r="CB4" s="79" t="s">
        <v>69</v>
      </c>
      <c r="CC4" s="79" t="s">
        <v>70</v>
      </c>
      <c r="CD4" s="79" t="s">
        <v>71</v>
      </c>
      <c r="CE4" s="79" t="s">
        <v>72</v>
      </c>
      <c r="CF4" s="79" t="s">
        <v>73</v>
      </c>
      <c r="CG4" s="79" t="s">
        <v>74</v>
      </c>
      <c r="CH4" s="79" t="s">
        <v>75</v>
      </c>
      <c r="CI4" s="79" t="s">
        <v>76</v>
      </c>
      <c r="CJ4" s="79" t="s">
        <v>77</v>
      </c>
      <c r="CK4" s="79" t="s">
        <v>78</v>
      </c>
      <c r="CL4" s="79" t="s">
        <v>79</v>
      </c>
      <c r="CM4" s="79" t="s">
        <v>80</v>
      </c>
      <c r="CN4" s="79" t="s">
        <v>81</v>
      </c>
      <c r="CO4" s="79" t="s">
        <v>82</v>
      </c>
      <c r="CP4" s="79" t="s">
        <v>4</v>
      </c>
    </row>
    <row r="5" spans="1:94" ht="12.75" customHeight="1" x14ac:dyDescent="0.2">
      <c r="B5" s="87" t="s">
        <v>775</v>
      </c>
      <c r="C5" s="87" t="s">
        <v>234</v>
      </c>
      <c r="D5" s="87" t="s">
        <v>684</v>
      </c>
      <c r="E5" s="91"/>
      <c r="F5" s="87"/>
      <c r="G5" s="87"/>
      <c r="H5" s="87"/>
      <c r="I5" s="87"/>
      <c r="J5" s="87"/>
      <c r="K5" s="87"/>
      <c r="L5" s="87"/>
      <c r="M5" s="87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/>
      <c r="CG5" s="76"/>
      <c r="CH5" s="76"/>
      <c r="CI5" s="76"/>
      <c r="CJ5" s="76"/>
      <c r="CK5" s="76"/>
      <c r="CL5" s="76"/>
      <c r="CM5" s="76"/>
      <c r="CN5" s="76"/>
      <c r="CO5" s="76"/>
      <c r="CP5" s="88"/>
    </row>
    <row r="6" spans="1:94" ht="12.75" customHeight="1" x14ac:dyDescent="0.2">
      <c r="B6" s="87" t="s">
        <v>814</v>
      </c>
      <c r="C6" s="87" t="s">
        <v>234</v>
      </c>
      <c r="D6" s="87" t="s">
        <v>812</v>
      </c>
      <c r="E6" s="91"/>
      <c r="F6" s="87" t="s">
        <v>227</v>
      </c>
      <c r="G6" s="87" t="s">
        <v>352</v>
      </c>
      <c r="H6" s="87"/>
      <c r="I6" s="87"/>
      <c r="J6" s="87"/>
      <c r="K6" s="87"/>
      <c r="L6" s="87" t="s">
        <v>815</v>
      </c>
      <c r="M6" s="87"/>
      <c r="N6" s="76" t="s">
        <v>813</v>
      </c>
      <c r="O6" s="76">
        <v>1</v>
      </c>
      <c r="P6" s="76">
        <f>_cont_Isrc</f>
        <v>0</v>
      </c>
      <c r="Q6" s="76">
        <f>_cont_Isink</f>
        <v>0</v>
      </c>
      <c r="R6" s="76">
        <f>10</f>
        <v>10</v>
      </c>
      <c r="S6" s="76">
        <f>1.1</f>
        <v>1.1000000000000001</v>
      </c>
      <c r="T6" s="76">
        <f>0.2</f>
        <v>0.2</v>
      </c>
      <c r="U6" s="76" t="s">
        <v>1412</v>
      </c>
      <c r="V6" s="76" t="s">
        <v>992</v>
      </c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6"/>
      <c r="CG6" s="76"/>
      <c r="CH6" s="76"/>
      <c r="CI6" s="76"/>
      <c r="CJ6" s="76"/>
      <c r="CK6" s="76"/>
      <c r="CL6" s="76"/>
      <c r="CM6" s="76"/>
      <c r="CN6" s="76"/>
      <c r="CO6" s="76"/>
      <c r="CP6" s="88"/>
    </row>
    <row r="7" spans="1:94" ht="12.75" customHeight="1" collapsed="1" x14ac:dyDescent="0.2">
      <c r="B7" s="89" t="s">
        <v>836</v>
      </c>
      <c r="C7" s="87" t="s">
        <v>234</v>
      </c>
      <c r="D7" s="87" t="s">
        <v>838</v>
      </c>
      <c r="E7" s="91"/>
      <c r="F7" s="87" t="s">
        <v>227</v>
      </c>
      <c r="G7" s="87" t="s">
        <v>352</v>
      </c>
      <c r="H7" s="87"/>
      <c r="I7" s="87"/>
      <c r="J7" s="87" t="s">
        <v>845</v>
      </c>
      <c r="K7" s="91" t="s">
        <v>282</v>
      </c>
      <c r="L7" s="87" t="s">
        <v>839</v>
      </c>
      <c r="M7" s="87"/>
      <c r="N7" s="76" t="s">
        <v>973</v>
      </c>
      <c r="O7" s="76" t="s">
        <v>1551</v>
      </c>
      <c r="P7" s="76" t="s">
        <v>974</v>
      </c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  <c r="CE7" s="76"/>
      <c r="CF7" s="76"/>
      <c r="CG7" s="76"/>
      <c r="CH7" s="76"/>
      <c r="CI7" s="76"/>
      <c r="CJ7" s="76"/>
      <c r="CK7" s="76"/>
      <c r="CL7" s="76"/>
      <c r="CM7" s="76"/>
      <c r="CN7" s="76"/>
      <c r="CO7" s="76"/>
      <c r="CP7" s="88"/>
    </row>
    <row r="8" spans="1:94" ht="12.75" hidden="1" customHeight="1" outlineLevel="1" x14ac:dyDescent="0.2">
      <c r="B8" s="90" t="s">
        <v>836</v>
      </c>
      <c r="C8" s="91" t="s">
        <v>234</v>
      </c>
      <c r="D8" s="91" t="s">
        <v>838</v>
      </c>
      <c r="E8" s="91"/>
      <c r="F8" s="87" t="s">
        <v>227</v>
      </c>
      <c r="G8" s="87" t="s">
        <v>352</v>
      </c>
      <c r="H8" s="87"/>
      <c r="I8" s="87"/>
      <c r="J8" s="87" t="s">
        <v>845</v>
      </c>
      <c r="K8" s="91" t="s">
        <v>282</v>
      </c>
      <c r="L8" s="87" t="s">
        <v>840</v>
      </c>
      <c r="M8" s="87"/>
      <c r="N8" s="76" t="s">
        <v>973</v>
      </c>
      <c r="O8" s="76" t="s">
        <v>1551</v>
      </c>
      <c r="P8" s="76" t="s">
        <v>975</v>
      </c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  <c r="CB8" s="76"/>
      <c r="CC8" s="76"/>
      <c r="CD8" s="76"/>
      <c r="CE8" s="76"/>
      <c r="CF8" s="76"/>
      <c r="CG8" s="76"/>
      <c r="CH8" s="76"/>
      <c r="CI8" s="76"/>
      <c r="CJ8" s="76"/>
      <c r="CK8" s="76"/>
      <c r="CL8" s="76"/>
      <c r="CM8" s="76"/>
      <c r="CN8" s="76"/>
      <c r="CO8" s="76"/>
      <c r="CP8" s="88"/>
    </row>
    <row r="9" spans="1:94" ht="12.75" customHeight="1" x14ac:dyDescent="0.2">
      <c r="B9" s="87" t="s">
        <v>859</v>
      </c>
      <c r="C9" s="87" t="s">
        <v>234</v>
      </c>
      <c r="D9" s="87" t="s">
        <v>860</v>
      </c>
      <c r="E9" s="91"/>
      <c r="F9" s="87" t="s">
        <v>227</v>
      </c>
      <c r="G9" s="87" t="s">
        <v>352</v>
      </c>
      <c r="H9" s="87"/>
      <c r="I9" s="87"/>
      <c r="J9" s="87"/>
      <c r="K9" s="87"/>
      <c r="L9" s="87" t="s">
        <v>815</v>
      </c>
      <c r="M9" s="87"/>
      <c r="N9" s="76" t="s">
        <v>861</v>
      </c>
      <c r="O9" s="76">
        <f>0.0000006</f>
        <v>5.9999999999999997E-7</v>
      </c>
      <c r="P9" s="76">
        <f>24</f>
        <v>24</v>
      </c>
      <c r="Q9" s="76" t="s">
        <v>991</v>
      </c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  <c r="BK9" s="76"/>
      <c r="BL9" s="76"/>
      <c r="BM9" s="76"/>
      <c r="BN9" s="76"/>
      <c r="BO9" s="76"/>
      <c r="BP9" s="76"/>
      <c r="BQ9" s="76"/>
      <c r="BR9" s="76"/>
      <c r="BS9" s="76"/>
      <c r="BT9" s="76"/>
      <c r="BU9" s="76"/>
      <c r="BV9" s="76"/>
      <c r="BW9" s="76"/>
      <c r="BX9" s="76"/>
      <c r="BY9" s="76"/>
      <c r="BZ9" s="76"/>
      <c r="CA9" s="76"/>
      <c r="CB9" s="76"/>
      <c r="CC9" s="76"/>
      <c r="CD9" s="76"/>
      <c r="CE9" s="76"/>
      <c r="CF9" s="76"/>
      <c r="CG9" s="76"/>
      <c r="CH9" s="76"/>
      <c r="CI9" s="76"/>
      <c r="CJ9" s="76"/>
      <c r="CK9" s="76"/>
      <c r="CL9" s="76"/>
      <c r="CM9" s="76"/>
      <c r="CN9" s="76"/>
      <c r="CO9" s="76"/>
      <c r="CP9" s="88"/>
    </row>
    <row r="10" spans="1:94" ht="12.75" customHeight="1" x14ac:dyDescent="0.2">
      <c r="B10" s="87" t="s">
        <v>438</v>
      </c>
      <c r="C10" s="87" t="s">
        <v>223</v>
      </c>
      <c r="D10" s="87" t="s">
        <v>1405</v>
      </c>
      <c r="E10" s="87" t="s">
        <v>225</v>
      </c>
      <c r="F10" s="87" t="s">
        <v>227</v>
      </c>
      <c r="G10" s="87" t="s">
        <v>352</v>
      </c>
      <c r="H10" s="87"/>
      <c r="I10" s="87"/>
      <c r="J10" s="87"/>
      <c r="K10" s="87"/>
      <c r="L10" s="87" t="s">
        <v>815</v>
      </c>
      <c r="M10" s="87"/>
      <c r="N10" s="76"/>
      <c r="O10" s="76"/>
      <c r="P10" s="76"/>
      <c r="Q10" s="76"/>
      <c r="R10" s="76"/>
      <c r="S10" s="76"/>
      <c r="T10" s="76"/>
      <c r="U10" s="76"/>
      <c r="V10" s="76" t="s">
        <v>224</v>
      </c>
      <c r="W10" s="76">
        <v>30</v>
      </c>
      <c r="X10" s="76" t="s">
        <v>1523</v>
      </c>
      <c r="Y10" s="76"/>
      <c r="Z10" s="76"/>
      <c r="AA10" s="76" t="s">
        <v>1518</v>
      </c>
      <c r="AB10" s="76">
        <v>1</v>
      </c>
      <c r="AC10" s="76"/>
      <c r="AD10" s="76">
        <f>128</f>
        <v>128</v>
      </c>
      <c r="AE10" s="76">
        <f>0.005</f>
        <v>5.0000000000000001E-3</v>
      </c>
      <c r="AF10" s="76">
        <v>3</v>
      </c>
      <c r="AG10" s="76">
        <f>0.0005</f>
        <v>5.0000000000000001E-4</v>
      </c>
      <c r="AH10" s="76">
        <f>-0.0005</f>
        <v>-5.0000000000000001E-4</v>
      </c>
      <c r="AI10" s="76">
        <f>0.1</f>
        <v>0.1</v>
      </c>
      <c r="AJ10" s="76">
        <v>0</v>
      </c>
      <c r="AK10" s="76" t="s">
        <v>181</v>
      </c>
      <c r="AL10" s="76">
        <v>0</v>
      </c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>
        <v>1</v>
      </c>
      <c r="AX10" s="76"/>
      <c r="AY10" s="76">
        <v>1</v>
      </c>
      <c r="AZ10" s="76">
        <v>0</v>
      </c>
      <c r="BA10" s="76">
        <v>0</v>
      </c>
      <c r="BB10" s="76"/>
      <c r="BC10" s="76"/>
      <c r="BD10" s="76">
        <v>0</v>
      </c>
      <c r="BE10" s="76">
        <v>1</v>
      </c>
      <c r="BF10" s="76"/>
      <c r="BG10" s="76"/>
      <c r="BH10" s="76"/>
      <c r="BI10" s="76">
        <v>0</v>
      </c>
      <c r="BJ10" s="76"/>
      <c r="BK10" s="76">
        <v>0</v>
      </c>
      <c r="BL10" s="76">
        <v>0</v>
      </c>
      <c r="BM10" s="76">
        <v>0</v>
      </c>
      <c r="BN10" s="76">
        <v>0</v>
      </c>
      <c r="BO10" s="76"/>
      <c r="BP10" s="76"/>
      <c r="BQ10" s="76"/>
      <c r="BR10" s="76">
        <v>0</v>
      </c>
      <c r="BS10" s="76">
        <v>1</v>
      </c>
      <c r="BT10" s="76"/>
      <c r="BU10" s="76"/>
      <c r="BV10" s="76"/>
      <c r="BW10" s="76"/>
      <c r="BX10" s="76"/>
      <c r="BY10" s="76"/>
      <c r="BZ10" s="76"/>
      <c r="CA10" s="76"/>
      <c r="CB10" s="76"/>
      <c r="CC10" s="76"/>
      <c r="CD10" s="76"/>
      <c r="CE10" s="76"/>
      <c r="CF10" s="76"/>
      <c r="CG10" s="76"/>
      <c r="CH10" s="76"/>
      <c r="CI10" s="76"/>
      <c r="CJ10" s="76"/>
      <c r="CK10" s="76"/>
      <c r="CL10" s="76"/>
      <c r="CM10" s="76"/>
      <c r="CN10" s="76"/>
      <c r="CO10" s="76"/>
      <c r="CP10" s="88" t="s">
        <v>1406</v>
      </c>
    </row>
    <row r="11" spans="1:94" ht="12.75" customHeight="1" x14ac:dyDescent="0.2">
      <c r="B11" s="87" t="s">
        <v>439</v>
      </c>
      <c r="C11" s="87" t="s">
        <v>223</v>
      </c>
      <c r="D11" s="87" t="s">
        <v>233</v>
      </c>
      <c r="E11" s="87" t="s">
        <v>225</v>
      </c>
      <c r="F11" s="87" t="s">
        <v>227</v>
      </c>
      <c r="G11" s="87" t="s">
        <v>352</v>
      </c>
      <c r="H11" s="87"/>
      <c r="I11" s="87"/>
      <c r="J11" s="87"/>
      <c r="K11" s="87"/>
      <c r="L11" s="87" t="s">
        <v>815</v>
      </c>
      <c r="M11" s="87"/>
      <c r="N11" s="76"/>
      <c r="O11" s="76"/>
      <c r="P11" s="76" t="s">
        <v>661</v>
      </c>
      <c r="Q11" s="76" t="s">
        <v>661</v>
      </c>
      <c r="R11" s="76"/>
      <c r="S11" s="76"/>
      <c r="T11" s="76"/>
      <c r="U11" s="76"/>
      <c r="V11" s="76" t="s">
        <v>1403</v>
      </c>
      <c r="W11" s="76" t="s">
        <v>1404</v>
      </c>
      <c r="X11" s="76"/>
      <c r="Y11" s="76"/>
      <c r="Z11" s="76"/>
      <c r="AA11" s="76"/>
      <c r="AB11" s="76" t="s">
        <v>1523</v>
      </c>
      <c r="AC11" s="76"/>
      <c r="AD11" s="76"/>
      <c r="AE11" s="76" t="s">
        <v>1518</v>
      </c>
      <c r="AF11" s="76"/>
      <c r="AG11" s="76"/>
      <c r="AH11" s="76"/>
      <c r="AI11" s="76">
        <v>1</v>
      </c>
      <c r="AJ11" s="76"/>
      <c r="AK11" s="76"/>
      <c r="AL11" s="76"/>
      <c r="AM11" s="76">
        <v>1</v>
      </c>
      <c r="AN11" s="76">
        <v>0</v>
      </c>
      <c r="AO11" s="76" t="s">
        <v>224</v>
      </c>
      <c r="AP11" s="76">
        <v>30</v>
      </c>
      <c r="AQ11" s="76" t="s">
        <v>183</v>
      </c>
      <c r="AR11" s="76">
        <v>3</v>
      </c>
      <c r="AS11" s="76">
        <f>0.0005</f>
        <v>5.0000000000000001E-4</v>
      </c>
      <c r="AT11" s="76">
        <f>-0.0005</f>
        <v>-5.0000000000000001E-4</v>
      </c>
      <c r="AU11" s="76">
        <f>-0.1</f>
        <v>-0.1</v>
      </c>
      <c r="AV11" s="76"/>
      <c r="AW11" s="76">
        <v>0</v>
      </c>
      <c r="AX11" s="76">
        <v>3</v>
      </c>
      <c r="AY11" s="76">
        <v>0</v>
      </c>
      <c r="AZ11" s="76">
        <f>0.005</f>
        <v>5.0000000000000001E-3</v>
      </c>
      <c r="BA11" s="76"/>
      <c r="BB11" s="76">
        <f>128</f>
        <v>128</v>
      </c>
      <c r="BC11" s="76">
        <v>1.5E-5</v>
      </c>
      <c r="BD11" s="76"/>
      <c r="BE11" s="76">
        <f>0.003</f>
        <v>3.0000000000000001E-3</v>
      </c>
      <c r="BF11" s="76">
        <v>1</v>
      </c>
      <c r="BG11" s="76"/>
      <c r="BH11" s="76"/>
      <c r="BI11" s="76">
        <v>0</v>
      </c>
      <c r="BJ11" s="76"/>
      <c r="BK11" s="76"/>
      <c r="BL11" s="76"/>
      <c r="BM11" s="76"/>
      <c r="BN11" s="76"/>
      <c r="BO11" s="76">
        <v>0</v>
      </c>
      <c r="BP11" s="76"/>
      <c r="BQ11" s="76"/>
      <c r="BR11" s="76">
        <v>0</v>
      </c>
      <c r="BS11" s="76">
        <v>0</v>
      </c>
      <c r="BT11" s="76">
        <v>0</v>
      </c>
      <c r="BU11" s="76"/>
      <c r="BV11" s="76"/>
      <c r="BW11" s="76"/>
      <c r="BX11" s="76"/>
      <c r="BY11" s="76"/>
      <c r="BZ11" s="76"/>
      <c r="CA11" s="76"/>
      <c r="CB11" s="76"/>
      <c r="CC11" s="76"/>
      <c r="CD11" s="76"/>
      <c r="CE11" s="76"/>
      <c r="CF11" s="76"/>
      <c r="CG11" s="76"/>
      <c r="CH11" s="76"/>
      <c r="CI11" s="76"/>
      <c r="CJ11" s="76"/>
      <c r="CK11" s="76"/>
      <c r="CL11" s="76"/>
      <c r="CM11" s="76"/>
      <c r="CN11" s="76"/>
      <c r="CO11" s="76"/>
      <c r="CP11" s="88" t="s">
        <v>1408</v>
      </c>
    </row>
    <row r="12" spans="1:94" ht="12.75" customHeight="1" x14ac:dyDescent="0.2">
      <c r="B12" s="87" t="s">
        <v>440</v>
      </c>
      <c r="C12" s="87" t="s">
        <v>223</v>
      </c>
      <c r="D12" s="87" t="s">
        <v>1405</v>
      </c>
      <c r="E12" s="87" t="s">
        <v>225</v>
      </c>
      <c r="F12" s="87" t="s">
        <v>227</v>
      </c>
      <c r="G12" s="87" t="s">
        <v>352</v>
      </c>
      <c r="H12" s="87"/>
      <c r="I12" s="87"/>
      <c r="J12" s="87"/>
      <c r="K12" s="87"/>
      <c r="L12" s="87" t="s">
        <v>815</v>
      </c>
      <c r="M12" s="87"/>
      <c r="N12" s="76"/>
      <c r="O12" s="76"/>
      <c r="P12" s="76"/>
      <c r="Q12" s="76"/>
      <c r="R12" s="76"/>
      <c r="S12" s="76"/>
      <c r="T12" s="76"/>
      <c r="U12" s="76"/>
      <c r="V12" s="76" t="s">
        <v>224</v>
      </c>
      <c r="W12" s="76">
        <v>30</v>
      </c>
      <c r="X12" s="76" t="s">
        <v>1523</v>
      </c>
      <c r="Y12" s="76"/>
      <c r="Z12" s="76"/>
      <c r="AA12" s="76" t="s">
        <v>1518</v>
      </c>
      <c r="AB12" s="76">
        <v>1</v>
      </c>
      <c r="AC12" s="76"/>
      <c r="AD12" s="76">
        <f>128</f>
        <v>128</v>
      </c>
      <c r="AE12" s="76">
        <f>0.005</f>
        <v>5.0000000000000001E-3</v>
      </c>
      <c r="AF12" s="76">
        <v>3</v>
      </c>
      <c r="AG12" s="76">
        <f>0.0005</f>
        <v>5.0000000000000001E-4</v>
      </c>
      <c r="AH12" s="76">
        <f>-0.0005</f>
        <v>-5.0000000000000001E-4</v>
      </c>
      <c r="AI12" s="76">
        <f>0.1</f>
        <v>0.1</v>
      </c>
      <c r="AJ12" s="76">
        <v>0</v>
      </c>
      <c r="AK12" s="76" t="s">
        <v>182</v>
      </c>
      <c r="AL12" s="76">
        <v>0</v>
      </c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>
        <v>1</v>
      </c>
      <c r="AX12" s="76"/>
      <c r="AY12" s="76">
        <v>1</v>
      </c>
      <c r="AZ12" s="76">
        <v>0</v>
      </c>
      <c r="BA12" s="76">
        <v>0</v>
      </c>
      <c r="BB12" s="76"/>
      <c r="BC12" s="76"/>
      <c r="BD12" s="76">
        <v>0</v>
      </c>
      <c r="BE12" s="76">
        <v>1</v>
      </c>
      <c r="BF12" s="76"/>
      <c r="BG12" s="76"/>
      <c r="BH12" s="76"/>
      <c r="BI12" s="76">
        <v>0</v>
      </c>
      <c r="BJ12" s="76"/>
      <c r="BK12" s="76">
        <v>0</v>
      </c>
      <c r="BL12" s="76">
        <v>0</v>
      </c>
      <c r="BM12" s="76">
        <v>0</v>
      </c>
      <c r="BN12" s="76">
        <v>0</v>
      </c>
      <c r="BO12" s="76"/>
      <c r="BP12" s="76"/>
      <c r="BQ12" s="76"/>
      <c r="BR12" s="76">
        <v>0</v>
      </c>
      <c r="BS12" s="76">
        <v>1</v>
      </c>
      <c r="BT12" s="76"/>
      <c r="BU12" s="76"/>
      <c r="BV12" s="76"/>
      <c r="BW12" s="76"/>
      <c r="BX12" s="76"/>
      <c r="BY12" s="76"/>
      <c r="BZ12" s="76"/>
      <c r="CA12" s="76"/>
      <c r="CB12" s="76"/>
      <c r="CC12" s="76"/>
      <c r="CD12" s="76"/>
      <c r="CE12" s="76"/>
      <c r="CF12" s="76"/>
      <c r="CG12" s="76"/>
      <c r="CH12" s="76"/>
      <c r="CI12" s="76"/>
      <c r="CJ12" s="76"/>
      <c r="CK12" s="76"/>
      <c r="CL12" s="76"/>
      <c r="CM12" s="76"/>
      <c r="CN12" s="76"/>
      <c r="CO12" s="76"/>
      <c r="CP12" s="88" t="s">
        <v>1407</v>
      </c>
    </row>
    <row r="13" spans="1:94" ht="12.75" customHeight="1" x14ac:dyDescent="0.2">
      <c r="B13" s="87" t="s">
        <v>239</v>
      </c>
      <c r="C13" s="87" t="s">
        <v>234</v>
      </c>
      <c r="D13" s="87" t="s">
        <v>235</v>
      </c>
      <c r="E13" s="91"/>
      <c r="F13" s="87" t="s">
        <v>243</v>
      </c>
      <c r="G13" s="87" t="s">
        <v>352</v>
      </c>
      <c r="H13" s="87"/>
      <c r="I13" s="87"/>
      <c r="J13" s="87"/>
      <c r="K13" s="87"/>
      <c r="L13" s="87" t="s">
        <v>815</v>
      </c>
      <c r="M13" s="87"/>
      <c r="N13" s="76" t="s">
        <v>1628</v>
      </c>
      <c r="O13" s="76">
        <f>1</f>
        <v>1</v>
      </c>
      <c r="P13" s="76">
        <f>-3</f>
        <v>-3</v>
      </c>
      <c r="Q13" s="76">
        <f>1.8</f>
        <v>1.8</v>
      </c>
      <c r="R13" s="76">
        <f>0.001</f>
        <v>1E-3</v>
      </c>
      <c r="S13" s="76">
        <f>0.001</f>
        <v>1E-3</v>
      </c>
      <c r="T13" s="76">
        <f>0.001</f>
        <v>1E-3</v>
      </c>
      <c r="U13" s="76">
        <f>1.75</f>
        <v>1.75</v>
      </c>
      <c r="V13" s="76">
        <f>1.85</f>
        <v>1.85</v>
      </c>
      <c r="W13" s="76">
        <f>1.75</f>
        <v>1.75</v>
      </c>
      <c r="X13" s="76">
        <f>1.85</f>
        <v>1.85</v>
      </c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6"/>
      <c r="BG13" s="76"/>
      <c r="BH13" s="76"/>
      <c r="BI13" s="76"/>
      <c r="BJ13" s="76"/>
      <c r="BK13" s="76"/>
      <c r="BL13" s="76"/>
      <c r="BM13" s="76"/>
      <c r="BN13" s="76"/>
      <c r="BO13" s="76"/>
      <c r="BP13" s="76"/>
      <c r="BQ13" s="76"/>
      <c r="BR13" s="76"/>
      <c r="BS13" s="76"/>
      <c r="BT13" s="76"/>
      <c r="BU13" s="76"/>
      <c r="BV13" s="76"/>
      <c r="BW13" s="76"/>
      <c r="BX13" s="76"/>
      <c r="BY13" s="76"/>
      <c r="BZ13" s="76"/>
      <c r="CA13" s="76"/>
      <c r="CB13" s="76"/>
      <c r="CC13" s="76"/>
      <c r="CD13" s="76"/>
      <c r="CE13" s="76"/>
      <c r="CF13" s="76"/>
      <c r="CG13" s="76"/>
      <c r="CH13" s="76"/>
      <c r="CI13" s="76"/>
      <c r="CJ13" s="76"/>
      <c r="CK13" s="76"/>
      <c r="CL13" s="76"/>
      <c r="CM13" s="76"/>
      <c r="CN13" s="76"/>
      <c r="CO13" s="76"/>
      <c r="CP13" s="88" t="s">
        <v>238</v>
      </c>
    </row>
    <row r="14" spans="1:94" ht="12.75" customHeight="1" x14ac:dyDescent="0.2">
      <c r="B14" s="87" t="s">
        <v>571</v>
      </c>
      <c r="C14" s="87" t="s">
        <v>234</v>
      </c>
      <c r="D14" s="87" t="s">
        <v>552</v>
      </c>
      <c r="E14" s="91"/>
      <c r="F14" s="87" t="s">
        <v>519</v>
      </c>
      <c r="G14" s="87" t="s">
        <v>352</v>
      </c>
      <c r="H14" s="87"/>
      <c r="I14" s="87"/>
      <c r="J14" s="87"/>
      <c r="K14" s="87"/>
      <c r="L14" s="87" t="s">
        <v>815</v>
      </c>
      <c r="M14" s="87"/>
      <c r="N14" s="76" t="s">
        <v>1456</v>
      </c>
      <c r="O14" s="76">
        <v>1</v>
      </c>
      <c r="P14" s="76"/>
      <c r="Q14" s="76"/>
      <c r="R14" s="76" t="b">
        <v>0</v>
      </c>
      <c r="S14" s="76">
        <f>0.01</f>
        <v>0.01</v>
      </c>
      <c r="T14" s="76">
        <f>128</f>
        <v>128</v>
      </c>
      <c r="U14" s="76">
        <f>0.000015</f>
        <v>1.5E-5</v>
      </c>
      <c r="V14" s="76">
        <f>0.15</f>
        <v>0.15</v>
      </c>
      <c r="W14" s="76">
        <f>-0.02</f>
        <v>-0.02</v>
      </c>
      <c r="X14" s="76">
        <f>0.001</f>
        <v>1E-3</v>
      </c>
      <c r="Y14" s="76">
        <f>-0.1</f>
        <v>-0.1</v>
      </c>
      <c r="Z14" s="76">
        <f>0.025</f>
        <v>2.5000000000000001E-2</v>
      </c>
      <c r="AA14" s="76">
        <f>0.00015</f>
        <v>1.4999999999999999E-4</v>
      </c>
      <c r="AB14" s="76">
        <f>0.2</f>
        <v>0.2</v>
      </c>
      <c r="AC14" s="76">
        <f>-0.3</f>
        <v>-0.3</v>
      </c>
      <c r="AD14" s="76">
        <f>11415</f>
        <v>11415</v>
      </c>
      <c r="AE14" s="76">
        <f>11435</f>
        <v>11435</v>
      </c>
      <c r="AF14" s="76">
        <f>11425</f>
        <v>11425</v>
      </c>
      <c r="AG14" s="76">
        <f>11405</f>
        <v>11405</v>
      </c>
      <c r="AH14" s="76">
        <f>11485</f>
        <v>11485</v>
      </c>
      <c r="AI14" s="76" t="b">
        <v>1</v>
      </c>
      <c r="AJ14" s="76">
        <f>_vdd10</f>
        <v>1</v>
      </c>
      <c r="AK14" s="76">
        <f>_vdd18io</f>
        <v>1.8</v>
      </c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  <c r="BG14" s="76"/>
      <c r="BH14" s="76"/>
      <c r="BI14" s="76"/>
      <c r="BJ14" s="76"/>
      <c r="BK14" s="76"/>
      <c r="BL14" s="76"/>
      <c r="BM14" s="76"/>
      <c r="BN14" s="76"/>
      <c r="BO14" s="76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  <c r="CA14" s="76"/>
      <c r="CB14" s="76"/>
      <c r="CC14" s="76"/>
      <c r="CD14" s="76"/>
      <c r="CE14" s="76"/>
      <c r="CF14" s="76"/>
      <c r="CG14" s="76"/>
      <c r="CH14" s="76"/>
      <c r="CI14" s="76"/>
      <c r="CJ14" s="76"/>
      <c r="CK14" s="76"/>
      <c r="CL14" s="76"/>
      <c r="CM14" s="76"/>
      <c r="CN14" s="76"/>
      <c r="CO14" s="76"/>
      <c r="CP14" s="88"/>
    </row>
    <row r="15" spans="1:94" ht="12.75" customHeight="1" x14ac:dyDescent="0.2">
      <c r="B15" s="87" t="s">
        <v>572</v>
      </c>
      <c r="C15" s="87" t="s">
        <v>234</v>
      </c>
      <c r="D15" s="87" t="s">
        <v>552</v>
      </c>
      <c r="E15" s="91"/>
      <c r="F15" s="87" t="s">
        <v>519</v>
      </c>
      <c r="G15" s="87" t="s">
        <v>353</v>
      </c>
      <c r="H15" s="87"/>
      <c r="I15" s="87"/>
      <c r="J15" s="87"/>
      <c r="K15" s="87"/>
      <c r="L15" s="87" t="s">
        <v>815</v>
      </c>
      <c r="M15" s="87"/>
      <c r="N15" s="76" t="s">
        <v>1456</v>
      </c>
      <c r="O15" s="76">
        <v>1</v>
      </c>
      <c r="P15" s="76"/>
      <c r="Q15" s="76"/>
      <c r="R15" s="76" t="b">
        <v>0</v>
      </c>
      <c r="S15" s="76">
        <f>0.01</f>
        <v>0.01</v>
      </c>
      <c r="T15" s="76">
        <f>128</f>
        <v>128</v>
      </c>
      <c r="U15" s="76">
        <f>0.000015</f>
        <v>1.5E-5</v>
      </c>
      <c r="V15" s="76">
        <f>0.15</f>
        <v>0.15</v>
      </c>
      <c r="W15" s="76">
        <f>-0.02</f>
        <v>-0.02</v>
      </c>
      <c r="X15" s="76">
        <f>0.001</f>
        <v>1E-3</v>
      </c>
      <c r="Y15" s="76">
        <f>-0.1</f>
        <v>-0.1</v>
      </c>
      <c r="Z15" s="76">
        <f>0.025</f>
        <v>2.5000000000000001E-2</v>
      </c>
      <c r="AA15" s="76">
        <f>0.0001</f>
        <v>1E-4</v>
      </c>
      <c r="AB15" s="76">
        <f>0.2</f>
        <v>0.2</v>
      </c>
      <c r="AC15" s="76">
        <f>-0.3</f>
        <v>-0.3</v>
      </c>
      <c r="AD15" s="76">
        <f>11414</f>
        <v>11414</v>
      </c>
      <c r="AE15" s="76">
        <f>11434</f>
        <v>11434</v>
      </c>
      <c r="AF15" s="76">
        <f>11424</f>
        <v>11424</v>
      </c>
      <c r="AG15" s="76">
        <f>11404</f>
        <v>11404</v>
      </c>
      <c r="AH15" s="76">
        <f>11484</f>
        <v>11484</v>
      </c>
      <c r="AI15" s="76" t="b">
        <v>1</v>
      </c>
      <c r="AJ15" s="76">
        <f>_vdd10</f>
        <v>1</v>
      </c>
      <c r="AK15" s="76">
        <f>_vdd18io</f>
        <v>1.8</v>
      </c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  <c r="BE15" s="76"/>
      <c r="BF15" s="76"/>
      <c r="BG15" s="76"/>
      <c r="BH15" s="76"/>
      <c r="BI15" s="76"/>
      <c r="BJ15" s="76"/>
      <c r="BK15" s="76"/>
      <c r="BL15" s="76"/>
      <c r="BM15" s="76"/>
      <c r="BN15" s="76"/>
      <c r="BO15" s="76"/>
      <c r="BP15" s="76"/>
      <c r="BQ15" s="76"/>
      <c r="BR15" s="76"/>
      <c r="BS15" s="76"/>
      <c r="BT15" s="76"/>
      <c r="BU15" s="76"/>
      <c r="BV15" s="76"/>
      <c r="BW15" s="76"/>
      <c r="BX15" s="76"/>
      <c r="BY15" s="76"/>
      <c r="BZ15" s="76"/>
      <c r="CA15" s="76"/>
      <c r="CB15" s="76"/>
      <c r="CC15" s="76"/>
      <c r="CD15" s="76"/>
      <c r="CE15" s="76"/>
      <c r="CF15" s="76"/>
      <c r="CG15" s="76"/>
      <c r="CH15" s="76"/>
      <c r="CI15" s="76"/>
      <c r="CJ15" s="76"/>
      <c r="CK15" s="76"/>
      <c r="CL15" s="76"/>
      <c r="CM15" s="76"/>
      <c r="CN15" s="76"/>
      <c r="CO15" s="76"/>
      <c r="CP15" s="88"/>
    </row>
    <row r="16" spans="1:94" ht="12.75" customHeight="1" x14ac:dyDescent="0.2">
      <c r="B16" s="87" t="s">
        <v>573</v>
      </c>
      <c r="C16" s="87" t="s">
        <v>234</v>
      </c>
      <c r="D16" s="87" t="s">
        <v>552</v>
      </c>
      <c r="E16" s="91"/>
      <c r="F16" s="87" t="s">
        <v>519</v>
      </c>
      <c r="G16" s="87" t="s">
        <v>354</v>
      </c>
      <c r="H16" s="87"/>
      <c r="I16" s="87"/>
      <c r="J16" s="87"/>
      <c r="K16" s="87"/>
      <c r="L16" s="87" t="s">
        <v>815</v>
      </c>
      <c r="M16" s="87"/>
      <c r="N16" s="76" t="s">
        <v>1456</v>
      </c>
      <c r="O16" s="76">
        <v>1</v>
      </c>
      <c r="P16" s="76"/>
      <c r="Q16" s="76"/>
      <c r="R16" s="76" t="b">
        <v>0</v>
      </c>
      <c r="S16" s="76">
        <f>0.01</f>
        <v>0.01</v>
      </c>
      <c r="T16" s="76">
        <f>128</f>
        <v>128</v>
      </c>
      <c r="U16" s="76">
        <f>0.000015</f>
        <v>1.5E-5</v>
      </c>
      <c r="V16" s="76">
        <f>0.15</f>
        <v>0.15</v>
      </c>
      <c r="W16" s="76">
        <f>-0.02</f>
        <v>-0.02</v>
      </c>
      <c r="X16" s="76">
        <f>0.001</f>
        <v>1E-3</v>
      </c>
      <c r="Y16" s="76">
        <f>-0.1</f>
        <v>-0.1</v>
      </c>
      <c r="Z16" s="76">
        <f>0.025</f>
        <v>2.5000000000000001E-2</v>
      </c>
      <c r="AA16" s="76">
        <f>0.0002</f>
        <v>2.0000000000000001E-4</v>
      </c>
      <c r="AB16" s="76">
        <f>0.2</f>
        <v>0.2</v>
      </c>
      <c r="AC16" s="76">
        <f>-0.3</f>
        <v>-0.3</v>
      </c>
      <c r="AD16" s="76">
        <f>11416</f>
        <v>11416</v>
      </c>
      <c r="AE16" s="76">
        <f>11436</f>
        <v>11436</v>
      </c>
      <c r="AF16" s="76">
        <f>11426</f>
        <v>11426</v>
      </c>
      <c r="AG16" s="76">
        <f>11406</f>
        <v>11406</v>
      </c>
      <c r="AH16" s="76">
        <f>11486</f>
        <v>11486</v>
      </c>
      <c r="AI16" s="76" t="b">
        <v>1</v>
      </c>
      <c r="AJ16" s="76">
        <f>_vdd10</f>
        <v>1</v>
      </c>
      <c r="AK16" s="76">
        <f>_vdd18io</f>
        <v>1.8</v>
      </c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  <c r="AW16" s="76"/>
      <c r="AX16" s="76"/>
      <c r="AY16" s="76"/>
      <c r="AZ16" s="76"/>
      <c r="BA16" s="76"/>
      <c r="BB16" s="76"/>
      <c r="BC16" s="76"/>
      <c r="BD16" s="76"/>
      <c r="BE16" s="76"/>
      <c r="BF16" s="76"/>
      <c r="BG16" s="76"/>
      <c r="BH16" s="76"/>
      <c r="BI16" s="76"/>
      <c r="BJ16" s="76"/>
      <c r="BK16" s="76"/>
      <c r="BL16" s="76"/>
      <c r="BM16" s="76"/>
      <c r="BN16" s="76"/>
      <c r="BO16" s="76"/>
      <c r="BP16" s="76"/>
      <c r="BQ16" s="76"/>
      <c r="BR16" s="76"/>
      <c r="BS16" s="76"/>
      <c r="BT16" s="76"/>
      <c r="BU16" s="76"/>
      <c r="BV16" s="76"/>
      <c r="BW16" s="76"/>
      <c r="BX16" s="76"/>
      <c r="BY16" s="76"/>
      <c r="BZ16" s="76"/>
      <c r="CA16" s="76"/>
      <c r="CB16" s="76"/>
      <c r="CC16" s="76"/>
      <c r="CD16" s="76"/>
      <c r="CE16" s="76"/>
      <c r="CF16" s="76"/>
      <c r="CG16" s="76"/>
      <c r="CH16" s="76"/>
      <c r="CI16" s="76"/>
      <c r="CJ16" s="76"/>
      <c r="CK16" s="76"/>
      <c r="CL16" s="76"/>
      <c r="CM16" s="76"/>
      <c r="CN16" s="76"/>
      <c r="CO16" s="76"/>
      <c r="CP16" s="88"/>
    </row>
    <row r="17" spans="2:94" ht="12.75" customHeight="1" x14ac:dyDescent="0.2">
      <c r="B17" s="87" t="s">
        <v>574</v>
      </c>
      <c r="C17" s="87" t="s">
        <v>234</v>
      </c>
      <c r="D17" s="87" t="s">
        <v>552</v>
      </c>
      <c r="E17" s="91"/>
      <c r="F17" s="87" t="s">
        <v>579</v>
      </c>
      <c r="G17" s="87" t="s">
        <v>352</v>
      </c>
      <c r="H17" s="87"/>
      <c r="I17" s="87"/>
      <c r="J17" s="87" t="s">
        <v>1583</v>
      </c>
      <c r="K17" s="91" t="s">
        <v>282</v>
      </c>
      <c r="L17" s="87" t="s">
        <v>816</v>
      </c>
      <c r="M17" s="87"/>
      <c r="N17" s="76" t="s">
        <v>1456</v>
      </c>
      <c r="O17" s="76">
        <v>0</v>
      </c>
      <c r="P17" s="76" t="s">
        <v>1573</v>
      </c>
      <c r="Q17" s="76">
        <f>5</f>
        <v>5</v>
      </c>
      <c r="R17" s="76" t="b">
        <v>0</v>
      </c>
      <c r="S17" s="76">
        <f>0.01</f>
        <v>0.01</v>
      </c>
      <c r="T17" s="76">
        <f>128</f>
        <v>128</v>
      </c>
      <c r="U17" s="76">
        <f>0.000015</f>
        <v>1.5E-5</v>
      </c>
      <c r="V17" s="76">
        <f>0.045</f>
        <v>4.4999999999999998E-2</v>
      </c>
      <c r="W17" s="76">
        <f>0.03</f>
        <v>0.03</v>
      </c>
      <c r="X17" s="76">
        <f>0.001</f>
        <v>1E-3</v>
      </c>
      <c r="Y17" s="76">
        <f>-0.0012</f>
        <v>-1.1999999999999999E-3</v>
      </c>
      <c r="Z17" s="76">
        <f>0.15</f>
        <v>0.15</v>
      </c>
      <c r="AA17" s="76">
        <f>0</f>
        <v>0</v>
      </c>
      <c r="AB17" s="76">
        <f>0.25</f>
        <v>0.25</v>
      </c>
      <c r="AC17" s="76">
        <f>0</f>
        <v>0</v>
      </c>
      <c r="AD17" s="76">
        <f>11418</f>
        <v>11418</v>
      </c>
      <c r="AE17" s="76">
        <f>11438</f>
        <v>11438</v>
      </c>
      <c r="AF17" s="76">
        <f>11428</f>
        <v>11428</v>
      </c>
      <c r="AG17" s="76">
        <f>11408</f>
        <v>11408</v>
      </c>
      <c r="AH17" s="76">
        <f>11488</f>
        <v>11488</v>
      </c>
      <c r="AI17" s="76" t="b">
        <v>1</v>
      </c>
      <c r="AJ17" s="76">
        <f>_vdd10</f>
        <v>1</v>
      </c>
      <c r="AK17" s="76">
        <f>_vdd18io</f>
        <v>1.8</v>
      </c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88"/>
    </row>
    <row r="18" spans="2:94" ht="12.75" customHeight="1" x14ac:dyDescent="0.2">
      <c r="B18" s="87" t="s">
        <v>852</v>
      </c>
      <c r="C18" s="87" t="s">
        <v>234</v>
      </c>
      <c r="D18" s="87" t="s">
        <v>853</v>
      </c>
      <c r="E18" s="91"/>
      <c r="F18" s="87" t="s">
        <v>226</v>
      </c>
      <c r="G18" s="87" t="s">
        <v>352</v>
      </c>
      <c r="H18" s="87"/>
      <c r="I18" s="87"/>
      <c r="J18" s="87"/>
      <c r="K18" s="87"/>
      <c r="L18" s="87" t="s">
        <v>815</v>
      </c>
      <c r="M18" s="87"/>
      <c r="N18" s="76" t="s">
        <v>854</v>
      </c>
      <c r="O18" s="76">
        <f>0</f>
        <v>0</v>
      </c>
      <c r="P18" s="76">
        <f>1</f>
        <v>1</v>
      </c>
      <c r="Q18" s="76">
        <f>0.00001</f>
        <v>1.0000000000000001E-5</v>
      </c>
      <c r="R18" s="76">
        <f>-0.0001</f>
        <v>-1E-4</v>
      </c>
      <c r="S18" s="76">
        <f>0.0001</f>
        <v>1E-4</v>
      </c>
      <c r="T18" s="76">
        <f>-0.0001</f>
        <v>-1E-4</v>
      </c>
      <c r="U18" s="76">
        <f>32</f>
        <v>32</v>
      </c>
      <c r="V18" s="76" t="s">
        <v>996</v>
      </c>
      <c r="W18" s="76" t="s">
        <v>953</v>
      </c>
      <c r="X18" s="76" t="s">
        <v>1451</v>
      </c>
      <c r="Y18" s="76" t="s">
        <v>1450</v>
      </c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  <c r="AW18" s="76"/>
      <c r="AX18" s="76"/>
      <c r="AY18" s="76"/>
      <c r="AZ18" s="76"/>
      <c r="BA18" s="76"/>
      <c r="BB18" s="76"/>
      <c r="BC18" s="76"/>
      <c r="BD18" s="76"/>
      <c r="BE18" s="76"/>
      <c r="BF18" s="76"/>
      <c r="BG18" s="76"/>
      <c r="BH18" s="76"/>
      <c r="BI18" s="76"/>
      <c r="BJ18" s="76"/>
      <c r="BK18" s="76"/>
      <c r="BL18" s="76"/>
      <c r="BM18" s="76"/>
      <c r="BN18" s="76"/>
      <c r="BO18" s="76"/>
      <c r="BP18" s="76"/>
      <c r="BQ18" s="76"/>
      <c r="BR18" s="76"/>
      <c r="BS18" s="76"/>
      <c r="BT18" s="76"/>
      <c r="BU18" s="76"/>
      <c r="BV18" s="76"/>
      <c r="BW18" s="76"/>
      <c r="BX18" s="76"/>
      <c r="BY18" s="76"/>
      <c r="BZ18" s="76"/>
      <c r="CA18" s="76"/>
      <c r="CB18" s="76"/>
      <c r="CC18" s="76"/>
      <c r="CD18" s="76"/>
      <c r="CE18" s="76"/>
      <c r="CF18" s="76"/>
      <c r="CG18" s="76"/>
      <c r="CH18" s="76"/>
      <c r="CI18" s="76"/>
      <c r="CJ18" s="76"/>
      <c r="CK18" s="76"/>
      <c r="CL18" s="76"/>
      <c r="CM18" s="76"/>
      <c r="CN18" s="76"/>
      <c r="CO18" s="76"/>
      <c r="CP18" s="88"/>
    </row>
    <row r="19" spans="2:94" ht="12.75" customHeight="1" x14ac:dyDescent="0.2">
      <c r="B19" s="87" t="s">
        <v>250</v>
      </c>
      <c r="C19" s="87" t="s">
        <v>234</v>
      </c>
      <c r="D19" s="87" t="s">
        <v>251</v>
      </c>
      <c r="E19" s="91"/>
      <c r="F19" s="87" t="s">
        <v>499</v>
      </c>
      <c r="G19" s="87" t="s">
        <v>352</v>
      </c>
      <c r="H19" s="87"/>
      <c r="I19" s="87"/>
      <c r="J19" s="87" t="s">
        <v>833</v>
      </c>
      <c r="K19" s="91"/>
      <c r="L19" s="87" t="s">
        <v>815</v>
      </c>
      <c r="M19" s="87"/>
      <c r="N19" s="76" t="s">
        <v>1623</v>
      </c>
      <c r="O19" s="76" t="s">
        <v>1536</v>
      </c>
      <c r="P19" s="76"/>
      <c r="Q19" s="76">
        <f>_vih_input</f>
        <v>1.8</v>
      </c>
      <c r="R19" s="76">
        <f>_vil_input</f>
        <v>0</v>
      </c>
      <c r="S19" s="76">
        <f>-125*nA</f>
        <v>-1.2500000000000002E-7</v>
      </c>
      <c r="T19" s="76">
        <f>125*nA</f>
        <v>1.2500000000000002E-7</v>
      </c>
      <c r="U19" s="76">
        <f>-125*nA</f>
        <v>-1.2500000000000002E-7</v>
      </c>
      <c r="V19" s="76">
        <f>125*nA</f>
        <v>1.2500000000000002E-7</v>
      </c>
      <c r="W19" s="76">
        <f>125*nA</f>
        <v>1.2500000000000002E-7</v>
      </c>
      <c r="X19" s="76">
        <f>-125*nA</f>
        <v>-1.2500000000000002E-7</v>
      </c>
      <c r="Y19" s="76">
        <f>125*nA</f>
        <v>1.2500000000000002E-7</v>
      </c>
      <c r="Z19" s="76">
        <f>-125*nA</f>
        <v>-1.2500000000000002E-7</v>
      </c>
      <c r="AA19" s="76">
        <f>125*nA</f>
        <v>1.2500000000000002E-7</v>
      </c>
      <c r="AB19" s="76">
        <f>-125*nA</f>
        <v>-1.2500000000000002E-7</v>
      </c>
      <c r="AC19" s="76">
        <f>125*nA</f>
        <v>1.2500000000000002E-7</v>
      </c>
      <c r="AD19" s="76">
        <f>-125*nA</f>
        <v>-1.2500000000000002E-7</v>
      </c>
      <c r="AE19" s="76">
        <f>125*nA</f>
        <v>1.2500000000000002E-7</v>
      </c>
      <c r="AF19" s="76">
        <f>-125*nA</f>
        <v>-1.2500000000000002E-7</v>
      </c>
      <c r="AG19" s="76">
        <f>125*nA</f>
        <v>1.2500000000000002E-7</v>
      </c>
      <c r="AH19" s="76">
        <f>-125*nA</f>
        <v>-1.2500000000000002E-7</v>
      </c>
      <c r="AI19" s="76">
        <f>125*nA</f>
        <v>1.2500000000000002E-7</v>
      </c>
      <c r="AJ19" s="76">
        <f>-125*nA</f>
        <v>-1.2500000000000002E-7</v>
      </c>
      <c r="AK19" s="76">
        <f>125*nA</f>
        <v>1.2500000000000002E-7</v>
      </c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  <c r="BG19" s="76"/>
      <c r="BH19" s="76"/>
      <c r="BI19" s="76"/>
      <c r="BJ19" s="76"/>
      <c r="BK19" s="76"/>
      <c r="BL19" s="76"/>
      <c r="BM19" s="76"/>
      <c r="BN19" s="76"/>
      <c r="BO19" s="76"/>
      <c r="BP19" s="76"/>
      <c r="BQ19" s="76"/>
      <c r="BR19" s="76"/>
      <c r="BS19" s="76"/>
      <c r="BT19" s="76"/>
      <c r="BU19" s="76"/>
      <c r="BV19" s="76"/>
      <c r="BW19" s="76"/>
      <c r="BX19" s="76"/>
      <c r="BY19" s="76"/>
      <c r="BZ19" s="76"/>
      <c r="CA19" s="76"/>
      <c r="CB19" s="76"/>
      <c r="CC19" s="76"/>
      <c r="CD19" s="76"/>
      <c r="CE19" s="76"/>
      <c r="CF19" s="76"/>
      <c r="CG19" s="76"/>
      <c r="CH19" s="76"/>
      <c r="CI19" s="76"/>
      <c r="CJ19" s="76"/>
      <c r="CK19" s="76"/>
      <c r="CL19" s="76"/>
      <c r="CM19" s="76"/>
      <c r="CN19" s="76"/>
      <c r="CO19" s="76"/>
      <c r="CP19" s="88"/>
    </row>
    <row r="20" spans="2:94" ht="12.75" customHeight="1" x14ac:dyDescent="0.2">
      <c r="B20" s="87" t="s">
        <v>1537</v>
      </c>
      <c r="C20" s="87" t="s">
        <v>234</v>
      </c>
      <c r="D20" s="87" t="s">
        <v>847</v>
      </c>
      <c r="E20" s="91"/>
      <c r="F20" s="87" t="s">
        <v>226</v>
      </c>
      <c r="G20" s="87" t="s">
        <v>352</v>
      </c>
      <c r="H20" s="87"/>
      <c r="I20" s="87"/>
      <c r="J20" s="87" t="s">
        <v>831</v>
      </c>
      <c r="K20" s="91" t="s">
        <v>282</v>
      </c>
      <c r="L20" s="87" t="s">
        <v>815</v>
      </c>
      <c r="M20" s="87"/>
      <c r="N20" s="76" t="s">
        <v>496</v>
      </c>
      <c r="O20" s="76" t="s">
        <v>1560</v>
      </c>
      <c r="P20" s="76">
        <f>30</f>
        <v>30</v>
      </c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76"/>
      <c r="BE20" s="76"/>
      <c r="BF20" s="76"/>
      <c r="BG20" s="76"/>
      <c r="BH20" s="76"/>
      <c r="BI20" s="76"/>
      <c r="BJ20" s="76"/>
      <c r="BK20" s="76"/>
      <c r="BL20" s="76"/>
      <c r="BM20" s="76"/>
      <c r="BN20" s="76"/>
      <c r="BO20" s="76"/>
      <c r="BP20" s="76"/>
      <c r="BQ20" s="76"/>
      <c r="BR20" s="76"/>
      <c r="BS20" s="76"/>
      <c r="BT20" s="76"/>
      <c r="BU20" s="76"/>
      <c r="BV20" s="76"/>
      <c r="BW20" s="76"/>
      <c r="BX20" s="76"/>
      <c r="BY20" s="76"/>
      <c r="BZ20" s="76"/>
      <c r="CA20" s="76"/>
      <c r="CB20" s="76"/>
      <c r="CC20" s="76"/>
      <c r="CD20" s="76"/>
      <c r="CE20" s="76"/>
      <c r="CF20" s="76"/>
      <c r="CG20" s="76"/>
      <c r="CH20" s="76"/>
      <c r="CI20" s="76"/>
      <c r="CJ20" s="76"/>
      <c r="CK20" s="76"/>
      <c r="CL20" s="76"/>
      <c r="CM20" s="76"/>
      <c r="CN20" s="76"/>
      <c r="CO20" s="76"/>
      <c r="CP20" s="88"/>
    </row>
    <row r="21" spans="2:94" ht="12.75" customHeight="1" x14ac:dyDescent="0.2">
      <c r="B21" s="87" t="s">
        <v>1538</v>
      </c>
      <c r="C21" s="87" t="s">
        <v>234</v>
      </c>
      <c r="D21" s="87" t="s">
        <v>1896</v>
      </c>
      <c r="E21" s="91"/>
      <c r="F21" s="87" t="s">
        <v>226</v>
      </c>
      <c r="G21" s="87" t="s">
        <v>352</v>
      </c>
      <c r="H21" s="87"/>
      <c r="I21" s="87"/>
      <c r="J21" s="87" t="s">
        <v>835</v>
      </c>
      <c r="K21" s="91" t="s">
        <v>282</v>
      </c>
      <c r="L21" s="87" t="s">
        <v>815</v>
      </c>
      <c r="M21" s="87"/>
      <c r="N21" s="76" t="s">
        <v>496</v>
      </c>
      <c r="O21" s="76" t="s">
        <v>1561</v>
      </c>
      <c r="P21" s="76">
        <f>5</f>
        <v>5</v>
      </c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6"/>
      <c r="BE21" s="76"/>
      <c r="BF21" s="76"/>
      <c r="BG21" s="76"/>
      <c r="BH21" s="76"/>
      <c r="BI21" s="76"/>
      <c r="BJ21" s="76"/>
      <c r="BK21" s="76"/>
      <c r="BL21" s="76"/>
      <c r="BM21" s="76"/>
      <c r="BN21" s="76"/>
      <c r="BO21" s="76"/>
      <c r="BP21" s="76"/>
      <c r="BQ21" s="76"/>
      <c r="BR21" s="76"/>
      <c r="BS21" s="76"/>
      <c r="BT21" s="76"/>
      <c r="BU21" s="76"/>
      <c r="BV21" s="76"/>
      <c r="BW21" s="76"/>
      <c r="BX21" s="76"/>
      <c r="BY21" s="76"/>
      <c r="BZ21" s="76"/>
      <c r="CA21" s="76"/>
      <c r="CB21" s="76"/>
      <c r="CC21" s="76"/>
      <c r="CD21" s="76"/>
      <c r="CE21" s="76"/>
      <c r="CF21" s="76"/>
      <c r="CG21" s="76"/>
      <c r="CH21" s="76"/>
      <c r="CI21" s="76"/>
      <c r="CJ21" s="76"/>
      <c r="CK21" s="76"/>
      <c r="CL21" s="76"/>
      <c r="CM21" s="76"/>
      <c r="CN21" s="76"/>
      <c r="CO21" s="76"/>
      <c r="CP21" s="88"/>
    </row>
    <row r="22" spans="2:94" ht="12.75" customHeight="1" x14ac:dyDescent="0.2">
      <c r="B22" s="87" t="s">
        <v>1539</v>
      </c>
      <c r="C22" s="87" t="s">
        <v>234</v>
      </c>
      <c r="D22" s="87" t="s">
        <v>847</v>
      </c>
      <c r="E22" s="91"/>
      <c r="F22" s="87" t="s">
        <v>226</v>
      </c>
      <c r="G22" s="87" t="s">
        <v>352</v>
      </c>
      <c r="H22" s="87"/>
      <c r="I22" s="87"/>
      <c r="J22" s="87" t="s">
        <v>835</v>
      </c>
      <c r="K22" s="91" t="s">
        <v>282</v>
      </c>
      <c r="L22" s="87" t="s">
        <v>815</v>
      </c>
      <c r="M22" s="87"/>
      <c r="N22" s="76" t="s">
        <v>496</v>
      </c>
      <c r="O22" s="76" t="s">
        <v>1562</v>
      </c>
      <c r="P22" s="76">
        <f>5</f>
        <v>5</v>
      </c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  <c r="AW22" s="76"/>
      <c r="AX22" s="76"/>
      <c r="AY22" s="76"/>
      <c r="AZ22" s="76"/>
      <c r="BA22" s="76"/>
      <c r="BB22" s="76"/>
      <c r="BC22" s="76"/>
      <c r="BD22" s="76"/>
      <c r="BE22" s="76"/>
      <c r="BF22" s="76"/>
      <c r="BG22" s="76"/>
      <c r="BH22" s="76"/>
      <c r="BI22" s="76"/>
      <c r="BJ22" s="76"/>
      <c r="BK22" s="76"/>
      <c r="BL22" s="76"/>
      <c r="BM22" s="76"/>
      <c r="BN22" s="76"/>
      <c r="BO22" s="76"/>
      <c r="BP22" s="76"/>
      <c r="BQ22" s="76"/>
      <c r="BR22" s="76"/>
      <c r="BS22" s="76"/>
      <c r="BT22" s="76"/>
      <c r="BU22" s="76"/>
      <c r="BV22" s="76"/>
      <c r="BW22" s="76"/>
      <c r="BX22" s="76"/>
      <c r="BY22" s="76"/>
      <c r="BZ22" s="76"/>
      <c r="CA22" s="76"/>
      <c r="CB22" s="76"/>
      <c r="CC22" s="76"/>
      <c r="CD22" s="76"/>
      <c r="CE22" s="76"/>
      <c r="CF22" s="76"/>
      <c r="CG22" s="76"/>
      <c r="CH22" s="76"/>
      <c r="CI22" s="76"/>
      <c r="CJ22" s="76"/>
      <c r="CK22" s="76"/>
      <c r="CL22" s="76"/>
      <c r="CM22" s="76"/>
      <c r="CN22" s="76"/>
      <c r="CO22" s="76"/>
      <c r="CP22" s="88"/>
    </row>
    <row r="23" spans="2:94" x14ac:dyDescent="0.2">
      <c r="B23" s="87" t="s">
        <v>1540</v>
      </c>
      <c r="C23" s="87" t="s">
        <v>234</v>
      </c>
      <c r="D23" s="87" t="s">
        <v>1572</v>
      </c>
      <c r="E23" s="91"/>
      <c r="F23" s="87" t="s">
        <v>499</v>
      </c>
      <c r="G23" s="87" t="s">
        <v>352</v>
      </c>
      <c r="H23" s="87"/>
      <c r="I23" s="87"/>
      <c r="J23" s="87" t="s">
        <v>833</v>
      </c>
      <c r="K23" s="91" t="s">
        <v>282</v>
      </c>
      <c r="L23" s="87" t="s">
        <v>815</v>
      </c>
      <c r="M23" s="87"/>
      <c r="N23" s="76" t="s">
        <v>496</v>
      </c>
      <c r="O23" s="76" t="s">
        <v>1552</v>
      </c>
      <c r="P23" s="76">
        <f>5</f>
        <v>5</v>
      </c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  <c r="BG23" s="76"/>
      <c r="BH23" s="76"/>
      <c r="BI23" s="76"/>
      <c r="BJ23" s="76"/>
      <c r="BK23" s="76"/>
      <c r="BL23" s="76"/>
      <c r="BM23" s="76"/>
      <c r="BN23" s="76"/>
      <c r="BO23" s="76"/>
      <c r="BP23" s="76"/>
      <c r="BQ23" s="76"/>
      <c r="BR23" s="76"/>
      <c r="BS23" s="76"/>
      <c r="BT23" s="76"/>
      <c r="BU23" s="76"/>
      <c r="BV23" s="76"/>
      <c r="BW23" s="76"/>
      <c r="BX23" s="76"/>
      <c r="BY23" s="76"/>
      <c r="BZ23" s="76"/>
      <c r="CA23" s="76"/>
      <c r="CB23" s="76"/>
      <c r="CC23" s="76"/>
      <c r="CD23" s="76"/>
      <c r="CE23" s="76"/>
      <c r="CF23" s="76"/>
      <c r="CG23" s="76"/>
      <c r="CH23" s="76"/>
      <c r="CI23" s="76"/>
      <c r="CJ23" s="76"/>
      <c r="CK23" s="76"/>
      <c r="CL23" s="76"/>
      <c r="CM23" s="76"/>
      <c r="CN23" s="76"/>
      <c r="CO23" s="76"/>
      <c r="CP23" s="88"/>
    </row>
    <row r="24" spans="2:94" ht="12.75" customHeight="1" x14ac:dyDescent="0.2">
      <c r="B24" s="87" t="s">
        <v>746</v>
      </c>
      <c r="C24" s="87" t="s">
        <v>234</v>
      </c>
      <c r="D24" s="87" t="s">
        <v>1572</v>
      </c>
      <c r="E24" s="91"/>
      <c r="F24" s="87" t="s">
        <v>226</v>
      </c>
      <c r="G24" s="87" t="s">
        <v>352</v>
      </c>
      <c r="H24" s="87"/>
      <c r="I24" s="87"/>
      <c r="J24" s="87" t="s">
        <v>1606</v>
      </c>
      <c r="K24" s="91" t="s">
        <v>282</v>
      </c>
      <c r="L24" s="87" t="s">
        <v>815</v>
      </c>
      <c r="M24" s="87"/>
      <c r="N24" s="76" t="s">
        <v>496</v>
      </c>
      <c r="O24" s="76" t="s">
        <v>1553</v>
      </c>
      <c r="P24" s="76">
        <f>5</f>
        <v>5</v>
      </c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  <c r="BG24" s="76"/>
      <c r="BH24" s="76"/>
      <c r="BI24" s="76"/>
      <c r="BJ24" s="76"/>
      <c r="BK24" s="76"/>
      <c r="BL24" s="76"/>
      <c r="BM24" s="76"/>
      <c r="BN24" s="76"/>
      <c r="BO24" s="76"/>
      <c r="BP24" s="76"/>
      <c r="BQ24" s="76"/>
      <c r="BR24" s="76"/>
      <c r="BS24" s="76"/>
      <c r="BT24" s="76"/>
      <c r="BU24" s="76"/>
      <c r="BV24" s="76"/>
      <c r="BW24" s="76"/>
      <c r="BX24" s="76"/>
      <c r="BY24" s="76"/>
      <c r="BZ24" s="76"/>
      <c r="CA24" s="76"/>
      <c r="CB24" s="76"/>
      <c r="CC24" s="76"/>
      <c r="CD24" s="76"/>
      <c r="CE24" s="76"/>
      <c r="CF24" s="76"/>
      <c r="CG24" s="76"/>
      <c r="CH24" s="76"/>
      <c r="CI24" s="76"/>
      <c r="CJ24" s="76"/>
      <c r="CK24" s="76"/>
      <c r="CL24" s="76"/>
      <c r="CM24" s="76"/>
      <c r="CN24" s="76"/>
      <c r="CO24" s="76"/>
      <c r="CP24" s="88"/>
    </row>
    <row r="25" spans="2:94" ht="12.75" customHeight="1" x14ac:dyDescent="0.2">
      <c r="B25" s="87" t="s">
        <v>1574</v>
      </c>
      <c r="C25" s="87" t="s">
        <v>234</v>
      </c>
      <c r="D25" s="87" t="s">
        <v>1572</v>
      </c>
      <c r="E25" s="91"/>
      <c r="F25" s="87" t="s">
        <v>579</v>
      </c>
      <c r="G25" s="87" t="s">
        <v>352</v>
      </c>
      <c r="H25" s="87"/>
      <c r="I25" s="87"/>
      <c r="J25" s="87" t="s">
        <v>1583</v>
      </c>
      <c r="K25" s="91" t="s">
        <v>282</v>
      </c>
      <c r="L25" s="87" t="s">
        <v>816</v>
      </c>
      <c r="M25" s="87"/>
      <c r="N25" s="76" t="s">
        <v>496</v>
      </c>
      <c r="O25" s="76" t="s">
        <v>1573</v>
      </c>
      <c r="P25" s="76">
        <v>10</v>
      </c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6"/>
      <c r="AY25" s="76"/>
      <c r="AZ25" s="76"/>
      <c r="BA25" s="76"/>
      <c r="BB25" s="76"/>
      <c r="BC25" s="76"/>
      <c r="BD25" s="76"/>
      <c r="BE25" s="76"/>
      <c r="BF25" s="76"/>
      <c r="BG25" s="76"/>
      <c r="BH25" s="76"/>
      <c r="BI25" s="76"/>
      <c r="BJ25" s="76"/>
      <c r="BK25" s="76"/>
      <c r="BL25" s="76"/>
      <c r="BM25" s="76"/>
      <c r="BN25" s="76"/>
      <c r="BO25" s="76"/>
      <c r="BP25" s="76"/>
      <c r="BQ25" s="76"/>
      <c r="BR25" s="76"/>
      <c r="BS25" s="76"/>
      <c r="BT25" s="76"/>
      <c r="BU25" s="76"/>
      <c r="BV25" s="76"/>
      <c r="BW25" s="76"/>
      <c r="BX25" s="76"/>
      <c r="BY25" s="76"/>
      <c r="BZ25" s="76"/>
      <c r="CA25" s="76"/>
      <c r="CB25" s="76"/>
      <c r="CC25" s="76"/>
      <c r="CD25" s="76"/>
      <c r="CE25" s="76"/>
      <c r="CF25" s="76"/>
      <c r="CG25" s="76"/>
      <c r="CH25" s="76"/>
      <c r="CI25" s="76"/>
      <c r="CJ25" s="76"/>
      <c r="CK25" s="76"/>
      <c r="CL25" s="76"/>
      <c r="CM25" s="76"/>
      <c r="CN25" s="76"/>
      <c r="CO25" s="76"/>
      <c r="CP25" s="88"/>
    </row>
    <row r="26" spans="2:94" ht="12.75" customHeight="1" x14ac:dyDescent="0.2">
      <c r="B26" s="87" t="s">
        <v>1575</v>
      </c>
      <c r="C26" s="87" t="s">
        <v>234</v>
      </c>
      <c r="D26" s="87" t="s">
        <v>1572</v>
      </c>
      <c r="E26" s="91"/>
      <c r="F26" s="87" t="s">
        <v>579</v>
      </c>
      <c r="G26" s="87" t="s">
        <v>352</v>
      </c>
      <c r="H26" s="87"/>
      <c r="I26" s="87"/>
      <c r="J26" s="87" t="s">
        <v>1584</v>
      </c>
      <c r="K26" s="91" t="s">
        <v>282</v>
      </c>
      <c r="L26" s="87" t="s">
        <v>816</v>
      </c>
      <c r="M26" s="87"/>
      <c r="N26" s="76" t="s">
        <v>496</v>
      </c>
      <c r="O26" s="76" t="s">
        <v>1550</v>
      </c>
      <c r="P26" s="76">
        <v>10</v>
      </c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6"/>
      <c r="BE26" s="76"/>
      <c r="BF26" s="76"/>
      <c r="BG26" s="76"/>
      <c r="BH26" s="76"/>
      <c r="BI26" s="76"/>
      <c r="BJ26" s="76"/>
      <c r="BK26" s="76"/>
      <c r="BL26" s="76"/>
      <c r="BM26" s="76"/>
      <c r="BN26" s="76"/>
      <c r="BO26" s="76"/>
      <c r="BP26" s="76"/>
      <c r="BQ26" s="76"/>
      <c r="BR26" s="76"/>
      <c r="BS26" s="76"/>
      <c r="BT26" s="76"/>
      <c r="BU26" s="76"/>
      <c r="BV26" s="76"/>
      <c r="BW26" s="76"/>
      <c r="BX26" s="76"/>
      <c r="BY26" s="76"/>
      <c r="BZ26" s="76"/>
      <c r="CA26" s="76"/>
      <c r="CB26" s="76"/>
      <c r="CC26" s="76"/>
      <c r="CD26" s="76"/>
      <c r="CE26" s="76"/>
      <c r="CF26" s="76"/>
      <c r="CG26" s="76"/>
      <c r="CH26" s="76"/>
      <c r="CI26" s="76"/>
      <c r="CJ26" s="76"/>
      <c r="CK26" s="76"/>
      <c r="CL26" s="76"/>
      <c r="CM26" s="76"/>
      <c r="CN26" s="76"/>
      <c r="CO26" s="76"/>
      <c r="CP26" s="88"/>
    </row>
    <row r="27" spans="2:94" ht="12.75" customHeight="1" x14ac:dyDescent="0.2">
      <c r="B27" s="87" t="s">
        <v>1576</v>
      </c>
      <c r="C27" s="87" t="s">
        <v>234</v>
      </c>
      <c r="D27" s="87" t="s">
        <v>1572</v>
      </c>
      <c r="E27" s="91"/>
      <c r="F27" s="87" t="s">
        <v>579</v>
      </c>
      <c r="G27" s="87" t="s">
        <v>352</v>
      </c>
      <c r="H27" s="87"/>
      <c r="I27" s="87"/>
      <c r="J27" s="87" t="s">
        <v>1585</v>
      </c>
      <c r="K27" s="91" t="s">
        <v>282</v>
      </c>
      <c r="L27" s="87" t="s">
        <v>816</v>
      </c>
      <c r="M27" s="87"/>
      <c r="N27" s="76" t="s">
        <v>496</v>
      </c>
      <c r="O27" s="76" t="s">
        <v>1580</v>
      </c>
      <c r="P27" s="76">
        <v>10</v>
      </c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  <c r="BG27" s="76"/>
      <c r="BH27" s="76"/>
      <c r="BI27" s="76"/>
      <c r="BJ27" s="76"/>
      <c r="BK27" s="76"/>
      <c r="BL27" s="76"/>
      <c r="BM27" s="76"/>
      <c r="BN27" s="76"/>
      <c r="BO27" s="76"/>
      <c r="BP27" s="76"/>
      <c r="BQ27" s="76"/>
      <c r="BR27" s="76"/>
      <c r="BS27" s="76"/>
      <c r="BT27" s="76"/>
      <c r="BU27" s="76"/>
      <c r="BV27" s="76"/>
      <c r="BW27" s="76"/>
      <c r="BX27" s="76"/>
      <c r="BY27" s="76"/>
      <c r="BZ27" s="76"/>
      <c r="CA27" s="76"/>
      <c r="CB27" s="76"/>
      <c r="CC27" s="76"/>
      <c r="CD27" s="76"/>
      <c r="CE27" s="76"/>
      <c r="CF27" s="76"/>
      <c r="CG27" s="76"/>
      <c r="CH27" s="76"/>
      <c r="CI27" s="76"/>
      <c r="CJ27" s="76"/>
      <c r="CK27" s="76"/>
      <c r="CL27" s="76"/>
      <c r="CM27" s="76"/>
      <c r="CN27" s="76"/>
      <c r="CO27" s="76"/>
      <c r="CP27" s="88"/>
    </row>
    <row r="28" spans="2:94" ht="12.75" customHeight="1" x14ac:dyDescent="0.2">
      <c r="B28" s="87" t="s">
        <v>1577</v>
      </c>
      <c r="C28" s="87" t="s">
        <v>234</v>
      </c>
      <c r="D28" s="87" t="s">
        <v>1572</v>
      </c>
      <c r="E28" s="91"/>
      <c r="F28" s="87" t="s">
        <v>579</v>
      </c>
      <c r="G28" s="87" t="s">
        <v>352</v>
      </c>
      <c r="H28" s="87"/>
      <c r="I28" s="87"/>
      <c r="J28" s="87" t="s">
        <v>1586</v>
      </c>
      <c r="K28" s="91" t="s">
        <v>282</v>
      </c>
      <c r="L28" s="87" t="s">
        <v>816</v>
      </c>
      <c r="M28" s="87"/>
      <c r="N28" s="76" t="s">
        <v>496</v>
      </c>
      <c r="O28" s="76" t="s">
        <v>1581</v>
      </c>
      <c r="P28" s="76">
        <v>10</v>
      </c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6"/>
      <c r="BE28" s="76"/>
      <c r="BF28" s="76"/>
      <c r="BG28" s="76"/>
      <c r="BH28" s="76"/>
      <c r="BI28" s="76"/>
      <c r="BJ28" s="76"/>
      <c r="BK28" s="76"/>
      <c r="BL28" s="76"/>
      <c r="BM28" s="76"/>
      <c r="BN28" s="76"/>
      <c r="BO28" s="76"/>
      <c r="BP28" s="76"/>
      <c r="BQ28" s="76"/>
      <c r="BR28" s="76"/>
      <c r="BS28" s="76"/>
      <c r="BT28" s="76"/>
      <c r="BU28" s="76"/>
      <c r="BV28" s="76"/>
      <c r="BW28" s="76"/>
      <c r="BX28" s="76"/>
      <c r="BY28" s="76"/>
      <c r="BZ28" s="76"/>
      <c r="CA28" s="76"/>
      <c r="CB28" s="76"/>
      <c r="CC28" s="76"/>
      <c r="CD28" s="76"/>
      <c r="CE28" s="76"/>
      <c r="CF28" s="76"/>
      <c r="CG28" s="76"/>
      <c r="CH28" s="76"/>
      <c r="CI28" s="76"/>
      <c r="CJ28" s="76"/>
      <c r="CK28" s="76"/>
      <c r="CL28" s="76"/>
      <c r="CM28" s="76"/>
      <c r="CN28" s="76"/>
      <c r="CO28" s="76"/>
      <c r="CP28" s="88"/>
    </row>
    <row r="29" spans="2:94" ht="12.75" customHeight="1" x14ac:dyDescent="0.2">
      <c r="B29" s="87" t="s">
        <v>1578</v>
      </c>
      <c r="C29" s="87" t="s">
        <v>234</v>
      </c>
      <c r="D29" s="87" t="s">
        <v>1579</v>
      </c>
      <c r="E29" s="91"/>
      <c r="F29" s="87" t="s">
        <v>579</v>
      </c>
      <c r="G29" s="87" t="s">
        <v>352</v>
      </c>
      <c r="H29" s="87"/>
      <c r="I29" s="87"/>
      <c r="J29" s="87" t="s">
        <v>1583</v>
      </c>
      <c r="K29" s="91" t="s">
        <v>282</v>
      </c>
      <c r="L29" s="87" t="s">
        <v>816</v>
      </c>
      <c r="M29" s="87"/>
      <c r="N29" s="76" t="s">
        <v>628</v>
      </c>
      <c r="O29" s="76" t="s">
        <v>1563</v>
      </c>
      <c r="P29" s="76">
        <f>12</f>
        <v>12</v>
      </c>
      <c r="Q29" s="76">
        <f>0</f>
        <v>0</v>
      </c>
      <c r="R29" s="76" t="b">
        <v>0</v>
      </c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6"/>
      <c r="BG29" s="76"/>
      <c r="BH29" s="76"/>
      <c r="BI29" s="76"/>
      <c r="BJ29" s="76"/>
      <c r="BK29" s="76"/>
      <c r="BL29" s="76"/>
      <c r="BM29" s="76"/>
      <c r="BN29" s="76"/>
      <c r="BO29" s="76"/>
      <c r="BP29" s="76"/>
      <c r="BQ29" s="76"/>
      <c r="BR29" s="76"/>
      <c r="BS29" s="76"/>
      <c r="BT29" s="76"/>
      <c r="BU29" s="76"/>
      <c r="BV29" s="76"/>
      <c r="BW29" s="76"/>
      <c r="BX29" s="76"/>
      <c r="BY29" s="76"/>
      <c r="BZ29" s="76"/>
      <c r="CA29" s="76"/>
      <c r="CB29" s="76"/>
      <c r="CC29" s="76"/>
      <c r="CD29" s="76"/>
      <c r="CE29" s="76"/>
      <c r="CF29" s="76"/>
      <c r="CG29" s="76"/>
      <c r="CH29" s="76"/>
      <c r="CI29" s="76"/>
      <c r="CJ29" s="76"/>
      <c r="CK29" s="76"/>
      <c r="CL29" s="76"/>
      <c r="CM29" s="76"/>
      <c r="CN29" s="76"/>
      <c r="CO29" s="76"/>
      <c r="CP29" s="88"/>
    </row>
    <row r="30" spans="2:94" ht="12.75" customHeight="1" x14ac:dyDescent="0.2">
      <c r="B30" s="87" t="s">
        <v>263</v>
      </c>
      <c r="C30" s="87" t="s">
        <v>223</v>
      </c>
      <c r="D30" s="87" t="s">
        <v>240</v>
      </c>
      <c r="E30" s="87" t="s">
        <v>225</v>
      </c>
      <c r="F30" s="87" t="s">
        <v>579</v>
      </c>
      <c r="G30" s="87" t="s">
        <v>352</v>
      </c>
      <c r="H30" s="87"/>
      <c r="I30" s="87"/>
      <c r="J30" s="87" t="s">
        <v>1583</v>
      </c>
      <c r="K30" s="91"/>
      <c r="L30" s="87" t="s">
        <v>816</v>
      </c>
      <c r="M30" s="87"/>
      <c r="N30" s="76" t="s">
        <v>1573</v>
      </c>
      <c r="O30" s="76"/>
      <c r="P30" s="76"/>
      <c r="Q30" s="76"/>
      <c r="R30" s="76"/>
      <c r="S30" s="76"/>
      <c r="T30" s="76"/>
      <c r="U30" s="76">
        <v>1</v>
      </c>
      <c r="V30" s="76"/>
      <c r="W30" s="76"/>
      <c r="X30" s="76"/>
      <c r="Y30" s="76" t="s">
        <v>610</v>
      </c>
      <c r="Z30" s="76"/>
      <c r="AA30" s="76"/>
      <c r="AB30" s="76"/>
      <c r="AC30" s="76"/>
      <c r="AD30" s="76"/>
      <c r="AE30" s="76"/>
      <c r="AF30" s="76"/>
      <c r="AG30" s="76"/>
      <c r="AH30" s="76"/>
      <c r="AI30" s="76" t="s">
        <v>224</v>
      </c>
      <c r="AJ30" s="76">
        <f>60</f>
        <v>60</v>
      </c>
      <c r="AK30" s="76"/>
      <c r="AL30" s="76"/>
      <c r="AM30" s="76">
        <v>1</v>
      </c>
      <c r="AN30" s="76">
        <v>0</v>
      </c>
      <c r="AO30" s="76">
        <v>0</v>
      </c>
      <c r="AP30" s="76"/>
      <c r="AQ30" s="76"/>
      <c r="AR30" s="76">
        <v>0</v>
      </c>
      <c r="AS30" s="76">
        <v>0</v>
      </c>
      <c r="AT30" s="76">
        <v>0</v>
      </c>
      <c r="AU30" s="76">
        <f>2048</f>
        <v>2048</v>
      </c>
      <c r="AV30" s="76">
        <v>0</v>
      </c>
      <c r="AW30" s="76">
        <v>0</v>
      </c>
      <c r="AX30" s="76"/>
      <c r="AY30" s="76"/>
      <c r="AZ30" s="76"/>
      <c r="BA30" s="76"/>
      <c r="BB30" s="76">
        <v>0</v>
      </c>
      <c r="BC30" s="76"/>
      <c r="BD30" s="76"/>
      <c r="BE30" s="76"/>
      <c r="BF30" s="76"/>
      <c r="BG30" s="76"/>
      <c r="BH30" s="76"/>
      <c r="BI30" s="76"/>
      <c r="BJ30" s="76"/>
      <c r="BK30" s="76"/>
      <c r="BL30" s="76"/>
      <c r="BM30" s="76"/>
      <c r="BN30" s="76"/>
      <c r="BO30" s="76"/>
      <c r="BP30" s="76"/>
      <c r="BQ30" s="76"/>
      <c r="BR30" s="76"/>
      <c r="BS30" s="76"/>
      <c r="BT30" s="76"/>
      <c r="BU30" s="76"/>
      <c r="BV30" s="76"/>
      <c r="BW30" s="76"/>
      <c r="BX30" s="76"/>
      <c r="BY30" s="76"/>
      <c r="BZ30" s="76"/>
      <c r="CA30" s="76"/>
      <c r="CB30" s="76"/>
      <c r="CC30" s="76"/>
      <c r="CD30" s="76"/>
      <c r="CE30" s="76"/>
      <c r="CF30" s="76"/>
      <c r="CG30" s="76"/>
      <c r="CH30" s="76"/>
      <c r="CI30" s="76"/>
      <c r="CJ30" s="76"/>
      <c r="CK30" s="76"/>
      <c r="CL30" s="76"/>
      <c r="CM30" s="76"/>
      <c r="CN30" s="76"/>
      <c r="CO30" s="76"/>
      <c r="CP30" s="88"/>
    </row>
    <row r="31" spans="2:94" ht="12.75" customHeight="1" x14ac:dyDescent="0.2">
      <c r="B31" s="87" t="s">
        <v>255</v>
      </c>
      <c r="C31" s="87" t="s">
        <v>234</v>
      </c>
      <c r="D31" s="87" t="s">
        <v>1544</v>
      </c>
      <c r="E31" s="91"/>
      <c r="F31" s="87" t="s">
        <v>607</v>
      </c>
      <c r="G31" s="87" t="s">
        <v>352</v>
      </c>
      <c r="H31" s="87"/>
      <c r="I31" s="87"/>
      <c r="J31" s="87" t="s">
        <v>834</v>
      </c>
      <c r="K31" s="91" t="s">
        <v>282</v>
      </c>
      <c r="L31" s="87" t="s">
        <v>815</v>
      </c>
      <c r="M31" s="87"/>
      <c r="N31" s="76" t="s">
        <v>1000</v>
      </c>
      <c r="O31" s="76" t="s">
        <v>1547</v>
      </c>
      <c r="P31" s="76">
        <f>5122560</f>
        <v>5122560</v>
      </c>
      <c r="Q31" s="76" t="b">
        <v>1</v>
      </c>
      <c r="R31" s="76" t="b">
        <v>1</v>
      </c>
      <c r="S31" s="76" t="b">
        <v>0</v>
      </c>
      <c r="T31" s="76">
        <v>20</v>
      </c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  <c r="BC31" s="76"/>
      <c r="BD31" s="76"/>
      <c r="BE31" s="76"/>
      <c r="BF31" s="76"/>
      <c r="BG31" s="76"/>
      <c r="BH31" s="76"/>
      <c r="BI31" s="76"/>
      <c r="BJ31" s="76"/>
      <c r="BK31" s="76"/>
      <c r="BL31" s="76"/>
      <c r="BM31" s="76"/>
      <c r="BN31" s="76"/>
      <c r="BO31" s="76"/>
      <c r="BP31" s="76"/>
      <c r="BQ31" s="76"/>
      <c r="BR31" s="76"/>
      <c r="BS31" s="76"/>
      <c r="BT31" s="76"/>
      <c r="BU31" s="76"/>
      <c r="BV31" s="76"/>
      <c r="BW31" s="76"/>
      <c r="BX31" s="76"/>
      <c r="BY31" s="76"/>
      <c r="BZ31" s="76"/>
      <c r="CA31" s="76"/>
      <c r="CB31" s="76"/>
      <c r="CC31" s="76"/>
      <c r="CD31" s="76"/>
      <c r="CE31" s="76"/>
      <c r="CF31" s="76"/>
      <c r="CG31" s="76"/>
      <c r="CH31" s="76"/>
      <c r="CI31" s="76"/>
      <c r="CJ31" s="76"/>
      <c r="CK31" s="76"/>
      <c r="CL31" s="76"/>
      <c r="CM31" s="76"/>
      <c r="CN31" s="76"/>
      <c r="CO31" s="76"/>
      <c r="CP31" s="88"/>
    </row>
    <row r="32" spans="2:94" x14ac:dyDescent="0.2">
      <c r="B32" s="87" t="s">
        <v>256</v>
      </c>
      <c r="C32" s="87" t="s">
        <v>234</v>
      </c>
      <c r="D32" s="87" t="s">
        <v>1545</v>
      </c>
      <c r="E32" s="91"/>
      <c r="F32" s="87" t="s">
        <v>607</v>
      </c>
      <c r="G32" s="87" t="s">
        <v>352</v>
      </c>
      <c r="H32" s="87"/>
      <c r="I32" s="87"/>
      <c r="J32" s="87" t="s">
        <v>834</v>
      </c>
      <c r="K32" s="91" t="s">
        <v>282</v>
      </c>
      <c r="L32" s="87" t="s">
        <v>815</v>
      </c>
      <c r="M32" s="87"/>
      <c r="N32" s="76" t="s">
        <v>1546</v>
      </c>
      <c r="O32" s="76" t="s">
        <v>1548</v>
      </c>
      <c r="P32" s="76" t="s">
        <v>1549</v>
      </c>
      <c r="Q32" s="76">
        <f>2561280</f>
        <v>2561280</v>
      </c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6"/>
      <c r="AY32" s="76"/>
      <c r="AZ32" s="76"/>
      <c r="BA32" s="76"/>
      <c r="BB32" s="76"/>
      <c r="BC32" s="76"/>
      <c r="BD32" s="76"/>
      <c r="BE32" s="76"/>
      <c r="BF32" s="76"/>
      <c r="BG32" s="76"/>
      <c r="BH32" s="76"/>
      <c r="BI32" s="76"/>
      <c r="BJ32" s="76"/>
      <c r="BK32" s="76"/>
      <c r="BL32" s="76"/>
      <c r="BM32" s="76"/>
      <c r="BN32" s="76"/>
      <c r="BO32" s="76"/>
      <c r="BP32" s="76"/>
      <c r="BQ32" s="76"/>
      <c r="BR32" s="76"/>
      <c r="BS32" s="76"/>
      <c r="BT32" s="76"/>
      <c r="BU32" s="76"/>
      <c r="BV32" s="76"/>
      <c r="BW32" s="76"/>
      <c r="BX32" s="76"/>
      <c r="BY32" s="76"/>
      <c r="BZ32" s="76"/>
      <c r="CA32" s="76"/>
      <c r="CB32" s="76"/>
      <c r="CC32" s="76"/>
      <c r="CD32" s="76"/>
      <c r="CE32" s="76"/>
      <c r="CF32" s="76"/>
      <c r="CG32" s="76"/>
      <c r="CH32" s="76"/>
      <c r="CI32" s="76"/>
      <c r="CJ32" s="76"/>
      <c r="CK32" s="76"/>
      <c r="CL32" s="76"/>
      <c r="CM32" s="76"/>
      <c r="CN32" s="76"/>
      <c r="CO32" s="76"/>
      <c r="CP32" s="88"/>
    </row>
    <row r="33" spans="2:94" ht="12.75" customHeight="1" x14ac:dyDescent="0.2">
      <c r="B33" s="87" t="s">
        <v>740</v>
      </c>
      <c r="C33" s="87" t="s">
        <v>234</v>
      </c>
      <c r="D33" s="87" t="s">
        <v>741</v>
      </c>
      <c r="E33" s="91"/>
      <c r="F33" s="87" t="s">
        <v>226</v>
      </c>
      <c r="G33" s="87" t="s">
        <v>352</v>
      </c>
      <c r="H33" s="87"/>
      <c r="I33" s="87"/>
      <c r="J33" s="87" t="s">
        <v>831</v>
      </c>
      <c r="K33" s="91" t="s">
        <v>282</v>
      </c>
      <c r="L33" s="87" t="s">
        <v>815</v>
      </c>
      <c r="M33" s="87"/>
      <c r="N33" s="76" t="s">
        <v>1607</v>
      </c>
      <c r="O33" s="76" t="s">
        <v>1554</v>
      </c>
      <c r="P33" s="76">
        <f>0.4</f>
        <v>0.4</v>
      </c>
      <c r="Q33" s="76">
        <f>0.6</f>
        <v>0.6</v>
      </c>
      <c r="R33" s="76">
        <f>0.8</f>
        <v>0.8</v>
      </c>
      <c r="S33" s="76">
        <f>1.2</f>
        <v>1.2</v>
      </c>
      <c r="T33" s="76" t="b">
        <v>1</v>
      </c>
      <c r="U33" s="76" t="b">
        <v>0</v>
      </c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6"/>
      <c r="BG33" s="76"/>
      <c r="BH33" s="76"/>
      <c r="BI33" s="76"/>
      <c r="BJ33" s="76"/>
      <c r="BK33" s="76"/>
      <c r="BL33" s="76"/>
      <c r="BM33" s="76"/>
      <c r="BN33" s="76"/>
      <c r="BO33" s="76"/>
      <c r="BP33" s="76"/>
      <c r="BQ33" s="76"/>
      <c r="BR33" s="76"/>
      <c r="BS33" s="76"/>
      <c r="BT33" s="76"/>
      <c r="BU33" s="76"/>
      <c r="BV33" s="76"/>
      <c r="BW33" s="76"/>
      <c r="BX33" s="76"/>
      <c r="BY33" s="76"/>
      <c r="BZ33" s="76"/>
      <c r="CA33" s="76"/>
      <c r="CB33" s="76"/>
      <c r="CC33" s="76"/>
      <c r="CD33" s="76"/>
      <c r="CE33" s="76"/>
      <c r="CF33" s="76"/>
      <c r="CG33" s="76"/>
      <c r="CH33" s="76"/>
      <c r="CI33" s="76"/>
      <c r="CJ33" s="76"/>
      <c r="CK33" s="76"/>
      <c r="CL33" s="76"/>
      <c r="CM33" s="76"/>
      <c r="CN33" s="76"/>
      <c r="CO33" s="76"/>
      <c r="CP33" s="88"/>
    </row>
    <row r="34" spans="2:94" ht="12.75" customHeight="1" x14ac:dyDescent="0.2">
      <c r="B34" s="87" t="s">
        <v>245</v>
      </c>
      <c r="C34" s="87" t="s">
        <v>234</v>
      </c>
      <c r="D34" s="87" t="s">
        <v>246</v>
      </c>
      <c r="E34" s="91"/>
      <c r="F34" s="87" t="s">
        <v>226</v>
      </c>
      <c r="G34" s="87" t="s">
        <v>352</v>
      </c>
      <c r="H34" s="87"/>
      <c r="I34" s="87"/>
      <c r="J34" s="87" t="s">
        <v>831</v>
      </c>
      <c r="K34" s="91" t="s">
        <v>282</v>
      </c>
      <c r="L34" s="87" t="s">
        <v>815</v>
      </c>
      <c r="M34" s="87"/>
      <c r="N34" s="76" t="s">
        <v>791</v>
      </c>
      <c r="O34" s="76" t="s">
        <v>1564</v>
      </c>
      <c r="P34" s="76">
        <f>-4</f>
        <v>-4</v>
      </c>
      <c r="Q34" s="76">
        <v>-4</v>
      </c>
      <c r="R34" s="76">
        <v>-3.97</v>
      </c>
      <c r="S34" s="76">
        <v>-3.6</v>
      </c>
      <c r="T34" s="76">
        <v>-3.38</v>
      </c>
      <c r="U34" s="76">
        <v>-3.1</v>
      </c>
      <c r="V34" s="76">
        <v>-2.7</v>
      </c>
      <c r="W34" s="76">
        <v>-2.5499999999999998</v>
      </c>
      <c r="X34" s="76">
        <v>-1.95</v>
      </c>
      <c r="Y34" s="76" t="b">
        <v>1</v>
      </c>
      <c r="Z34" s="76" t="b">
        <v>0</v>
      </c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  <c r="BG34" s="76"/>
      <c r="BH34" s="76"/>
      <c r="BI34" s="76"/>
      <c r="BJ34" s="76"/>
      <c r="BK34" s="76"/>
      <c r="BL34" s="76"/>
      <c r="BM34" s="76"/>
      <c r="BN34" s="76"/>
      <c r="BO34" s="76"/>
      <c r="BP34" s="76"/>
      <c r="BQ34" s="76"/>
      <c r="BR34" s="76"/>
      <c r="BS34" s="76"/>
      <c r="BT34" s="76"/>
      <c r="BU34" s="76"/>
      <c r="BV34" s="76"/>
      <c r="BW34" s="76"/>
      <c r="BX34" s="76"/>
      <c r="BY34" s="76"/>
      <c r="BZ34" s="76"/>
      <c r="CA34" s="76"/>
      <c r="CB34" s="76"/>
      <c r="CC34" s="76"/>
      <c r="CD34" s="76"/>
      <c r="CE34" s="76"/>
      <c r="CF34" s="76"/>
      <c r="CG34" s="76"/>
      <c r="CH34" s="76"/>
      <c r="CI34" s="76"/>
      <c r="CJ34" s="76"/>
      <c r="CK34" s="76"/>
      <c r="CL34" s="76"/>
      <c r="CM34" s="76"/>
      <c r="CN34" s="76"/>
      <c r="CO34" s="76"/>
      <c r="CP34" s="88"/>
    </row>
    <row r="35" spans="2:94" x14ac:dyDescent="0.2">
      <c r="B35" s="87" t="s">
        <v>247</v>
      </c>
      <c r="C35" s="87" t="s">
        <v>234</v>
      </c>
      <c r="D35" s="87" t="s">
        <v>248</v>
      </c>
      <c r="E35" s="91"/>
      <c r="F35" s="87" t="s">
        <v>226</v>
      </c>
      <c r="G35" s="87" t="s">
        <v>352</v>
      </c>
      <c r="H35" s="87"/>
      <c r="I35" s="87"/>
      <c r="J35" s="87" t="s">
        <v>831</v>
      </c>
      <c r="K35" s="91" t="s">
        <v>282</v>
      </c>
      <c r="L35" s="87" t="s">
        <v>815</v>
      </c>
      <c r="M35" s="87"/>
      <c r="N35" s="76" t="s">
        <v>790</v>
      </c>
      <c r="O35" s="76" t="s">
        <v>1555</v>
      </c>
      <c r="P35" s="76">
        <f>-4</f>
        <v>-4</v>
      </c>
      <c r="Q35" s="76">
        <f>_avee*1.05</f>
        <v>-4.2</v>
      </c>
      <c r="R35" s="76">
        <f>_avee*0.95</f>
        <v>-3.8</v>
      </c>
      <c r="S35" s="76" t="b">
        <v>1</v>
      </c>
      <c r="T35" s="76" t="b">
        <v>0</v>
      </c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  <c r="BK35" s="76"/>
      <c r="BL35" s="76"/>
      <c r="BM35" s="76"/>
      <c r="BN35" s="76"/>
      <c r="BO35" s="76"/>
      <c r="BP35" s="76"/>
      <c r="BQ35" s="76"/>
      <c r="BR35" s="76"/>
      <c r="BS35" s="76"/>
      <c r="BT35" s="76"/>
      <c r="BU35" s="76"/>
      <c r="BV35" s="76"/>
      <c r="BW35" s="76"/>
      <c r="BX35" s="76"/>
      <c r="BY35" s="76"/>
      <c r="BZ35" s="76"/>
      <c r="CA35" s="76"/>
      <c r="CB35" s="76"/>
      <c r="CC35" s="76"/>
      <c r="CD35" s="76"/>
      <c r="CE35" s="76"/>
      <c r="CF35" s="76"/>
      <c r="CG35" s="76"/>
      <c r="CH35" s="76"/>
      <c r="CI35" s="76"/>
      <c r="CJ35" s="76"/>
      <c r="CK35" s="76"/>
      <c r="CL35" s="76"/>
      <c r="CM35" s="76"/>
      <c r="CN35" s="76"/>
      <c r="CO35" s="76"/>
      <c r="CP35" s="88"/>
    </row>
    <row r="36" spans="2:94" x14ac:dyDescent="0.2">
      <c r="B36" s="87" t="s">
        <v>747</v>
      </c>
      <c r="C36" s="87" t="s">
        <v>234</v>
      </c>
      <c r="D36" s="87" t="s">
        <v>748</v>
      </c>
      <c r="E36" s="91"/>
      <c r="F36" s="87" t="s">
        <v>226</v>
      </c>
      <c r="G36" s="87" t="s">
        <v>352</v>
      </c>
      <c r="H36" s="87"/>
      <c r="I36" s="87"/>
      <c r="J36" s="87" t="s">
        <v>831</v>
      </c>
      <c r="K36" s="91" t="s">
        <v>282</v>
      </c>
      <c r="L36" s="87" t="s">
        <v>815</v>
      </c>
      <c r="M36" s="87"/>
      <c r="N36" s="76" t="s">
        <v>844</v>
      </c>
      <c r="O36" s="76" t="s">
        <v>1565</v>
      </c>
      <c r="P36" s="76">
        <f>0.75</f>
        <v>0.75</v>
      </c>
      <c r="Q36" s="76">
        <f>0.95</f>
        <v>0.95</v>
      </c>
      <c r="R36" s="76">
        <f>0.6</f>
        <v>0.6</v>
      </c>
      <c r="S36" s="76">
        <f>1</f>
        <v>1</v>
      </c>
      <c r="T36" s="76">
        <f>600</f>
        <v>600</v>
      </c>
      <c r="U36" s="76">
        <f>1023</f>
        <v>1023</v>
      </c>
      <c r="V36" s="76" t="b">
        <v>1</v>
      </c>
      <c r="W36" s="76" t="b">
        <v>0</v>
      </c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  <c r="BG36" s="76"/>
      <c r="BH36" s="76"/>
      <c r="BI36" s="76"/>
      <c r="BJ36" s="76"/>
      <c r="BK36" s="76"/>
      <c r="BL36" s="76"/>
      <c r="BM36" s="76"/>
      <c r="BN36" s="76"/>
      <c r="BO36" s="76"/>
      <c r="BP36" s="76"/>
      <c r="BQ36" s="76"/>
      <c r="BR36" s="76"/>
      <c r="BS36" s="76"/>
      <c r="BT36" s="76"/>
      <c r="BU36" s="76"/>
      <c r="BV36" s="76"/>
      <c r="BW36" s="76"/>
      <c r="BX36" s="76"/>
      <c r="BY36" s="76"/>
      <c r="BZ36" s="76"/>
      <c r="CA36" s="76"/>
      <c r="CB36" s="76"/>
      <c r="CC36" s="76"/>
      <c r="CD36" s="76"/>
      <c r="CE36" s="76"/>
      <c r="CF36" s="76"/>
      <c r="CG36" s="76"/>
      <c r="CH36" s="76"/>
      <c r="CI36" s="76"/>
      <c r="CJ36" s="76"/>
      <c r="CK36" s="76"/>
      <c r="CL36" s="76"/>
      <c r="CM36" s="76"/>
      <c r="CN36" s="76"/>
      <c r="CO36" s="76"/>
      <c r="CP36" s="88"/>
    </row>
    <row r="37" spans="2:94" x14ac:dyDescent="0.2">
      <c r="B37" s="87" t="s">
        <v>257</v>
      </c>
      <c r="C37" s="87" t="s">
        <v>234</v>
      </c>
      <c r="D37" s="87" t="s">
        <v>258</v>
      </c>
      <c r="E37" s="91"/>
      <c r="F37" s="87" t="s">
        <v>226</v>
      </c>
      <c r="G37" s="87" t="s">
        <v>352</v>
      </c>
      <c r="H37" s="87"/>
      <c r="I37" s="87"/>
      <c r="J37" s="87" t="s">
        <v>831</v>
      </c>
      <c r="K37" s="91" t="s">
        <v>282</v>
      </c>
      <c r="L37" s="87" t="s">
        <v>815</v>
      </c>
      <c r="M37" s="87"/>
      <c r="N37" s="76" t="s">
        <v>792</v>
      </c>
      <c r="O37" s="76" t="s">
        <v>1556</v>
      </c>
      <c r="P37" s="76" t="s">
        <v>105</v>
      </c>
      <c r="Q37" s="76"/>
      <c r="R37" s="76" t="s">
        <v>244</v>
      </c>
      <c r="S37" s="76" t="s">
        <v>911</v>
      </c>
      <c r="T37" s="76">
        <f>10</f>
        <v>10</v>
      </c>
      <c r="U37" s="76">
        <f>1.25</f>
        <v>1.25</v>
      </c>
      <c r="V37" s="76">
        <f>-0.05</f>
        <v>-0.05</v>
      </c>
      <c r="W37" s="76">
        <f>0.0003125</f>
        <v>3.1250000000000001E-4</v>
      </c>
      <c r="X37" s="76">
        <f>0.5</f>
        <v>0.5</v>
      </c>
      <c r="Y37" s="76">
        <f>1</f>
        <v>1</v>
      </c>
      <c r="Z37" s="76">
        <f>0</f>
        <v>0</v>
      </c>
      <c r="AA37" s="76" t="b">
        <v>1</v>
      </c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  <c r="BG37" s="76"/>
      <c r="BH37" s="76"/>
      <c r="BI37" s="76"/>
      <c r="BJ37" s="76"/>
      <c r="BK37" s="76"/>
      <c r="BL37" s="76"/>
      <c r="BM37" s="76"/>
      <c r="BN37" s="76"/>
      <c r="BO37" s="76"/>
      <c r="BP37" s="76"/>
      <c r="BQ37" s="76"/>
      <c r="BR37" s="76"/>
      <c r="BS37" s="76"/>
      <c r="BT37" s="76"/>
      <c r="BU37" s="76"/>
      <c r="BV37" s="76"/>
      <c r="BW37" s="76"/>
      <c r="BX37" s="76"/>
      <c r="BY37" s="76"/>
      <c r="BZ37" s="76"/>
      <c r="CA37" s="76"/>
      <c r="CB37" s="76"/>
      <c r="CC37" s="76"/>
      <c r="CD37" s="76"/>
      <c r="CE37" s="76"/>
      <c r="CF37" s="76"/>
      <c r="CG37" s="76"/>
      <c r="CH37" s="76"/>
      <c r="CI37" s="76"/>
      <c r="CJ37" s="76"/>
      <c r="CK37" s="76"/>
      <c r="CL37" s="76"/>
      <c r="CM37" s="76"/>
      <c r="CN37" s="76"/>
      <c r="CO37" s="76"/>
      <c r="CP37" s="88"/>
    </row>
    <row r="38" spans="2:94" x14ac:dyDescent="0.2">
      <c r="B38" s="87" t="s">
        <v>259</v>
      </c>
      <c r="C38" s="87" t="s">
        <v>234</v>
      </c>
      <c r="D38" s="87" t="s">
        <v>258</v>
      </c>
      <c r="E38" s="91"/>
      <c r="F38" s="87" t="s">
        <v>739</v>
      </c>
      <c r="G38" s="87" t="s">
        <v>352</v>
      </c>
      <c r="H38" s="87"/>
      <c r="I38" s="87"/>
      <c r="J38" s="87" t="s">
        <v>831</v>
      </c>
      <c r="K38" s="91" t="s">
        <v>282</v>
      </c>
      <c r="L38" s="87" t="s">
        <v>815</v>
      </c>
      <c r="M38" s="87"/>
      <c r="N38" s="76" t="s">
        <v>792</v>
      </c>
      <c r="O38" s="76" t="s">
        <v>1557</v>
      </c>
      <c r="P38" s="76" t="s">
        <v>100</v>
      </c>
      <c r="Q38" s="76" t="s">
        <v>176</v>
      </c>
      <c r="R38" s="76" t="s">
        <v>244</v>
      </c>
      <c r="S38" s="76" t="s">
        <v>911</v>
      </c>
      <c r="T38" s="76">
        <f>10</f>
        <v>10</v>
      </c>
      <c r="U38" s="76">
        <f>4.905</f>
        <v>4.9050000000000002</v>
      </c>
      <c r="V38" s="76">
        <f>-3.5</f>
        <v>-3.5</v>
      </c>
      <c r="W38" s="76">
        <f>0.0009375</f>
        <v>9.3749999999999997E-4</v>
      </c>
      <c r="X38" s="76">
        <f>1</f>
        <v>1</v>
      </c>
      <c r="Y38" s="76">
        <f>4</f>
        <v>4</v>
      </c>
      <c r="Z38" s="76">
        <f>-3</f>
        <v>-3</v>
      </c>
      <c r="AA38" s="76" t="b">
        <v>1</v>
      </c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  <c r="BG38" s="76"/>
      <c r="BH38" s="76"/>
      <c r="BI38" s="76"/>
      <c r="BJ38" s="76"/>
      <c r="BK38" s="76"/>
      <c r="BL38" s="76"/>
      <c r="BM38" s="76"/>
      <c r="BN38" s="76"/>
      <c r="BO38" s="76"/>
      <c r="BP38" s="76"/>
      <c r="BQ38" s="76"/>
      <c r="BR38" s="76"/>
      <c r="BS38" s="76"/>
      <c r="BT38" s="76"/>
      <c r="BU38" s="76"/>
      <c r="BV38" s="76"/>
      <c r="BW38" s="76"/>
      <c r="BX38" s="76"/>
      <c r="BY38" s="76"/>
      <c r="BZ38" s="76"/>
      <c r="CA38" s="76"/>
      <c r="CB38" s="76"/>
      <c r="CC38" s="76"/>
      <c r="CD38" s="76"/>
      <c r="CE38" s="76"/>
      <c r="CF38" s="76"/>
      <c r="CG38" s="76"/>
      <c r="CH38" s="76"/>
      <c r="CI38" s="76"/>
      <c r="CJ38" s="76"/>
      <c r="CK38" s="76"/>
      <c r="CL38" s="76"/>
      <c r="CM38" s="76"/>
      <c r="CN38" s="76"/>
      <c r="CO38" s="76"/>
      <c r="CP38" s="88"/>
    </row>
    <row r="39" spans="2:94" x14ac:dyDescent="0.2">
      <c r="B39" s="87" t="s">
        <v>264</v>
      </c>
      <c r="C39" s="87" t="s">
        <v>234</v>
      </c>
      <c r="D39" s="87" t="s">
        <v>265</v>
      </c>
      <c r="E39" s="91"/>
      <c r="F39" s="87" t="s">
        <v>226</v>
      </c>
      <c r="G39" s="87" t="s">
        <v>352</v>
      </c>
      <c r="H39" s="87"/>
      <c r="I39" s="87"/>
      <c r="J39" s="87" t="s">
        <v>831</v>
      </c>
      <c r="K39" s="91" t="s">
        <v>282</v>
      </c>
      <c r="L39" s="87" t="s">
        <v>815</v>
      </c>
      <c r="M39" s="87"/>
      <c r="N39" s="76" t="s">
        <v>1476</v>
      </c>
      <c r="O39" s="76" t="s">
        <v>1558</v>
      </c>
      <c r="P39" s="76" t="s">
        <v>1559</v>
      </c>
      <c r="Q39" s="76" t="s">
        <v>113</v>
      </c>
      <c r="R39" s="76">
        <f>5</f>
        <v>5</v>
      </c>
      <c r="S39" s="76" t="b">
        <v>1</v>
      </c>
      <c r="T39" s="76" t="b">
        <v>0</v>
      </c>
      <c r="U39" s="76" t="b">
        <v>0</v>
      </c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  <c r="BG39" s="76"/>
      <c r="BH39" s="76"/>
      <c r="BI39" s="76"/>
      <c r="BJ39" s="76"/>
      <c r="BK39" s="76"/>
      <c r="BL39" s="76"/>
      <c r="BM39" s="76"/>
      <c r="BN39" s="76"/>
      <c r="BO39" s="76"/>
      <c r="BP39" s="76"/>
      <c r="BQ39" s="76"/>
      <c r="BR39" s="76"/>
      <c r="BS39" s="76"/>
      <c r="BT39" s="76"/>
      <c r="BU39" s="76"/>
      <c r="BV39" s="76"/>
      <c r="BW39" s="76"/>
      <c r="BX39" s="76"/>
      <c r="BY39" s="76"/>
      <c r="BZ39" s="76"/>
      <c r="CA39" s="76"/>
      <c r="CB39" s="76"/>
      <c r="CC39" s="76"/>
      <c r="CD39" s="76"/>
      <c r="CE39" s="76"/>
      <c r="CF39" s="76"/>
      <c r="CG39" s="76"/>
      <c r="CH39" s="76"/>
      <c r="CI39" s="76"/>
      <c r="CJ39" s="76"/>
      <c r="CK39" s="76"/>
      <c r="CL39" s="76"/>
      <c r="CM39" s="76"/>
      <c r="CN39" s="76"/>
      <c r="CO39" s="76"/>
      <c r="CP39" s="88"/>
    </row>
    <row r="40" spans="2:94" x14ac:dyDescent="0.2">
      <c r="B40" s="87" t="s">
        <v>267</v>
      </c>
      <c r="C40" s="87" t="s">
        <v>234</v>
      </c>
      <c r="D40" s="87" t="s">
        <v>268</v>
      </c>
      <c r="E40" s="91"/>
      <c r="F40" s="87" t="s">
        <v>226</v>
      </c>
      <c r="G40" s="87" t="s">
        <v>352</v>
      </c>
      <c r="H40" s="87"/>
      <c r="I40" s="87"/>
      <c r="J40" s="87" t="s">
        <v>831</v>
      </c>
      <c r="K40" s="91" t="s">
        <v>282</v>
      </c>
      <c r="L40" s="87" t="s">
        <v>815</v>
      </c>
      <c r="M40" s="87"/>
      <c r="N40" s="76" t="s">
        <v>269</v>
      </c>
      <c r="O40" s="76" t="s">
        <v>1894</v>
      </c>
      <c r="P40" s="76" t="s">
        <v>1895</v>
      </c>
      <c r="Q40" s="76">
        <f>3</f>
        <v>3</v>
      </c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  <c r="AW40" s="76"/>
      <c r="AX40" s="76"/>
      <c r="AY40" s="76"/>
      <c r="AZ40" s="76"/>
      <c r="BA40" s="76"/>
      <c r="BB40" s="76"/>
      <c r="BC40" s="76"/>
      <c r="BD40" s="76"/>
      <c r="BE40" s="76"/>
      <c r="BF40" s="76"/>
      <c r="BG40" s="76"/>
      <c r="BH40" s="76"/>
      <c r="BI40" s="76"/>
      <c r="BJ40" s="76"/>
      <c r="BK40" s="76"/>
      <c r="BL40" s="76"/>
      <c r="BM40" s="76"/>
      <c r="BN40" s="76"/>
      <c r="BO40" s="76"/>
      <c r="BP40" s="76"/>
      <c r="BQ40" s="76"/>
      <c r="BR40" s="76"/>
      <c r="BS40" s="76"/>
      <c r="BT40" s="76"/>
      <c r="BU40" s="76"/>
      <c r="BV40" s="76"/>
      <c r="BW40" s="76"/>
      <c r="BX40" s="76"/>
      <c r="BY40" s="76"/>
      <c r="BZ40" s="76"/>
      <c r="CA40" s="76"/>
      <c r="CB40" s="76"/>
      <c r="CC40" s="76"/>
      <c r="CD40" s="76"/>
      <c r="CE40" s="76"/>
      <c r="CF40" s="76"/>
      <c r="CG40" s="76"/>
      <c r="CH40" s="76"/>
      <c r="CI40" s="76"/>
      <c r="CJ40" s="76"/>
      <c r="CK40" s="76"/>
      <c r="CL40" s="76"/>
      <c r="CM40" s="76"/>
      <c r="CN40" s="76"/>
      <c r="CO40" s="76"/>
      <c r="CP40" s="88"/>
    </row>
    <row r="41" spans="2:94" x14ac:dyDescent="0.2">
      <c r="B41" s="87" t="s">
        <v>270</v>
      </c>
      <c r="C41" s="87" t="s">
        <v>234</v>
      </c>
      <c r="D41" s="87" t="s">
        <v>271</v>
      </c>
      <c r="E41" s="91"/>
      <c r="F41" s="87" t="s">
        <v>226</v>
      </c>
      <c r="G41" s="87" t="s">
        <v>352</v>
      </c>
      <c r="H41" s="87"/>
      <c r="I41" s="87"/>
      <c r="J41" s="87" t="s">
        <v>831</v>
      </c>
      <c r="K41" s="91" t="s">
        <v>282</v>
      </c>
      <c r="L41" s="87" t="s">
        <v>815</v>
      </c>
      <c r="M41" s="87"/>
      <c r="N41" s="76" t="s">
        <v>269</v>
      </c>
      <c r="O41" s="76" t="s">
        <v>1894</v>
      </c>
      <c r="P41" s="76" t="s">
        <v>1895</v>
      </c>
      <c r="Q41" s="76">
        <f>3</f>
        <v>3</v>
      </c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  <c r="AW41" s="76"/>
      <c r="AX41" s="76"/>
      <c r="AY41" s="76"/>
      <c r="AZ41" s="76"/>
      <c r="BA41" s="76"/>
      <c r="BB41" s="76"/>
      <c r="BC41" s="76"/>
      <c r="BD41" s="76"/>
      <c r="BE41" s="76"/>
      <c r="BF41" s="76"/>
      <c r="BG41" s="76"/>
      <c r="BH41" s="76"/>
      <c r="BI41" s="76"/>
      <c r="BJ41" s="76"/>
      <c r="BK41" s="76"/>
      <c r="BL41" s="76"/>
      <c r="BM41" s="76"/>
      <c r="BN41" s="76"/>
      <c r="BO41" s="76"/>
      <c r="BP41" s="76"/>
      <c r="BQ41" s="76"/>
      <c r="BR41" s="76"/>
      <c r="BS41" s="76"/>
      <c r="BT41" s="76"/>
      <c r="BU41" s="76"/>
      <c r="BV41" s="76"/>
      <c r="BW41" s="76"/>
      <c r="BX41" s="76"/>
      <c r="BY41" s="76"/>
      <c r="BZ41" s="76"/>
      <c r="CA41" s="76"/>
      <c r="CB41" s="76"/>
      <c r="CC41" s="76"/>
      <c r="CD41" s="76"/>
      <c r="CE41" s="76"/>
      <c r="CF41" s="76"/>
      <c r="CG41" s="76"/>
      <c r="CH41" s="76"/>
      <c r="CI41" s="76"/>
      <c r="CJ41" s="76"/>
      <c r="CK41" s="76"/>
      <c r="CL41" s="76"/>
      <c r="CM41" s="76"/>
      <c r="CN41" s="76"/>
      <c r="CO41" s="76"/>
      <c r="CP41" s="88"/>
    </row>
    <row r="42" spans="2:94" x14ac:dyDescent="0.2">
      <c r="B42" s="87" t="s">
        <v>361</v>
      </c>
      <c r="C42" s="87" t="s">
        <v>234</v>
      </c>
      <c r="D42" s="87" t="s">
        <v>363</v>
      </c>
      <c r="E42" s="91"/>
      <c r="F42" s="87" t="s">
        <v>226</v>
      </c>
      <c r="G42" s="87" t="s">
        <v>352</v>
      </c>
      <c r="H42" s="87"/>
      <c r="I42" s="87"/>
      <c r="J42" s="87" t="s">
        <v>832</v>
      </c>
      <c r="K42" s="91"/>
      <c r="L42" s="87" t="s">
        <v>815</v>
      </c>
      <c r="M42" s="87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  <c r="AW42" s="76"/>
      <c r="AX42" s="76"/>
      <c r="AY42" s="76"/>
      <c r="AZ42" s="76"/>
      <c r="BA42" s="76"/>
      <c r="BB42" s="76"/>
      <c r="BC42" s="76"/>
      <c r="BD42" s="76"/>
      <c r="BE42" s="76"/>
      <c r="BF42" s="76"/>
      <c r="BG42" s="76"/>
      <c r="BH42" s="76"/>
      <c r="BI42" s="76"/>
      <c r="BJ42" s="76"/>
      <c r="BK42" s="76"/>
      <c r="BL42" s="76"/>
      <c r="BM42" s="76"/>
      <c r="BN42" s="76"/>
      <c r="BO42" s="76"/>
      <c r="BP42" s="76"/>
      <c r="BQ42" s="76"/>
      <c r="BR42" s="76"/>
      <c r="BS42" s="76"/>
      <c r="BT42" s="76"/>
      <c r="BU42" s="76"/>
      <c r="BV42" s="76"/>
      <c r="BW42" s="76"/>
      <c r="BX42" s="76"/>
      <c r="BY42" s="76"/>
      <c r="BZ42" s="76"/>
      <c r="CA42" s="76"/>
      <c r="CB42" s="76"/>
      <c r="CC42" s="76"/>
      <c r="CD42" s="76"/>
      <c r="CE42" s="76"/>
      <c r="CF42" s="76"/>
      <c r="CG42" s="76"/>
      <c r="CH42" s="76"/>
      <c r="CI42" s="76"/>
      <c r="CJ42" s="76"/>
      <c r="CK42" s="76"/>
      <c r="CL42" s="76"/>
      <c r="CM42" s="76"/>
      <c r="CN42" s="76"/>
      <c r="CO42" s="76"/>
      <c r="CP42" s="88" t="s">
        <v>1519</v>
      </c>
    </row>
    <row r="43" spans="2:94" x14ac:dyDescent="0.2">
      <c r="B43" s="87" t="s">
        <v>378</v>
      </c>
      <c r="C43" s="87" t="s">
        <v>234</v>
      </c>
      <c r="D43" s="87" t="s">
        <v>379</v>
      </c>
      <c r="E43" s="91"/>
      <c r="F43" s="87" t="s">
        <v>226</v>
      </c>
      <c r="G43" s="87" t="s">
        <v>352</v>
      </c>
      <c r="H43" s="87"/>
      <c r="I43" s="87"/>
      <c r="J43" s="87" t="s">
        <v>832</v>
      </c>
      <c r="K43" s="91"/>
      <c r="L43" s="87" t="s">
        <v>815</v>
      </c>
      <c r="M43" s="87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6"/>
      <c r="BC43" s="76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6"/>
      <c r="CC43" s="76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88"/>
    </row>
    <row r="44" spans="2:94" ht="12.75" customHeight="1" x14ac:dyDescent="0.2"/>
    <row r="45" spans="2:94" ht="12.75" customHeight="1" x14ac:dyDescent="0.2"/>
    <row r="47" spans="2:94" ht="12.75" customHeight="1" x14ac:dyDescent="0.2"/>
  </sheetData>
  <autoFilter ref="D4:D5"/>
  <mergeCells count="7">
    <mergeCell ref="J3:L3"/>
    <mergeCell ref="N3:CO3"/>
    <mergeCell ref="B1:D1"/>
    <mergeCell ref="E1:F1"/>
    <mergeCell ref="C3:E3"/>
    <mergeCell ref="F3:G3"/>
    <mergeCell ref="H3:I3"/>
  </mergeCells>
  <dataValidations count="4">
    <dataValidation type="list" allowBlank="1" showInputMessage="1" showErrorMessage="1" sqref="C9 C31:C43 C10:C12 C13:C16 C18 C30 C5:C6 C17 C19:C29 C7">
      <formula1>"VBT,IG-XL Template,Test Procedure,Template,Other"</formula1>
    </dataValidation>
    <dataValidation type="list" allowBlank="1" showInputMessage="1" showErrorMessage="1" sqref="E10:E12 E30">
      <formula1>"Excel Macro,VB DLL"</formula1>
    </dataValidation>
    <dataValidation type="list" allowBlank="1" showInputMessage="1" showErrorMessage="1" sqref="G31:G43 G8 G10:G12 G9 G13:G16 G18 G30 G5:G6 G17 G19:G29 G7">
      <formula1>"Typical,Minimum,Maximum"</formula1>
    </dataValidation>
    <dataValidation type="list" allowBlank="1" showInputMessage="1" showErrorMessage="1" sqref="L31:L43 L8 L10:L12 L9 L13:L16 L18 L30 L5:L6 L17 L19:L29 L7">
      <formula1>"Levels,Levels_Scan,Levels_Scan_debug,Level_Conti_Isink,Level_Conti_Isrc"</formula1>
    </dataValidation>
  </dataValidations>
  <pageMargins left="0.7" right="0.7" top="0.75" bottom="0.75" header="0.3" footer="0.3"/>
  <pageSetup orientation="landscape" horizontalDpi="200" verticalDpi="200" copies="0" r:id="rId1"/>
  <headerFooter>
    <oddHeader>&amp;L&amp;LTeradyne IG-XL</oddHeader>
    <oddFooter>&amp;L&amp;LWorkbook '&amp;F', Sheet '&amp;A'&amp;R&amp;R&amp;D &amp;T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outlinePr summaryBelow="0" summaryRight="0"/>
  </sheetPr>
  <dimension ref="A1:AB62"/>
  <sheetViews>
    <sheetView showGridLines="0" zoomScaleNormal="100" workbookViewId="0">
      <pane ySplit="4" topLeftCell="A5" activePane="bottomLeft" state="frozen"/>
      <selection pane="bottomLeft" activeCell="E17" sqref="E17"/>
    </sheetView>
  </sheetViews>
  <sheetFormatPr defaultRowHeight="12.75" outlineLevelCol="1" x14ac:dyDescent="0.2"/>
  <cols>
    <col min="1" max="1" width="5" style="75" customWidth="1"/>
    <col min="2" max="6" width="9.140625" style="75" customWidth="1"/>
    <col min="7" max="7" width="13.42578125" style="75" customWidth="1"/>
    <col min="8" max="8" width="21.85546875" style="75" customWidth="1"/>
    <col min="9" max="9" width="13.42578125" style="75" customWidth="1"/>
    <col min="10" max="14" width="6.28515625" style="75" customWidth="1"/>
    <col min="15" max="15" width="9.140625" style="75" customWidth="1" collapsed="1"/>
    <col min="16" max="19" width="9.140625" style="75" hidden="1" customWidth="1" outlineLevel="1"/>
    <col min="20" max="20" width="6.28515625" style="75" hidden="1" customWidth="1" outlineLevel="1"/>
    <col min="21" max="21" width="13.42578125" style="75" hidden="1" customWidth="1" outlineLevel="1"/>
    <col min="22" max="22" width="9.140625" style="75" hidden="1" customWidth="1" outlineLevel="1"/>
    <col min="23" max="23" width="6.28515625" style="75" hidden="1" customWidth="1" outlineLevel="1"/>
    <col min="24" max="24" width="13.42578125" style="75" hidden="1" customWidth="1" outlineLevel="1"/>
    <col min="25" max="27" width="9.140625" style="75" hidden="1" customWidth="1" outlineLevel="1"/>
    <col min="28" max="28" width="42.85546875" style="75" customWidth="1"/>
    <col min="29" max="16384" width="9.140625" style="75"/>
  </cols>
  <sheetData>
    <row r="1" spans="1:28" ht="25.5" customHeight="1" x14ac:dyDescent="0.4">
      <c r="A1" s="81" t="s">
        <v>61</v>
      </c>
      <c r="B1" s="82" t="s">
        <v>54</v>
      </c>
      <c r="C1" s="82"/>
      <c r="D1" s="82"/>
      <c r="E1" s="82"/>
      <c r="F1" s="82"/>
      <c r="G1" s="82"/>
      <c r="H1" s="82"/>
      <c r="I1" s="82"/>
    </row>
    <row r="3" spans="1:28" x14ac:dyDescent="0.2">
      <c r="D3" s="83" t="s">
        <v>55</v>
      </c>
      <c r="E3" s="83"/>
      <c r="F3" s="83"/>
      <c r="G3" s="77" t="s">
        <v>34</v>
      </c>
      <c r="H3" s="77"/>
      <c r="K3" s="83" t="s">
        <v>39</v>
      </c>
      <c r="L3" s="83"/>
      <c r="M3" s="83" t="s">
        <v>42</v>
      </c>
      <c r="N3" s="83"/>
      <c r="P3" s="83" t="s">
        <v>43</v>
      </c>
      <c r="Q3" s="83"/>
      <c r="S3" s="83" t="s">
        <v>46</v>
      </c>
      <c r="T3" s="83"/>
      <c r="U3" s="83"/>
      <c r="V3" s="83"/>
      <c r="W3" s="83" t="s">
        <v>50</v>
      </c>
      <c r="X3" s="83"/>
      <c r="Y3" s="83"/>
      <c r="Z3" s="83" t="s">
        <v>51</v>
      </c>
      <c r="AA3" s="83"/>
    </row>
    <row r="4" spans="1:28" x14ac:dyDescent="0.2">
      <c r="B4" s="79" t="s">
        <v>32</v>
      </c>
      <c r="C4" s="79" t="s">
        <v>33</v>
      </c>
      <c r="D4" s="79" t="s">
        <v>15</v>
      </c>
      <c r="E4" s="79" t="s">
        <v>56</v>
      </c>
      <c r="F4" s="79" t="s">
        <v>57</v>
      </c>
      <c r="G4" s="78" t="s">
        <v>35</v>
      </c>
      <c r="H4" s="78" t="s">
        <v>36</v>
      </c>
      <c r="I4" s="79" t="s">
        <v>37</v>
      </c>
      <c r="J4" s="79" t="s">
        <v>38</v>
      </c>
      <c r="K4" s="79" t="s">
        <v>40</v>
      </c>
      <c r="L4" s="79" t="s">
        <v>41</v>
      </c>
      <c r="M4" s="79" t="s">
        <v>40</v>
      </c>
      <c r="N4" s="79" t="s">
        <v>41</v>
      </c>
      <c r="O4" s="79" t="s">
        <v>44</v>
      </c>
      <c r="P4" s="79" t="s">
        <v>40</v>
      </c>
      <c r="Q4" s="79" t="s">
        <v>41</v>
      </c>
      <c r="R4" s="79" t="s">
        <v>45</v>
      </c>
      <c r="S4" s="79" t="s">
        <v>47</v>
      </c>
      <c r="T4" s="79" t="s">
        <v>48</v>
      </c>
      <c r="U4" s="79" t="s">
        <v>49</v>
      </c>
      <c r="V4" s="79" t="s">
        <v>20</v>
      </c>
      <c r="W4" s="79" t="s">
        <v>48</v>
      </c>
      <c r="X4" s="79" t="s">
        <v>49</v>
      </c>
      <c r="Y4" s="79" t="s">
        <v>20</v>
      </c>
      <c r="Z4" s="79" t="s">
        <v>52</v>
      </c>
      <c r="AA4" s="79" t="s">
        <v>53</v>
      </c>
      <c r="AB4" s="79" t="s">
        <v>4</v>
      </c>
    </row>
    <row r="5" spans="1:28" x14ac:dyDescent="0.2">
      <c r="B5" s="88"/>
      <c r="C5" s="88"/>
      <c r="D5" s="88"/>
      <c r="E5" s="88"/>
      <c r="F5" s="88"/>
      <c r="G5" s="87" t="s">
        <v>336</v>
      </c>
      <c r="H5" s="91"/>
      <c r="I5" s="91"/>
      <c r="J5" s="91"/>
      <c r="K5" s="91"/>
      <c r="L5" s="88" t="s">
        <v>604</v>
      </c>
      <c r="M5" s="91"/>
      <c r="N5" s="88">
        <v>30000</v>
      </c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88"/>
    </row>
    <row r="6" spans="1:28" x14ac:dyDescent="0.2">
      <c r="B6" s="88"/>
      <c r="C6" s="88"/>
      <c r="D6" s="88"/>
      <c r="E6" s="88"/>
      <c r="F6" s="88"/>
      <c r="G6" s="87" t="s">
        <v>603</v>
      </c>
      <c r="H6" s="91"/>
      <c r="I6" s="91"/>
      <c r="J6" s="91"/>
      <c r="K6" s="91"/>
      <c r="L6" s="88" t="s">
        <v>848</v>
      </c>
      <c r="M6" s="91"/>
      <c r="N6" s="88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88"/>
    </row>
    <row r="7" spans="1:28" x14ac:dyDescent="0.2">
      <c r="B7" s="88"/>
      <c r="C7" s="88"/>
      <c r="D7" s="88"/>
      <c r="E7" s="88"/>
      <c r="F7" s="88"/>
      <c r="G7" s="87" t="s">
        <v>967</v>
      </c>
      <c r="H7" s="87" t="s">
        <v>968</v>
      </c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88"/>
    </row>
    <row r="8" spans="1:28" x14ac:dyDescent="0.2">
      <c r="B8" s="88"/>
      <c r="C8" s="88"/>
      <c r="D8" s="88"/>
      <c r="E8" s="88"/>
      <c r="F8" s="88"/>
      <c r="G8" s="87" t="s">
        <v>969</v>
      </c>
      <c r="H8" s="87" t="s">
        <v>970</v>
      </c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88"/>
    </row>
    <row r="9" spans="1:28" x14ac:dyDescent="0.2">
      <c r="B9" s="88"/>
      <c r="C9" s="88"/>
      <c r="D9" s="88"/>
      <c r="E9" s="88"/>
      <c r="F9" s="88"/>
      <c r="G9" s="87" t="s">
        <v>679</v>
      </c>
      <c r="H9" s="87" t="s">
        <v>678</v>
      </c>
      <c r="I9" s="91"/>
      <c r="J9" s="91"/>
      <c r="K9" s="91"/>
      <c r="L9" s="91"/>
      <c r="M9" s="91"/>
      <c r="N9" s="91"/>
      <c r="O9" s="91"/>
      <c r="P9" s="91"/>
      <c r="Q9" s="91"/>
      <c r="R9" s="91"/>
      <c r="S9" s="87"/>
      <c r="T9" s="87"/>
      <c r="U9" s="87"/>
      <c r="V9" s="91"/>
      <c r="W9" s="91"/>
      <c r="X9" s="91"/>
      <c r="Y9" s="91"/>
      <c r="Z9" s="91"/>
      <c r="AA9" s="91"/>
      <c r="AB9" s="88"/>
    </row>
    <row r="10" spans="1:28" x14ac:dyDescent="0.2">
      <c r="B10" s="88"/>
      <c r="C10" s="88"/>
      <c r="D10" s="88"/>
      <c r="E10" s="88"/>
      <c r="F10" s="88"/>
      <c r="G10" s="87" t="s">
        <v>682</v>
      </c>
      <c r="H10" s="87" t="s">
        <v>683</v>
      </c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87"/>
      <c r="T10" s="87"/>
      <c r="U10" s="87"/>
      <c r="V10" s="91"/>
      <c r="W10" s="87"/>
      <c r="X10" s="87"/>
      <c r="Y10" s="91"/>
      <c r="Z10" s="91"/>
      <c r="AA10" s="91"/>
      <c r="AB10" s="88"/>
    </row>
    <row r="11" spans="1:28" x14ac:dyDescent="0.2">
      <c r="B11" s="88"/>
      <c r="C11" s="88"/>
      <c r="D11" s="88"/>
      <c r="E11" s="88"/>
      <c r="F11" s="88"/>
      <c r="G11" s="87" t="s">
        <v>228</v>
      </c>
      <c r="H11" s="87" t="s">
        <v>775</v>
      </c>
      <c r="I11" s="88" t="s">
        <v>685</v>
      </c>
      <c r="J11" s="88" t="s">
        <v>774</v>
      </c>
      <c r="K11" s="88"/>
      <c r="L11" s="88"/>
      <c r="M11" s="88"/>
      <c r="N11" s="88"/>
      <c r="O11" s="87"/>
      <c r="P11" s="87"/>
      <c r="Q11" s="87"/>
      <c r="R11" s="91"/>
      <c r="S11" s="87"/>
      <c r="T11" s="87"/>
      <c r="U11" s="87"/>
      <c r="V11" s="91"/>
      <c r="W11" s="87"/>
      <c r="X11" s="87"/>
      <c r="Y11" s="91"/>
      <c r="Z11" s="87"/>
      <c r="AA11" s="87"/>
      <c r="AB11" s="88" t="s">
        <v>888</v>
      </c>
    </row>
    <row r="12" spans="1:28" x14ac:dyDescent="0.2">
      <c r="B12" s="88"/>
      <c r="C12" s="88"/>
      <c r="D12" s="88"/>
      <c r="E12" s="88"/>
      <c r="F12" s="88"/>
      <c r="G12" s="87" t="s">
        <v>229</v>
      </c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87"/>
      <c r="T12" s="87"/>
      <c r="U12" s="87" t="s">
        <v>1015</v>
      </c>
      <c r="V12" s="87" t="s">
        <v>1016</v>
      </c>
      <c r="W12" s="91"/>
      <c r="X12" s="91"/>
      <c r="Y12" s="91"/>
      <c r="Z12" s="91"/>
      <c r="AA12" s="91"/>
      <c r="AB12" s="88"/>
    </row>
    <row r="13" spans="1:28" x14ac:dyDescent="0.2">
      <c r="B13" s="88"/>
      <c r="C13" s="88"/>
      <c r="D13" s="88"/>
      <c r="E13" s="88"/>
      <c r="F13" s="88"/>
      <c r="G13" s="87" t="s">
        <v>228</v>
      </c>
      <c r="H13" s="89" t="s">
        <v>836</v>
      </c>
      <c r="I13" s="88" t="s">
        <v>842</v>
      </c>
      <c r="J13" s="88" t="s">
        <v>867</v>
      </c>
      <c r="K13" s="88"/>
      <c r="L13" s="88" t="s">
        <v>601</v>
      </c>
      <c r="M13" s="88"/>
      <c r="N13" s="88" t="s">
        <v>843</v>
      </c>
      <c r="O13" s="87"/>
      <c r="P13" s="87"/>
      <c r="Q13" s="87" t="s">
        <v>846</v>
      </c>
      <c r="R13" s="91"/>
      <c r="S13" s="87"/>
      <c r="T13" s="87"/>
      <c r="U13" s="87"/>
      <c r="V13" s="91"/>
      <c r="W13" s="87"/>
      <c r="X13" s="87"/>
      <c r="Y13" s="91"/>
      <c r="Z13" s="87"/>
      <c r="AA13" s="87"/>
      <c r="AB13" s="88"/>
    </row>
    <row r="14" spans="1:28" x14ac:dyDescent="0.2">
      <c r="B14" s="88"/>
      <c r="C14" s="88"/>
      <c r="D14" s="88"/>
      <c r="E14" s="88"/>
      <c r="F14" s="88"/>
      <c r="G14" s="87" t="s">
        <v>228</v>
      </c>
      <c r="H14" s="87" t="s">
        <v>814</v>
      </c>
      <c r="I14" s="88" t="s">
        <v>841</v>
      </c>
      <c r="J14" s="88" t="s">
        <v>867</v>
      </c>
      <c r="K14" s="88"/>
      <c r="L14" s="88"/>
      <c r="M14" s="88"/>
      <c r="N14" s="88"/>
      <c r="O14" s="87" t="s">
        <v>41</v>
      </c>
      <c r="P14" s="87"/>
      <c r="Q14" s="87"/>
      <c r="R14" s="91"/>
      <c r="S14" s="87"/>
      <c r="T14" s="87"/>
      <c r="U14" s="87"/>
      <c r="V14" s="91"/>
      <c r="W14" s="87"/>
      <c r="X14" s="87"/>
      <c r="Y14" s="91" t="s">
        <v>846</v>
      </c>
      <c r="Z14" s="87"/>
      <c r="AA14" s="87"/>
      <c r="AB14" s="88" t="s">
        <v>1627</v>
      </c>
    </row>
    <row r="15" spans="1:28" x14ac:dyDescent="0.2">
      <c r="B15" s="88"/>
      <c r="C15" s="88"/>
      <c r="D15" s="88"/>
      <c r="E15" s="88"/>
      <c r="F15" s="88"/>
      <c r="G15" s="87" t="s">
        <v>228</v>
      </c>
      <c r="H15" s="87" t="s">
        <v>859</v>
      </c>
      <c r="I15" s="88" t="s">
        <v>862</v>
      </c>
      <c r="J15" s="88" t="s">
        <v>867</v>
      </c>
      <c r="K15" s="88"/>
      <c r="L15" s="88"/>
      <c r="M15" s="88"/>
      <c r="N15" s="88"/>
      <c r="O15" s="87" t="s">
        <v>41</v>
      </c>
      <c r="P15" s="87"/>
      <c r="Q15" s="87"/>
      <c r="R15" s="91"/>
      <c r="S15" s="87"/>
      <c r="T15" s="87"/>
      <c r="U15" s="87"/>
      <c r="V15" s="91"/>
      <c r="W15" s="87"/>
      <c r="X15" s="87"/>
      <c r="Y15" s="91" t="s">
        <v>846</v>
      </c>
      <c r="Z15" s="87"/>
      <c r="AA15" s="87"/>
      <c r="AB15" s="88" t="s">
        <v>1627</v>
      </c>
    </row>
    <row r="16" spans="1:28" x14ac:dyDescent="0.2">
      <c r="B16" s="88"/>
      <c r="C16" s="88"/>
      <c r="D16" s="88"/>
      <c r="E16" s="88"/>
      <c r="F16" s="88"/>
      <c r="G16" s="87" t="s">
        <v>228</v>
      </c>
      <c r="H16" s="87" t="s">
        <v>438</v>
      </c>
      <c r="I16" s="88" t="s">
        <v>441</v>
      </c>
      <c r="J16" s="88" t="s">
        <v>868</v>
      </c>
      <c r="K16" s="88"/>
      <c r="L16" s="88">
        <v>3</v>
      </c>
      <c r="M16" s="88"/>
      <c r="N16" s="88">
        <v>10020</v>
      </c>
      <c r="O16" s="87" t="s">
        <v>41</v>
      </c>
      <c r="P16" s="87"/>
      <c r="Q16" s="87"/>
      <c r="R16" s="91"/>
      <c r="S16" s="87"/>
      <c r="T16" s="87"/>
      <c r="U16" s="87"/>
      <c r="V16" s="91"/>
      <c r="W16" s="87"/>
      <c r="X16" s="87"/>
      <c r="Y16" s="91"/>
      <c r="Z16" s="87"/>
      <c r="AA16" s="87"/>
      <c r="AB16" s="88"/>
    </row>
    <row r="17" spans="2:28" x14ac:dyDescent="0.2">
      <c r="B17" s="88"/>
      <c r="C17" s="88"/>
      <c r="D17" s="88"/>
      <c r="E17" s="88"/>
      <c r="F17" s="88"/>
      <c r="G17" s="87" t="s">
        <v>228</v>
      </c>
      <c r="H17" s="87" t="s">
        <v>439</v>
      </c>
      <c r="I17" s="88" t="s">
        <v>441</v>
      </c>
      <c r="J17" s="88" t="s">
        <v>869</v>
      </c>
      <c r="K17" s="88"/>
      <c r="L17" s="88">
        <v>3</v>
      </c>
      <c r="M17" s="88"/>
      <c r="N17" s="88">
        <v>10020</v>
      </c>
      <c r="O17" s="87" t="s">
        <v>41</v>
      </c>
      <c r="P17" s="87"/>
      <c r="Q17" s="87"/>
      <c r="R17" s="91"/>
      <c r="S17" s="87"/>
      <c r="T17" s="87"/>
      <c r="U17" s="87"/>
      <c r="V17" s="91"/>
      <c r="W17" s="87"/>
      <c r="X17" s="87"/>
      <c r="Y17" s="91"/>
      <c r="Z17" s="87"/>
      <c r="AA17" s="87"/>
      <c r="AB17" s="88"/>
    </row>
    <row r="18" spans="2:28" x14ac:dyDescent="0.2">
      <c r="B18" s="88"/>
      <c r="C18" s="88"/>
      <c r="D18" s="88"/>
      <c r="E18" s="88"/>
      <c r="F18" s="88"/>
      <c r="G18" s="87" t="s">
        <v>228</v>
      </c>
      <c r="H18" s="87" t="s">
        <v>440</v>
      </c>
      <c r="I18" s="88" t="s">
        <v>441</v>
      </c>
      <c r="J18" s="88" t="s">
        <v>870</v>
      </c>
      <c r="K18" s="88"/>
      <c r="L18" s="88">
        <v>3</v>
      </c>
      <c r="M18" s="88"/>
      <c r="N18" s="88">
        <v>10020</v>
      </c>
      <c r="O18" s="87" t="s">
        <v>41</v>
      </c>
      <c r="P18" s="87"/>
      <c r="Q18" s="87"/>
      <c r="R18" s="91"/>
      <c r="S18" s="87"/>
      <c r="T18" s="87"/>
      <c r="U18" s="87"/>
      <c r="V18" s="91"/>
      <c r="W18" s="87"/>
      <c r="X18" s="87"/>
      <c r="Y18" s="91"/>
      <c r="Z18" s="87"/>
      <c r="AA18" s="87"/>
      <c r="AB18" s="88"/>
    </row>
    <row r="19" spans="2:28" x14ac:dyDescent="0.2">
      <c r="B19" s="88"/>
      <c r="C19" s="88"/>
      <c r="D19" s="88"/>
      <c r="E19" s="88"/>
      <c r="F19" s="88"/>
      <c r="G19" s="87" t="s">
        <v>228</v>
      </c>
      <c r="H19" s="87" t="s">
        <v>239</v>
      </c>
      <c r="I19" s="88" t="s">
        <v>442</v>
      </c>
      <c r="J19" s="88" t="s">
        <v>871</v>
      </c>
      <c r="K19" s="88"/>
      <c r="L19" s="88">
        <v>3</v>
      </c>
      <c r="M19" s="88"/>
      <c r="N19" s="88">
        <v>10049</v>
      </c>
      <c r="O19" s="87" t="s">
        <v>41</v>
      </c>
      <c r="P19" s="87"/>
      <c r="Q19" s="87"/>
      <c r="R19" s="91"/>
      <c r="S19" s="87"/>
      <c r="T19" s="87"/>
      <c r="U19" s="87"/>
      <c r="V19" s="91"/>
      <c r="W19" s="87"/>
      <c r="X19" s="87"/>
      <c r="Y19" s="91"/>
      <c r="Z19" s="87"/>
      <c r="AA19" s="87"/>
      <c r="AB19" s="88" t="s">
        <v>583</v>
      </c>
    </row>
    <row r="20" spans="2:28" x14ac:dyDescent="0.2">
      <c r="B20" s="88"/>
      <c r="C20" s="88"/>
      <c r="D20" s="88"/>
      <c r="E20" s="88"/>
      <c r="F20" s="88"/>
      <c r="G20" s="87" t="s">
        <v>228</v>
      </c>
      <c r="H20" s="87" t="s">
        <v>573</v>
      </c>
      <c r="I20" s="88" t="s">
        <v>577</v>
      </c>
      <c r="J20" s="88" t="s">
        <v>889</v>
      </c>
      <c r="K20" s="88"/>
      <c r="L20" s="88">
        <v>3</v>
      </c>
      <c r="M20" s="88"/>
      <c r="N20" s="88"/>
      <c r="O20" s="87" t="s">
        <v>41</v>
      </c>
      <c r="P20" s="87"/>
      <c r="Q20" s="87"/>
      <c r="R20" s="91"/>
      <c r="S20" s="87"/>
      <c r="T20" s="87"/>
      <c r="U20" s="87"/>
      <c r="V20" s="91"/>
      <c r="W20" s="87"/>
      <c r="X20" s="87"/>
      <c r="Y20" s="91"/>
      <c r="Z20" s="87"/>
      <c r="AA20" s="87"/>
      <c r="AB20" s="88" t="s">
        <v>553</v>
      </c>
    </row>
    <row r="21" spans="2:28" x14ac:dyDescent="0.2">
      <c r="B21" s="88"/>
      <c r="C21" s="88"/>
      <c r="D21" s="88"/>
      <c r="E21" s="95"/>
      <c r="F21" s="88"/>
      <c r="G21" s="87" t="s">
        <v>228</v>
      </c>
      <c r="H21" s="87" t="s">
        <v>571</v>
      </c>
      <c r="I21" s="88" t="s">
        <v>575</v>
      </c>
      <c r="J21" s="88" t="s">
        <v>890</v>
      </c>
      <c r="K21" s="88"/>
      <c r="L21" s="88">
        <v>3</v>
      </c>
      <c r="M21" s="88"/>
      <c r="N21" s="88"/>
      <c r="O21" s="87" t="s">
        <v>41</v>
      </c>
      <c r="P21" s="87"/>
      <c r="Q21" s="87"/>
      <c r="R21" s="91"/>
      <c r="S21" s="87"/>
      <c r="T21" s="87"/>
      <c r="U21" s="87"/>
      <c r="V21" s="91"/>
      <c r="W21" s="87"/>
      <c r="X21" s="87"/>
      <c r="Y21" s="91"/>
      <c r="Z21" s="87"/>
      <c r="AA21" s="87"/>
      <c r="AB21" s="88" t="s">
        <v>553</v>
      </c>
    </row>
    <row r="22" spans="2:28" x14ac:dyDescent="0.2">
      <c r="B22" s="88"/>
      <c r="C22" s="88"/>
      <c r="D22" s="88"/>
      <c r="E22" s="88"/>
      <c r="F22" s="88"/>
      <c r="G22" s="87" t="s">
        <v>228</v>
      </c>
      <c r="H22" s="87" t="s">
        <v>572</v>
      </c>
      <c r="I22" s="88" t="s">
        <v>576</v>
      </c>
      <c r="J22" s="88" t="s">
        <v>891</v>
      </c>
      <c r="K22" s="88"/>
      <c r="L22" s="88">
        <v>3</v>
      </c>
      <c r="M22" s="88"/>
      <c r="N22" s="88"/>
      <c r="O22" s="87" t="s">
        <v>41</v>
      </c>
      <c r="P22" s="87"/>
      <c r="Q22" s="87"/>
      <c r="R22" s="91"/>
      <c r="S22" s="87"/>
      <c r="T22" s="87"/>
      <c r="U22" s="87"/>
      <c r="V22" s="91"/>
      <c r="W22" s="87"/>
      <c r="X22" s="87"/>
      <c r="Y22" s="91"/>
      <c r="Z22" s="87"/>
      <c r="AA22" s="87"/>
      <c r="AB22" s="88" t="s">
        <v>553</v>
      </c>
    </row>
    <row r="23" spans="2:28" x14ac:dyDescent="0.2">
      <c r="B23" s="88"/>
      <c r="C23" s="88"/>
      <c r="D23" s="88"/>
      <c r="E23" s="88"/>
      <c r="F23" s="88"/>
      <c r="G23" s="87" t="s">
        <v>228</v>
      </c>
      <c r="H23" s="87" t="s">
        <v>852</v>
      </c>
      <c r="I23" s="88" t="s">
        <v>855</v>
      </c>
      <c r="J23" s="88" t="s">
        <v>872</v>
      </c>
      <c r="K23" s="88"/>
      <c r="L23" s="88" t="s">
        <v>601</v>
      </c>
      <c r="M23" s="88"/>
      <c r="N23" s="88" t="s">
        <v>849</v>
      </c>
      <c r="O23" s="87" t="s">
        <v>41</v>
      </c>
      <c r="P23" s="87"/>
      <c r="Q23" s="87"/>
      <c r="R23" s="91"/>
      <c r="S23" s="87"/>
      <c r="T23" s="87"/>
      <c r="U23" s="87"/>
      <c r="V23" s="91"/>
      <c r="W23" s="87"/>
      <c r="X23" s="87"/>
      <c r="Y23" s="91"/>
      <c r="Z23" s="87"/>
      <c r="AA23" s="87"/>
      <c r="AB23" s="88"/>
    </row>
    <row r="24" spans="2:28" x14ac:dyDescent="0.2">
      <c r="B24" s="88"/>
      <c r="C24" s="88"/>
      <c r="D24" s="88"/>
      <c r="E24" s="88"/>
      <c r="F24" s="88"/>
      <c r="G24" s="87" t="s">
        <v>335</v>
      </c>
      <c r="H24" s="91" t="s">
        <v>250</v>
      </c>
      <c r="I24" s="91" t="s">
        <v>1533</v>
      </c>
      <c r="J24" s="91" t="s">
        <v>1534</v>
      </c>
      <c r="K24" s="91"/>
      <c r="L24" s="91" t="s">
        <v>601</v>
      </c>
      <c r="M24" s="91"/>
      <c r="N24" s="91" t="s">
        <v>1535</v>
      </c>
      <c r="O24" s="91" t="s">
        <v>41</v>
      </c>
      <c r="P24" s="91"/>
      <c r="Q24" s="91"/>
      <c r="R24" s="91"/>
      <c r="S24" s="91"/>
      <c r="T24" s="91"/>
      <c r="U24" s="91"/>
      <c r="V24" s="91"/>
      <c r="W24" s="91"/>
      <c r="X24" s="91"/>
      <c r="Y24" s="91"/>
      <c r="Z24" s="91"/>
      <c r="AA24" s="91"/>
      <c r="AB24" s="88"/>
    </row>
    <row r="25" spans="2:28" x14ac:dyDescent="0.2">
      <c r="B25" s="88"/>
      <c r="C25" s="88"/>
      <c r="D25" s="88"/>
      <c r="E25" s="88"/>
      <c r="F25" s="88"/>
      <c r="G25" s="87" t="s">
        <v>228</v>
      </c>
      <c r="H25" s="87" t="s">
        <v>1538</v>
      </c>
      <c r="I25" s="88" t="s">
        <v>241</v>
      </c>
      <c r="J25" s="88" t="s">
        <v>873</v>
      </c>
      <c r="K25" s="88"/>
      <c r="L25" s="88">
        <v>3</v>
      </c>
      <c r="M25" s="88"/>
      <c r="N25" s="88">
        <v>10030</v>
      </c>
      <c r="O25" s="87" t="s">
        <v>41</v>
      </c>
      <c r="P25" s="87"/>
      <c r="Q25" s="87"/>
      <c r="R25" s="91"/>
      <c r="S25" s="87"/>
      <c r="T25" s="87"/>
      <c r="U25" s="87"/>
      <c r="V25" s="91"/>
      <c r="W25" s="87"/>
      <c r="X25" s="87"/>
      <c r="Y25" s="91"/>
      <c r="Z25" s="87"/>
      <c r="AA25" s="87"/>
      <c r="AB25" s="88"/>
    </row>
    <row r="26" spans="2:28" x14ac:dyDescent="0.2">
      <c r="B26" s="88"/>
      <c r="C26" s="88"/>
      <c r="D26" s="88"/>
      <c r="E26" s="88"/>
      <c r="F26" s="88"/>
      <c r="G26" s="87" t="s">
        <v>228</v>
      </c>
      <c r="H26" s="87" t="s">
        <v>1537</v>
      </c>
      <c r="I26" s="88" t="s">
        <v>242</v>
      </c>
      <c r="J26" s="88" t="s">
        <v>874</v>
      </c>
      <c r="K26" s="88"/>
      <c r="L26" s="88">
        <v>3</v>
      </c>
      <c r="M26" s="88"/>
      <c r="N26" s="88" t="s">
        <v>850</v>
      </c>
      <c r="O26" s="87" t="s">
        <v>41</v>
      </c>
      <c r="P26" s="87"/>
      <c r="Q26" s="87"/>
      <c r="R26" s="91"/>
      <c r="S26" s="87"/>
      <c r="T26" s="87"/>
      <c r="U26" s="87"/>
      <c r="V26" s="91"/>
      <c r="W26" s="87"/>
      <c r="X26" s="87"/>
      <c r="Y26" s="91"/>
      <c r="Z26" s="87"/>
      <c r="AA26" s="87"/>
      <c r="AB26" s="88"/>
    </row>
    <row r="27" spans="2:28" x14ac:dyDescent="0.2">
      <c r="B27" s="88"/>
      <c r="C27" s="88"/>
      <c r="D27" s="88"/>
      <c r="E27" s="88"/>
      <c r="F27" s="88"/>
      <c r="G27" s="87" t="s">
        <v>228</v>
      </c>
      <c r="H27" s="87" t="s">
        <v>1539</v>
      </c>
      <c r="I27" s="88" t="s">
        <v>294</v>
      </c>
      <c r="J27" s="88" t="s">
        <v>875</v>
      </c>
      <c r="K27" s="88"/>
      <c r="L27" s="88">
        <v>3</v>
      </c>
      <c r="M27" s="88"/>
      <c r="N27" s="88">
        <v>10400</v>
      </c>
      <c r="O27" s="87" t="s">
        <v>41</v>
      </c>
      <c r="P27" s="87"/>
      <c r="Q27" s="87"/>
      <c r="R27" s="91"/>
      <c r="S27" s="87"/>
      <c r="T27" s="87"/>
      <c r="U27" s="87"/>
      <c r="V27" s="91"/>
      <c r="W27" s="87"/>
      <c r="X27" s="87"/>
      <c r="Y27" s="91"/>
      <c r="Z27" s="87"/>
      <c r="AA27" s="87"/>
      <c r="AB27" s="88"/>
    </row>
    <row r="28" spans="2:28" x14ac:dyDescent="0.2">
      <c r="B28" s="88"/>
      <c r="C28" s="88"/>
      <c r="D28" s="88"/>
      <c r="E28" s="88"/>
      <c r="F28" s="88"/>
      <c r="G28" s="87" t="s">
        <v>228</v>
      </c>
      <c r="H28" s="87" t="s">
        <v>267</v>
      </c>
      <c r="I28" s="88" t="s">
        <v>1477</v>
      </c>
      <c r="J28" s="88" t="s">
        <v>876</v>
      </c>
      <c r="K28" s="88"/>
      <c r="L28" s="88">
        <v>3</v>
      </c>
      <c r="M28" s="88"/>
      <c r="N28" s="88"/>
      <c r="O28" s="87" t="s">
        <v>41</v>
      </c>
      <c r="P28" s="87"/>
      <c r="Q28" s="87"/>
      <c r="R28" s="91"/>
      <c r="S28" s="87"/>
      <c r="T28" s="87"/>
      <c r="U28" s="87"/>
      <c r="V28" s="91"/>
      <c r="W28" s="87"/>
      <c r="X28" s="87"/>
      <c r="Y28" s="91"/>
      <c r="Z28" s="87"/>
      <c r="AA28" s="87"/>
      <c r="AB28" s="88" t="s">
        <v>553</v>
      </c>
    </row>
    <row r="29" spans="2:28" x14ac:dyDescent="0.2">
      <c r="B29" s="88"/>
      <c r="C29" s="88"/>
      <c r="D29" s="88"/>
      <c r="E29" s="88"/>
      <c r="F29" s="88"/>
      <c r="G29" s="87" t="s">
        <v>335</v>
      </c>
      <c r="H29" s="91" t="s">
        <v>740</v>
      </c>
      <c r="I29" s="91" t="s">
        <v>742</v>
      </c>
      <c r="J29" s="91" t="s">
        <v>877</v>
      </c>
      <c r="K29" s="91"/>
      <c r="L29" s="91" t="s">
        <v>601</v>
      </c>
      <c r="M29" s="91"/>
      <c r="N29" s="91"/>
      <c r="O29" s="91" t="s">
        <v>41</v>
      </c>
      <c r="P29" s="91"/>
      <c r="Q29" s="91"/>
      <c r="R29" s="91"/>
      <c r="S29" s="91"/>
      <c r="T29" s="91"/>
      <c r="U29" s="91"/>
      <c r="V29" s="91"/>
      <c r="W29" s="91"/>
      <c r="X29" s="91" t="s">
        <v>680</v>
      </c>
      <c r="Y29" s="91" t="s">
        <v>681</v>
      </c>
      <c r="Z29" s="91"/>
      <c r="AA29" s="91"/>
      <c r="AB29" s="88" t="s">
        <v>553</v>
      </c>
    </row>
    <row r="30" spans="2:28" x14ac:dyDescent="0.2">
      <c r="B30" s="88"/>
      <c r="C30" s="88"/>
      <c r="D30" s="88"/>
      <c r="E30" s="88"/>
      <c r="F30" s="88"/>
      <c r="G30" s="87" t="s">
        <v>335</v>
      </c>
      <c r="H30" s="91" t="s">
        <v>247</v>
      </c>
      <c r="I30" s="91" t="s">
        <v>744</v>
      </c>
      <c r="J30" s="91" t="s">
        <v>878</v>
      </c>
      <c r="K30" s="91"/>
      <c r="L30" s="91">
        <v>3</v>
      </c>
      <c r="M30" s="91"/>
      <c r="N30" s="91" t="s">
        <v>794</v>
      </c>
      <c r="O30" s="91" t="s">
        <v>41</v>
      </c>
      <c r="P30" s="91"/>
      <c r="Q30" s="91"/>
      <c r="R30" s="91"/>
      <c r="S30" s="91"/>
      <c r="T30" s="91"/>
      <c r="U30" s="91"/>
      <c r="V30" s="91"/>
      <c r="W30" s="91"/>
      <c r="X30" s="91" t="s">
        <v>680</v>
      </c>
      <c r="Y30" s="91" t="s">
        <v>681</v>
      </c>
      <c r="Z30" s="91"/>
      <c r="AA30" s="91"/>
      <c r="AB30" s="88"/>
    </row>
    <row r="31" spans="2:28" x14ac:dyDescent="0.2">
      <c r="B31" s="88"/>
      <c r="C31" s="88"/>
      <c r="D31" s="88"/>
      <c r="E31" s="88"/>
      <c r="F31" s="88"/>
      <c r="G31" s="87" t="s">
        <v>335</v>
      </c>
      <c r="H31" s="91" t="s">
        <v>257</v>
      </c>
      <c r="I31" s="91" t="s">
        <v>743</v>
      </c>
      <c r="J31" s="91" t="s">
        <v>879</v>
      </c>
      <c r="K31" s="91"/>
      <c r="L31" s="91">
        <v>3</v>
      </c>
      <c r="M31" s="91"/>
      <c r="N31" s="91" t="s">
        <v>781</v>
      </c>
      <c r="O31" s="91" t="s">
        <v>41</v>
      </c>
      <c r="P31" s="91"/>
      <c r="Q31" s="91"/>
      <c r="R31" s="91"/>
      <c r="S31" s="91"/>
      <c r="T31" s="91"/>
      <c r="U31" s="91"/>
      <c r="V31" s="91"/>
      <c r="W31" s="91"/>
      <c r="X31" s="91" t="s">
        <v>680</v>
      </c>
      <c r="Y31" s="91" t="s">
        <v>681</v>
      </c>
      <c r="Z31" s="91"/>
      <c r="AA31" s="91"/>
      <c r="AB31" s="88"/>
    </row>
    <row r="32" spans="2:28" x14ac:dyDescent="0.2">
      <c r="B32" s="88"/>
      <c r="C32" s="88"/>
      <c r="D32" s="88"/>
      <c r="E32" s="88"/>
      <c r="F32" s="88"/>
      <c r="G32" s="87" t="s">
        <v>335</v>
      </c>
      <c r="H32" s="91" t="s">
        <v>747</v>
      </c>
      <c r="I32" s="91" t="s">
        <v>749</v>
      </c>
      <c r="J32" s="91" t="s">
        <v>880</v>
      </c>
      <c r="K32" s="91"/>
      <c r="L32" s="91">
        <v>3</v>
      </c>
      <c r="M32" s="91"/>
      <c r="N32" s="91" t="s">
        <v>782</v>
      </c>
      <c r="O32" s="91" t="s">
        <v>41</v>
      </c>
      <c r="P32" s="91"/>
      <c r="Q32" s="91"/>
      <c r="R32" s="91"/>
      <c r="S32" s="91"/>
      <c r="T32" s="91"/>
      <c r="U32" s="91"/>
      <c r="V32" s="91"/>
      <c r="W32" s="91"/>
      <c r="X32" s="91" t="s">
        <v>680</v>
      </c>
      <c r="Y32" s="91" t="s">
        <v>681</v>
      </c>
      <c r="Z32" s="91"/>
      <c r="AA32" s="91"/>
      <c r="AB32" s="88"/>
    </row>
    <row r="33" spans="1:28" x14ac:dyDescent="0.2">
      <c r="B33" s="88"/>
      <c r="C33" s="88"/>
      <c r="D33" s="88"/>
      <c r="E33" s="88"/>
      <c r="F33" s="88"/>
      <c r="G33" s="87" t="s">
        <v>335</v>
      </c>
      <c r="H33" s="91" t="s">
        <v>259</v>
      </c>
      <c r="I33" s="91" t="s">
        <v>739</v>
      </c>
      <c r="J33" s="91" t="s">
        <v>881</v>
      </c>
      <c r="K33" s="91"/>
      <c r="L33" s="91">
        <v>3</v>
      </c>
      <c r="M33" s="91"/>
      <c r="N33" s="91" t="s">
        <v>783</v>
      </c>
      <c r="O33" s="91" t="s">
        <v>41</v>
      </c>
      <c r="P33" s="91"/>
      <c r="Q33" s="91"/>
      <c r="R33" s="91"/>
      <c r="S33" s="91"/>
      <c r="T33" s="91"/>
      <c r="U33" s="91"/>
      <c r="V33" s="91"/>
      <c r="W33" s="91"/>
      <c r="X33" s="91" t="s">
        <v>680</v>
      </c>
      <c r="Y33" s="91" t="s">
        <v>681</v>
      </c>
      <c r="Z33" s="91"/>
      <c r="AA33" s="91"/>
      <c r="AB33" s="88"/>
    </row>
    <row r="34" spans="1:28" x14ac:dyDescent="0.2">
      <c r="B34" s="88"/>
      <c r="C34" s="88"/>
      <c r="D34" s="88"/>
      <c r="E34" s="88"/>
      <c r="F34" s="88"/>
      <c r="G34" s="87" t="s">
        <v>335</v>
      </c>
      <c r="H34" s="91" t="s">
        <v>245</v>
      </c>
      <c r="I34" s="91" t="s">
        <v>750</v>
      </c>
      <c r="J34" s="91" t="s">
        <v>882</v>
      </c>
      <c r="K34" s="91"/>
      <c r="L34" s="91">
        <v>3</v>
      </c>
      <c r="M34" s="91"/>
      <c r="N34" s="91" t="s">
        <v>784</v>
      </c>
      <c r="O34" s="91" t="s">
        <v>41</v>
      </c>
      <c r="P34" s="91"/>
      <c r="Q34" s="91"/>
      <c r="R34" s="91"/>
      <c r="S34" s="91"/>
      <c r="T34" s="91"/>
      <c r="U34" s="91"/>
      <c r="V34" s="91"/>
      <c r="W34" s="91"/>
      <c r="X34" s="91" t="s">
        <v>680</v>
      </c>
      <c r="Y34" s="91" t="s">
        <v>681</v>
      </c>
      <c r="Z34" s="91"/>
      <c r="AA34" s="91"/>
      <c r="AB34" s="88"/>
    </row>
    <row r="35" spans="1:28" x14ac:dyDescent="0.2">
      <c r="A35" s="75" t="s">
        <v>282</v>
      </c>
      <c r="B35" s="88"/>
      <c r="C35" s="88"/>
      <c r="D35" s="88"/>
      <c r="E35" s="88"/>
      <c r="F35" s="88"/>
      <c r="G35" s="87" t="s">
        <v>228</v>
      </c>
      <c r="H35" s="87" t="s">
        <v>264</v>
      </c>
      <c r="I35" s="88" t="s">
        <v>751</v>
      </c>
      <c r="J35" s="88" t="s">
        <v>883</v>
      </c>
      <c r="K35" s="88"/>
      <c r="L35" s="88">
        <v>3</v>
      </c>
      <c r="M35" s="88"/>
      <c r="N35" s="88" t="s">
        <v>785</v>
      </c>
      <c r="O35" s="87" t="s">
        <v>41</v>
      </c>
      <c r="P35" s="87"/>
      <c r="Q35" s="87"/>
      <c r="R35" s="91"/>
      <c r="S35" s="87"/>
      <c r="T35" s="87"/>
      <c r="U35" s="87"/>
      <c r="V35" s="91"/>
      <c r="W35" s="87"/>
      <c r="X35" s="87" t="s">
        <v>680</v>
      </c>
      <c r="Y35" s="87" t="s">
        <v>681</v>
      </c>
      <c r="Z35" s="87"/>
      <c r="AA35" s="87"/>
      <c r="AB35" s="88"/>
    </row>
    <row r="36" spans="1:28" x14ac:dyDescent="0.2">
      <c r="B36" s="88"/>
      <c r="C36" s="88"/>
      <c r="D36" s="88"/>
      <c r="E36" s="88"/>
      <c r="F36" s="88"/>
      <c r="G36" s="87" t="s">
        <v>335</v>
      </c>
      <c r="H36" s="91" t="s">
        <v>746</v>
      </c>
      <c r="I36" s="91" t="s">
        <v>730</v>
      </c>
      <c r="J36" s="91" t="s">
        <v>884</v>
      </c>
      <c r="K36" s="91"/>
      <c r="L36" s="91">
        <v>3</v>
      </c>
      <c r="M36" s="91"/>
      <c r="N36" s="91">
        <v>10200</v>
      </c>
      <c r="O36" s="91" t="s">
        <v>41</v>
      </c>
      <c r="P36" s="91"/>
      <c r="Q36" s="91"/>
      <c r="R36" s="91"/>
      <c r="S36" s="91"/>
      <c r="T36" s="91"/>
      <c r="U36" s="91"/>
      <c r="V36" s="91"/>
      <c r="W36" s="91"/>
      <c r="X36" s="91" t="s">
        <v>680</v>
      </c>
      <c r="Y36" s="91" t="s">
        <v>681</v>
      </c>
      <c r="Z36" s="91"/>
      <c r="AA36" s="91"/>
      <c r="AB36" s="88"/>
    </row>
    <row r="37" spans="1:28" x14ac:dyDescent="0.2">
      <c r="A37" s="75" t="s">
        <v>282</v>
      </c>
      <c r="B37" s="88"/>
      <c r="C37" s="88"/>
      <c r="D37" s="88"/>
      <c r="E37" s="88"/>
      <c r="F37" s="88"/>
      <c r="G37" s="87" t="s">
        <v>335</v>
      </c>
      <c r="H37" s="91" t="s">
        <v>1574</v>
      </c>
      <c r="I37" s="91" t="s">
        <v>1587</v>
      </c>
      <c r="J37" s="91" t="s">
        <v>885</v>
      </c>
      <c r="K37" s="91"/>
      <c r="L37" s="91" t="s">
        <v>601</v>
      </c>
      <c r="M37" s="91"/>
      <c r="N37" s="91" t="s">
        <v>1629</v>
      </c>
      <c r="O37" s="91" t="s">
        <v>41</v>
      </c>
      <c r="P37" s="91"/>
      <c r="Q37" s="91"/>
      <c r="R37" s="91"/>
      <c r="S37" s="91"/>
      <c r="T37" s="91"/>
      <c r="U37" s="91"/>
      <c r="V37" s="91"/>
      <c r="W37" s="91"/>
      <c r="X37" s="91" t="s">
        <v>680</v>
      </c>
      <c r="Y37" s="91" t="s">
        <v>681</v>
      </c>
      <c r="Z37" s="91"/>
      <c r="AA37" s="91"/>
      <c r="AB37" s="88" t="s">
        <v>976</v>
      </c>
    </row>
    <row r="38" spans="1:28" x14ac:dyDescent="0.2">
      <c r="A38" s="75" t="s">
        <v>282</v>
      </c>
      <c r="B38" s="88"/>
      <c r="C38" s="88"/>
      <c r="D38" s="88"/>
      <c r="E38" s="88"/>
      <c r="F38" s="88"/>
      <c r="G38" s="87" t="s">
        <v>335</v>
      </c>
      <c r="H38" s="91" t="s">
        <v>1575</v>
      </c>
      <c r="I38" s="91" t="s">
        <v>1588</v>
      </c>
      <c r="J38" s="91" t="s">
        <v>885</v>
      </c>
      <c r="K38" s="91"/>
      <c r="L38" s="91" t="s">
        <v>601</v>
      </c>
      <c r="M38" s="91"/>
      <c r="N38" s="91" t="s">
        <v>745</v>
      </c>
      <c r="O38" s="91" t="s">
        <v>41</v>
      </c>
      <c r="P38" s="91"/>
      <c r="Q38" s="91"/>
      <c r="R38" s="91"/>
      <c r="S38" s="91"/>
      <c r="T38" s="91"/>
      <c r="U38" s="91"/>
      <c r="V38" s="91"/>
      <c r="W38" s="91"/>
      <c r="X38" s="91" t="s">
        <v>680</v>
      </c>
      <c r="Y38" s="91" t="s">
        <v>681</v>
      </c>
      <c r="Z38" s="91"/>
      <c r="AA38" s="91"/>
      <c r="AB38" s="88" t="s">
        <v>976</v>
      </c>
    </row>
    <row r="39" spans="1:28" x14ac:dyDescent="0.2">
      <c r="A39" s="75" t="s">
        <v>282</v>
      </c>
      <c r="B39" s="88"/>
      <c r="C39" s="88"/>
      <c r="D39" s="88"/>
      <c r="E39" s="88"/>
      <c r="F39" s="88"/>
      <c r="G39" s="87" t="s">
        <v>335</v>
      </c>
      <c r="H39" s="91" t="s">
        <v>1576</v>
      </c>
      <c r="I39" s="91" t="s">
        <v>1589</v>
      </c>
      <c r="J39" s="91" t="s">
        <v>885</v>
      </c>
      <c r="K39" s="91"/>
      <c r="L39" s="91" t="s">
        <v>601</v>
      </c>
      <c r="M39" s="91"/>
      <c r="N39" s="91" t="s">
        <v>1629</v>
      </c>
      <c r="O39" s="91" t="s">
        <v>41</v>
      </c>
      <c r="P39" s="91"/>
      <c r="Q39" s="91"/>
      <c r="R39" s="91"/>
      <c r="S39" s="91"/>
      <c r="T39" s="91"/>
      <c r="U39" s="91"/>
      <c r="V39" s="91"/>
      <c r="W39" s="91"/>
      <c r="X39" s="91" t="s">
        <v>680</v>
      </c>
      <c r="Y39" s="91" t="s">
        <v>681</v>
      </c>
      <c r="Z39" s="91"/>
      <c r="AA39" s="91"/>
      <c r="AB39" s="88" t="s">
        <v>976</v>
      </c>
    </row>
    <row r="40" spans="1:28" x14ac:dyDescent="0.2">
      <c r="A40" s="75" t="s">
        <v>282</v>
      </c>
      <c r="B40" s="88"/>
      <c r="C40" s="88"/>
      <c r="D40" s="88"/>
      <c r="E40" s="88"/>
      <c r="F40" s="88"/>
      <c r="G40" s="87" t="s">
        <v>335</v>
      </c>
      <c r="H40" s="91" t="s">
        <v>1577</v>
      </c>
      <c r="I40" s="91" t="s">
        <v>1590</v>
      </c>
      <c r="J40" s="91" t="s">
        <v>885</v>
      </c>
      <c r="K40" s="91"/>
      <c r="L40" s="91" t="s">
        <v>601</v>
      </c>
      <c r="M40" s="91"/>
      <c r="N40" s="91" t="s">
        <v>745</v>
      </c>
      <c r="O40" s="91" t="s">
        <v>41</v>
      </c>
      <c r="P40" s="91"/>
      <c r="Q40" s="91"/>
      <c r="R40" s="91"/>
      <c r="S40" s="91"/>
      <c r="T40" s="91"/>
      <c r="U40" s="91"/>
      <c r="V40" s="91"/>
      <c r="W40" s="91"/>
      <c r="X40" s="91" t="s">
        <v>680</v>
      </c>
      <c r="Y40" s="91" t="s">
        <v>681</v>
      </c>
      <c r="Z40" s="91"/>
      <c r="AA40" s="91"/>
      <c r="AB40" s="88" t="s">
        <v>976</v>
      </c>
    </row>
    <row r="41" spans="1:28" x14ac:dyDescent="0.2">
      <c r="B41" s="88"/>
      <c r="C41" s="88"/>
      <c r="D41" s="88"/>
      <c r="E41" s="88"/>
      <c r="F41" s="88"/>
      <c r="G41" s="87" t="s">
        <v>335</v>
      </c>
      <c r="H41" s="91" t="s">
        <v>1540</v>
      </c>
      <c r="I41" s="91" t="s">
        <v>728</v>
      </c>
      <c r="J41" s="91" t="s">
        <v>886</v>
      </c>
      <c r="K41" s="91"/>
      <c r="L41" s="91">
        <v>3</v>
      </c>
      <c r="M41" s="91"/>
      <c r="N41" s="91" t="s">
        <v>662</v>
      </c>
      <c r="O41" s="91" t="s">
        <v>41</v>
      </c>
      <c r="P41" s="91"/>
      <c r="Q41" s="91"/>
      <c r="R41" s="91"/>
      <c r="S41" s="91"/>
      <c r="T41" s="91"/>
      <c r="U41" s="91"/>
      <c r="V41" s="91"/>
      <c r="W41" s="91"/>
      <c r="X41" s="91" t="s">
        <v>680</v>
      </c>
      <c r="Y41" s="91" t="s">
        <v>681</v>
      </c>
      <c r="Z41" s="91"/>
      <c r="AA41" s="91"/>
      <c r="AB41" s="88"/>
    </row>
    <row r="42" spans="1:28" x14ac:dyDescent="0.2">
      <c r="B42" s="88"/>
      <c r="C42" s="88"/>
      <c r="D42" s="88"/>
      <c r="E42" s="88"/>
      <c r="F42" s="88"/>
      <c r="G42" s="87" t="s">
        <v>335</v>
      </c>
      <c r="H42" s="91" t="s">
        <v>255</v>
      </c>
      <c r="I42" s="91" t="s">
        <v>729</v>
      </c>
      <c r="J42" s="91" t="s">
        <v>887</v>
      </c>
      <c r="K42" s="91"/>
      <c r="L42" s="91">
        <v>3</v>
      </c>
      <c r="M42" s="91"/>
      <c r="N42" s="91">
        <v>12000</v>
      </c>
      <c r="O42" s="91" t="s">
        <v>41</v>
      </c>
      <c r="P42" s="91"/>
      <c r="Q42" s="91"/>
      <c r="R42" s="91"/>
      <c r="S42" s="91"/>
      <c r="T42" s="91"/>
      <c r="U42" s="91"/>
      <c r="V42" s="91"/>
      <c r="W42" s="91"/>
      <c r="X42" s="91" t="s">
        <v>680</v>
      </c>
      <c r="Y42" s="91" t="s">
        <v>681</v>
      </c>
      <c r="Z42" s="91"/>
      <c r="AA42" s="91"/>
      <c r="AB42" s="88" t="s">
        <v>1626</v>
      </c>
    </row>
    <row r="43" spans="1:28" x14ac:dyDescent="0.2">
      <c r="B43" s="88"/>
      <c r="C43" s="88"/>
      <c r="D43" s="88"/>
      <c r="E43" s="88"/>
      <c r="F43" s="88"/>
      <c r="G43" s="87" t="s">
        <v>335</v>
      </c>
      <c r="H43" s="91" t="s">
        <v>256</v>
      </c>
      <c r="I43" s="91" t="s">
        <v>1541</v>
      </c>
      <c r="J43" s="91" t="s">
        <v>1542</v>
      </c>
      <c r="K43" s="91"/>
      <c r="L43" s="91">
        <v>3</v>
      </c>
      <c r="M43" s="91"/>
      <c r="N43" s="91" t="s">
        <v>1543</v>
      </c>
      <c r="O43" s="91" t="s">
        <v>41</v>
      </c>
      <c r="P43" s="91"/>
      <c r="Q43" s="91"/>
      <c r="R43" s="91"/>
      <c r="S43" s="91"/>
      <c r="T43" s="91"/>
      <c r="U43" s="91"/>
      <c r="V43" s="91"/>
      <c r="W43" s="91"/>
      <c r="X43" s="91" t="s">
        <v>680</v>
      </c>
      <c r="Y43" s="91" t="s">
        <v>681</v>
      </c>
      <c r="Z43" s="91"/>
      <c r="AA43" s="91"/>
      <c r="AB43" s="88" t="s">
        <v>1626</v>
      </c>
    </row>
    <row r="44" spans="1:28" x14ac:dyDescent="0.2">
      <c r="B44" s="88"/>
      <c r="C44" s="88"/>
      <c r="D44" s="88"/>
      <c r="E44" s="88"/>
      <c r="F44" s="88"/>
      <c r="G44" s="87" t="s">
        <v>335</v>
      </c>
      <c r="H44" s="91" t="s">
        <v>574</v>
      </c>
      <c r="I44" s="91" t="s">
        <v>578</v>
      </c>
      <c r="J44" s="91" t="s">
        <v>892</v>
      </c>
      <c r="K44" s="91"/>
      <c r="L44" s="91">
        <v>3</v>
      </c>
      <c r="M44" s="91"/>
      <c r="N44" s="91"/>
      <c r="O44" s="91" t="s">
        <v>41</v>
      </c>
      <c r="P44" s="91"/>
      <c r="Q44" s="91"/>
      <c r="R44" s="91"/>
      <c r="S44" s="91"/>
      <c r="T44" s="91"/>
      <c r="U44" s="91"/>
      <c r="V44" s="91"/>
      <c r="W44" s="91"/>
      <c r="X44" s="91" t="s">
        <v>680</v>
      </c>
      <c r="Y44" s="91" t="s">
        <v>681</v>
      </c>
      <c r="Z44" s="91"/>
      <c r="AA44" s="91"/>
      <c r="AB44" s="88" t="s">
        <v>553</v>
      </c>
    </row>
    <row r="45" spans="1:28" x14ac:dyDescent="0.2">
      <c r="B45" s="88"/>
      <c r="C45" s="88"/>
      <c r="D45" s="88"/>
      <c r="E45" s="88"/>
      <c r="F45" s="88"/>
      <c r="G45" s="87" t="s">
        <v>335</v>
      </c>
      <c r="H45" s="91" t="s">
        <v>239</v>
      </c>
      <c r="I45" s="91" t="s">
        <v>442</v>
      </c>
      <c r="J45" s="91" t="s">
        <v>580</v>
      </c>
      <c r="K45" s="91"/>
      <c r="L45" s="91">
        <v>3</v>
      </c>
      <c r="M45" s="91"/>
      <c r="N45" s="91">
        <v>10049</v>
      </c>
      <c r="O45" s="91" t="s">
        <v>41</v>
      </c>
      <c r="P45" s="91"/>
      <c r="Q45" s="91"/>
      <c r="R45" s="91"/>
      <c r="S45" s="91"/>
      <c r="T45" s="91"/>
      <c r="U45" s="91"/>
      <c r="V45" s="91"/>
      <c r="W45" s="91"/>
      <c r="X45" s="91"/>
      <c r="Y45" s="91"/>
      <c r="Z45" s="91"/>
      <c r="AA45" s="91"/>
      <c r="AB45" s="88" t="s">
        <v>663</v>
      </c>
    </row>
    <row r="46" spans="1:28" x14ac:dyDescent="0.2">
      <c r="B46" s="88"/>
      <c r="C46" s="88"/>
      <c r="D46" s="88"/>
      <c r="E46" s="88"/>
      <c r="F46" s="88"/>
      <c r="G46" s="87" t="s">
        <v>228</v>
      </c>
      <c r="H46" s="87" t="s">
        <v>270</v>
      </c>
      <c r="I46" s="88" t="s">
        <v>1478</v>
      </c>
      <c r="J46" s="88" t="s">
        <v>876</v>
      </c>
      <c r="K46" s="88"/>
      <c r="L46" s="88">
        <v>3</v>
      </c>
      <c r="M46" s="88"/>
      <c r="N46" s="88"/>
      <c r="O46" s="87" t="s">
        <v>41</v>
      </c>
      <c r="P46" s="87"/>
      <c r="Q46" s="87"/>
      <c r="R46" s="91"/>
      <c r="S46" s="87"/>
      <c r="T46" s="87"/>
      <c r="U46" s="87"/>
      <c r="V46" s="91"/>
      <c r="W46" s="87"/>
      <c r="X46" s="87"/>
      <c r="Y46" s="91"/>
      <c r="Z46" s="87"/>
      <c r="AA46" s="87"/>
      <c r="AB46" s="88" t="s">
        <v>553</v>
      </c>
    </row>
    <row r="47" spans="1:28" x14ac:dyDescent="0.2">
      <c r="B47" s="88"/>
      <c r="C47" s="88"/>
      <c r="D47" s="88"/>
      <c r="E47" s="88"/>
      <c r="F47" s="88"/>
      <c r="G47" s="87" t="s">
        <v>236</v>
      </c>
      <c r="H47" s="91"/>
      <c r="I47" s="91"/>
      <c r="J47" s="91"/>
      <c r="K47" s="88">
        <v>1</v>
      </c>
      <c r="L47" s="88"/>
      <c r="M47" s="88">
        <v>1</v>
      </c>
      <c r="N47" s="88"/>
      <c r="O47" s="87" t="s">
        <v>40</v>
      </c>
      <c r="P47" s="91"/>
      <c r="Q47" s="91"/>
      <c r="R47" s="91"/>
      <c r="S47" s="87"/>
      <c r="T47" s="87"/>
      <c r="U47" s="87"/>
      <c r="V47" s="91"/>
      <c r="W47" s="87"/>
      <c r="X47" s="87"/>
      <c r="Y47" s="91"/>
      <c r="Z47" s="91"/>
      <c r="AA47" s="91"/>
      <c r="AB47" s="88"/>
    </row>
    <row r="48" spans="1:28" x14ac:dyDescent="0.2">
      <c r="B48" s="88"/>
      <c r="C48" s="88"/>
      <c r="D48" s="88"/>
      <c r="E48" s="88"/>
      <c r="F48" s="88"/>
      <c r="G48" s="87" t="s">
        <v>229</v>
      </c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87"/>
      <c r="T48" s="87"/>
      <c r="U48" s="87"/>
      <c r="V48" s="91"/>
      <c r="W48" s="91"/>
      <c r="X48" s="91"/>
      <c r="Y48" s="91"/>
      <c r="Z48" s="91"/>
      <c r="AA48" s="91"/>
      <c r="AB48" s="88"/>
    </row>
    <row r="62" spans="15:15" x14ac:dyDescent="0.2">
      <c r="O62" s="75" t="s">
        <v>211</v>
      </c>
    </row>
  </sheetData>
  <mergeCells count="10">
    <mergeCell ref="W3:Y3"/>
    <mergeCell ref="Z3:AA3"/>
    <mergeCell ref="B1:G1"/>
    <mergeCell ref="H1:I1"/>
    <mergeCell ref="D3:F3"/>
    <mergeCell ref="G3:H3"/>
    <mergeCell ref="K3:L3"/>
    <mergeCell ref="M3:N3"/>
    <mergeCell ref="P3:Q3"/>
    <mergeCell ref="S3:V3"/>
  </mergeCells>
  <dataValidations count="7">
    <dataValidation type="list" allowBlank="1" showInputMessage="1" showErrorMessage="1" sqref="O47">
      <formula1>"Fail,Pass, "</formula1>
    </dataValidation>
    <dataValidation type="list" allowBlank="1" showInputMessage="1" showErrorMessage="1" sqref="O35 O46 O11 O14:O23 O25:O28 O13">
      <formula1>"All,Fail,None,Pass"</formula1>
    </dataValidation>
    <dataValidation type="list" allowBlank="1" showInputMessage="1" showErrorMessage="1" sqref="S12 S47 S48 S10 S13 S46 S35 S11 S14:S23 S25:S28 S9">
      <formula1>"all,all-active,always,any,any-active,logging,none,none-active,not-logging"</formula1>
    </dataValidation>
    <dataValidation type="list" allowBlank="1" showInputMessage="1" showErrorMessage="1" sqref="W13 T47 W35 W46 T11 T46 T35 T13 T10 T48 T12 T9 W47 T25:T28 T14:T23 W11 W14:W23 W25:W28 W10">
      <formula1>"not"</formula1>
    </dataValidation>
    <dataValidation type="list" allowBlank="1" showInputMessage="1" showErrorMessage="1" sqref="U12 U47 U48 U10 U13 U46 U35 U11 U14:U23 U25:U28 U9">
      <formula1>"bin-set,done,fail,flag-clear,flag-false,flag-true,last-fail,last-pass,pass,site-var&gt;,site-var=,site-var&lt;,sort-set,state-clear,state-false,state-true,step-fail,step-pass,variable-and,variable-exists,variable-equal"</formula1>
    </dataValidation>
    <dataValidation type="list" allowBlank="1" showInputMessage="1" showErrorMessage="1" sqref="X13 X47 X35 X46 X11 X14:X23 X25:X28 X10">
      <formula1>"all,bin-set,done,fail,flag-clear,flag-false,flag-true,last-fail,last-pass,pass,site-var&gt;,site-var=,site-var&lt;,sort-set,state-clear,state-false,state-true,step-fail,step-pass"</formula1>
    </dataValidation>
    <dataValidation type="list" allowBlank="1" showInputMessage="1" showErrorMessage="1" sqref="Z35 Z46 Z11 Z14:Z23 Z25:Z28 Z13">
      <formula1>"Pass,Fail,None"</formula1>
    </dataValidation>
  </dataValidations>
  <pageMargins left="0.7" right="0.7" top="0.75" bottom="0.75" header="0.3" footer="0.3"/>
  <pageSetup orientation="landscape" horizontalDpi="200" verticalDpi="200" r:id="rId1"/>
  <headerFooter>
    <oddHeader>&amp;L&amp;LTeradyne IG-XL</oddHeader>
    <oddFooter>&amp;L&amp;LWorkbook '&amp;F', Sheet '&amp;A'&amp;R&amp;R&amp;D &amp;T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M5"/>
  <sheetViews>
    <sheetView showGridLines="0" workbookViewId="0">
      <pane ySplit="4" topLeftCell="A5" activePane="bottomLeft" state="frozen"/>
      <selection pane="bottomLeft" activeCell="B5" sqref="B5"/>
    </sheetView>
  </sheetViews>
  <sheetFormatPr defaultRowHeight="12.75" x14ac:dyDescent="0.2"/>
  <cols>
    <col min="1" max="1" width="9.140625" style="75"/>
    <col min="2" max="3" width="13.42578125" style="75" customWidth="1"/>
    <col min="4" max="4" width="17.5703125" style="75" customWidth="1"/>
    <col min="5" max="8" width="13.42578125" style="75" customWidth="1"/>
    <col min="9" max="9" width="17.5703125" style="75" customWidth="1"/>
    <col min="10" max="10" width="13.42578125" style="75" customWidth="1"/>
    <col min="11" max="12" width="17.5703125" style="75" customWidth="1"/>
    <col min="13" max="13" width="42.85546875" style="75" customWidth="1"/>
    <col min="14" max="16384" width="9.140625" style="75"/>
  </cols>
  <sheetData>
    <row r="1" spans="1:13" ht="25.5" customHeight="1" x14ac:dyDescent="0.4">
      <c r="A1" s="81" t="s">
        <v>272</v>
      </c>
      <c r="B1" s="82" t="s">
        <v>279</v>
      </c>
      <c r="C1" s="82"/>
      <c r="D1" s="82"/>
      <c r="E1" s="82"/>
      <c r="F1" s="82"/>
      <c r="G1" s="82"/>
    </row>
    <row r="3" spans="1:13" x14ac:dyDescent="0.2">
      <c r="C3" s="77" t="s">
        <v>26</v>
      </c>
      <c r="D3" s="77"/>
      <c r="E3" s="77"/>
      <c r="F3" s="77"/>
      <c r="G3" s="77"/>
      <c r="H3" s="77"/>
      <c r="I3" s="77"/>
      <c r="J3" s="77"/>
      <c r="K3" s="77"/>
      <c r="L3" s="77"/>
    </row>
    <row r="4" spans="1:13" x14ac:dyDescent="0.2">
      <c r="B4" s="78" t="s">
        <v>273</v>
      </c>
      <c r="C4" s="78" t="s">
        <v>5</v>
      </c>
      <c r="D4" s="78" t="s">
        <v>31</v>
      </c>
      <c r="E4" s="78" t="s">
        <v>54</v>
      </c>
      <c r="F4" s="79" t="s">
        <v>25</v>
      </c>
      <c r="G4" s="79" t="s">
        <v>22</v>
      </c>
      <c r="H4" s="79" t="s">
        <v>274</v>
      </c>
      <c r="I4" s="79" t="s">
        <v>275</v>
      </c>
      <c r="J4" s="79" t="s">
        <v>276</v>
      </c>
      <c r="K4" s="79" t="s">
        <v>277</v>
      </c>
      <c r="L4" s="79" t="s">
        <v>278</v>
      </c>
      <c r="M4" s="79" t="s">
        <v>4</v>
      </c>
    </row>
    <row r="5" spans="1:13" x14ac:dyDescent="0.2">
      <c r="B5" s="89" t="s">
        <v>1528</v>
      </c>
      <c r="C5" s="87" t="s">
        <v>1053</v>
      </c>
      <c r="D5" s="87" t="s">
        <v>31</v>
      </c>
      <c r="E5" s="87" t="s">
        <v>54</v>
      </c>
      <c r="F5" s="87"/>
      <c r="G5" s="87" t="s">
        <v>281</v>
      </c>
      <c r="H5" s="87"/>
      <c r="I5" s="87"/>
      <c r="J5" s="87"/>
      <c r="K5" s="87" t="s">
        <v>330</v>
      </c>
      <c r="L5" s="87"/>
      <c r="M5" s="88"/>
    </row>
  </sheetData>
  <mergeCells count="3">
    <mergeCell ref="C3:L3"/>
    <mergeCell ref="B1:E1"/>
    <mergeCell ref="F1:G1"/>
  </mergeCells>
  <pageMargins left="0.7" right="0.7" top="0.75" bottom="0.75" header="0.3" footer="0.3"/>
  <pageSetup orientation="landscape" r:id="rId1"/>
  <headerFooter>
    <oddHeader>&amp;L&amp;LTeradyne IG-XL</oddHeader>
    <oddFooter>&amp;L&amp;LWorkbook '&amp;F', Sheet '&amp;A'&amp;R&amp;R&amp;D &amp;T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F451"/>
  <sheetViews>
    <sheetView workbookViewId="0">
      <selection activeCell="X4" sqref="X4"/>
    </sheetView>
  </sheetViews>
  <sheetFormatPr defaultRowHeight="12.75" x14ac:dyDescent="0.2"/>
  <sheetData>
    <row r="1" spans="1:6" x14ac:dyDescent="0.2">
      <c r="A1" s="49"/>
      <c r="B1" s="51" t="s">
        <v>1461</v>
      </c>
      <c r="C1" s="49"/>
      <c r="D1" s="49"/>
      <c r="E1" s="49"/>
      <c r="F1" s="51" t="s">
        <v>1462</v>
      </c>
    </row>
    <row r="3" spans="1:6" x14ac:dyDescent="0.2">
      <c r="A3" s="49"/>
      <c r="B3" s="53" t="s">
        <v>93</v>
      </c>
      <c r="C3" s="53" t="s">
        <v>1054</v>
      </c>
      <c r="D3" s="53" t="s">
        <v>1055</v>
      </c>
      <c r="E3" s="53" t="s">
        <v>1056</v>
      </c>
      <c r="F3" s="53" t="s">
        <v>1463</v>
      </c>
    </row>
    <row r="4" spans="1:6" x14ac:dyDescent="0.2">
      <c r="A4" s="50" t="s">
        <v>1464</v>
      </c>
      <c r="B4" s="52">
        <v>1.96468177784619E-9</v>
      </c>
      <c r="C4" s="52">
        <v>1.3680126922909564E-9</v>
      </c>
      <c r="D4" s="52">
        <v>7.5612629460141898E-10</v>
      </c>
      <c r="E4" s="52">
        <v>7.395673211730358E-10</v>
      </c>
      <c r="F4" s="49">
        <v>7.3506308721517907E-11</v>
      </c>
    </row>
    <row r="5" spans="1:6" x14ac:dyDescent="0.2">
      <c r="A5" s="49"/>
      <c r="B5" s="52">
        <v>7.5614779155898473E-9</v>
      </c>
      <c r="C5" s="52">
        <v>3.7533317127794322E-9</v>
      </c>
      <c r="D5" s="52">
        <v>1.7062798821909251E-9</v>
      </c>
      <c r="E5" s="52">
        <v>2.9170390507591506E-9</v>
      </c>
      <c r="F5" s="49">
        <v>2.2915914140024154E-9</v>
      </c>
    </row>
    <row r="6" spans="1:6" x14ac:dyDescent="0.2">
      <c r="A6" s="49"/>
      <c r="B6" s="52">
        <v>1.4912108787741656E-8</v>
      </c>
      <c r="C6" s="52">
        <v>8.3047782761979815E-9</v>
      </c>
      <c r="D6" s="52">
        <v>4.5683436060019227E-9</v>
      </c>
      <c r="E6" s="52">
        <v>1.0235405573865141E-8</v>
      </c>
      <c r="F6" s="49">
        <v>4.896551828343932E-9</v>
      </c>
    </row>
    <row r="7" spans="1:6" x14ac:dyDescent="0.2">
      <c r="A7" s="49"/>
      <c r="B7" s="52">
        <v>2.2107989536269213E-8</v>
      </c>
      <c r="C7" s="52">
        <v>1.1399246194669517E-8</v>
      </c>
      <c r="D7" s="52">
        <v>7.9976632030006854E-9</v>
      </c>
      <c r="E7" s="52">
        <v>1.3572477632816645E-8</v>
      </c>
      <c r="F7" s="49">
        <v>7.991554300828906E-9</v>
      </c>
    </row>
    <row r="8" spans="1:6" x14ac:dyDescent="0.2">
      <c r="A8" s="49"/>
      <c r="B8" s="52">
        <v>3.2605206255447415E-8</v>
      </c>
      <c r="C8" s="52">
        <v>1.8168394766325998E-8</v>
      </c>
      <c r="D8" s="52">
        <v>1.1994238673187211E-8</v>
      </c>
      <c r="E8" s="52">
        <v>1.6561669592958529E-8</v>
      </c>
      <c r="F8" s="49">
        <v>1.0222535249745155E-8</v>
      </c>
    </row>
    <row r="9" spans="1:6" x14ac:dyDescent="0.2">
      <c r="A9" s="49"/>
      <c r="B9" s="52">
        <v>4.0626420996637631E-8</v>
      </c>
      <c r="C9" s="52">
        <v>2.199779881543452E-8</v>
      </c>
      <c r="D9" s="52">
        <v>1.5127038154656006E-8</v>
      </c>
      <c r="E9" s="52">
        <v>2.1174302014211954E-8</v>
      </c>
      <c r="F9" s="49">
        <v>1.3124100067699814E-8</v>
      </c>
    </row>
    <row r="10" spans="1:6" x14ac:dyDescent="0.2">
      <c r="A10" s="49"/>
      <c r="B10" s="52">
        <v>4.9576136479573343E-8</v>
      </c>
      <c r="C10" s="52">
        <v>2.6446096448237353E-8</v>
      </c>
      <c r="D10" s="52">
        <v>1.9059152730162108E-8</v>
      </c>
      <c r="E10" s="52">
        <v>2.8879201980439738E-8</v>
      </c>
      <c r="F10" s="49">
        <v>1.746999937281413E-8</v>
      </c>
    </row>
    <row r="11" spans="1:6" x14ac:dyDescent="0.2">
      <c r="A11" s="49"/>
      <c r="B11" s="52">
        <v>5.7558663689857495E-8</v>
      </c>
      <c r="C11" s="52">
        <v>3.1074904709617688E-8</v>
      </c>
      <c r="D11" s="52">
        <v>2.2991267305668207E-8</v>
      </c>
      <c r="E11" s="52">
        <v>3.2731651963553641E-8</v>
      </c>
      <c r="F11" s="49">
        <v>2.0732647812558704E-8</v>
      </c>
    </row>
    <row r="12" spans="1:6" x14ac:dyDescent="0.2">
      <c r="A12" s="49"/>
      <c r="B12" s="52">
        <v>6.3452064231214291E-8</v>
      </c>
      <c r="C12" s="52">
        <v>3.545873426078569E-8</v>
      </c>
      <c r="D12" s="52">
        <v>2.3416709210559034E-8</v>
      </c>
      <c r="E12" s="52">
        <v>3.9238298256103859E-8</v>
      </c>
      <c r="F12" s="49">
        <v>2.5104338804943727E-8</v>
      </c>
    </row>
    <row r="13" spans="1:6" x14ac:dyDescent="0.2">
      <c r="A13" s="49"/>
      <c r="B13" s="52">
        <v>7.1873050125100487E-8</v>
      </c>
      <c r="C13" s="52">
        <v>4.0525925477282831E-8</v>
      </c>
      <c r="D13" s="52">
        <v>2.7335931607129048E-8</v>
      </c>
      <c r="E13" s="52">
        <v>4.3541703922859855E-8</v>
      </c>
      <c r="F13" s="49">
        <v>2.8637799961030738E-8</v>
      </c>
    </row>
    <row r="14" spans="1:6" x14ac:dyDescent="0.2">
      <c r="A14" s="49"/>
      <c r="B14" s="52">
        <v>8.1789953880687745E-8</v>
      </c>
      <c r="C14" s="52">
        <v>4.5103159273355311E-8</v>
      </c>
      <c r="D14" s="52">
        <v>3.1512997582420769E-8</v>
      </c>
      <c r="E14" s="52">
        <v>5.32179244490088E-8</v>
      </c>
      <c r="F14" s="49">
        <v>3.3035282640686465E-8</v>
      </c>
    </row>
    <row r="15" spans="1:6" x14ac:dyDescent="0.2">
      <c r="A15" s="49"/>
      <c r="B15" s="52">
        <v>9.1062065454507314E-8</v>
      </c>
      <c r="C15" s="52">
        <v>5.0776350457219792E-8</v>
      </c>
      <c r="D15" s="52">
        <v>3.5909230599625947E-8</v>
      </c>
      <c r="E15" s="52">
        <v>5.7212103361267347E-8</v>
      </c>
      <c r="F15" s="49">
        <v>3.7742265567590693E-8</v>
      </c>
    </row>
    <row r="16" spans="1:6" x14ac:dyDescent="0.2">
      <c r="A16" s="49"/>
      <c r="B16" s="52">
        <v>1.0451243036618158E-7</v>
      </c>
      <c r="C16" s="52">
        <v>5.7184477771721264E-8</v>
      </c>
      <c r="D16" s="52">
        <v>4.2033015594266594E-8</v>
      </c>
      <c r="E16" s="52">
        <v>6.0948593311444702E-8</v>
      </c>
      <c r="F16" s="49">
        <v>4.0360121825567572E-8</v>
      </c>
    </row>
    <row r="17" spans="2:6" x14ac:dyDescent="0.2">
      <c r="B17" s="52">
        <v>1.1262391601281928E-7</v>
      </c>
      <c r="C17" s="52">
        <v>6.1980903045352139E-8</v>
      </c>
      <c r="D17" s="52">
        <v>4.5539688264881869E-8</v>
      </c>
      <c r="E17" s="52">
        <v>6.5870452487195569E-8</v>
      </c>
      <c r="F17" s="49">
        <v>4.4783396192494006E-8</v>
      </c>
    </row>
    <row r="18" spans="2:6" x14ac:dyDescent="0.2">
      <c r="B18" s="52">
        <v>1.2450098800098038E-7</v>
      </c>
      <c r="C18" s="52">
        <v>6.6944945331233551E-8</v>
      </c>
      <c r="D18" s="52">
        <v>5.0516069334210904E-8</v>
      </c>
      <c r="E18" s="52">
        <v>7.5533788565240457E-8</v>
      </c>
      <c r="F18" s="49">
        <v>5.043177570477908E-8</v>
      </c>
    </row>
    <row r="19" spans="2:6" x14ac:dyDescent="0.2">
      <c r="B19" s="52">
        <v>1.3386337048024741E-7</v>
      </c>
      <c r="C19" s="52">
        <v>7.2579455666117139E-8</v>
      </c>
      <c r="D19" s="52">
        <v>5.49896554250326E-8</v>
      </c>
      <c r="E19" s="52">
        <v>8.0339687708054779E-8</v>
      </c>
      <c r="F19" s="49">
        <v>5.4248945420843877E-8</v>
      </c>
    </row>
    <row r="20" spans="2:6" x14ac:dyDescent="0.2">
      <c r="B20" s="52">
        <v>1.5012502930442888E-7</v>
      </c>
      <c r="C20" s="52">
        <v>7.7414561788728921E-8</v>
      </c>
      <c r="D20" s="52">
        <v>5.6562501255235046E-8</v>
      </c>
      <c r="E20" s="52">
        <v>8.5454813605366536E-8</v>
      </c>
      <c r="F20" s="49">
        <v>5.5551425628014638E-8</v>
      </c>
    </row>
    <row r="21" spans="2:6" x14ac:dyDescent="0.2">
      <c r="B21" s="52">
        <v>1.5983559956185048E-7</v>
      </c>
      <c r="C21" s="52">
        <v>8.2649370017476599E-8</v>
      </c>
      <c r="D21" s="52">
        <v>6.1719372829669273E-8</v>
      </c>
      <c r="E21" s="52">
        <v>9.0273597196284916E-8</v>
      </c>
      <c r="F21" s="49">
        <v>5.9523345467703678E-8</v>
      </c>
    </row>
    <row r="22" spans="2:6" x14ac:dyDescent="0.2">
      <c r="B22" s="52">
        <v>1.7118394196096203E-7</v>
      </c>
      <c r="C22" s="52">
        <v>8.771656123397374E-8</v>
      </c>
      <c r="D22" s="52">
        <v>6.6927813119847842E-8</v>
      </c>
      <c r="E22" s="52">
        <v>1.0054250233522062E-7</v>
      </c>
      <c r="F22" s="49">
        <v>6.5635975350861516E-8</v>
      </c>
    </row>
    <row r="23" spans="2:6" x14ac:dyDescent="0.2">
      <c r="B23" s="52">
        <v>1.8150061686924529E-7</v>
      </c>
      <c r="C23" s="52">
        <v>9.3918390687243761E-8</v>
      </c>
      <c r="D23" s="52">
        <v>7.1672134968327342E-8</v>
      </c>
      <c r="E23" s="52">
        <v>1.049103302424969E-7</v>
      </c>
      <c r="F23" s="49">
        <v>7.0587979306837473E-8</v>
      </c>
    </row>
    <row r="24" spans="2:6" x14ac:dyDescent="0.2">
      <c r="B24" s="52">
        <v>1.9569894071177008E-7</v>
      </c>
      <c r="C24" s="52">
        <v>1.0242817746304049E-7</v>
      </c>
      <c r="D24" s="52">
        <v>7.7976410468073187E-8</v>
      </c>
      <c r="E24" s="52">
        <v>1.0997391834739243E-7</v>
      </c>
      <c r="F24" s="49">
        <v>7.3863523590217397E-8</v>
      </c>
    </row>
    <row r="25" spans="2:6" x14ac:dyDescent="0.2">
      <c r="B25" s="52">
        <v>2.0600271977641796E-7</v>
      </c>
      <c r="C25" s="52">
        <v>1.0763719845913424E-7</v>
      </c>
      <c r="D25" s="52">
        <v>8.3043036789954808E-8</v>
      </c>
      <c r="E25" s="52">
        <v>1.1426443956604435E-7</v>
      </c>
      <c r="F25" s="49">
        <v>7.8880006764370126E-8</v>
      </c>
    </row>
    <row r="26" spans="2:6" x14ac:dyDescent="0.2">
      <c r="B26" s="52">
        <v>2.1781531254640228E-7</v>
      </c>
      <c r="C26" s="52">
        <v>1.1441924064711768E-7</v>
      </c>
      <c r="D26" s="52">
        <v>8.8702703342896385E-8</v>
      </c>
      <c r="E26" s="52">
        <v>1.2564140724192921E-7</v>
      </c>
      <c r="F26" s="49">
        <v>8.5044220022069358E-8</v>
      </c>
    </row>
    <row r="27" spans="2:6" x14ac:dyDescent="0.2">
      <c r="B27" s="52">
        <v>2.2842859185829866E-7</v>
      </c>
      <c r="C27" s="52">
        <v>1.1969272972484628E-7</v>
      </c>
      <c r="D27" s="52">
        <v>9.3292319044142836E-8</v>
      </c>
      <c r="E27" s="52">
        <v>1.3027980855939074E-7</v>
      </c>
      <c r="F27" s="49">
        <v>8.9145098298111942E-8</v>
      </c>
    </row>
    <row r="28" spans="2:6" x14ac:dyDescent="0.2">
      <c r="B28" s="52">
        <v>2.3488940951961102E-7</v>
      </c>
      <c r="C28" s="52">
        <v>1.2319979336578068E-7</v>
      </c>
      <c r="D28" s="52">
        <v>9.414320285392449E-8</v>
      </c>
      <c r="E28" s="52">
        <v>1.3842277976115655E-7</v>
      </c>
      <c r="F28" s="49">
        <v>9.3916560443192942E-8</v>
      </c>
    </row>
    <row r="29" spans="2:6" x14ac:dyDescent="0.2">
      <c r="B29" s="52">
        <v>2.4605721010782768E-7</v>
      </c>
      <c r="C29" s="52">
        <v>1.2913085687618446E-7</v>
      </c>
      <c r="D29" s="52">
        <v>9.9364535323039146E-8</v>
      </c>
      <c r="E29" s="52">
        <v>1.43254447800179E-7</v>
      </c>
      <c r="F29" s="49">
        <v>9.8958835304616371E-8</v>
      </c>
    </row>
    <row r="30" spans="2:6" x14ac:dyDescent="0.2">
      <c r="B30" s="52">
        <v>2.5808903221961297E-7</v>
      </c>
      <c r="C30" s="52">
        <v>1.3601604799478361E-7</v>
      </c>
      <c r="D30" s="52">
        <v>1.059266544015067E-7</v>
      </c>
      <c r="E30" s="52">
        <v>1.5501794891918564E-7</v>
      </c>
      <c r="F30" s="49">
        <v>1.0587100749316615E-7</v>
      </c>
    </row>
    <row r="31" spans="2:6" x14ac:dyDescent="0.2">
      <c r="B31" s="52">
        <v>2.6899891593512249E-7</v>
      </c>
      <c r="C31" s="52">
        <v>1.4149583493374362E-7</v>
      </c>
      <c r="D31" s="52">
        <v>1.1127690865998222E-7</v>
      </c>
      <c r="E31" s="52">
        <v>1.5932135458594162E-7</v>
      </c>
      <c r="F31" s="49">
        <v>1.1043613614008149E-7</v>
      </c>
    </row>
    <row r="32" spans="2:6" x14ac:dyDescent="0.2">
      <c r="B32" s="52">
        <v>2.8275878109404527E-7</v>
      </c>
      <c r="C32" s="52">
        <v>1.4992826001157855E-7</v>
      </c>
      <c r="D32" s="52">
        <v>1.1831603835908493E-7</v>
      </c>
      <c r="E32" s="52">
        <v>1.6371495138942606E-7</v>
      </c>
      <c r="F32" s="49">
        <v>1.148594105070079E-7</v>
      </c>
    </row>
    <row r="33" spans="2:6" x14ac:dyDescent="0.2">
      <c r="B33" s="52">
        <v>2.938105190895437E-7</v>
      </c>
      <c r="C33" s="52">
        <v>1.5665872773425415E-7</v>
      </c>
      <c r="D33" s="52">
        <v>1.2298300713394792E-7</v>
      </c>
      <c r="E33" s="52">
        <v>1.6930680186658801E-7</v>
      </c>
      <c r="F33" s="49">
        <v>1.2014670639750308E-7</v>
      </c>
    </row>
    <row r="34" spans="2:6" x14ac:dyDescent="0.2">
      <c r="B34" s="52">
        <v>3.0653871675763814E-7</v>
      </c>
      <c r="C34" s="52">
        <v>1.6310553589773651E-7</v>
      </c>
      <c r="D34" s="52">
        <v>1.2995767593837019E-7</v>
      </c>
      <c r="E34" s="52">
        <v>1.8054204061332821E-7</v>
      </c>
      <c r="F34" s="49">
        <v>1.2756181648783164E-7</v>
      </c>
    </row>
    <row r="35" spans="2:6" x14ac:dyDescent="0.2">
      <c r="B35" s="52">
        <v>3.1682959997865068E-7</v>
      </c>
      <c r="C35" s="52">
        <v>1.6942340789794922E-7</v>
      </c>
      <c r="D35" s="52">
        <v>1.3501141008131574E-7</v>
      </c>
      <c r="E35" s="52">
        <v>1.8588908657651304E-7</v>
      </c>
      <c r="F35" s="49">
        <v>1.3226879941473586E-7</v>
      </c>
    </row>
    <row r="36" spans="2:6" x14ac:dyDescent="0.2">
      <c r="B36" s="52">
        <v>3.2016962348020738E-7</v>
      </c>
      <c r="C36" s="52">
        <v>1.7098353547351196E-7</v>
      </c>
      <c r="D36" s="52">
        <v>1.4564745770358635E-7</v>
      </c>
      <c r="E36" s="52">
        <v>1.9783296996897651E-7</v>
      </c>
      <c r="F36" s="49">
        <v>1.421728073266878E-7</v>
      </c>
    </row>
    <row r="37" spans="2:6" x14ac:dyDescent="0.2">
      <c r="B37" s="52">
        <v>3.3066684019938558E-7</v>
      </c>
      <c r="C37" s="52">
        <v>1.7749481171862915E-7</v>
      </c>
      <c r="D37" s="52">
        <v>1.5164232090886614E-7</v>
      </c>
      <c r="E37" s="52">
        <v>2.0213637563573252E-7</v>
      </c>
      <c r="F37" s="49">
        <v>1.4725376971901727E-7</v>
      </c>
    </row>
    <row r="38" spans="2:6" x14ac:dyDescent="0.2">
      <c r="B38" s="52">
        <v>3.4389797576925882E-7</v>
      </c>
      <c r="C38" s="52">
        <v>1.8417370497599687E-7</v>
      </c>
      <c r="D38" s="52">
        <v>1.5765007629308203E-7</v>
      </c>
      <c r="E38" s="52">
        <v>2.1458275250425431E-7</v>
      </c>
      <c r="F38" s="49">
        <v>1.5359852478761146E-7</v>
      </c>
    </row>
    <row r="39" spans="2:6" x14ac:dyDescent="0.2">
      <c r="B39" s="52">
        <v>3.5583952697559668E-7</v>
      </c>
      <c r="C39" s="52">
        <v>1.9029817273130513E-7</v>
      </c>
      <c r="D39" s="52">
        <v>1.6401881268750828E-7</v>
      </c>
      <c r="E39" s="52">
        <v>2.1956903392052548E-7</v>
      </c>
      <c r="F39" s="49">
        <v>1.5998196738711173E-7</v>
      </c>
    </row>
    <row r="40" spans="2:6" x14ac:dyDescent="0.2">
      <c r="B40" s="52">
        <v>3.6998626744358004E-7</v>
      </c>
      <c r="C40" s="52">
        <v>1.9910451268262204E-7</v>
      </c>
      <c r="D40" s="52">
        <v>1.7161230608086268E-7</v>
      </c>
      <c r="E40" s="52">
        <v>2.2425897303040327E-7</v>
      </c>
      <c r="F40" s="49">
        <v>1.6543690924486647E-7</v>
      </c>
    </row>
    <row r="41" spans="2:6" x14ac:dyDescent="0.2">
      <c r="B41" s="52">
        <v>3.8212125630444824E-7</v>
      </c>
      <c r="C41" s="52">
        <v>2.0542238468283475E-7</v>
      </c>
      <c r="D41" s="52">
        <v>1.7768452235975899E-7</v>
      </c>
      <c r="E41" s="52">
        <v>2.2919371665425818E-7</v>
      </c>
      <c r="F41" s="49">
        <v>1.7036312151357174E-7</v>
      </c>
    </row>
    <row r="42" spans="2:6" x14ac:dyDescent="0.2">
      <c r="B42" s="52">
        <v>3.9539107940522754E-7</v>
      </c>
      <c r="C42" s="52">
        <v>2.1362272466678432E-7</v>
      </c>
      <c r="D42" s="52">
        <v>1.8418218054354612E-7</v>
      </c>
      <c r="E42" s="52">
        <v>2.4149836459363529E-7</v>
      </c>
      <c r="F42" s="49">
        <v>1.7763637732391142E-7</v>
      </c>
    </row>
    <row r="43" spans="2:6" x14ac:dyDescent="0.2">
      <c r="B43" s="52">
        <v>4.0578512937532289E-7</v>
      </c>
      <c r="C43" s="52">
        <v>2.200308519812858E-7</v>
      </c>
      <c r="D43" s="52">
        <v>1.9111817281116017E-7</v>
      </c>
      <c r="E43" s="52">
        <v>2.4727059734425416E-7</v>
      </c>
      <c r="F43" s="49">
        <v>1.82975256588948E-7</v>
      </c>
    </row>
    <row r="44" spans="2:6" x14ac:dyDescent="0.2">
      <c r="B44" s="52">
        <v>4.1267150987660194E-7</v>
      </c>
      <c r="C44" s="52">
        <v>2.2415680920591449E-7</v>
      </c>
      <c r="D44" s="52">
        <v>1.9122131024264884E-7</v>
      </c>
      <c r="E44" s="52">
        <v>2.5569702640430927E-7</v>
      </c>
      <c r="F44" s="49">
        <v>1.8934580334481291E-7</v>
      </c>
    </row>
    <row r="45" spans="2:6" x14ac:dyDescent="0.2">
      <c r="B45" s="52">
        <v>4.2254972610128316E-7</v>
      </c>
      <c r="C45" s="52">
        <v>2.3118383010411028E-7</v>
      </c>
      <c r="D45" s="52">
        <v>1.9782210585792465E-7</v>
      </c>
      <c r="E45" s="52">
        <v>2.6118580129663876E-7</v>
      </c>
      <c r="F45" s="49">
        <v>1.9496839116982727E-7</v>
      </c>
    </row>
    <row r="46" spans="2:6" x14ac:dyDescent="0.2">
      <c r="B46" s="52">
        <v>4.3802473846370806E-7</v>
      </c>
      <c r="C46" s="52">
        <v>2.3846872332884531E-7</v>
      </c>
      <c r="D46" s="52">
        <v>2.0511907913574909E-7</v>
      </c>
      <c r="E46" s="52">
        <v>2.7289776462322916E-7</v>
      </c>
      <c r="F46" s="49">
        <v>2.0229323035470837E-7</v>
      </c>
    </row>
    <row r="47" spans="2:6" x14ac:dyDescent="0.2">
      <c r="B47" s="52">
        <v>4.4854774687015695E-7</v>
      </c>
      <c r="C47" s="52">
        <v>2.4481238256171196E-7</v>
      </c>
      <c r="D47" s="52">
        <v>2.1102369708847628E-7</v>
      </c>
      <c r="E47" s="52">
        <v>2.7928845088284285E-7</v>
      </c>
      <c r="F47" s="49">
        <v>2.0826400595787728E-7</v>
      </c>
    </row>
    <row r="48" spans="2:6" x14ac:dyDescent="0.2">
      <c r="B48" s="52">
        <v>4.6400986338894643E-7</v>
      </c>
      <c r="C48" s="52">
        <v>2.5408289270079961E-7</v>
      </c>
      <c r="D48" s="52">
        <v>2.1960988825990926E-7</v>
      </c>
      <c r="E48" s="52">
        <v>2.8386242995978407E-7</v>
      </c>
      <c r="F48" s="49">
        <v>2.1275175954298049E-7</v>
      </c>
    </row>
    <row r="49" spans="2:6" x14ac:dyDescent="0.2">
      <c r="B49" s="52">
        <v>4.768670194933943E-7</v>
      </c>
      <c r="C49" s="52">
        <v>2.6011710514181911E-7</v>
      </c>
      <c r="D49" s="52">
        <v>2.259141637596551E-7</v>
      </c>
      <c r="E49" s="52">
        <v>2.9025311621939781E-7</v>
      </c>
      <c r="F49" s="49">
        <v>2.1948338992063531E-7</v>
      </c>
    </row>
    <row r="50" spans="2:6" x14ac:dyDescent="0.2">
      <c r="B50" s="52">
        <v>4.8821536189250598E-7</v>
      </c>
      <c r="C50" s="52">
        <v>2.6791774301963274E-7</v>
      </c>
      <c r="D50" s="52">
        <v>2.329017247430135E-7</v>
      </c>
      <c r="E50" s="52">
        <v>3.0251911081446272E-7</v>
      </c>
      <c r="F50" s="49">
        <v>2.2720800025821239E-7</v>
      </c>
    </row>
    <row r="51" spans="2:6" x14ac:dyDescent="0.2">
      <c r="B51" s="52">
        <v>4.9958949597888819E-7</v>
      </c>
      <c r="C51" s="52">
        <v>2.7595046599133176E-7</v>
      </c>
      <c r="D51" s="52">
        <v>2.3903840191659026E-7</v>
      </c>
      <c r="E51" s="52">
        <v>3.0731212550917299E-7</v>
      </c>
      <c r="F51" s="49">
        <v>2.3324325507955809E-7</v>
      </c>
    </row>
    <row r="52" spans="2:6" x14ac:dyDescent="0.2">
      <c r="B52" s="52">
        <v>5.2039049176271426E-7</v>
      </c>
      <c r="C52" s="52">
        <v>2.810950189057907E-7</v>
      </c>
      <c r="D52" s="52">
        <v>2.4159105334593518E-7</v>
      </c>
      <c r="E52" s="52">
        <v>3.1412799855622066E-7</v>
      </c>
      <c r="F52" s="49">
        <v>2.3334642182864089E-7</v>
      </c>
    </row>
    <row r="53" spans="2:6" x14ac:dyDescent="0.2">
      <c r="B53" s="52">
        <v>5.3168725078728446E-7</v>
      </c>
      <c r="C53" s="52">
        <v>2.873484228243686E-7</v>
      </c>
      <c r="D53" s="52">
        <v>2.4842390818206056E-7</v>
      </c>
      <c r="E53" s="52">
        <v>3.2117579166914142E-7</v>
      </c>
      <c r="F53" s="49">
        <v>2.3978144780268257E-7</v>
      </c>
    </row>
    <row r="54" spans="2:6" x14ac:dyDescent="0.2">
      <c r="B54" s="52">
        <v>5.4520209491713547E-7</v>
      </c>
      <c r="C54" s="52">
        <v>2.9450437988583399E-7</v>
      </c>
      <c r="D54" s="52">
        <v>2.5569509710201278E-7</v>
      </c>
      <c r="E54" s="52">
        <v>3.3270737272227496E-7</v>
      </c>
      <c r="F54" s="49">
        <v>2.4804768357294453E-7</v>
      </c>
    </row>
    <row r="55" spans="2:6" x14ac:dyDescent="0.2">
      <c r="B55" s="52">
        <v>5.5607329110173888E-7</v>
      </c>
      <c r="C55" s="52">
        <v>3.0128642207381745E-7</v>
      </c>
      <c r="D55" s="52">
        <v>2.6219275528579991E-7</v>
      </c>
      <c r="E55" s="52">
        <v>3.3844095212858158E-7</v>
      </c>
      <c r="F55" s="49">
        <v>2.5431506357972661E-7</v>
      </c>
    </row>
    <row r="56" spans="2:6" x14ac:dyDescent="0.2">
      <c r="B56" s="52">
        <v>5.7388245116216287E-7</v>
      </c>
      <c r="C56" s="52">
        <v>3.1188497469458248E-7</v>
      </c>
      <c r="D56" s="52">
        <v>2.7016012186830083E-7</v>
      </c>
      <c r="E56" s="52">
        <v>3.4396838036522327E-7</v>
      </c>
      <c r="F56" s="49">
        <v>2.592541716920672E-7</v>
      </c>
    </row>
    <row r="57" spans="2:6" x14ac:dyDescent="0.2">
      <c r="B57" s="52">
        <v>5.847020639722249E-7</v>
      </c>
      <c r="C57" s="52">
        <v>3.1995637851526238E-7</v>
      </c>
      <c r="D57" s="52">
        <v>2.777793996195274E-7</v>
      </c>
      <c r="E57" s="52">
        <v>3.4829755492818742E-7</v>
      </c>
      <c r="F57" s="49">
        <v>2.656118226042967E-7</v>
      </c>
    </row>
    <row r="58" spans="2:6" x14ac:dyDescent="0.2">
      <c r="B58" s="52">
        <v>5.9806215797845179E-7</v>
      </c>
      <c r="C58" s="52">
        <v>3.2553931438483813E-7</v>
      </c>
      <c r="D58" s="52">
        <v>2.8472828406607752E-7</v>
      </c>
      <c r="E58" s="52">
        <v>3.6104027410310259E-7</v>
      </c>
      <c r="F58" s="49">
        <v>2.7343959969095666E-7</v>
      </c>
    </row>
    <row r="59" spans="2:6" x14ac:dyDescent="0.2">
      <c r="B59" s="52">
        <v>6.1116433511197149E-7</v>
      </c>
      <c r="C59" s="52">
        <v>3.3322390971570907E-7</v>
      </c>
      <c r="D59" s="52">
        <v>2.9141932493390595E-7</v>
      </c>
      <c r="E59" s="52">
        <v>3.6795922273498272E-7</v>
      </c>
      <c r="F59" s="49">
        <v>2.7979725060318617E-7</v>
      </c>
    </row>
    <row r="60" spans="2:6" x14ac:dyDescent="0.2">
      <c r="B60" s="52">
        <v>6.1545865104254436E-7</v>
      </c>
      <c r="C60" s="52">
        <v>3.3751748395258834E-7</v>
      </c>
      <c r="D60" s="52">
        <v>2.9310820037453313E-7</v>
      </c>
      <c r="E60" s="52">
        <v>3.75548162668274E-7</v>
      </c>
      <c r="F60" s="49">
        <v>2.8584540126816727E-7</v>
      </c>
    </row>
    <row r="61" spans="2:6" x14ac:dyDescent="0.2">
      <c r="B61" s="52">
        <v>6.2896059932876011E-7</v>
      </c>
      <c r="C61" s="52">
        <v>3.4432531337322575E-7</v>
      </c>
      <c r="D61" s="52">
        <v>2.9994105521065846E-7</v>
      </c>
      <c r="E61" s="52">
        <v>3.8317575594587738E-7</v>
      </c>
      <c r="F61" s="49">
        <v>2.9283494851852918E-7</v>
      </c>
    </row>
    <row r="62" spans="2:6" x14ac:dyDescent="0.2">
      <c r="B62" s="52">
        <v>6.4250123514588175E-7</v>
      </c>
      <c r="C62" s="52">
        <v>3.528995682306573E-7</v>
      </c>
      <c r="D62" s="52">
        <v>3.0690283183614468E-7</v>
      </c>
      <c r="E62" s="52">
        <v>3.9582828398406417E-7</v>
      </c>
      <c r="F62" s="49">
        <v>3.0055955885610623E-7</v>
      </c>
    </row>
    <row r="63" spans="2:6" x14ac:dyDescent="0.2">
      <c r="B63" s="52">
        <v>6.5397853598134693E-7</v>
      </c>
      <c r="C63" s="52">
        <v>3.6001684444314181E-7</v>
      </c>
      <c r="D63" s="52">
        <v>3.1387750064056701E-7</v>
      </c>
      <c r="E63" s="52">
        <v>4.0117532994724901E-7</v>
      </c>
      <c r="F63" s="49">
        <v>3.0682693886288825E-7</v>
      </c>
    </row>
    <row r="64" spans="2:6" x14ac:dyDescent="0.2">
      <c r="B64" s="52">
        <v>6.6870558941292125E-7</v>
      </c>
      <c r="C64" s="52">
        <v>3.6918420565161375E-7</v>
      </c>
      <c r="D64" s="52">
        <v>3.2233477002263912E-7</v>
      </c>
      <c r="E64" s="52">
        <v>4.0554315785452531E-7</v>
      </c>
      <c r="F64" s="49">
        <v>3.1226898487700769E-7</v>
      </c>
    </row>
    <row r="65" spans="1:6" x14ac:dyDescent="0.2">
      <c r="A65" s="49"/>
      <c r="B65" s="52">
        <v>6.8292970494271678E-7</v>
      </c>
      <c r="C65" s="52">
        <v>3.7712667330902403E-7</v>
      </c>
      <c r="D65" s="52">
        <v>3.2978644944769659E-7</v>
      </c>
      <c r="E65" s="52">
        <v>4.1287440882573533E-7</v>
      </c>
      <c r="F65" s="49">
        <v>3.1994201184004337E-7</v>
      </c>
    </row>
    <row r="66" spans="1:6" x14ac:dyDescent="0.2">
      <c r="A66" s="49"/>
      <c r="B66" s="52">
        <v>6.9413619306183939E-7</v>
      </c>
      <c r="C66" s="52">
        <v>3.8348322615821759E-7</v>
      </c>
      <c r="D66" s="52">
        <v>3.3829528754551305E-7</v>
      </c>
      <c r="E66" s="52">
        <v>4.2496002114734348E-7</v>
      </c>
      <c r="F66" s="49">
        <v>3.2684128818495779E-7</v>
      </c>
    </row>
    <row r="67" spans="1:6" x14ac:dyDescent="0.2">
      <c r="A67" s="49"/>
      <c r="B67" s="52">
        <v>7.0623249439180148E-7</v>
      </c>
      <c r="C67" s="52">
        <v>3.9016211941558534E-7</v>
      </c>
      <c r="D67" s="52">
        <v>3.4449642561377023E-7</v>
      </c>
      <c r="E67" s="52">
        <v>4.3052610272829732E-7</v>
      </c>
      <c r="F67" s="49">
        <v>3.341016481516621E-7</v>
      </c>
    </row>
    <row r="68" spans="1:6" x14ac:dyDescent="0.2">
      <c r="A68" s="50" t="s">
        <v>1465</v>
      </c>
      <c r="B68" s="52">
        <v>7.1738739913638282E-7</v>
      </c>
      <c r="C68" s="52">
        <v>3.9680233182397215E-7</v>
      </c>
      <c r="D68" s="52">
        <v>3.5977365765303162E-7</v>
      </c>
      <c r="E68" s="52">
        <v>4.4276632842715417E-7</v>
      </c>
      <c r="F68" s="49">
        <v>3.4977009816861729E-7</v>
      </c>
    </row>
    <row r="69" spans="1:6" x14ac:dyDescent="0.2">
      <c r="A69" s="49"/>
      <c r="B69" s="52">
        <v>7.3067011808079749E-7</v>
      </c>
      <c r="C69" s="52">
        <v>4.0308152297520401E-7</v>
      </c>
      <c r="D69" s="52">
        <v>3.6582008957405576E-7</v>
      </c>
      <c r="E69" s="52">
        <v>4.4945335699316126E-7</v>
      </c>
      <c r="F69" s="49">
        <v>3.5541847768090233E-7</v>
      </c>
    </row>
    <row r="70" spans="1:6" x14ac:dyDescent="0.2">
      <c r="A70" s="49"/>
      <c r="B70" s="52">
        <v>7.4332094068707976E-7</v>
      </c>
      <c r="C70" s="52">
        <v>4.1054692682851654E-7</v>
      </c>
      <c r="D70" s="52">
        <v>3.7430314331400007E-7</v>
      </c>
      <c r="E70" s="52">
        <v>4.6253107181878198E-7</v>
      </c>
      <c r="F70" s="49">
        <v>3.6346548410936327E-7</v>
      </c>
    </row>
    <row r="71" spans="1:6" x14ac:dyDescent="0.2">
      <c r="A71" s="49"/>
      <c r="B71" s="52">
        <v>7.5620388847879837E-7</v>
      </c>
      <c r="C71" s="52">
        <v>4.1881173489410095E-7</v>
      </c>
      <c r="D71" s="52">
        <v>3.8139384172884714E-7</v>
      </c>
      <c r="E71" s="52">
        <v>4.6902483366322818E-7</v>
      </c>
      <c r="F71" s="49">
        <v>3.7045503135972518E-7</v>
      </c>
    </row>
    <row r="72" spans="1:6" x14ac:dyDescent="0.2">
      <c r="A72" s="49"/>
      <c r="B72" s="52">
        <v>7.7340694388836081E-7</v>
      </c>
      <c r="C72" s="52">
        <v>4.296165853760974E-7</v>
      </c>
      <c r="D72" s="52">
        <v>3.9022498430006575E-7</v>
      </c>
      <c r="E72" s="52">
        <v>4.742688040415805E-7</v>
      </c>
      <c r="F72" s="49">
        <v>3.751878059739001E-7</v>
      </c>
    </row>
    <row r="73" spans="1:6" x14ac:dyDescent="0.2">
      <c r="A73" s="49"/>
      <c r="B73" s="52">
        <v>7.8743762176362589E-7</v>
      </c>
      <c r="C73" s="52">
        <v>4.3464509574361365E-7</v>
      </c>
      <c r="D73" s="52">
        <v>3.9923661737638955E-7</v>
      </c>
      <c r="E73" s="52">
        <v>4.7895874315145832E-7</v>
      </c>
      <c r="F73" s="49">
        <v>3.8273187450058224E-7</v>
      </c>
    </row>
    <row r="74" spans="1:6" x14ac:dyDescent="0.2">
      <c r="A74" s="49"/>
      <c r="B74" s="52">
        <v>7.9829592210459414E-7</v>
      </c>
      <c r="C74" s="52">
        <v>4.4262624425000481E-7</v>
      </c>
      <c r="D74" s="52">
        <v>4.0525726493954154E-7</v>
      </c>
      <c r="E74" s="52">
        <v>4.9430412084339355E-7</v>
      </c>
      <c r="F74" s="49">
        <v>3.9027594302726432E-7</v>
      </c>
    </row>
    <row r="75" spans="1:6" x14ac:dyDescent="0.2">
      <c r="A75" s="49"/>
      <c r="B75" s="52">
        <v>8.0875445129286623E-7</v>
      </c>
      <c r="C75" s="52">
        <v>4.4933092474002646E-7</v>
      </c>
      <c r="D75" s="52">
        <v>4.1252845385949381E-7</v>
      </c>
      <c r="E75" s="52">
        <v>4.9953520677364195E-7</v>
      </c>
      <c r="F75" s="49">
        <v>3.9587273916500799E-7</v>
      </c>
    </row>
    <row r="76" spans="1:6" x14ac:dyDescent="0.2">
      <c r="A76" s="49"/>
      <c r="B76" s="52">
        <v>8.1843922986301707E-7</v>
      </c>
      <c r="C76" s="52">
        <v>4.5536513718104596E-7</v>
      </c>
      <c r="D76" s="52">
        <v>4.1317306280629805E-7</v>
      </c>
      <c r="E76" s="52">
        <v>5.0703395557020469E-7</v>
      </c>
      <c r="F76" s="49">
        <v>4.0305572406990019E-7</v>
      </c>
    </row>
    <row r="77" spans="1:6" x14ac:dyDescent="0.2">
      <c r="A77" s="49"/>
      <c r="B77" s="52">
        <v>8.2894934242583064E-7</v>
      </c>
      <c r="C77" s="52">
        <v>4.6320445590784052E-7</v>
      </c>
      <c r="D77" s="52">
        <v>4.2129513553603196E-7</v>
      </c>
      <c r="E77" s="52">
        <v>5.1458424215918378E-7</v>
      </c>
      <c r="F77" s="49">
        <v>4.1038056325478129E-7</v>
      </c>
    </row>
    <row r="78" spans="1:6" x14ac:dyDescent="0.2">
      <c r="A78" s="49"/>
      <c r="B78" s="52">
        <v>8.4419222960281914E-7</v>
      </c>
      <c r="C78" s="52">
        <v>4.700896470264397E-7</v>
      </c>
      <c r="D78" s="52">
        <v>4.3039701386490837E-7</v>
      </c>
      <c r="E78" s="52">
        <v>5.27326961334099E-7</v>
      </c>
      <c r="F78" s="49">
        <v>4.1916263277045743E-7</v>
      </c>
    </row>
    <row r="79" spans="1:6" x14ac:dyDescent="0.2">
      <c r="A79" s="49"/>
      <c r="B79" s="52">
        <v>8.5686884389637215E-7</v>
      </c>
      <c r="C79" s="52">
        <v>4.7831577424304317E-7</v>
      </c>
      <c r="D79" s="52">
        <v>4.3792604636358234E-7</v>
      </c>
      <c r="E79" s="52">
        <v>5.3384649207475326E-7</v>
      </c>
      <c r="F79" s="49">
        <v>4.2478522059547179E-7</v>
      </c>
    </row>
    <row r="80" spans="1:6" x14ac:dyDescent="0.2">
      <c r="A80" s="49"/>
      <c r="B80" s="52">
        <v>8.7169906407702933E-7</v>
      </c>
      <c r="C80" s="52">
        <v>4.8914641195769358E-7</v>
      </c>
      <c r="D80" s="52">
        <v>4.4674429675586489E-7</v>
      </c>
      <c r="E80" s="52">
        <v>5.3679703069058301E-7</v>
      </c>
      <c r="F80" s="49">
        <v>4.3198110134399935E-7</v>
      </c>
    </row>
    <row r="81" spans="2:6" x14ac:dyDescent="0.2">
      <c r="B81" s="52">
        <v>8.8491730380326715E-7</v>
      </c>
      <c r="C81" s="52">
        <v>4.9490985845584686E-7</v>
      </c>
      <c r="D81" s="52">
        <v>4.5258445381391163E-7</v>
      </c>
      <c r="E81" s="52">
        <v>5.4358713484142251E-7</v>
      </c>
      <c r="F81" s="49">
        <v>4.3938331559069252E-7</v>
      </c>
    </row>
    <row r="82" spans="2:6" x14ac:dyDescent="0.2">
      <c r="B82" s="52">
        <v>8.9857400221310713E-7</v>
      </c>
      <c r="C82" s="52">
        <v>5.0312309205612336E-7</v>
      </c>
      <c r="D82" s="52">
        <v>4.6229226455278413E-7</v>
      </c>
      <c r="E82" s="52">
        <v>5.5738637876087062E-7</v>
      </c>
      <c r="F82" s="49">
        <v>4.4748190539369489E-7</v>
      </c>
    </row>
    <row r="83" spans="2:6" x14ac:dyDescent="0.2">
      <c r="B83" s="52">
        <v>9.1068319938670459E-7</v>
      </c>
      <c r="C83" s="52">
        <v>5.1057560229310902E-7</v>
      </c>
      <c r="D83" s="52">
        <v>4.6820977468444736E-7</v>
      </c>
      <c r="E83" s="52">
        <v>5.6400898508635734E-7</v>
      </c>
      <c r="F83" s="49">
        <v>4.5469068198585782E-7</v>
      </c>
    </row>
    <row r="84" spans="2:6" x14ac:dyDescent="0.2">
      <c r="B84" s="52">
        <v>9.3067175702150339E-7</v>
      </c>
      <c r="C84" s="52">
        <v>5.1795075083213281E-7</v>
      </c>
      <c r="D84" s="52">
        <v>4.6939585514656725E-7</v>
      </c>
      <c r="E84" s="52">
        <v>5.6947199108247872E-7</v>
      </c>
      <c r="F84" s="49">
        <v>4.569474546220448E-7</v>
      </c>
    </row>
    <row r="85" spans="2:6" x14ac:dyDescent="0.2">
      <c r="B85" s="52">
        <v>9.4283253756964223E-7</v>
      </c>
      <c r="C85" s="52">
        <v>5.2363683563232423E-7</v>
      </c>
      <c r="D85" s="52">
        <v>4.7758238877098162E-7</v>
      </c>
      <c r="E85" s="52">
        <v>5.7563075727621937E-7</v>
      </c>
      <c r="F85" s="49">
        <v>4.6264741750887127E-7</v>
      </c>
    </row>
    <row r="86" spans="2:6" x14ac:dyDescent="0.2">
      <c r="B86" s="52">
        <v>9.5683742375763667E-7</v>
      </c>
      <c r="C86" s="52">
        <v>5.3071543099582786E-7</v>
      </c>
      <c r="D86" s="52">
        <v>4.881281911406996E-7</v>
      </c>
      <c r="E86" s="52">
        <v>5.9012576139328675E-7</v>
      </c>
      <c r="F86" s="49">
        <v>4.7212586258085645E-7</v>
      </c>
    </row>
    <row r="87" spans="2:6" x14ac:dyDescent="0.2">
      <c r="B87" s="52">
        <v>9.7002987179660385E-7</v>
      </c>
      <c r="C87" s="52">
        <v>5.3983121773899194E-7</v>
      </c>
      <c r="D87" s="52">
        <v>4.9577325324979832E-7</v>
      </c>
      <c r="E87" s="52">
        <v>5.9661952323773284E-7</v>
      </c>
      <c r="F87" s="49">
        <v>4.797473061693508E-7</v>
      </c>
    </row>
    <row r="88" spans="2:6" x14ac:dyDescent="0.2">
      <c r="B88" s="52">
        <v>9.8426688317003496E-7</v>
      </c>
      <c r="C88" s="52">
        <v>5.4947564275156158E-7</v>
      </c>
      <c r="D88" s="52">
        <v>5.0682185059802371E-7</v>
      </c>
      <c r="E88" s="52">
        <v>6.0047197322084668E-7</v>
      </c>
      <c r="F88" s="49">
        <v>4.8502170621621054E-7</v>
      </c>
    </row>
    <row r="89" spans="2:6" x14ac:dyDescent="0.2">
      <c r="B89" s="52">
        <v>9.9833624857620605E-7</v>
      </c>
      <c r="C89" s="52">
        <v>5.5699262107018202E-7</v>
      </c>
      <c r="D89" s="52">
        <v>5.1187558474096925E-7</v>
      </c>
      <c r="E89" s="52">
        <v>6.0755841967807968E-7</v>
      </c>
      <c r="F89" s="49">
        <v>4.9292685836468262E-7</v>
      </c>
    </row>
    <row r="90" spans="2:6" x14ac:dyDescent="0.2">
      <c r="B90" s="52">
        <v>1.0131793646004987E-6</v>
      </c>
      <c r="C90" s="52">
        <v>5.6572159932353709E-7</v>
      </c>
      <c r="D90" s="52">
        <v>5.2059069770176306E-7</v>
      </c>
      <c r="E90" s="52">
        <v>6.2093247681009376E-7</v>
      </c>
      <c r="F90" s="49">
        <v>5.0056119779681224E-7</v>
      </c>
    </row>
    <row r="91" spans="2:6" x14ac:dyDescent="0.2">
      <c r="B91" s="52">
        <v>1.0246695612795991E-6</v>
      </c>
      <c r="C91" s="52">
        <v>5.7398640738912149E-7</v>
      </c>
      <c r="D91" s="52">
        <v>5.2772007265341838E-7</v>
      </c>
      <c r="E91" s="52">
        <v>6.2566106926428372E-7</v>
      </c>
      <c r="F91" s="49">
        <v>5.0957539249792467E-7</v>
      </c>
    </row>
    <row r="92" spans="2:6" x14ac:dyDescent="0.2">
      <c r="B92" s="52">
        <v>1.032793942769872E-6</v>
      </c>
      <c r="C92" s="52">
        <v>5.7914385391990736E-7</v>
      </c>
      <c r="D92" s="52">
        <v>5.2991174307255296E-7</v>
      </c>
      <c r="E92" s="52">
        <v>6.3627785450202899E-7</v>
      </c>
      <c r="F92" s="49">
        <v>5.1386970842849754E-7</v>
      </c>
    </row>
    <row r="93" spans="2:6" x14ac:dyDescent="0.2">
      <c r="B93" s="52">
        <v>1.0457671614670383E-6</v>
      </c>
      <c r="C93" s="52">
        <v>5.8752470453243446E-7</v>
      </c>
      <c r="D93" s="52">
        <v>5.3940038676951185E-7</v>
      </c>
      <c r="E93" s="52">
        <v>6.412770203664043E-7</v>
      </c>
      <c r="F93" s="49">
        <v>5.2137508942427356E-7</v>
      </c>
    </row>
    <row r="94" spans="2:6" x14ac:dyDescent="0.2">
      <c r="B94" s="52">
        <v>1.0568317953061719E-6</v>
      </c>
      <c r="C94" s="52">
        <v>5.9500300200207397E-7</v>
      </c>
      <c r="D94" s="52">
        <v>5.4499559242777299E-7</v>
      </c>
      <c r="E94" s="52">
        <v>6.5548856662518225E-7</v>
      </c>
      <c r="F94" s="49">
        <v>5.3019584647085576E-7</v>
      </c>
    </row>
    <row r="95" spans="2:6" x14ac:dyDescent="0.2">
      <c r="B95" s="52">
        <v>1.0711332858977797E-6</v>
      </c>
      <c r="C95" s="52">
        <v>6.022492143778282E-7</v>
      </c>
      <c r="D95" s="52">
        <v>5.535946757781421E-7</v>
      </c>
      <c r="E95" s="52">
        <v>6.6137675940873755E-7</v>
      </c>
      <c r="F95" s="49">
        <v>5.3942927051376927E-7</v>
      </c>
    </row>
    <row r="96" spans="2:6" x14ac:dyDescent="0.2">
      <c r="B96" s="52">
        <v>1.0876786532819389E-6</v>
      </c>
      <c r="C96" s="52">
        <v>6.1243517127613026E-7</v>
      </c>
      <c r="D96" s="52">
        <v>5.631477803697815E-7</v>
      </c>
      <c r="E96" s="52">
        <v>6.6767725453162292E-7</v>
      </c>
      <c r="F96" s="49">
        <v>5.439943991606846E-7</v>
      </c>
    </row>
    <row r="97" spans="2:6" x14ac:dyDescent="0.2">
      <c r="B97" s="52">
        <v>1.0985240577792717E-6</v>
      </c>
      <c r="C97" s="52">
        <v>6.2152517078664049E-7</v>
      </c>
      <c r="D97" s="52">
        <v>5.7136009835206801E-7</v>
      </c>
      <c r="E97" s="52">
        <v>6.7444158978625435E-7</v>
      </c>
      <c r="F97" s="49">
        <v>5.5153846768736673E-7</v>
      </c>
    </row>
    <row r="98" spans="2:6" x14ac:dyDescent="0.2">
      <c r="B98" s="52">
        <v>1.1144246329816632E-6</v>
      </c>
      <c r="C98" s="52">
        <v>6.3065385114613144E-7</v>
      </c>
      <c r="D98" s="52">
        <v>5.7974001466052362E-7</v>
      </c>
      <c r="E98" s="52">
        <v>6.872358467535857E-7</v>
      </c>
      <c r="F98" s="49">
        <v>5.6135220469387116E-7</v>
      </c>
    </row>
    <row r="99" spans="2:6" x14ac:dyDescent="0.2">
      <c r="B99" s="52">
        <v>1.1256311211007857E-6</v>
      </c>
      <c r="C99" s="52">
        <v>6.3769376566065424E-7</v>
      </c>
      <c r="D99" s="52">
        <v>5.8533522031878476E-7</v>
      </c>
      <c r="E99" s="52">
        <v>6.9264731495729085E-7</v>
      </c>
      <c r="F99" s="49">
        <v>5.6810962675879667E-7</v>
      </c>
    </row>
    <row r="100" spans="2:6" x14ac:dyDescent="0.2">
      <c r="B100" s="52">
        <v>1.1309184169912811E-6</v>
      </c>
      <c r="C100" s="52">
        <v>6.3949887194642931E-7</v>
      </c>
      <c r="D100" s="52">
        <v>5.9922009703294892E-7</v>
      </c>
      <c r="E100" s="52">
        <v>7.0747731472506378E-7</v>
      </c>
      <c r="F100" s="49">
        <v>5.7987063615423956E-7</v>
      </c>
    </row>
    <row r="101" spans="2:6" x14ac:dyDescent="0.2">
      <c r="B101" s="52">
        <v>1.1405258204996198E-6</v>
      </c>
      <c r="C101" s="52">
        <v>6.4777657362834058E-7</v>
      </c>
      <c r="D101" s="52">
        <v>6.0827040664608102E-7</v>
      </c>
      <c r="E101" s="52">
        <v>7.1125245801955332E-7</v>
      </c>
      <c r="F101" s="49">
        <v>5.8635724550282272E-7</v>
      </c>
    </row>
    <row r="102" spans="2:6" x14ac:dyDescent="0.2">
      <c r="B102" s="52">
        <v>1.1561168954547629E-6</v>
      </c>
      <c r="C102" s="52">
        <v>6.5535802002859592E-7</v>
      </c>
      <c r="D102" s="52">
        <v>6.1608306708134894E-7</v>
      </c>
      <c r="E102" s="52">
        <v>7.2719052032427526E-7</v>
      </c>
      <c r="F102" s="49">
        <v>5.961451908220564E-7</v>
      </c>
    </row>
    <row r="103" spans="2:6" x14ac:dyDescent="0.2">
      <c r="B103" s="52">
        <v>1.1683292593774432E-6</v>
      </c>
      <c r="C103" s="52">
        <v>6.6455116846972176E-7</v>
      </c>
      <c r="D103" s="52">
        <v>6.2425670852682715E-7</v>
      </c>
      <c r="E103" s="52">
        <v>7.3140373485430292E-7</v>
      </c>
      <c r="F103" s="49">
        <v>6.03998759595987E-7</v>
      </c>
    </row>
    <row r="104" spans="2:6" x14ac:dyDescent="0.2">
      <c r="B104" s="52">
        <v>1.1817538326018466E-6</v>
      </c>
      <c r="C104" s="52">
        <v>6.7548495511498778E-7</v>
      </c>
      <c r="D104" s="52">
        <v>6.3462202039143994E-7</v>
      </c>
      <c r="E104" s="52">
        <v>7.3761403884045969E-7</v>
      </c>
      <c r="F104" s="49">
        <v>6.0882180511560941E-7</v>
      </c>
    </row>
    <row r="105" spans="2:6" x14ac:dyDescent="0.2">
      <c r="B105" s="52">
        <v>1.1955781769789463E-6</v>
      </c>
      <c r="C105" s="52">
        <v>6.8325980576014756E-7</v>
      </c>
      <c r="D105" s="52">
        <v>6.4479394957201143E-7</v>
      </c>
      <c r="E105" s="52">
        <v>7.4086091976268284E-7</v>
      </c>
      <c r="F105" s="49">
        <v>6.169332907622471E-7</v>
      </c>
    </row>
    <row r="106" spans="2:6" x14ac:dyDescent="0.2">
      <c r="B106" s="52">
        <v>1.2098796675705539E-6</v>
      </c>
      <c r="C106" s="52">
        <v>6.9129252873184658E-7</v>
      </c>
      <c r="D106" s="52">
        <v>6.5354773906961354E-7</v>
      </c>
      <c r="E106" s="52">
        <v>7.5634802638376268E-7</v>
      </c>
      <c r="F106" s="49">
        <v>6.2376808788898482E-7</v>
      </c>
    </row>
    <row r="107" spans="2:6" x14ac:dyDescent="0.2">
      <c r="B107" s="52">
        <v>1.226051055489288E-6</v>
      </c>
      <c r="C107" s="52">
        <v>6.9908027299333324E-7</v>
      </c>
      <c r="D107" s="52">
        <v>6.6013564250595327E-7</v>
      </c>
      <c r="E107" s="52">
        <v>7.6298351715735359E-7</v>
      </c>
      <c r="F107" s="49">
        <v>6.3395580436091446E-7</v>
      </c>
    </row>
    <row r="108" spans="2:6" x14ac:dyDescent="0.2">
      <c r="B108" s="52">
        <v>1.2315704765652194E-6</v>
      </c>
      <c r="C108" s="52">
        <v>7.0544971945885383E-7</v>
      </c>
      <c r="D108" s="52">
        <v>6.6174716487296406E-7</v>
      </c>
      <c r="E108" s="52">
        <v>7.7281435106075122E-7</v>
      </c>
      <c r="F108" s="49">
        <v>6.3951391296775202E-7</v>
      </c>
    </row>
    <row r="109" spans="2:6" x14ac:dyDescent="0.2">
      <c r="B109" s="52">
        <v>1.2418355680989612E-6</v>
      </c>
      <c r="C109" s="52">
        <v>7.1424316579384379E-7</v>
      </c>
      <c r="D109" s="52">
        <v>6.6753575321526639E-7</v>
      </c>
      <c r="E109" s="52">
        <v>7.790246550469081E-7</v>
      </c>
      <c r="F109" s="49">
        <v>6.4832177417069885E-7</v>
      </c>
    </row>
    <row r="110" spans="2:6" x14ac:dyDescent="0.2">
      <c r="B110" s="52">
        <v>1.2568721217777842E-6</v>
      </c>
      <c r="C110" s="52">
        <v>7.221727398349272E-7</v>
      </c>
      <c r="D110" s="52">
        <v>6.7697282819648109E-7</v>
      </c>
      <c r="E110" s="52">
        <v>7.9443445497936364E-7</v>
      </c>
      <c r="F110" s="49">
        <v>6.5731017718454064E-7</v>
      </c>
    </row>
    <row r="111" spans="2:6" x14ac:dyDescent="0.2">
      <c r="B111" s="52">
        <v>1.2715089043039109E-6</v>
      </c>
      <c r="C111" s="52">
        <v>7.314432499740148E-7</v>
      </c>
      <c r="D111" s="52">
        <v>6.850304400315345E-7</v>
      </c>
      <c r="E111" s="52">
        <v>7.9916304743355361E-7</v>
      </c>
      <c r="F111" s="49">
        <v>6.6379678653312369E-7</v>
      </c>
    </row>
    <row r="112" spans="2:6" x14ac:dyDescent="0.2">
      <c r="B112" s="52">
        <v>1.2929417964258695E-6</v>
      </c>
      <c r="C112" s="52">
        <v>7.4046878140289004E-7</v>
      </c>
      <c r="D112" s="52">
        <v>6.9561491893806079E-7</v>
      </c>
      <c r="E112" s="52">
        <v>8.0404625326499226E-7</v>
      </c>
      <c r="F112" s="49">
        <v>6.705542085980493E-7</v>
      </c>
    </row>
    <row r="113" spans="2:6" x14ac:dyDescent="0.2">
      <c r="B113" s="52">
        <v>1.3039161593595557E-6</v>
      </c>
      <c r="C113" s="52">
        <v>7.4893988732970588E-7</v>
      </c>
      <c r="D113" s="52">
        <v>7.0322130451035131E-7</v>
      </c>
      <c r="E113" s="52">
        <v>8.0952214370921773E-7</v>
      </c>
      <c r="F113" s="49">
        <v>6.777371935029415E-7</v>
      </c>
    </row>
    <row r="114" spans="2:6" x14ac:dyDescent="0.2">
      <c r="B114" s="52">
        <v>1.3145423345150874E-6</v>
      </c>
      <c r="C114" s="52">
        <v>7.5728205709325204E-7</v>
      </c>
      <c r="D114" s="52">
        <v>7.1245210462858862E-7</v>
      </c>
      <c r="E114" s="52">
        <v>8.2363061438316332E-7</v>
      </c>
      <c r="F114" s="49">
        <v>6.8593895005502666E-7</v>
      </c>
    </row>
    <row r="115" spans="2:6" x14ac:dyDescent="0.2">
      <c r="B115" s="52">
        <v>1.3258133018523868E-6</v>
      </c>
      <c r="C115" s="52">
        <v>7.6541792899556688E-7</v>
      </c>
      <c r="D115" s="52">
        <v>7.1891108627556744E-7</v>
      </c>
      <c r="E115" s="52">
        <v>8.2954457606292669E-7</v>
      </c>
      <c r="F115" s="49">
        <v>6.9281243471267029E-7</v>
      </c>
    </row>
    <row r="116" spans="2:6" x14ac:dyDescent="0.2">
      <c r="B116" s="52">
        <v>1.3466014017925775E-6</v>
      </c>
      <c r="C116" s="52">
        <v>7.7298648177949513E-7</v>
      </c>
      <c r="D116" s="52">
        <v>7.2163133603108152E-7</v>
      </c>
      <c r="E116" s="52">
        <v>8.3583218673770797E-7</v>
      </c>
      <c r="F116" s="49">
        <v>6.9309614327264812E-7</v>
      </c>
    </row>
    <row r="117" spans="2:6" x14ac:dyDescent="0.2">
      <c r="B117" s="52">
        <v>1.3612510801623398E-6</v>
      </c>
      <c r="C117" s="52">
        <v>7.8006507714299875E-7</v>
      </c>
      <c r="D117" s="52">
        <v>7.2758752269955305E-7</v>
      </c>
      <c r="E117" s="52">
        <v>8.3898887652320264E-7</v>
      </c>
      <c r="F117" s="49">
        <v>7.020458587555838E-7</v>
      </c>
    </row>
    <row r="118" spans="2:6" x14ac:dyDescent="0.2">
      <c r="B118" s="52">
        <v>1.3748175076667321E-6</v>
      </c>
      <c r="C118" s="52">
        <v>7.8827831074327525E-7</v>
      </c>
      <c r="D118" s="52">
        <v>7.3939675860500743E-7</v>
      </c>
      <c r="E118" s="52">
        <v>8.5330349836681305E-7</v>
      </c>
      <c r="F118" s="49">
        <v>7.114985121402984E-7</v>
      </c>
    </row>
    <row r="119" spans="2:6" x14ac:dyDescent="0.2">
      <c r="B119" s="52">
        <v>1.3864366627821862E-6</v>
      </c>
      <c r="C119" s="52">
        <v>7.9575660821291486E-7</v>
      </c>
      <c r="D119" s="52">
        <v>7.4664216316708755E-7</v>
      </c>
      <c r="E119" s="52">
        <v>8.6115012726218554E-7</v>
      </c>
      <c r="F119" s="49">
        <v>7.1777878799071584E-7</v>
      </c>
    </row>
    <row r="120" spans="2:6" x14ac:dyDescent="0.2">
      <c r="B120" s="52">
        <v>1.4049293025552838E-6</v>
      </c>
      <c r="C120" s="52">
        <v>8.075800543847415E-7</v>
      </c>
      <c r="D120" s="52">
        <v>7.5540884484362565E-7</v>
      </c>
      <c r="E120" s="52">
        <v>8.6742485348886273E-7</v>
      </c>
      <c r="F120" s="49">
        <v>7.2454910589927661E-7</v>
      </c>
    </row>
    <row r="121" spans="2:6" x14ac:dyDescent="0.2">
      <c r="B121" s="52">
        <v>1.4137113720709601E-6</v>
      </c>
      <c r="C121" s="52">
        <v>8.1326613918493291E-7</v>
      </c>
      <c r="D121" s="52">
        <v>7.6426577177271646E-7</v>
      </c>
      <c r="E121" s="52">
        <v>8.7210190815063647E-7</v>
      </c>
      <c r="F121" s="49">
        <v>7.3293140426225675E-7</v>
      </c>
    </row>
    <row r="122" spans="2:6" x14ac:dyDescent="0.2">
      <c r="B122" s="52">
        <v>1.4305404480150972E-6</v>
      </c>
      <c r="C122" s="52">
        <v>8.2405809605060239E-7</v>
      </c>
      <c r="D122" s="52">
        <v>7.7420564173243845E-7</v>
      </c>
      <c r="E122" s="52">
        <v>8.864036455461429E-7</v>
      </c>
      <c r="F122" s="49">
        <v>7.4278382879966729E-7</v>
      </c>
    </row>
    <row r="123" spans="2:6" x14ac:dyDescent="0.2">
      <c r="B123" s="52">
        <v>1.4440810838322189E-6</v>
      </c>
      <c r="C123" s="52">
        <v>8.3353490405092143E-7</v>
      </c>
      <c r="D123" s="52">
        <v>7.8392634465024695E-7</v>
      </c>
      <c r="E123" s="52">
        <v>8.9413431440857874E-7</v>
      </c>
      <c r="F123" s="49">
        <v>7.5016025135908982E-7</v>
      </c>
    </row>
    <row r="124" spans="2:6" x14ac:dyDescent="0.2">
      <c r="B124" s="52">
        <v>1.4493812755663493E-6</v>
      </c>
      <c r="C124" s="52">
        <v>8.4040720155319373E-7</v>
      </c>
      <c r="D124" s="52">
        <v>7.8325595134557056E-7</v>
      </c>
      <c r="E124" s="52">
        <v>9.0397803276008055E-7</v>
      </c>
      <c r="F124" s="49">
        <v>7.569305692676507E-7</v>
      </c>
    </row>
    <row r="125" spans="2:6" x14ac:dyDescent="0.2">
      <c r="B125" s="52">
        <v>1.461348618459958E-6</v>
      </c>
      <c r="C125" s="52">
        <v>8.4517783959417058E-7</v>
      </c>
      <c r="D125" s="52">
        <v>7.9127488664381577E-7</v>
      </c>
      <c r="E125" s="52">
        <v>9.1004660781709271E-7</v>
      </c>
      <c r="F125" s="49">
        <v>7.6480992972885204E-7</v>
      </c>
    </row>
    <row r="126" spans="2:6" x14ac:dyDescent="0.2">
      <c r="B126" s="52">
        <v>1.4727227525463401E-6</v>
      </c>
      <c r="C126" s="52">
        <v>8.5359737105567861E-7</v>
      </c>
      <c r="D126" s="52">
        <v>8.0022205882545918E-7</v>
      </c>
      <c r="E126" s="52">
        <v>9.2296970926546469E-7</v>
      </c>
      <c r="F126" s="49">
        <v>7.7510081294986453E-7</v>
      </c>
    </row>
    <row r="127" spans="2:6" x14ac:dyDescent="0.2">
      <c r="B127" s="52">
        <v>1.4875013893524559E-6</v>
      </c>
      <c r="C127" s="52">
        <v>8.627647322641505E-7</v>
      </c>
      <c r="D127" s="52">
        <v>8.0995565392220377E-7</v>
      </c>
      <c r="E127" s="52">
        <v>9.3106114267481435E-7</v>
      </c>
      <c r="F127" s="49">
        <v>7.8045258805853648E-7</v>
      </c>
    </row>
    <row r="128" spans="2:6" x14ac:dyDescent="0.2">
      <c r="B128" s="52">
        <v>1.5046141738565708E-6</v>
      </c>
      <c r="C128" s="52">
        <v>8.745494975869963E-7</v>
      </c>
      <c r="D128" s="52">
        <v>8.1962478812426787E-7</v>
      </c>
      <c r="E128" s="52">
        <v>9.3687202876974526E-7</v>
      </c>
      <c r="F128" s="49">
        <v>7.8733896855981548E-7</v>
      </c>
    </row>
    <row r="129" spans="1:6" x14ac:dyDescent="0.2">
      <c r="A129" s="49"/>
      <c r="B129" s="52">
        <v>1.51660730843745E-6</v>
      </c>
      <c r="C129" s="52">
        <v>8.8042898663209217E-7</v>
      </c>
      <c r="D129" s="52">
        <v>8.2986117819951986E-7</v>
      </c>
      <c r="E129" s="52">
        <v>9.4247676369501125E-7</v>
      </c>
      <c r="F129" s="49">
        <v>7.949733079919451E-7</v>
      </c>
    </row>
    <row r="130" spans="1:6" x14ac:dyDescent="0.2">
      <c r="A130" s="49"/>
      <c r="B130" s="52">
        <v>1.5332945301015981E-6</v>
      </c>
      <c r="C130" s="52">
        <v>8.883456670568485E-7</v>
      </c>
      <c r="D130" s="52">
        <v>8.3902751742307677E-7</v>
      </c>
      <c r="E130" s="52">
        <v>9.5689446112345423E-7</v>
      </c>
      <c r="F130" s="49">
        <v>8.049675868093445E-7</v>
      </c>
    </row>
    <row r="131" spans="1:6" x14ac:dyDescent="0.2">
      <c r="A131" s="49"/>
      <c r="B131" s="52">
        <v>1.5451071228715825E-6</v>
      </c>
      <c r="C131" s="52">
        <v>8.9782247505716764E-7</v>
      </c>
      <c r="D131" s="52">
        <v>8.4754924769982927E-7</v>
      </c>
      <c r="E131" s="52">
        <v>9.6374898751481404E-7</v>
      </c>
      <c r="F131" s="49">
        <v>8.1238269689967314E-7</v>
      </c>
    </row>
    <row r="132" spans="1:6" x14ac:dyDescent="0.2">
      <c r="A132" s="50" t="s">
        <v>1466</v>
      </c>
      <c r="B132" s="52">
        <v>1.5153644237317693E-6</v>
      </c>
      <c r="C132" s="52">
        <v>8.6144806251228636E-7</v>
      </c>
      <c r="D132" s="52">
        <v>8.2233891624934339E-7</v>
      </c>
      <c r="E132" s="52">
        <v>9.1882676268326567E-7</v>
      </c>
      <c r="F132" s="49">
        <v>7.8679272401256161E-7</v>
      </c>
    </row>
    <row r="133" spans="1:6" x14ac:dyDescent="0.2">
      <c r="A133" s="49"/>
      <c r="B133" s="52">
        <v>1.5412231087766917E-6</v>
      </c>
      <c r="C133" s="52">
        <v>8.7651867779908705E-7</v>
      </c>
      <c r="D133" s="52">
        <v>8.3480568018717691E-7</v>
      </c>
      <c r="E133" s="52">
        <v>9.3311018771897164E-7</v>
      </c>
      <c r="F133" s="49">
        <v>7.9978703810548731E-7</v>
      </c>
    </row>
    <row r="134" spans="1:6" x14ac:dyDescent="0.2">
      <c r="A134" s="49"/>
      <c r="B134" s="52">
        <v>1.572669348881572E-6</v>
      </c>
      <c r="C134" s="52">
        <v>8.9171921218318781E-7</v>
      </c>
      <c r="D134" s="52">
        <v>8.5324610184522229E-7</v>
      </c>
      <c r="E134" s="52">
        <v>9.5700246232415246E-7</v>
      </c>
      <c r="F134" s="49">
        <v>8.1628981700350305E-7</v>
      </c>
    </row>
    <row r="135" spans="1:6" x14ac:dyDescent="0.2">
      <c r="A135" s="49"/>
      <c r="B135" s="52">
        <v>1.5883924689340121E-6</v>
      </c>
      <c r="C135" s="52">
        <v>9.1198659136198882E-7</v>
      </c>
      <c r="D135" s="52">
        <v>8.7142679925456289E-7</v>
      </c>
      <c r="E135" s="52">
        <v>9.707664900858329E-7</v>
      </c>
      <c r="F135" s="49">
        <v>8.3019373308293356E-7</v>
      </c>
    </row>
    <row r="136" spans="1:6" x14ac:dyDescent="0.2">
      <c r="A136" s="49"/>
      <c r="B136" s="52">
        <v>1.6233471738439825E-6</v>
      </c>
      <c r="C136" s="52">
        <v>9.2926583130288964E-7</v>
      </c>
      <c r="D136" s="52">
        <v>8.8960749666390348E-7</v>
      </c>
      <c r="E136" s="52">
        <v>9.8024549033680148E-7</v>
      </c>
      <c r="F136" s="49">
        <v>8.3838015096147682E-7</v>
      </c>
    </row>
    <row r="137" spans="1:6" x14ac:dyDescent="0.2">
      <c r="A137" s="49"/>
      <c r="B137" s="52">
        <v>1.6424488155605832E-6</v>
      </c>
      <c r="C137" s="52">
        <v>9.4160814554639016E-7</v>
      </c>
      <c r="D137" s="52">
        <v>9.0493122733749043E-7</v>
      </c>
      <c r="E137" s="52">
        <v>9.9673635378711656E-7</v>
      </c>
      <c r="F137" s="49">
        <v>8.5384338473205841E-7</v>
      </c>
    </row>
    <row r="138" spans="1:6" x14ac:dyDescent="0.2">
      <c r="A138" s="49"/>
      <c r="B138" s="52">
        <v>1.6736351693836051E-6</v>
      </c>
      <c r="C138" s="52">
        <v>9.5836770909809115E-7</v>
      </c>
      <c r="D138" s="52">
        <v>9.2402095961729799E-7</v>
      </c>
      <c r="E138" s="52">
        <v>1.0177719433851563E-6</v>
      </c>
      <c r="F138" s="49">
        <v>8.7411451471702265E-7</v>
      </c>
    </row>
    <row r="139" spans="1:6" x14ac:dyDescent="0.2">
      <c r="A139" s="49"/>
      <c r="B139" s="52">
        <v>1.6997537407103857E-6</v>
      </c>
      <c r="C139" s="52">
        <v>9.8058387473639216E-7</v>
      </c>
      <c r="D139" s="52">
        <v>9.3804606904736078E-7</v>
      </c>
      <c r="E139" s="52">
        <v>1.0302374779617725E-6</v>
      </c>
      <c r="F139" s="49">
        <v>8.864591131053021E-7</v>
      </c>
    </row>
    <row r="140" spans="1:6" x14ac:dyDescent="0.2">
      <c r="A140" s="49"/>
      <c r="B140" s="52">
        <v>1.7146972019172505E-6</v>
      </c>
      <c r="C140" s="52">
        <v>9.866900723094925E-7</v>
      </c>
      <c r="D140" s="52">
        <v>9.4090303578311421E-7</v>
      </c>
      <c r="E140" s="52">
        <v>1.050883519604293E-6</v>
      </c>
      <c r="F140" s="49">
        <v>9.0270200572145928E-7</v>
      </c>
    </row>
    <row r="141" spans="1:6" x14ac:dyDescent="0.2">
      <c r="A141" s="49"/>
      <c r="B141" s="52">
        <v>1.7419852615123946E-6</v>
      </c>
      <c r="C141" s="52">
        <v>1.0008512539151932E-6</v>
      </c>
      <c r="D141" s="52">
        <v>9.5726566345152064E-7</v>
      </c>
      <c r="E141" s="52">
        <v>1.0595834239442229E-6</v>
      </c>
      <c r="F141" s="49">
        <v>9.1842512577389943E-7</v>
      </c>
    </row>
    <row r="142" spans="1:6" x14ac:dyDescent="0.2">
      <c r="A142" s="49"/>
      <c r="B142" s="52">
        <v>1.7696631505303264E-6</v>
      </c>
      <c r="C142" s="52">
        <v>1.0226776622615943E-6</v>
      </c>
      <c r="D142" s="52">
        <v>9.7544636086086123E-7</v>
      </c>
      <c r="E142" s="52">
        <v>1.0876308767416093E-6</v>
      </c>
      <c r="F142" s="49">
        <v>9.3349853012169333E-7</v>
      </c>
    </row>
    <row r="143" spans="1:6" x14ac:dyDescent="0.2">
      <c r="A143" s="49"/>
      <c r="B143" s="52">
        <v>1.7964314375617534E-6</v>
      </c>
      <c r="C143" s="52">
        <v>1.0407364167862952E-6</v>
      </c>
      <c r="D143" s="52">
        <v>9.9232843702667745E-7</v>
      </c>
      <c r="E143" s="52">
        <v>1.1033426442808859E-6</v>
      </c>
      <c r="F143" s="49">
        <v>9.5402954638851614E-7</v>
      </c>
    </row>
    <row r="144" spans="1:6" x14ac:dyDescent="0.2">
      <c r="A144" s="49"/>
      <c r="B144" s="52">
        <v>1.8254087579889779E-6</v>
      </c>
      <c r="C144" s="52">
        <v>1.0629525824245962E-6</v>
      </c>
      <c r="D144" s="52">
        <v>1.0115480314308374E-6</v>
      </c>
      <c r="E144" s="52">
        <v>1.1112634527097774E-6</v>
      </c>
      <c r="F144" s="49">
        <v>9.5883744260289869E-7</v>
      </c>
    </row>
    <row r="145" spans="2:6" x14ac:dyDescent="0.2">
      <c r="B145" s="52">
        <v>1.8498380684836783E-6</v>
      </c>
      <c r="C145" s="52">
        <v>1.0717870810409965E-6</v>
      </c>
      <c r="D145" s="52">
        <v>1.0270016242287769E-6</v>
      </c>
      <c r="E145" s="52">
        <v>1.1278841654785989E-6</v>
      </c>
      <c r="F145" s="49">
        <v>9.7430067637348038E-7</v>
      </c>
    </row>
    <row r="146" spans="2:6" x14ac:dyDescent="0.2">
      <c r="B146" s="52">
        <v>1.8838831714071439E-6</v>
      </c>
      <c r="C146" s="52">
        <v>1.0912749456359975E-6</v>
      </c>
      <c r="D146" s="52">
        <v>1.0498573581148049E-6</v>
      </c>
      <c r="E146" s="52">
        <v>1.149049604395145E-6</v>
      </c>
      <c r="F146" s="49">
        <v>9.9379214751286904E-7</v>
      </c>
    </row>
    <row r="147" spans="2:6" x14ac:dyDescent="0.2">
      <c r="B147" s="52">
        <v>1.9028548699828156E-6</v>
      </c>
      <c r="C147" s="52">
        <v>1.1154398977337988E-6</v>
      </c>
      <c r="D147" s="52">
        <v>1.0650512266640396E-6</v>
      </c>
      <c r="E147" s="52">
        <v>1.1606061937422163E-6</v>
      </c>
      <c r="F147" s="49">
        <v>1.0070463478876532E-6</v>
      </c>
    </row>
    <row r="148" spans="2:6" x14ac:dyDescent="0.2">
      <c r="B148" s="52">
        <v>1.9406683239932294E-6</v>
      </c>
      <c r="C148" s="52">
        <v>1.120506742528499E-6</v>
      </c>
      <c r="D148" s="52">
        <v>1.0715443328816613E-6</v>
      </c>
      <c r="E148" s="52">
        <v>1.1768373585555186E-6</v>
      </c>
      <c r="F148" s="49">
        <v>1.0109446421155309E-6</v>
      </c>
    </row>
    <row r="149" spans="2:6" x14ac:dyDescent="0.2">
      <c r="B149" s="52">
        <v>1.9700354738432412E-6</v>
      </c>
      <c r="C149" s="52">
        <v>1.1392150925396997E-6</v>
      </c>
      <c r="D149" s="52">
        <v>1.0849201316899618E-6</v>
      </c>
      <c r="E149" s="52">
        <v>1.1880043999470706E-6</v>
      </c>
      <c r="F149" s="49">
        <v>1.0283570230000515E-6</v>
      </c>
    </row>
    <row r="150" spans="2:6" x14ac:dyDescent="0.2">
      <c r="B150" s="52">
        <v>1.9927755235058613E-6</v>
      </c>
      <c r="C150" s="52">
        <v>1.1532463550481004E-6</v>
      </c>
      <c r="D150" s="52">
        <v>1.1062175200837607E-6</v>
      </c>
      <c r="E150" s="52">
        <v>1.2138444143298476E-6</v>
      </c>
      <c r="F150" s="49">
        <v>1.0512270158036007E-6</v>
      </c>
    </row>
    <row r="151" spans="2:6" x14ac:dyDescent="0.2">
      <c r="B151" s="52">
        <v>2.021882787074015E-6</v>
      </c>
      <c r="C151" s="52">
        <v>1.1726043005458015E-6</v>
      </c>
      <c r="D151" s="52">
        <v>1.1173856627780698E-6</v>
      </c>
      <c r="E151" s="52">
        <v>1.2233234145808162E-6</v>
      </c>
      <c r="F151" s="49">
        <v>1.0621422396416584E-6</v>
      </c>
    </row>
    <row r="152" spans="2:6" x14ac:dyDescent="0.2">
      <c r="B152" s="52">
        <v>2.0520295957696026E-6</v>
      </c>
      <c r="C152" s="52">
        <v>1.1962495762544025E-6</v>
      </c>
      <c r="D152" s="52">
        <v>1.1398518102910407E-6</v>
      </c>
      <c r="E152" s="52">
        <v>1.242151565764247E-6</v>
      </c>
      <c r="F152" s="49">
        <v>1.0763060420029475E-6</v>
      </c>
    </row>
    <row r="153" spans="2:6" x14ac:dyDescent="0.2">
      <c r="B153" s="52">
        <v>2.0773685082508081E-6</v>
      </c>
      <c r="C153" s="52">
        <v>1.2088517286925032E-6</v>
      </c>
      <c r="D153" s="52">
        <v>1.1575130592029715E-6</v>
      </c>
      <c r="E153" s="52">
        <v>1.2568245387554721E-6</v>
      </c>
      <c r="F153" s="49">
        <v>1.0876110952637928E-6</v>
      </c>
    </row>
    <row r="154" spans="2:6" x14ac:dyDescent="0.2">
      <c r="B154" s="52">
        <v>2.1028373638729425E-6</v>
      </c>
      <c r="C154" s="52">
        <v>1.2249616967577039E-6</v>
      </c>
      <c r="D154" s="52">
        <v>1.1750444459905499E-6</v>
      </c>
      <c r="E154" s="52">
        <v>1.2781198269905248E-6</v>
      </c>
      <c r="F154" s="49">
        <v>1.1115206331947763E-6</v>
      </c>
    </row>
    <row r="155" spans="2:6" x14ac:dyDescent="0.2">
      <c r="B155" s="52">
        <v>2.1328542294276011E-6</v>
      </c>
      <c r="C155" s="52">
        <v>1.2397724738499048E-6</v>
      </c>
      <c r="D155" s="52">
        <v>1.1941341782703575E-6</v>
      </c>
      <c r="E155" s="52">
        <v>1.2885077724710383E-6</v>
      </c>
      <c r="F155" s="49">
        <v>1.1207465962007535E-6</v>
      </c>
    </row>
    <row r="156" spans="2:6" x14ac:dyDescent="0.2">
      <c r="B156" s="52">
        <v>2.1444191689703049E-6</v>
      </c>
      <c r="C156" s="52">
        <v>1.2512053544123053E-6</v>
      </c>
      <c r="D156" s="52">
        <v>1.197900179876578E-6</v>
      </c>
      <c r="E156" s="52">
        <v>1.3055180331953789E-6</v>
      </c>
      <c r="F156" s="49">
        <v>1.1414075556085055E-6</v>
      </c>
    </row>
    <row r="157" spans="2:6" x14ac:dyDescent="0.2">
      <c r="B157" s="52">
        <v>2.1787241581756291E-6</v>
      </c>
      <c r="C157" s="52">
        <v>1.2638075068504058E-6</v>
      </c>
      <c r="D157" s="52">
        <v>1.2120551514309931E-6</v>
      </c>
      <c r="E157" s="52">
        <v>1.3208402527791363E-6</v>
      </c>
      <c r="F157" s="49">
        <v>1.1545318128423606E-6</v>
      </c>
    </row>
    <row r="158" spans="2:6" x14ac:dyDescent="0.2">
      <c r="B158" s="52">
        <v>2.1992551744424516E-6</v>
      </c>
      <c r="C158" s="52">
        <v>1.287972458948207E-6</v>
      </c>
      <c r="D158" s="52">
        <v>1.2282879169750471E-6</v>
      </c>
      <c r="E158" s="52">
        <v>1.3473295137544457E-6</v>
      </c>
      <c r="F158" s="49">
        <v>1.1792210096189195E-6</v>
      </c>
    </row>
    <row r="159" spans="2:6" x14ac:dyDescent="0.2">
      <c r="B159" s="52">
        <v>2.2270630066013126E-6</v>
      </c>
      <c r="C159" s="52">
        <v>1.3013541259701075E-6</v>
      </c>
      <c r="D159" s="52">
        <v>1.2494554432444936E-6</v>
      </c>
      <c r="E159" s="52">
        <v>1.3571980619609334E-6</v>
      </c>
      <c r="F159" s="49">
        <v>1.1874074274974627E-6</v>
      </c>
    </row>
    <row r="160" spans="2:6" x14ac:dyDescent="0.2">
      <c r="B160" s="52">
        <v>2.2648764606117266E-6</v>
      </c>
      <c r="C160" s="52">
        <v>1.3252592398733089E-6</v>
      </c>
      <c r="D160" s="52">
        <v>1.2678958649025392E-6</v>
      </c>
      <c r="E160" s="52">
        <v>1.3678457060784597E-6</v>
      </c>
      <c r="F160" s="49">
        <v>1.1983226513355203E-6</v>
      </c>
    </row>
    <row r="161" spans="2:6" x14ac:dyDescent="0.2">
      <c r="B161" s="52">
        <v>2.2803396943823085E-6</v>
      </c>
      <c r="C161" s="52">
        <v>1.3446171853710097E-6</v>
      </c>
      <c r="D161" s="52">
        <v>1.2851675274414126E-6</v>
      </c>
      <c r="E161" s="52">
        <v>1.3801813913365695E-6</v>
      </c>
      <c r="F161" s="49">
        <v>1.2214525304209282E-6</v>
      </c>
    </row>
    <row r="162" spans="2:6" x14ac:dyDescent="0.2">
      <c r="B162" s="52">
        <v>2.3123057070509058E-6</v>
      </c>
      <c r="C162" s="52">
        <v>1.3621562635065106E-6</v>
      </c>
      <c r="D162" s="52">
        <v>1.2990627747471229E-6</v>
      </c>
      <c r="E162" s="52">
        <v>1.4022557754826604E-6</v>
      </c>
      <c r="F162" s="49">
        <v>1.2380852524598732E-6</v>
      </c>
    </row>
    <row r="163" spans="2:6" x14ac:dyDescent="0.2">
      <c r="B163" s="52">
        <v>2.334136154727021E-6</v>
      </c>
      <c r="C163" s="52">
        <v>1.3817740471988114E-6</v>
      </c>
      <c r="D163" s="52">
        <v>1.3171136100321109E-6</v>
      </c>
      <c r="E163" s="52">
        <v>1.4187466389329755E-6</v>
      </c>
      <c r="F163" s="49">
        <v>1.2564072353308985E-6</v>
      </c>
    </row>
    <row r="164" spans="2:6" x14ac:dyDescent="0.2">
      <c r="B164" s="52">
        <v>2.3462208668334421E-6</v>
      </c>
      <c r="C164" s="52">
        <v>1.3851519437286118E-6</v>
      </c>
      <c r="D164" s="52">
        <v>1.3472416228818752E-6</v>
      </c>
      <c r="E164" s="52">
        <v>1.4477030369599068E-6</v>
      </c>
      <c r="F164" s="49">
        <v>1.2723902416651972E-6</v>
      </c>
    </row>
    <row r="165" spans="2:6" x14ac:dyDescent="0.2">
      <c r="B165" s="52">
        <v>2.366881826241194E-6</v>
      </c>
      <c r="C165" s="52">
        <v>1.3980139343613124E-6</v>
      </c>
      <c r="D165" s="52">
        <v>1.3636042505502819E-6</v>
      </c>
      <c r="E165" s="52">
        <v>1.455493996070292E-6</v>
      </c>
      <c r="F165" s="49">
        <v>1.2948704050459587E-6</v>
      </c>
    </row>
    <row r="166" spans="2:6" x14ac:dyDescent="0.2">
      <c r="B166" s="52">
        <v>2.3933902269907623E-6</v>
      </c>
      <c r="C166" s="52">
        <v>1.4128247114535131E-6</v>
      </c>
      <c r="D166" s="52">
        <v>1.3877586056798343E-6</v>
      </c>
      <c r="E166" s="52">
        <v>1.481593709090082E-6</v>
      </c>
      <c r="F166" s="49">
        <v>1.3103336388165404E-6</v>
      </c>
    </row>
    <row r="167" spans="2:6" x14ac:dyDescent="0.2">
      <c r="B167" s="52">
        <v>2.4150907315259485E-6</v>
      </c>
      <c r="C167" s="52">
        <v>1.4308834659782138E-6</v>
      </c>
      <c r="D167" s="52">
        <v>1.4061990273378797E-6</v>
      </c>
      <c r="E167" s="52">
        <v>1.4996427643624741E-6</v>
      </c>
      <c r="F167" s="49">
        <v>1.3286556216875656E-6</v>
      </c>
    </row>
    <row r="168" spans="2:6" x14ac:dyDescent="0.2">
      <c r="B168" s="52">
        <v>2.4466669147717582E-6</v>
      </c>
      <c r="C168" s="52">
        <v>1.4511508451570148E-6</v>
      </c>
      <c r="D168" s="52">
        <v>1.4219123443845241E-6</v>
      </c>
      <c r="E168" s="52">
        <v>1.5063949289248078E-6</v>
      </c>
      <c r="F168" s="49">
        <v>1.348017149686025E-6</v>
      </c>
    </row>
    <row r="169" spans="2:6" x14ac:dyDescent="0.2">
      <c r="B169" s="52">
        <v>2.4773334960310628E-6</v>
      </c>
      <c r="C169" s="52">
        <v>1.4662214604438156E-6</v>
      </c>
      <c r="D169" s="52">
        <v>1.4368464886850538E-6</v>
      </c>
      <c r="E169" s="52">
        <v>1.5262618746562899E-6</v>
      </c>
      <c r="F169" s="49">
        <v>1.357113169551073E-6</v>
      </c>
    </row>
    <row r="170" spans="2:6" x14ac:dyDescent="0.2">
      <c r="B170" s="52">
        <v>2.5069605321629334E-6</v>
      </c>
      <c r="C170" s="52">
        <v>1.4902564934443168E-6</v>
      </c>
      <c r="D170" s="52">
        <v>1.4594424983223769E-6</v>
      </c>
      <c r="E170" s="52">
        <v>1.5478168615283553E-6</v>
      </c>
      <c r="F170" s="49">
        <v>1.3736159484490887E-6</v>
      </c>
    </row>
    <row r="171" spans="2:6" x14ac:dyDescent="0.2">
      <c r="B171" s="52">
        <v>2.5282712072753317E-6</v>
      </c>
      <c r="C171" s="52">
        <v>1.5037680795635173E-6</v>
      </c>
      <c r="D171" s="52">
        <v>1.4784023684778321E-6</v>
      </c>
      <c r="E171" s="52">
        <v>1.5632689304306189E-6</v>
      </c>
      <c r="F171" s="49">
        <v>1.392327760742902E-6</v>
      </c>
    </row>
    <row r="172" spans="2:6" x14ac:dyDescent="0.2">
      <c r="B172" s="52">
        <v>2.5437344410459136E-6</v>
      </c>
      <c r="C172" s="52">
        <v>1.5111734681096176E-6</v>
      </c>
      <c r="D172" s="52">
        <v>1.480480162467471E-6</v>
      </c>
      <c r="E172" s="52">
        <v>1.5826164788880752E-6</v>
      </c>
      <c r="F172" s="49">
        <v>1.4120791181641491E-6</v>
      </c>
    </row>
    <row r="173" spans="2:6" x14ac:dyDescent="0.2">
      <c r="B173" s="52">
        <v>2.5802484636470349E-6</v>
      </c>
      <c r="C173" s="52">
        <v>1.5285826271478185E-6</v>
      </c>
      <c r="D173" s="52">
        <v>1.4950247203949435E-6</v>
      </c>
      <c r="E173" s="52">
        <v>1.5885895475393705E-6</v>
      </c>
      <c r="F173" s="49">
        <v>1.4192259909152582E-6</v>
      </c>
    </row>
    <row r="174" spans="2:6" x14ac:dyDescent="0.2">
      <c r="B174" s="52">
        <v>2.5984405033771309E-6</v>
      </c>
      <c r="C174" s="52">
        <v>1.5539168511213198E-6</v>
      </c>
      <c r="D174" s="52">
        <v>1.509569278322416E-6</v>
      </c>
      <c r="E174" s="52">
        <v>1.6201429319364302E-6</v>
      </c>
      <c r="F174" s="49">
        <v>1.44690387993319E-6</v>
      </c>
    </row>
    <row r="175" spans="2:6" x14ac:dyDescent="0.2">
      <c r="B175" s="52">
        <v>2.6300166866229402E-6</v>
      </c>
      <c r="C175" s="52">
        <v>1.5640505407107203E-6</v>
      </c>
      <c r="D175" s="52">
        <v>1.5317757015866819E-6</v>
      </c>
      <c r="E175" s="52">
        <v>1.6307905760539565E-6</v>
      </c>
      <c r="F175" s="49">
        <v>1.4569095017847428E-6</v>
      </c>
    </row>
    <row r="176" spans="2:6" x14ac:dyDescent="0.2">
      <c r="B176" s="52">
        <v>2.6697792877472933E-6</v>
      </c>
      <c r="C176" s="52">
        <v>1.5857470299598213E-6</v>
      </c>
      <c r="D176" s="52">
        <v>1.552813365731776E-6</v>
      </c>
      <c r="E176" s="52">
        <v>1.635595000838694E-6</v>
      </c>
      <c r="F176" s="49">
        <v>1.4762710297832022E-6</v>
      </c>
    </row>
    <row r="177" spans="2:6" x14ac:dyDescent="0.2">
      <c r="B177" s="52">
        <v>2.6917396785643375E-6</v>
      </c>
      <c r="C177" s="52">
        <v>1.5996483733709218E-6</v>
      </c>
      <c r="D177" s="52">
        <v>1.571123925265469E-6</v>
      </c>
      <c r="E177" s="52">
        <v>1.6537739054295925E-6</v>
      </c>
      <c r="F177" s="49">
        <v>1.4815986985613019E-6</v>
      </c>
    </row>
    <row r="178" spans="2:6" x14ac:dyDescent="0.2">
      <c r="B178" s="52">
        <v>2.7159091027771797E-6</v>
      </c>
      <c r="C178" s="52">
        <v>1.623813325468723E-6</v>
      </c>
      <c r="D178" s="52">
        <v>1.58826572567999E-6</v>
      </c>
      <c r="E178" s="52">
        <v>1.6794840704938632E-6</v>
      </c>
      <c r="F178" s="49">
        <v>1.5049884639285681E-6</v>
      </c>
    </row>
    <row r="179" spans="2:6" x14ac:dyDescent="0.2">
      <c r="B179" s="52">
        <v>2.7356604601984268E-6</v>
      </c>
      <c r="C179" s="52">
        <v>1.6353761251284237E-6</v>
      </c>
      <c r="D179" s="52">
        <v>1.6086540792033217E-6</v>
      </c>
      <c r="E179" s="52">
        <v>1.6924690023445051E-6</v>
      </c>
      <c r="F179" s="49">
        <v>1.5173330623168476E-6</v>
      </c>
    </row>
    <row r="180" spans="2:6" x14ac:dyDescent="0.2">
      <c r="B180" s="52">
        <v>2.7820501615101717E-6</v>
      </c>
      <c r="C180" s="52">
        <v>1.6475885202746244E-6</v>
      </c>
      <c r="D180" s="52">
        <v>1.6090436655763793E-6</v>
      </c>
      <c r="E180" s="52">
        <v>1.7084404685207945E-6</v>
      </c>
      <c r="F180" s="49">
        <v>1.5199319251354329E-6</v>
      </c>
    </row>
    <row r="181" spans="2:6" x14ac:dyDescent="0.2">
      <c r="B181" s="52">
        <v>2.800761973803985E-6</v>
      </c>
      <c r="C181" s="52">
        <v>1.664348083826325E-6</v>
      </c>
      <c r="D181" s="52">
        <v>1.629432019099711E-6</v>
      </c>
      <c r="E181" s="52">
        <v>1.7196075099123464E-6</v>
      </c>
      <c r="F181" s="49">
        <v>1.5403329982613263E-6</v>
      </c>
    </row>
    <row r="182" spans="2:6" x14ac:dyDescent="0.2">
      <c r="B182" s="52">
        <v>2.8315584982042189E-6</v>
      </c>
      <c r="C182" s="52">
        <v>1.6856548157835261E-6</v>
      </c>
      <c r="D182" s="52">
        <v>1.6511189938665674E-6</v>
      </c>
      <c r="E182" s="52">
        <v>1.743369935199021E-6</v>
      </c>
      <c r="F182" s="49">
        <v>1.5572256065821298E-6</v>
      </c>
    </row>
    <row r="183" spans="2:6" x14ac:dyDescent="0.2">
      <c r="B183" s="52">
        <v>2.8502703104980318E-6</v>
      </c>
      <c r="C183" s="52">
        <v>1.7089103342002272E-6</v>
      </c>
      <c r="D183" s="52">
        <v>1.6713774852655467E-6</v>
      </c>
      <c r="E183" s="52">
        <v>1.7576533602347272E-6</v>
      </c>
      <c r="F183" s="49">
        <v>1.5730786697754992E-6</v>
      </c>
    </row>
    <row r="184" spans="2:6" x14ac:dyDescent="0.2">
      <c r="B184" s="52">
        <v>2.8915922293135361E-6</v>
      </c>
      <c r="C184" s="52">
        <v>1.723331354000528E-6</v>
      </c>
      <c r="D184" s="52">
        <v>1.6891685963018301E-6</v>
      </c>
      <c r="E184" s="52">
        <v>1.7667428125301764E-6</v>
      </c>
      <c r="F184" s="49">
        <v>1.5838639504726275E-6</v>
      </c>
    </row>
    <row r="185" spans="2:6" x14ac:dyDescent="0.2">
      <c r="B185" s="52">
        <v>2.9049763728292495E-6</v>
      </c>
      <c r="C185" s="52">
        <v>1.7445081668604289E-6</v>
      </c>
      <c r="D185" s="52">
        <v>1.7078687422085803E-6</v>
      </c>
      <c r="E185" s="52">
        <v>1.7833635252989978E-6</v>
      </c>
      <c r="F185" s="49">
        <v>1.6054345118668843E-6</v>
      </c>
    </row>
    <row r="186" spans="2:6" x14ac:dyDescent="0.2">
      <c r="B186" s="52">
        <v>2.9390214757527152E-6</v>
      </c>
      <c r="C186" s="52">
        <v>1.7642558696500299E-6</v>
      </c>
      <c r="D186" s="52">
        <v>1.7242313698769867E-6</v>
      </c>
      <c r="E186" s="52">
        <v>1.8062170053561273E-6</v>
      </c>
      <c r="F186" s="49">
        <v>1.6198582005100319E-6</v>
      </c>
    </row>
    <row r="187" spans="2:6" x14ac:dyDescent="0.2">
      <c r="B187" s="52">
        <v>2.9564338566372353E-6</v>
      </c>
      <c r="C187" s="52">
        <v>1.7856925207045308E-6</v>
      </c>
      <c r="D187" s="52">
        <v>1.7409835839184505E-6</v>
      </c>
      <c r="E187" s="52">
        <v>1.8184228412957307E-6</v>
      </c>
      <c r="F187" s="49">
        <v>1.639609557931279E-6</v>
      </c>
    </row>
    <row r="188" spans="2:6" x14ac:dyDescent="0.2">
      <c r="B188" s="52">
        <v>2.9803433945682187E-6</v>
      </c>
      <c r="C188" s="52">
        <v>1.789330255428931E-6</v>
      </c>
      <c r="D188" s="52">
        <v>1.7535802099806366E-6</v>
      </c>
      <c r="E188" s="52">
        <v>1.8386793349827319E-6</v>
      </c>
      <c r="F188" s="49">
        <v>1.6531236445879217E-6</v>
      </c>
    </row>
    <row r="189" spans="2:6" x14ac:dyDescent="0.2">
      <c r="B189" s="52">
        <v>2.9963264009025175E-6</v>
      </c>
      <c r="C189" s="52">
        <v>1.8088181200239319E-6</v>
      </c>
      <c r="D189" s="52">
        <v>1.7695532512759857E-6</v>
      </c>
      <c r="E189" s="52">
        <v>1.850495622966816E-6</v>
      </c>
      <c r="F189" s="49">
        <v>1.673914547136603E-6</v>
      </c>
    </row>
    <row r="190" spans="2:6" x14ac:dyDescent="0.2">
      <c r="B190" s="52">
        <v>3.0305014469669122E-6</v>
      </c>
      <c r="C190" s="52">
        <v>1.8283059846189329E-6</v>
      </c>
      <c r="D190" s="52">
        <v>1.7904610532967274E-6</v>
      </c>
      <c r="E190" s="52">
        <v>1.8760759387125805E-6</v>
      </c>
      <c r="F190" s="49">
        <v>1.6898975534709016E-6</v>
      </c>
    </row>
    <row r="191" spans="2:6" x14ac:dyDescent="0.2">
      <c r="B191" s="52">
        <v>3.0484336004151497E-6</v>
      </c>
      <c r="C191" s="52">
        <v>1.8440261953922337E-6</v>
      </c>
      <c r="D191" s="52">
        <v>1.806304232467724E-6</v>
      </c>
      <c r="E191" s="52">
        <v>1.8897101171557544E-6</v>
      </c>
      <c r="F191" s="49">
        <v>1.7045811283959077E-6</v>
      </c>
    </row>
    <row r="192" spans="2:6" x14ac:dyDescent="0.2">
      <c r="B192" s="52">
        <v>3.0940436428813192E-6</v>
      </c>
      <c r="C192" s="52">
        <v>1.8635140599872346E-6</v>
      </c>
      <c r="D192" s="52">
        <v>1.8338350028304398E-6</v>
      </c>
      <c r="E192" s="52">
        <v>1.9030845969619155E-6</v>
      </c>
      <c r="F192" s="49">
        <v>1.7167957836432579E-6</v>
      </c>
    </row>
    <row r="193" spans="1:6" x14ac:dyDescent="0.2">
      <c r="A193" s="49"/>
      <c r="B193" s="52">
        <v>3.125749769268058E-6</v>
      </c>
      <c r="C193" s="52">
        <v>1.8826121672903353E-6</v>
      </c>
      <c r="D193" s="52">
        <v>1.8477302501361501E-6</v>
      </c>
      <c r="E193" s="52">
        <v>1.9136023917609355E-6</v>
      </c>
      <c r="F193" s="49">
        <v>1.7356375390780004E-6</v>
      </c>
    </row>
    <row r="194" spans="1:6" x14ac:dyDescent="0.2">
      <c r="A194" s="49"/>
      <c r="B194" s="52">
        <v>3.1440717521390834E-6</v>
      </c>
      <c r="C194" s="52">
        <v>1.9033992228583364E-6</v>
      </c>
      <c r="D194" s="52">
        <v>1.8650019126750237E-6</v>
      </c>
      <c r="E194" s="52">
        <v>1.9438572829729308E-6</v>
      </c>
      <c r="F194" s="49">
        <v>1.757597929895045E-6</v>
      </c>
    </row>
    <row r="195" spans="1:6" x14ac:dyDescent="0.2">
      <c r="A195" s="49"/>
      <c r="B195" s="52">
        <v>3.1660321429561276E-6</v>
      </c>
      <c r="C195" s="52">
        <v>1.9122337214747369E-6</v>
      </c>
      <c r="D195" s="52">
        <v>1.8944806149030256E-6</v>
      </c>
      <c r="E195" s="52">
        <v>1.9580108586901306E-6</v>
      </c>
      <c r="F195" s="49">
        <v>1.7702024145651828E-6</v>
      </c>
    </row>
    <row r="196" spans="1:6" x14ac:dyDescent="0.2">
      <c r="A196" s="50" t="s">
        <v>1467</v>
      </c>
      <c r="B196" s="52">
        <v>3.0094506581363724E-6</v>
      </c>
      <c r="C196" s="52">
        <v>1.8136251266240322E-6</v>
      </c>
      <c r="D196" s="52">
        <v>1.817082788788976E-6</v>
      </c>
      <c r="E196" s="52">
        <v>1.8730894043869329E-6</v>
      </c>
      <c r="F196" s="49">
        <v>1.6792422159147027E-6</v>
      </c>
    </row>
    <row r="197" spans="1:6" x14ac:dyDescent="0.2">
      <c r="A197" s="49"/>
      <c r="B197" s="52">
        <v>3.0614279145080756E-6</v>
      </c>
      <c r="C197" s="52">
        <v>1.8396089460840335E-6</v>
      </c>
      <c r="D197" s="52">
        <v>1.842016316664643E-6</v>
      </c>
      <c r="E197" s="52">
        <v>1.8968518296736073E-6</v>
      </c>
      <c r="F197" s="49">
        <v>1.7086093657647149E-6</v>
      </c>
    </row>
    <row r="198" spans="1:6" x14ac:dyDescent="0.2">
      <c r="A198" s="49"/>
      <c r="B198" s="52">
        <v>3.1122356826114151E-6</v>
      </c>
      <c r="C198" s="52">
        <v>1.8750768596469353E-6</v>
      </c>
      <c r="D198" s="52">
        <v>1.8737026750066365E-6</v>
      </c>
      <c r="E198" s="52">
        <v>1.9465841186615657E-6</v>
      </c>
      <c r="F198" s="49">
        <v>1.7543493513718134E-6</v>
      </c>
    </row>
    <row r="199" spans="1:6" x14ac:dyDescent="0.2">
      <c r="A199" s="49"/>
      <c r="B199" s="52">
        <v>3.1608344173189576E-6</v>
      </c>
      <c r="C199" s="52">
        <v>1.9048283329286368E-6</v>
      </c>
      <c r="D199" s="52">
        <v>1.9101939319496701E-6</v>
      </c>
      <c r="E199" s="52">
        <v>1.97216443440733E-6</v>
      </c>
      <c r="F199" s="49">
        <v>1.780857752121382E-6</v>
      </c>
    </row>
    <row r="200" spans="1:6" x14ac:dyDescent="0.2">
      <c r="A200" s="49"/>
      <c r="B200" s="52">
        <v>3.2233370681059303E-6</v>
      </c>
      <c r="C200" s="52">
        <v>1.9569258909459392E-6</v>
      </c>
      <c r="D200" s="52">
        <v>1.9564248482191363E-6</v>
      </c>
      <c r="E200" s="52">
        <v>1.9967059556050432E-6</v>
      </c>
      <c r="F200" s="49">
        <v>1.799569564415195E-6</v>
      </c>
    </row>
    <row r="201" spans="1:6" x14ac:dyDescent="0.2">
      <c r="A201" s="49"/>
      <c r="B201" s="52">
        <v>3.267387792880949E-6</v>
      </c>
      <c r="C201" s="52">
        <v>1.9908347753412409E-6</v>
      </c>
      <c r="D201" s="52">
        <v>2.003305075110364E-6</v>
      </c>
      <c r="E201" s="52">
        <v>2.0200788329361986E-6</v>
      </c>
      <c r="F201" s="49">
        <v>1.8316655202247217E-6</v>
      </c>
    </row>
    <row r="202" spans="1:6" x14ac:dyDescent="0.2">
      <c r="A202" s="49"/>
      <c r="B202" s="52">
        <v>3.3265119220037609E-6</v>
      </c>
      <c r="C202" s="52">
        <v>2.0178579475796418E-6</v>
      </c>
      <c r="D202" s="52">
        <v>2.0439519200326755E-6</v>
      </c>
      <c r="E202" s="52">
        <v>2.0704603685166885E-6</v>
      </c>
      <c r="F202" s="49">
        <v>1.8657106231481872E-6</v>
      </c>
    </row>
    <row r="203" spans="1:6" x14ac:dyDescent="0.2">
      <c r="A203" s="49"/>
      <c r="B203" s="52">
        <v>3.3677038976783358E-6</v>
      </c>
      <c r="C203" s="52">
        <v>2.0542352948236439E-6</v>
      </c>
      <c r="D203" s="52">
        <v>2.0673271024161133E-6</v>
      </c>
      <c r="E203" s="52">
        <v>2.0955212869884273E-6</v>
      </c>
      <c r="F203" s="49">
        <v>1.8941681710116946E-6</v>
      </c>
    </row>
    <row r="204" spans="1:6" x14ac:dyDescent="0.2">
      <c r="A204" s="49"/>
      <c r="B204" s="52">
        <v>3.4051275222659619E-6</v>
      </c>
      <c r="C204" s="52">
        <v>2.0882740983162455E-6</v>
      </c>
      <c r="D204" s="52">
        <v>2.0686257236596377E-6</v>
      </c>
      <c r="E204" s="52">
        <v>2.135125329132885E-6</v>
      </c>
      <c r="F204" s="49">
        <v>1.9300324779081698E-6</v>
      </c>
    </row>
    <row r="205" spans="1:6" x14ac:dyDescent="0.2">
      <c r="A205" s="49"/>
      <c r="B205" s="52">
        <v>3.4573646649195236E-6</v>
      </c>
      <c r="C205" s="52">
        <v>2.1159468660411466E-6</v>
      </c>
      <c r="D205" s="52">
        <v>2.1012211168720982E-6</v>
      </c>
      <c r="E205" s="52">
        <v>2.1574594119159886E-6</v>
      </c>
      <c r="F205" s="49">
        <v>1.9591397414763235E-6</v>
      </c>
    </row>
    <row r="206" spans="1:6" x14ac:dyDescent="0.2">
      <c r="A206" s="49"/>
      <c r="B206" s="52">
        <v>3.5115509546870239E-6</v>
      </c>
      <c r="C206" s="52">
        <v>2.1406314945281479E-6</v>
      </c>
      <c r="D206" s="52">
        <v>2.1432964451622864E-6</v>
      </c>
      <c r="E206" s="52">
        <v>2.2099185365925818E-6</v>
      </c>
      <c r="F206" s="49">
        <v>1.9951339915137275E-6</v>
      </c>
    </row>
    <row r="207" spans="1:6" x14ac:dyDescent="0.2">
      <c r="A207" s="49"/>
      <c r="B207" s="52">
        <v>3.5575508265759809E-6</v>
      </c>
      <c r="C207" s="52">
        <v>2.1779182754532497E-6</v>
      </c>
      <c r="D207" s="52">
        <v>2.186800256820351E-6</v>
      </c>
      <c r="E207" s="52">
        <v>2.2297854823240637E-6</v>
      </c>
      <c r="F207" s="49">
        <v>2.0299587532827686E-6</v>
      </c>
    </row>
    <row r="208" spans="1:6" x14ac:dyDescent="0.2">
      <c r="A208" s="49"/>
      <c r="B208" s="52">
        <v>3.6164150694169347E-6</v>
      </c>
      <c r="C208" s="52">
        <v>2.2233899595082518E-6</v>
      </c>
      <c r="D208" s="52">
        <v>2.2253693077530238E-6</v>
      </c>
      <c r="E208" s="52">
        <v>2.2480942362334685E-6</v>
      </c>
      <c r="F208" s="49">
        <v>2.0556874951867616E-6</v>
      </c>
    </row>
    <row r="209" spans="2:6" x14ac:dyDescent="0.2">
      <c r="B209" s="52">
        <v>3.6641042021379719E-6</v>
      </c>
      <c r="C209" s="52">
        <v>2.2552201383467533E-6</v>
      </c>
      <c r="D209" s="52">
        <v>2.2588737358359514E-6</v>
      </c>
      <c r="E209" s="52">
        <v>2.2738044012977396E-6</v>
      </c>
      <c r="F209" s="49">
        <v>2.0864840195869955E-6</v>
      </c>
    </row>
    <row r="210" spans="2:6" x14ac:dyDescent="0.2">
      <c r="B210" s="52">
        <v>3.7212791841468456E-6</v>
      </c>
      <c r="C210" s="52">
        <v>2.2904282137150553E-6</v>
      </c>
      <c r="D210" s="52">
        <v>2.2977025110173285E-6</v>
      </c>
      <c r="E210" s="52">
        <v>2.3201606080045309E-6</v>
      </c>
      <c r="F210" s="49">
        <v>2.1229980421881173E-6</v>
      </c>
    </row>
    <row r="211" spans="2:6" x14ac:dyDescent="0.2">
      <c r="B211" s="52">
        <v>3.7679287717404489E-6</v>
      </c>
      <c r="C211" s="52">
        <v>2.3274551564455568E-6</v>
      </c>
      <c r="D211" s="52">
        <v>2.3265319026235687E-6</v>
      </c>
      <c r="E211" s="52">
        <v>2.3524930883126291E-6</v>
      </c>
      <c r="F211" s="49">
        <v>2.1536646234474218E-6</v>
      </c>
    </row>
    <row r="212" spans="2:6" x14ac:dyDescent="0.2">
      <c r="B212" s="52">
        <v>3.8323805696413607E-6</v>
      </c>
      <c r="C212" s="52">
        <v>2.3543484095866582E-6</v>
      </c>
      <c r="D212" s="52">
        <v>2.3341937679603621E-6</v>
      </c>
      <c r="E212" s="52">
        <v>2.3761256642807969E-6</v>
      </c>
      <c r="F212" s="49">
        <v>2.1556137705613608E-6</v>
      </c>
    </row>
    <row r="213" spans="2:6" x14ac:dyDescent="0.2">
      <c r="B213" s="52">
        <v>3.8827985083219128E-6</v>
      </c>
      <c r="C213" s="52">
        <v>2.3830605300899594E-6</v>
      </c>
      <c r="D213" s="52">
        <v>2.3670488854215278E-6</v>
      </c>
      <c r="E213" s="52">
        <v>2.3972911031973433E-6</v>
      </c>
      <c r="F213" s="49">
        <v>2.1865402381025242E-6</v>
      </c>
    </row>
    <row r="214" spans="2:6" x14ac:dyDescent="0.2">
      <c r="B214" s="52">
        <v>3.9350356509754744E-6</v>
      </c>
      <c r="C214" s="52">
        <v>2.4160599808041614E-6</v>
      </c>
      <c r="D214" s="52">
        <v>2.4108124213282972E-6</v>
      </c>
      <c r="E214" s="52">
        <v>2.4519576662885455E-6</v>
      </c>
      <c r="F214" s="49">
        <v>2.2318903942868349E-6</v>
      </c>
    </row>
    <row r="215" spans="2:6" x14ac:dyDescent="0.2">
      <c r="B215" s="52">
        <v>3.9811654660053608E-6</v>
      </c>
      <c r="C215" s="52">
        <v>2.4480200787399628E-6</v>
      </c>
      <c r="D215" s="52">
        <v>2.4473036782713308E-6</v>
      </c>
      <c r="E215" s="52">
        <v>2.4842901465966434E-6</v>
      </c>
      <c r="F215" s="49">
        <v>2.2587886244591915E-6</v>
      </c>
    </row>
    <row r="216" spans="2:6" x14ac:dyDescent="0.2">
      <c r="B216" s="52">
        <v>4.0487358992885746E-6</v>
      </c>
      <c r="C216" s="52">
        <v>2.4872556461245648E-6</v>
      </c>
      <c r="D216" s="52">
        <v>2.4914568005511578E-6</v>
      </c>
      <c r="E216" s="52">
        <v>2.5046764896021511E-6</v>
      </c>
      <c r="F216" s="49">
        <v>2.2813987309808821E-6</v>
      </c>
    </row>
    <row r="217" spans="2:6" x14ac:dyDescent="0.2">
      <c r="B217" s="52">
        <v>4.0961651457277537E-6</v>
      </c>
      <c r="C217" s="52">
        <v>2.5259715371199666E-6</v>
      </c>
      <c r="D217" s="52">
        <v>2.5223639861470367E-6</v>
      </c>
      <c r="E217" s="52">
        <v>2.530776202621941E-6</v>
      </c>
      <c r="F217" s="49">
        <v>2.317133094736428E-6</v>
      </c>
    </row>
    <row r="218" spans="2:6" x14ac:dyDescent="0.2">
      <c r="B218" s="52">
        <v>4.1493118903678198E-6</v>
      </c>
      <c r="C218" s="52">
        <v>2.5594906642233679E-6</v>
      </c>
      <c r="D218" s="52">
        <v>2.559634415836185E-6</v>
      </c>
      <c r="E218" s="52">
        <v>2.5779115052397709E-6</v>
      </c>
      <c r="F218" s="49">
        <v>2.3522177427873276E-6</v>
      </c>
    </row>
    <row r="219" spans="2:6" x14ac:dyDescent="0.2">
      <c r="B219" s="52">
        <v>4.1963513073842106E-6</v>
      </c>
      <c r="C219" s="52">
        <v>2.5874232701428694E-6</v>
      </c>
      <c r="D219" s="52">
        <v>2.604436848737774E-6</v>
      </c>
      <c r="E219" s="52">
        <v>2.6023231771189774E-6</v>
      </c>
      <c r="F219" s="49">
        <v>2.3780764278322496E-6</v>
      </c>
    </row>
    <row r="220" spans="2:6" x14ac:dyDescent="0.2">
      <c r="B220" s="52">
        <v>4.2362438516494931E-6</v>
      </c>
      <c r="C220" s="52">
        <v>2.6135370087001706E-6</v>
      </c>
      <c r="D220" s="52">
        <v>2.6043069866134216E-6</v>
      </c>
      <c r="E220" s="52">
        <v>2.6427063151744734E-6</v>
      </c>
      <c r="F220" s="49">
        <v>2.4151102229970882E-6</v>
      </c>
    </row>
    <row r="221" spans="2:6" x14ac:dyDescent="0.2">
      <c r="B221" s="52">
        <v>4.2804245195654405E-6</v>
      </c>
      <c r="C221" s="52">
        <v>2.660827560117373E-6</v>
      </c>
      <c r="D221" s="52">
        <v>2.6397593465616356E-6</v>
      </c>
      <c r="E221" s="52">
        <v>2.6681567816017317E-6</v>
      </c>
      <c r="F221" s="49">
        <v>2.444217486565242E-6</v>
      </c>
    </row>
    <row r="222" spans="2:6" x14ac:dyDescent="0.2">
      <c r="B222" s="52">
        <v>4.3326616622190022E-6</v>
      </c>
      <c r="C222" s="52">
        <v>2.6882404896476742E-6</v>
      </c>
      <c r="D222" s="52">
        <v>2.6862499870798066E-6</v>
      </c>
      <c r="E222" s="52">
        <v>2.7260695776555939E-6</v>
      </c>
      <c r="F222" s="49">
        <v>2.4817710542937971E-6</v>
      </c>
    </row>
    <row r="223" spans="2:6" x14ac:dyDescent="0.2">
      <c r="B223" s="52">
        <v>4.3902264736506633E-6</v>
      </c>
      <c r="C223" s="52">
        <v>2.7276059761295762E-6</v>
      </c>
      <c r="D223" s="52">
        <v>2.721182898530611E-6</v>
      </c>
      <c r="E223" s="52">
        <v>2.7421708931503898E-6</v>
      </c>
      <c r="F223" s="49">
        <v>2.5091890570298707E-6</v>
      </c>
    </row>
    <row r="224" spans="2:6" x14ac:dyDescent="0.2">
      <c r="B224" s="52">
        <v>4.4467517399548906E-6</v>
      </c>
      <c r="C224" s="52">
        <v>2.7603455886491778E-6</v>
      </c>
      <c r="D224" s="52">
        <v>2.762349191950332E-6</v>
      </c>
      <c r="E224" s="52">
        <v>2.767361660940635E-6</v>
      </c>
      <c r="F224" s="49">
        <v>2.5445335913626287E-6</v>
      </c>
    </row>
    <row r="225" spans="2:6" x14ac:dyDescent="0.2">
      <c r="B225" s="52">
        <v>4.4978193943400882E-6</v>
      </c>
      <c r="C225" s="52">
        <v>2.7998409942283797E-6</v>
      </c>
      <c r="D225" s="52">
        <v>2.797282103401136E-6</v>
      </c>
      <c r="E225" s="52">
        <v>2.7908643875902968E-6</v>
      </c>
      <c r="F225" s="49">
        <v>2.5700024469847632E-6</v>
      </c>
    </row>
    <row r="226" spans="2:6" x14ac:dyDescent="0.2">
      <c r="B226" s="52">
        <v>4.5525254566713058E-6</v>
      </c>
      <c r="C226" s="52">
        <v>2.8423245390454819E-6</v>
      </c>
      <c r="D226" s="52">
        <v>2.8374094998260379E-6</v>
      </c>
      <c r="E226" s="52">
        <v>2.8441026081779279E-6</v>
      </c>
      <c r="F226" s="49">
        <v>2.6070362421496014E-6</v>
      </c>
    </row>
    <row r="227" spans="2:6" x14ac:dyDescent="0.2">
      <c r="B227" s="52">
        <v>4.6007343619560608E-6</v>
      </c>
      <c r="C227" s="52">
        <v>2.8618124036404828E-6</v>
      </c>
      <c r="D227" s="52">
        <v>2.8716931006550804E-6</v>
      </c>
      <c r="E227" s="52">
        <v>2.8721500609753143E-6</v>
      </c>
      <c r="F227" s="49">
        <v>2.6431604353279353E-6</v>
      </c>
    </row>
    <row r="228" spans="2:6" x14ac:dyDescent="0.2">
      <c r="B228" s="52">
        <v>4.599954703110485E-6</v>
      </c>
      <c r="C228" s="52">
        <v>2.869997306770383E-6</v>
      </c>
      <c r="D228" s="52">
        <v>2.933767196095543E-6</v>
      </c>
      <c r="E228" s="52">
        <v>2.9150003360824324E-6</v>
      </c>
      <c r="F228" s="49">
        <v>2.6924088857401236E-6</v>
      </c>
    </row>
    <row r="229" spans="2:6" x14ac:dyDescent="0.2">
      <c r="B229" s="52">
        <v>4.6560901399919248E-6</v>
      </c>
      <c r="C229" s="52">
        <v>2.8948118543546843E-6</v>
      </c>
      <c r="D229" s="52">
        <v>2.9706480394116337E-6</v>
      </c>
      <c r="E229" s="52">
        <v>2.9494104054866332E-6</v>
      </c>
      <c r="F229" s="49">
        <v>2.7237251827040749E-6</v>
      </c>
    </row>
    <row r="230" spans="2:6" x14ac:dyDescent="0.2">
      <c r="B230" s="52">
        <v>4.7107962023231416E-6</v>
      </c>
      <c r="C230" s="52">
        <v>2.9418425675772863E-6</v>
      </c>
      <c r="D230" s="52">
        <v>3.0054510887380853E-6</v>
      </c>
      <c r="E230" s="52">
        <v>2.9907024887716743E-6</v>
      </c>
      <c r="F230" s="49">
        <v>2.7582900581912571E-6</v>
      </c>
    </row>
    <row r="231" spans="2:6" x14ac:dyDescent="0.2">
      <c r="B231" s="52">
        <v>4.7551068133800184E-6</v>
      </c>
      <c r="C231" s="52">
        <v>2.9639288141182875E-6</v>
      </c>
      <c r="D231" s="52">
        <v>3.0353193773391451E-6</v>
      </c>
      <c r="E231" s="52">
        <v>3.0170619004284773E-6</v>
      </c>
      <c r="F231" s="49">
        <v>2.7889566394505621E-6</v>
      </c>
    </row>
    <row r="232" spans="2:6" x14ac:dyDescent="0.2">
      <c r="B232" s="52">
        <v>4.810072761993095E-6</v>
      </c>
      <c r="C232" s="52">
        <v>3.0113492846327899E-6</v>
      </c>
      <c r="D232" s="52">
        <v>3.0902510559402238E-6</v>
      </c>
      <c r="E232" s="52">
        <v>3.0393959832115812E-6</v>
      </c>
      <c r="F232" s="49">
        <v>2.8144254950726965E-6</v>
      </c>
    </row>
    <row r="233" spans="2:6" x14ac:dyDescent="0.2">
      <c r="B233" s="52">
        <v>4.8642590517605949E-6</v>
      </c>
      <c r="C233" s="52">
        <v>3.0457778454172913E-6</v>
      </c>
      <c r="D233" s="52">
        <v>3.1290798311216014E-6</v>
      </c>
      <c r="E233" s="52">
        <v>3.0657553948683838E-6</v>
      </c>
      <c r="F233" s="49">
        <v>2.852498835364969E-6</v>
      </c>
    </row>
    <row r="234" spans="2:6" x14ac:dyDescent="0.2">
      <c r="B234" s="52">
        <v>4.9170159669778735E-6</v>
      </c>
      <c r="C234" s="52">
        <v>3.0815055971747932E-6</v>
      </c>
      <c r="D234" s="52">
        <v>3.1610259137122994E-6</v>
      </c>
      <c r="E234" s="52">
        <v>3.1209413552336115E-6</v>
      </c>
      <c r="F234" s="49">
        <v>2.8890128579660904E-6</v>
      </c>
    </row>
    <row r="235" spans="2:6" x14ac:dyDescent="0.2">
      <c r="B235" s="52">
        <v>4.9687333370677183E-6</v>
      </c>
      <c r="C235" s="52">
        <v>3.1100877985807945E-6</v>
      </c>
      <c r="D235" s="52">
        <v>3.1960886872874562E-6</v>
      </c>
      <c r="E235" s="52">
        <v>3.1465216709793762E-6</v>
      </c>
      <c r="F235" s="49">
        <v>2.9125325664742862E-6</v>
      </c>
    </row>
    <row r="236" spans="2:6" x14ac:dyDescent="0.2">
      <c r="B236" s="52">
        <v>5.0104450853060096E-6</v>
      </c>
      <c r="C236" s="52">
        <v>3.1333433169974958E-6</v>
      </c>
      <c r="D236" s="52">
        <v>3.2005039995154389E-6</v>
      </c>
      <c r="E236" s="52">
        <v>3.184048124027731E-6</v>
      </c>
      <c r="F236" s="49">
        <v>2.9578827226585968E-6</v>
      </c>
    </row>
    <row r="237" spans="2:6" x14ac:dyDescent="0.2">
      <c r="B237" s="52">
        <v>5.0477387667527067E-6</v>
      </c>
      <c r="C237" s="52">
        <v>3.1682915541711975E-6</v>
      </c>
      <c r="D237" s="52">
        <v>3.2440078111735039E-6</v>
      </c>
      <c r="E237" s="52">
        <v>3.204304617714732E-6</v>
      </c>
      <c r="F237" s="49">
        <v>2.9860803842402457E-6</v>
      </c>
    </row>
    <row r="238" spans="2:6" x14ac:dyDescent="0.2">
      <c r="B238" s="52">
        <v>5.1069928390164481E-6</v>
      </c>
      <c r="C238" s="52">
        <v>3.2096058271125993E-6</v>
      </c>
      <c r="D238" s="52">
        <v>3.2737462376502109E-6</v>
      </c>
      <c r="E238" s="52">
        <v>3.2593607287614533E-6</v>
      </c>
      <c r="F238" s="49">
        <v>3.0214249185730038E-6</v>
      </c>
    </row>
    <row r="239" spans="2:6" x14ac:dyDescent="0.2">
      <c r="B239" s="52">
        <v>5.1574107776970001E-6</v>
      </c>
      <c r="C239" s="52">
        <v>3.2351998892807007E-6</v>
      </c>
      <c r="D239" s="52">
        <v>3.3098479082201873E-6</v>
      </c>
      <c r="E239" s="52">
        <v>3.2802664690409866E-6</v>
      </c>
      <c r="F239" s="49">
        <v>3.0453344565039871E-6</v>
      </c>
    </row>
    <row r="240" spans="2:6" x14ac:dyDescent="0.2">
      <c r="B240" s="52">
        <v>5.2179642813700342E-6</v>
      </c>
      <c r="C240" s="52">
        <v>3.2879470427845034E-6</v>
      </c>
      <c r="D240" s="52">
        <v>3.3632212413290368E-6</v>
      </c>
      <c r="E240" s="52">
        <v>3.3029900997796097E-6</v>
      </c>
      <c r="F240" s="49">
        <v>3.0767806966088674E-6</v>
      </c>
    </row>
    <row r="241" spans="2:6" x14ac:dyDescent="0.2">
      <c r="B241" s="52">
        <v>5.2611054041585477E-6</v>
      </c>
      <c r="C241" s="52">
        <v>3.3148402959256043E-6</v>
      </c>
      <c r="D241" s="52">
        <v>3.392050632935277E-6</v>
      </c>
      <c r="E241" s="52">
        <v>3.3320763471250476E-6</v>
      </c>
      <c r="F241" s="49">
        <v>3.1074472778681723E-6</v>
      </c>
    </row>
    <row r="242" spans="2:6" x14ac:dyDescent="0.2">
      <c r="B242" s="52">
        <v>5.3176306704627741E-6</v>
      </c>
      <c r="C242" s="52">
        <v>3.3600521417860065E-6</v>
      </c>
      <c r="D242" s="52">
        <v>3.4265939580130242E-6</v>
      </c>
      <c r="E242" s="52">
        <v>3.3740176770026206E-6</v>
      </c>
      <c r="F242" s="49">
        <v>3.1527974340524834E-6</v>
      </c>
    </row>
    <row r="243" spans="2:6" x14ac:dyDescent="0.2">
      <c r="B243" s="52">
        <v>5.3583028735736325E-6</v>
      </c>
      <c r="C243" s="52">
        <v>3.3924019970137082E-6</v>
      </c>
      <c r="D243" s="52">
        <v>3.4946417111736987E-6</v>
      </c>
      <c r="E243" s="52">
        <v>3.4099859382288984E-6</v>
      </c>
      <c r="F243" s="49">
        <v>3.1851532761438685E-6</v>
      </c>
    </row>
    <row r="244" spans="2:6" x14ac:dyDescent="0.2">
      <c r="B244" s="52">
        <v>5.4362687581311862E-6</v>
      </c>
      <c r="C244" s="52">
        <v>3.4083820459816089E-6</v>
      </c>
      <c r="D244" s="52">
        <v>3.4910055716918304E-6</v>
      </c>
      <c r="E244" s="52">
        <v>3.4341379114710925E-6</v>
      </c>
      <c r="F244" s="49">
        <v>3.1885317978080293E-6</v>
      </c>
    </row>
    <row r="245" spans="2:6" x14ac:dyDescent="0.2">
      <c r="B245" s="52">
        <v>5.4853872654024464E-6</v>
      </c>
      <c r="C245" s="52">
        <v>3.4438499595445105E-6</v>
      </c>
      <c r="D245" s="52">
        <v>3.5130821328317443E-6</v>
      </c>
      <c r="E245" s="52">
        <v>3.4616659669944529E-6</v>
      </c>
      <c r="F245" s="49">
        <v>3.2210175830403434E-6</v>
      </c>
    </row>
    <row r="246" spans="2:6" x14ac:dyDescent="0.2">
      <c r="B246" s="52">
        <v>5.5485396318940651E-6</v>
      </c>
      <c r="C246" s="52">
        <v>3.4971167894375134E-6</v>
      </c>
      <c r="D246" s="52">
        <v>3.5519109080131214E-6</v>
      </c>
      <c r="E246" s="52">
        <v>3.5110087080268918E-6</v>
      </c>
      <c r="F246" s="49">
        <v>3.2571417762186768E-6</v>
      </c>
    </row>
    <row r="247" spans="2:6" x14ac:dyDescent="0.2">
      <c r="B247" s="52">
        <v>5.5922005272462963E-6</v>
      </c>
      <c r="C247" s="52">
        <v>3.5223210943137145E-6</v>
      </c>
      <c r="D247" s="52">
        <v>3.5956744439198912E-6</v>
      </c>
      <c r="E247" s="52">
        <v>3.5330830921729829E-6</v>
      </c>
      <c r="F247" s="49">
        <v>3.2924863105514353E-6</v>
      </c>
    </row>
    <row r="248" spans="2:6" x14ac:dyDescent="0.2">
      <c r="B248" s="52">
        <v>5.6502851112416736E-6</v>
      </c>
      <c r="C248" s="52">
        <v>3.5496041047467158E-6</v>
      </c>
      <c r="D248" s="52">
        <v>3.6358018403447927E-6</v>
      </c>
      <c r="E248" s="52">
        <v>3.5576246133706962E-6</v>
      </c>
      <c r="F248" s="49">
        <v>3.3240624937972446E-6</v>
      </c>
    </row>
    <row r="249" spans="2:6" x14ac:dyDescent="0.2">
      <c r="B249" s="52">
        <v>5.7026521970361647E-6</v>
      </c>
      <c r="C249" s="52">
        <v>3.5813043644879169E-6</v>
      </c>
      <c r="D249" s="52">
        <v>3.6681375093085484E-6</v>
      </c>
      <c r="E249" s="52">
        <v>3.5776214084206844E-6</v>
      </c>
      <c r="F249" s="49">
        <v>3.3518703259561061E-6</v>
      </c>
    </row>
    <row r="250" spans="2:6" x14ac:dyDescent="0.2">
      <c r="B250" s="52">
        <v>5.7585277476357456E-6</v>
      </c>
      <c r="C250" s="52">
        <v>3.6308035405592194E-6</v>
      </c>
      <c r="D250" s="52">
        <v>3.7169656680650633E-6</v>
      </c>
      <c r="E250" s="52">
        <v>3.6380013415261691E-6</v>
      </c>
      <c r="F250" s="49">
        <v>3.3946216193218317E-6</v>
      </c>
    </row>
    <row r="251" spans="2:6" x14ac:dyDescent="0.2">
      <c r="B251" s="52">
        <v>5.8058270509339953E-6</v>
      </c>
      <c r="C251" s="52">
        <v>3.6556180881435206E-6</v>
      </c>
      <c r="D251" s="52">
        <v>3.7581319614847843E-6</v>
      </c>
      <c r="E251" s="52">
        <v>3.6607249722647921E-6</v>
      </c>
      <c r="F251" s="49">
        <v>3.4264576888494995E-6</v>
      </c>
    </row>
    <row r="252" spans="2:6" x14ac:dyDescent="0.2">
      <c r="B252" s="52">
        <v>5.8338947693747148E-6</v>
      </c>
      <c r="C252" s="52">
        <v>3.6878380242739224E-6</v>
      </c>
      <c r="D252" s="52">
        <v>3.7604694797231279E-6</v>
      </c>
      <c r="E252" s="52">
        <v>3.6926679046173708E-6</v>
      </c>
      <c r="F252" s="49">
        <v>3.4585536446590261E-6</v>
      </c>
    </row>
    <row r="253" spans="2:6" x14ac:dyDescent="0.2">
      <c r="B253" s="52">
        <v>5.8772957784450863E-6</v>
      </c>
      <c r="C253" s="52">
        <v>3.7252547242963241E-6</v>
      </c>
      <c r="D253" s="52">
        <v>3.7938440456817031E-6</v>
      </c>
      <c r="E253" s="52">
        <v>3.7142228914894365E-6</v>
      </c>
      <c r="F253" s="49">
        <v>3.4838925571402316E-6</v>
      </c>
    </row>
    <row r="254" spans="2:6" x14ac:dyDescent="0.2">
      <c r="B254" s="52">
        <v>5.9474650745468864E-6</v>
      </c>
      <c r="C254" s="52">
        <v>3.7482504045184251E-6</v>
      </c>
      <c r="D254" s="52">
        <v>3.8299457162516795E-6</v>
      </c>
      <c r="E254" s="52">
        <v>3.773823728683882E-6</v>
      </c>
      <c r="F254" s="49">
        <v>3.5287229407608253E-6</v>
      </c>
    </row>
    <row r="255" spans="2:6" x14ac:dyDescent="0.2">
      <c r="B255" s="52">
        <v>5.995284150408853E-6</v>
      </c>
      <c r="C255" s="52">
        <v>3.7841080753732269E-6</v>
      </c>
      <c r="D255" s="52">
        <v>3.8660473868216555E-6</v>
      </c>
      <c r="E255" s="52">
        <v>3.800702537614711E-6</v>
      </c>
      <c r="F255" s="49">
        <v>3.5599092945838472E-6</v>
      </c>
    </row>
    <row r="256" spans="2:6" x14ac:dyDescent="0.2">
      <c r="B256" s="52">
        <v>6.0542783363907354E-6</v>
      </c>
      <c r="C256" s="52">
        <v>3.8333474132499291E-6</v>
      </c>
      <c r="D256" s="52">
        <v>3.9131873379615884E-6</v>
      </c>
      <c r="E256" s="52">
        <v>3.8182321956130767E-6</v>
      </c>
      <c r="F256" s="49">
        <v>3.5830391736692551E-6</v>
      </c>
    </row>
    <row r="257" spans="1:6" x14ac:dyDescent="0.2">
      <c r="A257" s="49"/>
      <c r="B257" s="52">
        <v>6.0961200277699562E-6</v>
      </c>
      <c r="C257" s="52">
        <v>3.8714137087588315E-6</v>
      </c>
      <c r="D257" s="52">
        <v>3.9612363239719881E-6</v>
      </c>
      <c r="E257" s="52">
        <v>3.8434229634033222E-6</v>
      </c>
      <c r="F257" s="49">
        <v>3.6088978587141775E-6</v>
      </c>
    </row>
    <row r="258" spans="1:6" x14ac:dyDescent="0.2">
      <c r="A258" s="49"/>
      <c r="B258" s="52">
        <v>6.1549842706109101E-6</v>
      </c>
      <c r="C258" s="52">
        <v>3.8955786608566321E-6</v>
      </c>
      <c r="D258" s="52">
        <v>4.0087658614849791E-6</v>
      </c>
      <c r="E258" s="52">
        <v>3.8975701292204981E-6</v>
      </c>
      <c r="F258" s="49">
        <v>3.6542480148984881E-6</v>
      </c>
    </row>
    <row r="259" spans="1:6" x14ac:dyDescent="0.2">
      <c r="A259" s="49"/>
      <c r="B259" s="52">
        <v>6.2048824367277452E-6</v>
      </c>
      <c r="C259" s="52">
        <v>3.9446880796360347E-6</v>
      </c>
      <c r="D259" s="52">
        <v>4.0305826983761874E-6</v>
      </c>
      <c r="E259" s="52">
        <v>3.9319801986246988E-6</v>
      </c>
      <c r="F259" s="49">
        <v>3.6832253353257128E-6</v>
      </c>
    </row>
    <row r="260" spans="1:6" x14ac:dyDescent="0.2">
      <c r="A260" s="50" t="s">
        <v>1468</v>
      </c>
      <c r="B260" s="52">
        <v>6.2174869213978832E-6</v>
      </c>
      <c r="C260" s="52">
        <v>3.9413101831062341E-6</v>
      </c>
      <c r="D260" s="52">
        <v>4.0295438013813682E-6</v>
      </c>
      <c r="E260" s="52">
        <v>3.986516912397395E-6</v>
      </c>
      <c r="F260" s="49">
        <v>3.687383515835449E-6</v>
      </c>
    </row>
    <row r="261" spans="1:6" x14ac:dyDescent="0.2">
      <c r="A261" s="49"/>
      <c r="B261" s="52">
        <v>6.2681647463602933E-6</v>
      </c>
      <c r="C261" s="52">
        <v>3.9815851032692362E-6</v>
      </c>
      <c r="D261" s="52">
        <v>4.0692816114332121E-6</v>
      </c>
      <c r="E261" s="52">
        <v>4.0076823513139407E-6</v>
      </c>
      <c r="F261" s="49">
        <v>3.7329935583016181E-6</v>
      </c>
    </row>
    <row r="262" spans="1:6" x14ac:dyDescent="0.2">
      <c r="A262" s="49"/>
      <c r="B262" s="52">
        <v>6.3093567220348686E-6</v>
      </c>
      <c r="C262" s="52">
        <v>4.0169230977348382E-6</v>
      </c>
      <c r="D262" s="52">
        <v>4.0997992106560342E-6</v>
      </c>
      <c r="E262" s="52">
        <v>4.0629981609976752E-6</v>
      </c>
      <c r="F262" s="49">
        <v>3.7730160457078296E-6</v>
      </c>
    </row>
    <row r="263" spans="1:6" x14ac:dyDescent="0.2">
      <c r="A263" s="49"/>
      <c r="B263" s="52">
        <v>6.3589950018698448E-6</v>
      </c>
      <c r="C263" s="52">
        <v>4.0466745710165399E-6</v>
      </c>
      <c r="D263" s="52">
        <v>4.1492766800343111E-6</v>
      </c>
      <c r="E263" s="52">
        <v>4.0915650110690876E-6</v>
      </c>
      <c r="F263" s="49">
        <v>3.806411432926649E-6</v>
      </c>
    </row>
    <row r="264" spans="1:6" x14ac:dyDescent="0.2">
      <c r="A264" s="49"/>
      <c r="B264" s="52">
        <v>6.4207179938112421E-6</v>
      </c>
      <c r="C264" s="52">
        <v>4.0911069022931424E-6</v>
      </c>
      <c r="D264" s="52">
        <v>4.1869366960965167E-6</v>
      </c>
      <c r="E264" s="52">
        <v>4.1041603949642095E-6</v>
      </c>
      <c r="F264" s="49">
        <v>3.8304509139985613E-6</v>
      </c>
    </row>
    <row r="265" spans="1:6" x14ac:dyDescent="0.2">
      <c r="A265" s="49"/>
      <c r="B265" s="52">
        <v>6.4646387754453306E-6</v>
      </c>
      <c r="C265" s="52">
        <v>4.1311219842615437E-6</v>
      </c>
      <c r="D265" s="52">
        <v>4.2332974744903344E-6</v>
      </c>
      <c r="E265" s="52">
        <v>4.1336361902651669E-6</v>
      </c>
      <c r="F265" s="49">
        <v>3.8617672109625118E-6</v>
      </c>
    </row>
    <row r="266" spans="1:6" x14ac:dyDescent="0.2">
      <c r="A266" s="49"/>
      <c r="B266" s="52">
        <v>6.520644269185841E-6</v>
      </c>
      <c r="C266" s="52">
        <v>4.1603537811540448E-6</v>
      </c>
      <c r="D266" s="52">
        <v>4.2621268660965745E-6</v>
      </c>
      <c r="E266" s="52">
        <v>4.1883027533563683E-6</v>
      </c>
      <c r="F266" s="49">
        <v>3.8989309492682795E-6</v>
      </c>
    </row>
    <row r="267" spans="1:6" x14ac:dyDescent="0.2">
      <c r="A267" s="49"/>
      <c r="B267" s="52">
        <v>6.5750904452351998E-6</v>
      </c>
      <c r="C267" s="52">
        <v>4.1930933936736468E-6</v>
      </c>
      <c r="D267" s="52">
        <v>4.3131626809670802E-6</v>
      </c>
      <c r="E267" s="52">
        <v>4.2134935211466139E-6</v>
      </c>
      <c r="F267" s="49">
        <v>3.9321963933461698E-6</v>
      </c>
    </row>
    <row r="268" spans="1:6" x14ac:dyDescent="0.2">
      <c r="A268" s="49"/>
      <c r="B268" s="52">
        <v>6.6116044678363211E-6</v>
      </c>
      <c r="C268" s="52">
        <v>4.2224551096634482E-6</v>
      </c>
      <c r="D268" s="52">
        <v>4.3165390962002441E-6</v>
      </c>
      <c r="E268" s="52">
        <v>4.2533572619280843E-6</v>
      </c>
      <c r="F268" s="49">
        <v>3.9705296199203008E-6</v>
      </c>
    </row>
    <row r="269" spans="1:6" x14ac:dyDescent="0.2">
      <c r="A269" s="49"/>
      <c r="B269" s="52">
        <v>6.6444800824914231E-6</v>
      </c>
      <c r="C269" s="52">
        <v>4.2541553694046497E-6</v>
      </c>
      <c r="D269" s="52">
        <v>4.3486150409152942E-6</v>
      </c>
      <c r="E269" s="52">
        <v>4.2834823038215733E-6</v>
      </c>
      <c r="F269" s="49">
        <v>3.9970380206698687E-6</v>
      </c>
    </row>
    <row r="270" spans="1:6" x14ac:dyDescent="0.2">
      <c r="A270" s="49"/>
      <c r="B270" s="52">
        <v>6.7016550645002968E-6</v>
      </c>
      <c r="C270" s="52">
        <v>4.2962491569298512E-6</v>
      </c>
      <c r="D270" s="52">
        <v>4.3826389174956318E-6</v>
      </c>
      <c r="E270" s="52">
        <v>4.3280206200692743E-6</v>
      </c>
      <c r="F270" s="49">
        <v>4.0329023275663445E-6</v>
      </c>
    </row>
    <row r="271" spans="1:6" x14ac:dyDescent="0.2">
      <c r="A271" s="49"/>
      <c r="B271" s="52">
        <v>6.7502537992078392E-6</v>
      </c>
      <c r="C271" s="52">
        <v>4.3327564232711533E-6</v>
      </c>
      <c r="D271" s="52">
        <v>4.4251038321588777E-6</v>
      </c>
      <c r="E271" s="52">
        <v>4.3517830453559493E-6</v>
      </c>
      <c r="F271" s="49">
        <v>4.0669474304898098E-6</v>
      </c>
    </row>
    <row r="272" spans="1:6" x14ac:dyDescent="0.2">
      <c r="A272" s="49"/>
      <c r="B272" s="52">
        <v>6.8088581557669342E-6</v>
      </c>
      <c r="C272" s="52">
        <v>4.3696534469043548E-6</v>
      </c>
      <c r="D272" s="52">
        <v>4.4763993712780881E-6</v>
      </c>
      <c r="E272" s="52">
        <v>4.3720395390429507E-6</v>
      </c>
      <c r="F272" s="49">
        <v>4.1087891218690306E-6</v>
      </c>
    </row>
    <row r="273" spans="2:6" x14ac:dyDescent="0.2">
      <c r="B273" s="52">
        <v>6.8503100177233675E-6</v>
      </c>
      <c r="C273" s="52">
        <v>4.412266910818757E-6</v>
      </c>
      <c r="D273" s="52">
        <v>4.5045794522625663E-6</v>
      </c>
      <c r="E273" s="52">
        <v>4.401904882299426E-6</v>
      </c>
      <c r="F273" s="49">
        <v>4.1295800244177115E-6</v>
      </c>
    </row>
    <row r="274" spans="2:6" x14ac:dyDescent="0.2">
      <c r="B274" s="52">
        <v>6.9086544880006036E-6</v>
      </c>
      <c r="C274" s="52">
        <v>4.4426679795869589E-6</v>
      </c>
      <c r="D274" s="52">
        <v>4.542239468324771E-6</v>
      </c>
      <c r="E274" s="52">
        <v>4.4605967742643273E-6</v>
      </c>
      <c r="F274" s="49">
        <v>4.1735008060518008E-6</v>
      </c>
    </row>
    <row r="275" spans="2:6" x14ac:dyDescent="0.2">
      <c r="B275" s="52">
        <v>6.9449086243198669E-6</v>
      </c>
      <c r="C275" s="52">
        <v>4.4787854886363598E-6</v>
      </c>
      <c r="D275" s="52">
        <v>4.5727570675475931E-6</v>
      </c>
      <c r="E275" s="52">
        <v>4.4700757745152961E-6</v>
      </c>
      <c r="F275" s="49">
        <v>4.1970205145599967E-6</v>
      </c>
    </row>
    <row r="276" spans="2:6" x14ac:dyDescent="0.2">
      <c r="B276" s="52">
        <v>7.0300213816285306E-6</v>
      </c>
      <c r="C276" s="52">
        <v>4.5029504407341613E-6</v>
      </c>
      <c r="D276" s="52">
        <v>4.5944440423144499E-6</v>
      </c>
      <c r="E276" s="52">
        <v>4.5066932823341058E-6</v>
      </c>
      <c r="F276" s="49">
        <v>4.2084555109617714E-6</v>
      </c>
    </row>
    <row r="277" spans="2:6" x14ac:dyDescent="0.2">
      <c r="B277" s="52">
        <v>7.0599083040422597E-6</v>
      </c>
      <c r="C277" s="52">
        <v>4.535300295961863E-6</v>
      </c>
      <c r="D277" s="52">
        <v>4.6308054371331298E-6</v>
      </c>
      <c r="E277" s="52">
        <v>4.5350004337685053E-6</v>
      </c>
      <c r="F277" s="49">
        <v>4.2499073729182039E-6</v>
      </c>
    </row>
    <row r="278" spans="2:6" x14ac:dyDescent="0.2">
      <c r="B278" s="52">
        <v>7.1135748212460436E-6</v>
      </c>
      <c r="C278" s="52">
        <v>4.5775240025843649E-6</v>
      </c>
      <c r="D278" s="52">
        <v>4.6601542772367795E-6</v>
      </c>
      <c r="E278" s="52">
        <v>4.5920042845928232E-6</v>
      </c>
      <c r="F278" s="49">
        <v>4.2873309975058304E-6</v>
      </c>
    </row>
    <row r="279" spans="2:6" x14ac:dyDescent="0.2">
      <c r="B279" s="52">
        <v>7.1680209972954024E-6</v>
      </c>
      <c r="C279" s="52">
        <v>4.6159800553851667E-6</v>
      </c>
      <c r="D279" s="52">
        <v>4.7133977482212775E-6</v>
      </c>
      <c r="E279" s="52">
        <v>4.6103130385022276E-6</v>
      </c>
      <c r="F279" s="49">
        <v>4.3153987159465499E-6</v>
      </c>
    </row>
    <row r="280" spans="2:6" x14ac:dyDescent="0.2">
      <c r="B280" s="52">
        <v>7.2305236480823755E-6</v>
      </c>
      <c r="C280" s="52">
        <v>4.6553455418670687E-6</v>
      </c>
      <c r="D280" s="52">
        <v>4.7643037009674308E-6</v>
      </c>
      <c r="E280" s="52">
        <v>4.6487484367801275E-6</v>
      </c>
      <c r="F280" s="49">
        <v>4.3438562638100577E-6</v>
      </c>
    </row>
    <row r="281" spans="2:6" x14ac:dyDescent="0.2">
      <c r="B281" s="52">
        <v>7.2806817004810687E-6</v>
      </c>
      <c r="C281" s="52">
        <v>4.7056242325221714E-6</v>
      </c>
      <c r="D281" s="52">
        <v>4.7968990941798912E-6</v>
      </c>
      <c r="E281" s="52">
        <v>4.6697840263781672E-6</v>
      </c>
      <c r="F281" s="49">
        <v>4.3821894903841887E-6</v>
      </c>
    </row>
    <row r="282" spans="2:6" x14ac:dyDescent="0.2">
      <c r="B282" s="52">
        <v>7.3218736761556431E-6</v>
      </c>
      <c r="C282" s="52">
        <v>4.7278403981604722E-6</v>
      </c>
      <c r="D282" s="52">
        <v>4.8383251118483171E-6</v>
      </c>
      <c r="E282" s="52">
        <v>4.7161402330849584E-6</v>
      </c>
      <c r="F282" s="49">
        <v>4.4200029443946027E-6</v>
      </c>
    </row>
    <row r="283" spans="2:6" x14ac:dyDescent="0.2">
      <c r="B283" s="52">
        <v>7.3695628088766811E-6</v>
      </c>
      <c r="C283" s="52">
        <v>4.7605800106800742E-6</v>
      </c>
      <c r="D283" s="52">
        <v>4.8666350549571477E-6</v>
      </c>
      <c r="E283" s="52">
        <v>4.74146085019371E-6</v>
      </c>
      <c r="F283" s="49">
        <v>4.4393644723930623E-6</v>
      </c>
    </row>
    <row r="284" spans="2:6" x14ac:dyDescent="0.2">
      <c r="B284" s="52">
        <v>7.4220598378121008E-6</v>
      </c>
      <c r="C284" s="52">
        <v>4.7965676006321756E-6</v>
      </c>
      <c r="D284" s="52">
        <v>4.8852053387395452E-6</v>
      </c>
      <c r="E284" s="52">
        <v>4.7870379609894621E-6</v>
      </c>
      <c r="F284" s="49">
        <v>4.4719802007663055E-6</v>
      </c>
    </row>
    <row r="285" spans="2:6" x14ac:dyDescent="0.2">
      <c r="B285" s="52">
        <v>7.4531162484941932E-6</v>
      </c>
      <c r="C285" s="52">
        <v>4.831126080513977E-6</v>
      </c>
      <c r="D285" s="52">
        <v>4.9157229379623674E-6</v>
      </c>
      <c r="E285" s="52">
        <v>4.8136570712832791E-6</v>
      </c>
      <c r="F285" s="49">
        <v>4.5066750193944172E-6</v>
      </c>
    </row>
    <row r="286" spans="2:6" x14ac:dyDescent="0.2">
      <c r="B286" s="52">
        <v>7.4945681104506257E-6</v>
      </c>
      <c r="C286" s="52">
        <v>4.8504840260116787E-6</v>
      </c>
      <c r="D286" s="52">
        <v>4.9459808129364839E-6</v>
      </c>
      <c r="E286" s="52">
        <v>4.8649475520933137E-6</v>
      </c>
      <c r="F286" s="49">
        <v>4.5489065401964263E-6</v>
      </c>
    </row>
    <row r="287" spans="2:6" x14ac:dyDescent="0.2">
      <c r="B287" s="52">
        <v>7.5438165608628145E-6</v>
      </c>
      <c r="C287" s="52">
        <v>4.8962155482612807E-6</v>
      </c>
      <c r="D287" s="52">
        <v>4.9964971793095799E-6</v>
      </c>
      <c r="E287" s="52">
        <v>4.8803996209955769E-6</v>
      </c>
      <c r="F287" s="49">
        <v>4.586330164784052E-6</v>
      </c>
    </row>
    <row r="288" spans="2:6" x14ac:dyDescent="0.2">
      <c r="B288" s="52">
        <v>7.6068389842135045E-6</v>
      </c>
      <c r="C288" s="52">
        <v>4.9328527336998823E-6</v>
      </c>
      <c r="D288" s="52">
        <v>5.0516885821593639E-6</v>
      </c>
      <c r="E288" s="52">
        <v>4.9115634574371177E-6</v>
      </c>
      <c r="F288" s="49">
        <v>4.6160871440568517E-6</v>
      </c>
    </row>
    <row r="289" spans="2:6" x14ac:dyDescent="0.2">
      <c r="B289" s="52">
        <v>7.6559574914847655E-6</v>
      </c>
      <c r="C289" s="52">
        <v>4.9642931552464839E-6</v>
      </c>
      <c r="D289" s="52">
        <v>5.081167284387366E-6</v>
      </c>
      <c r="E289" s="52">
        <v>4.9287035674799651E-6</v>
      </c>
      <c r="F289" s="49">
        <v>4.6514316783896097E-6</v>
      </c>
    </row>
    <row r="290" spans="2:6" x14ac:dyDescent="0.2">
      <c r="B290" s="52">
        <v>7.702607079078368E-6</v>
      </c>
      <c r="C290" s="52">
        <v>5.0247055354909867E-6</v>
      </c>
      <c r="D290" s="52">
        <v>5.1242815096723739E-6</v>
      </c>
      <c r="E290" s="52">
        <v>4.9914207883185646E-6</v>
      </c>
      <c r="F290" s="49">
        <v>4.6913242226548923E-6</v>
      </c>
    </row>
    <row r="291" spans="2:6" x14ac:dyDescent="0.2">
      <c r="B291" s="52">
        <v>7.7313245132237347E-6</v>
      </c>
      <c r="C291" s="52">
        <v>5.0402958271669875E-6</v>
      </c>
      <c r="D291" s="52">
        <v>5.1532407634029664E-6</v>
      </c>
      <c r="E291" s="52">
        <v>5.0184294465679004E-6</v>
      </c>
      <c r="F291" s="49">
        <v>4.7264088707057914E-6</v>
      </c>
    </row>
    <row r="292" spans="2:6" x14ac:dyDescent="0.2">
      <c r="B292" s="52">
        <v>7.7613413787783925E-6</v>
      </c>
      <c r="C292" s="52">
        <v>5.0358785778587873E-6</v>
      </c>
      <c r="D292" s="52">
        <v>5.2102502359936839E-6</v>
      </c>
      <c r="E292" s="52">
        <v>5.064525954637678E-6</v>
      </c>
      <c r="F292" s="49">
        <v>4.7739680602859009E-6</v>
      </c>
    </row>
    <row r="293" spans="2:6" x14ac:dyDescent="0.2">
      <c r="B293" s="52">
        <v>7.8131886920091658E-6</v>
      </c>
      <c r="C293" s="52">
        <v>5.0830392101786892E-6</v>
      </c>
      <c r="D293" s="52">
        <v>5.266480535838287E-6</v>
      </c>
      <c r="E293" s="52">
        <v>5.1014031610935013E-6</v>
      </c>
      <c r="F293" s="49">
        <v>4.8055442435317093E-6</v>
      </c>
    </row>
    <row r="294" spans="2:6" x14ac:dyDescent="0.2">
      <c r="B294" s="52">
        <v>7.8476236243554195E-6</v>
      </c>
      <c r="C294" s="52">
        <v>5.1298100852066918E-6</v>
      </c>
      <c r="D294" s="52">
        <v>5.2919335122113641E-6</v>
      </c>
      <c r="E294" s="52">
        <v>5.1447728334746454E-6</v>
      </c>
      <c r="F294" s="49">
        <v>4.845176901515133E-6</v>
      </c>
    </row>
    <row r="295" spans="2:6" x14ac:dyDescent="0.2">
      <c r="B295" s="52">
        <v>7.8843975332383996E-6</v>
      </c>
      <c r="C295" s="52">
        <v>5.1646284032830931E-6</v>
      </c>
      <c r="D295" s="52">
        <v>5.3437484998279841E-6</v>
      </c>
      <c r="E295" s="52">
        <v>5.1821694372044933E-6</v>
      </c>
      <c r="F295" s="49">
        <v>4.8702559277144804E-6</v>
      </c>
    </row>
    <row r="296" spans="2:6" x14ac:dyDescent="0.2">
      <c r="B296" s="52">
        <v>7.9524877390853303E-6</v>
      </c>
      <c r="C296" s="52">
        <v>5.2045135661541949E-6</v>
      </c>
      <c r="D296" s="52">
        <v>5.3916676237140322E-6</v>
      </c>
      <c r="E296" s="52">
        <v>5.2029453281655203E-6</v>
      </c>
      <c r="F296" s="49">
        <v>4.915606083898791E-6</v>
      </c>
    </row>
    <row r="297" spans="2:6" x14ac:dyDescent="0.2">
      <c r="B297" s="52">
        <v>7.988871818545523E-6</v>
      </c>
      <c r="C297" s="52">
        <v>5.2319264956844966E-6</v>
      </c>
      <c r="D297" s="52">
        <v>5.4399763339731367E-6</v>
      </c>
      <c r="E297" s="52">
        <v>5.2233316711710285E-6</v>
      </c>
      <c r="F297" s="49">
        <v>4.9474421534264592E-6</v>
      </c>
    </row>
    <row r="298" spans="2:6" x14ac:dyDescent="0.2">
      <c r="B298" s="52">
        <v>8.0268152156968656E-6</v>
      </c>
      <c r="C298" s="52">
        <v>5.2720714967501983E-6</v>
      </c>
      <c r="D298" s="52">
        <v>5.4746495211752363E-6</v>
      </c>
      <c r="E298" s="52">
        <v>5.2718953162924286E-6</v>
      </c>
      <c r="F298" s="49">
        <v>4.9916228213424066E-6</v>
      </c>
    </row>
    <row r="299" spans="2:6" x14ac:dyDescent="0.2">
      <c r="B299" s="52">
        <v>8.0674874188077223E-6</v>
      </c>
      <c r="C299" s="52">
        <v>5.3219604301134006E-6</v>
      </c>
      <c r="D299" s="52">
        <v>5.4952975989472731E-6</v>
      </c>
      <c r="E299" s="52">
        <v>5.2989039745417636E-6</v>
      </c>
      <c r="F299" s="49">
        <v>5.017741392669187E-6</v>
      </c>
    </row>
    <row r="300" spans="2:6" x14ac:dyDescent="0.2">
      <c r="B300" s="52">
        <v>8.0982839432079567E-6</v>
      </c>
      <c r="C300" s="52">
        <v>5.3367712072056017E-6</v>
      </c>
      <c r="D300" s="52">
        <v>5.5132185721079086E-6</v>
      </c>
      <c r="E300" s="52">
        <v>5.33889756464174E-6</v>
      </c>
      <c r="F300" s="49">
        <v>5.0458091111099073E-6</v>
      </c>
    </row>
    <row r="301" spans="2:6" x14ac:dyDescent="0.2">
      <c r="B301" s="52">
        <v>8.1445437013787734E-6</v>
      </c>
      <c r="C301" s="52">
        <v>5.3706800916009029E-6</v>
      </c>
      <c r="D301" s="52">
        <v>5.5542550034032773E-6</v>
      </c>
      <c r="E301" s="52">
        <v>5.3601928528767924E-6</v>
      </c>
      <c r="F301" s="49">
        <v>5.0895999496030672E-6</v>
      </c>
    </row>
    <row r="302" spans="2:6" x14ac:dyDescent="0.2">
      <c r="B302" s="52">
        <v>8.1827469848119749E-6</v>
      </c>
      <c r="C302" s="52">
        <v>5.4041992187043047E-6</v>
      </c>
      <c r="D302" s="52">
        <v>5.5984081256831052E-6</v>
      </c>
      <c r="E302" s="52">
        <v>5.4162877584715652E-6</v>
      </c>
      <c r="F302" s="49">
        <v>5.1313116978413585E-6</v>
      </c>
    </row>
    <row r="303" spans="2:6" x14ac:dyDescent="0.2">
      <c r="B303" s="52">
        <v>8.2306960038148701E-6</v>
      </c>
      <c r="C303" s="52">
        <v>5.4592849159595079E-6</v>
      </c>
      <c r="D303" s="52">
        <v>5.6491842163049052E-6</v>
      </c>
      <c r="E303" s="52">
        <v>5.441348676943304E-6</v>
      </c>
      <c r="F303" s="49">
        <v>5.1674358910196924E-6</v>
      </c>
    </row>
    <row r="304" spans="2:6" x14ac:dyDescent="0.2">
      <c r="B304" s="52">
        <v>8.2933285977427727E-6</v>
      </c>
      <c r="C304" s="52">
        <v>5.4846191399330085E-6</v>
      </c>
      <c r="D304" s="52">
        <v>5.6820393337660712E-6</v>
      </c>
      <c r="E304" s="52">
        <v>5.4638126090449143E-6</v>
      </c>
      <c r="F304" s="49">
        <v>5.1981024722789965E-6</v>
      </c>
    </row>
    <row r="305" spans="2:6" x14ac:dyDescent="0.2">
      <c r="B305" s="52">
        <v>8.3238652358611465E-6</v>
      </c>
      <c r="C305" s="52">
        <v>5.5321695295448108E-6</v>
      </c>
      <c r="D305" s="52">
        <v>5.7148944512272365E-6</v>
      </c>
      <c r="E305" s="52">
        <v>5.4903018700202237E-6</v>
      </c>
      <c r="F305" s="49">
        <v>5.231108030075028E-6</v>
      </c>
    </row>
    <row r="306" spans="2:6" x14ac:dyDescent="0.2">
      <c r="B306" s="52">
        <v>8.3598594858985517E-6</v>
      </c>
      <c r="C306" s="52">
        <v>5.5641296274806122E-6</v>
      </c>
      <c r="D306" s="52">
        <v>5.7685275085847917E-6</v>
      </c>
      <c r="E306" s="52">
        <v>5.5441893372003876E-6</v>
      </c>
      <c r="F306" s="49">
        <v>5.2673621663942912E-6</v>
      </c>
    </row>
    <row r="307" spans="2:6" x14ac:dyDescent="0.2">
      <c r="B307" s="52">
        <v>8.398582541895471E-6</v>
      </c>
      <c r="C307" s="52">
        <v>5.5830978156864137E-6</v>
      </c>
      <c r="D307" s="52">
        <v>5.8106028368749796E-6</v>
      </c>
      <c r="E307" s="52">
        <v>5.5702890502201775E-6</v>
      </c>
      <c r="F307" s="49">
        <v>5.2988084064991711E-6</v>
      </c>
    </row>
    <row r="308" spans="2:6" x14ac:dyDescent="0.2">
      <c r="B308" s="52">
        <v>8.466542804601473E-6</v>
      </c>
      <c r="C308" s="52">
        <v>5.6254514414062159E-6</v>
      </c>
      <c r="D308" s="52">
        <v>5.8200827719527069E-6</v>
      </c>
      <c r="E308" s="52">
        <v>5.6097632430461284E-6</v>
      </c>
      <c r="F308" s="49">
        <v>5.3132320951423188E-6</v>
      </c>
    </row>
    <row r="309" spans="2:6" x14ac:dyDescent="0.2">
      <c r="B309" s="52">
        <v>8.4973393290017074E-6</v>
      </c>
      <c r="C309" s="52">
        <v>5.6758600511586181E-6</v>
      </c>
      <c r="D309" s="52">
        <v>5.8469642316936603E-6</v>
      </c>
      <c r="E309" s="52">
        <v>5.6233974214893022E-6</v>
      </c>
      <c r="F309" s="49">
        <v>5.329215101476618E-6</v>
      </c>
    </row>
    <row r="310" spans="2:6" x14ac:dyDescent="0.2">
      <c r="B310" s="52">
        <v>8.4998082486793625E-6</v>
      </c>
      <c r="C310" s="52">
        <v>5.7014541133267195E-6</v>
      </c>
      <c r="D310" s="52">
        <v>5.8773519687921301E-6</v>
      </c>
      <c r="E310" s="52">
        <v>5.6700133268331062E-6</v>
      </c>
      <c r="F310" s="49">
        <v>5.3758646890702213E-6</v>
      </c>
    </row>
    <row r="311" spans="2:6" x14ac:dyDescent="0.2">
      <c r="B311" s="52">
        <v>8.537491759548848E-6</v>
      </c>
      <c r="C311" s="52">
        <v>5.7526422376629214E-6</v>
      </c>
      <c r="D311" s="52">
        <v>5.9190377107092607E-6</v>
      </c>
      <c r="E311" s="52">
        <v>5.7083188757925001E-6</v>
      </c>
      <c r="F311" s="49">
        <v>5.4147176882080692E-6</v>
      </c>
    </row>
    <row r="312" spans="2:6" x14ac:dyDescent="0.2">
      <c r="B312" s="52">
        <v>8.5767345881094833E-6</v>
      </c>
      <c r="C312" s="52">
        <v>5.7810945199716227E-6</v>
      </c>
      <c r="D312" s="52">
        <v>5.9731902165642247E-6</v>
      </c>
      <c r="E312" s="52">
        <v>5.7155904376288592E-6</v>
      </c>
      <c r="F312" s="49">
        <v>5.4501921656817567E-6</v>
      </c>
    </row>
    <row r="313" spans="2:6" x14ac:dyDescent="0.2">
      <c r="B313" s="52">
        <v>8.6305310484541958E-6</v>
      </c>
      <c r="C313" s="52">
        <v>5.8157829189507245E-6</v>
      </c>
      <c r="D313" s="52">
        <v>6.0186419600875765E-6</v>
      </c>
      <c r="E313" s="52">
        <v>5.7459751781593609E-6</v>
      </c>
      <c r="F313" s="49">
        <v>5.4778700546996887E-6</v>
      </c>
    </row>
    <row r="314" spans="2:6" x14ac:dyDescent="0.2">
      <c r="B314" s="52">
        <v>8.6592484825995625E-6</v>
      </c>
      <c r="C314" s="52">
        <v>5.8513807516109265E-6</v>
      </c>
      <c r="D314" s="52">
        <v>6.0735736386886548E-6</v>
      </c>
      <c r="E314" s="52">
        <v>5.7928507821401785E-6</v>
      </c>
      <c r="F314" s="49">
        <v>5.5146439635826681E-6</v>
      </c>
    </row>
    <row r="315" spans="2:6" x14ac:dyDescent="0.2">
      <c r="B315" s="52">
        <v>8.6897851207179363E-6</v>
      </c>
      <c r="C315" s="52">
        <v>5.8952934064983282E-6</v>
      </c>
      <c r="D315" s="52">
        <v>6.1078572395176972E-6</v>
      </c>
      <c r="E315" s="52">
        <v>5.8255728104037959E-6</v>
      </c>
      <c r="F315" s="49">
        <v>5.5459602605466193E-6</v>
      </c>
    </row>
    <row r="316" spans="2:6" x14ac:dyDescent="0.2">
      <c r="B316" s="52">
        <v>8.7209714745409598E-6</v>
      </c>
      <c r="C316" s="52">
        <v>5.9177694103312298E-6</v>
      </c>
      <c r="D316" s="52">
        <v>6.1072079288959352E-6</v>
      </c>
      <c r="E316" s="52">
        <v>5.8703708252885097E-6</v>
      </c>
      <c r="F316" s="49">
        <v>5.5874121225030527E-6</v>
      </c>
    </row>
    <row r="317" spans="2:6" x14ac:dyDescent="0.2">
      <c r="B317" s="52">
        <v>8.7573555540011525E-6</v>
      </c>
      <c r="C317" s="52">
        <v>5.953107404796831E-6</v>
      </c>
      <c r="D317" s="52">
        <v>6.133569940139479E-6</v>
      </c>
      <c r="E317" s="52">
        <v>5.8820572639540874E-6</v>
      </c>
      <c r="F317" s="49">
        <v>5.616779272353064E-6</v>
      </c>
    </row>
    <row r="318" spans="2:6" x14ac:dyDescent="0.2">
      <c r="B318" s="52">
        <v>8.8030955396082498E-6</v>
      </c>
      <c r="C318" s="52">
        <v>5.9905241048192332E-6</v>
      </c>
      <c r="D318" s="52">
        <v>6.1857745141291562E-6</v>
      </c>
      <c r="E318" s="52">
        <v>5.956980320732291E-6</v>
      </c>
      <c r="F318" s="49">
        <v>5.6588808500141445E-6</v>
      </c>
    </row>
    <row r="319" spans="2:6" x14ac:dyDescent="0.2">
      <c r="B319" s="52">
        <v>8.825055930425294E-6</v>
      </c>
      <c r="C319" s="52">
        <v>6.0348265169985352E-6</v>
      </c>
      <c r="D319" s="52">
        <v>6.2339533622639092E-6</v>
      </c>
      <c r="E319" s="52">
        <v>5.9737308828196188E-6</v>
      </c>
      <c r="F319" s="49">
        <v>5.6903270901190244E-6</v>
      </c>
    </row>
    <row r="320" spans="2:6" x14ac:dyDescent="0.2">
      <c r="B320" s="52">
        <v>8.8870388086485502E-6</v>
      </c>
      <c r="C320" s="52">
        <v>6.0787391718859378E-6</v>
      </c>
      <c r="D320" s="52">
        <v>6.2578479931447566E-6</v>
      </c>
      <c r="E320" s="52">
        <v>5.9846382255741574E-6</v>
      </c>
      <c r="F320" s="49">
        <v>5.7187846379825322E-6</v>
      </c>
    </row>
    <row r="321" spans="1:6" x14ac:dyDescent="0.2">
      <c r="A321" s="49"/>
      <c r="B321" s="52">
        <v>8.9121178348478976E-6</v>
      </c>
      <c r="C321" s="52">
        <v>6.1158960337137393E-6</v>
      </c>
      <c r="D321" s="52">
        <v>6.2797946921603182E-6</v>
      </c>
      <c r="E321" s="52">
        <v>6.0126856783715442E-6</v>
      </c>
      <c r="F321" s="49">
        <v>5.7564681488520168E-6</v>
      </c>
    </row>
    <row r="322" spans="1:6" x14ac:dyDescent="0.2">
      <c r="A322" s="49"/>
      <c r="B322" s="52">
        <v>8.9587674224415001E-6</v>
      </c>
      <c r="C322" s="52">
        <v>6.1407105812980401E-6</v>
      </c>
      <c r="D322" s="52">
        <v>6.3562834834039008E-6</v>
      </c>
      <c r="E322" s="52">
        <v>6.0707283237439131E-6</v>
      </c>
      <c r="F322" s="49">
        <v>5.8005188736270347E-6</v>
      </c>
    </row>
    <row r="323" spans="1:6" x14ac:dyDescent="0.2">
      <c r="A323" s="49"/>
      <c r="B323" s="52">
        <v>8.9722815090981434E-6</v>
      </c>
      <c r="C323" s="52">
        <v>6.1876113754233421E-6</v>
      </c>
      <c r="D323" s="52">
        <v>6.3910865327303528E-6</v>
      </c>
      <c r="E323" s="52">
        <v>6.0989056258598059E-6</v>
      </c>
      <c r="F323" s="49">
        <v>5.8376826119328024E-6</v>
      </c>
    </row>
    <row r="324" spans="1:6" x14ac:dyDescent="0.2">
      <c r="A324" s="50" t="s">
        <v>1469</v>
      </c>
      <c r="B324" s="52">
        <v>9.0237389929061293E-6</v>
      </c>
      <c r="C324" s="52">
        <v>6.1920286247315424E-6</v>
      </c>
      <c r="D324" s="52">
        <v>6.4879636774972666E-6</v>
      </c>
      <c r="E324" s="52">
        <v>6.1608437507873671E-6</v>
      </c>
      <c r="F324" s="49">
        <v>5.8844621426673352E-6</v>
      </c>
    </row>
    <row r="325" spans="1:6" x14ac:dyDescent="0.2">
      <c r="A325" s="49"/>
      <c r="B325" s="52">
        <v>9.0984562989404521E-6</v>
      </c>
      <c r="C325" s="52">
        <v>6.2391892570514452E-6</v>
      </c>
      <c r="D325" s="52">
        <v>6.5417265969791742E-6</v>
      </c>
      <c r="E325" s="52">
        <v>6.1923971351844267E-6</v>
      </c>
      <c r="F325" s="49">
        <v>5.9224055398186786E-6</v>
      </c>
    </row>
    <row r="326" spans="1:6" x14ac:dyDescent="0.2">
      <c r="A326" s="49"/>
      <c r="B326" s="52">
        <v>9.1383488432057338E-6</v>
      </c>
      <c r="C326" s="52">
        <v>6.2569881733815457E-6</v>
      </c>
      <c r="D326" s="52">
        <v>6.5728935068237583E-6</v>
      </c>
      <c r="E326" s="52">
        <v>6.2305728348253138E-6</v>
      </c>
      <c r="F326" s="49">
        <v>5.9655466626071921E-6</v>
      </c>
    </row>
    <row r="327" spans="1:6" x14ac:dyDescent="0.2">
      <c r="A327" s="49"/>
      <c r="B327" s="52">
        <v>9.1600493477409208E-6</v>
      </c>
      <c r="C327" s="52">
        <v>6.2973930126418482E-6</v>
      </c>
      <c r="D327" s="52">
        <v>6.6027617954248176E-6</v>
      </c>
      <c r="E327" s="52">
        <v>6.2627754658149057E-6</v>
      </c>
      <c r="F327" s="49">
        <v>5.9988121066850825E-6</v>
      </c>
    </row>
    <row r="328" spans="1:6" x14ac:dyDescent="0.2">
      <c r="A328" s="49"/>
      <c r="B328" s="52">
        <v>9.2104672864214729E-6</v>
      </c>
      <c r="C328" s="52">
        <v>6.3613132085134511E-6</v>
      </c>
      <c r="D328" s="52">
        <v>6.6734067910725408E-6</v>
      </c>
      <c r="E328" s="52">
        <v>6.2964064393080681E-6</v>
      </c>
      <c r="F328" s="49">
        <v>6.0368854469773546E-6</v>
      </c>
    </row>
    <row r="329" spans="1:6" x14ac:dyDescent="0.2">
      <c r="A329" s="49"/>
      <c r="B329" s="52">
        <v>9.2460717070360889E-6</v>
      </c>
      <c r="C329" s="52">
        <v>6.3967811220763526E-6</v>
      </c>
      <c r="D329" s="52">
        <v>6.7066514949067633E-6</v>
      </c>
      <c r="E329" s="52">
        <v>6.3199091659577295E-6</v>
      </c>
      <c r="F329" s="49">
        <v>6.0593656103581157E-6</v>
      </c>
    </row>
    <row r="330" spans="1:6" x14ac:dyDescent="0.2">
      <c r="A330" s="49"/>
      <c r="B330" s="52">
        <v>9.2725801077856577E-6</v>
      </c>
      <c r="C330" s="52">
        <v>6.415099714795653E-6</v>
      </c>
      <c r="D330" s="52">
        <v>6.7474282019534272E-6</v>
      </c>
      <c r="E330" s="52">
        <v>6.3630191397018599E-6</v>
      </c>
      <c r="F330" s="49">
        <v>6.1056253685289316E-6</v>
      </c>
    </row>
    <row r="331" spans="1:6" x14ac:dyDescent="0.2">
      <c r="A331" s="49"/>
      <c r="B331" s="52">
        <v>9.2972693045622159E-6</v>
      </c>
      <c r="C331" s="52">
        <v>6.4380953950177544E-6</v>
      </c>
      <c r="D331" s="52">
        <v>6.7792444224197733E-6</v>
      </c>
      <c r="E331" s="52">
        <v>6.397039661150542E-6</v>
      </c>
      <c r="F331" s="49">
        <v>6.1385009831840336E-6</v>
      </c>
    </row>
    <row r="332" spans="1:6" x14ac:dyDescent="0.2">
      <c r="A332" s="49"/>
      <c r="B332" s="52">
        <v>9.3240375915936436E-6</v>
      </c>
      <c r="C332" s="52">
        <v>6.4825277262943568E-6</v>
      </c>
      <c r="D332" s="52">
        <v>6.8000223623161624E-6</v>
      </c>
      <c r="E332" s="52">
        <v>6.4449540596794098E-6</v>
      </c>
      <c r="F332" s="49">
        <v>6.1967155103203411E-6</v>
      </c>
    </row>
    <row r="333" spans="1:6" x14ac:dyDescent="0.2">
      <c r="A333" s="49"/>
      <c r="B333" s="52">
        <v>9.3597719553491882E-6</v>
      </c>
      <c r="C333" s="52">
        <v>6.5189050735383585E-6</v>
      </c>
      <c r="D333" s="52">
        <v>6.8100217458913002E-6</v>
      </c>
      <c r="E333" s="52">
        <v>6.4552121558414169E-6</v>
      </c>
      <c r="F333" s="49">
        <v>6.2158171520369419E-6</v>
      </c>
    </row>
    <row r="334" spans="1:6" x14ac:dyDescent="0.2">
      <c r="A334" s="49"/>
      <c r="B334" s="52">
        <v>9.3973255230777451E-6</v>
      </c>
      <c r="C334" s="52">
        <v>6.5643767575933606E-6</v>
      </c>
      <c r="D334" s="52">
        <v>6.8519672120571356E-6</v>
      </c>
      <c r="E334" s="52">
        <v>6.5111772121176829E-6</v>
      </c>
      <c r="F334" s="49">
        <v>6.2588283316845259E-6</v>
      </c>
    </row>
    <row r="335" spans="1:6" x14ac:dyDescent="0.2">
      <c r="A335" s="49"/>
      <c r="B335" s="52">
        <v>9.4237039806863835E-6</v>
      </c>
      <c r="C335" s="52">
        <v>6.565935786760961E-6</v>
      </c>
      <c r="D335" s="52">
        <v>6.889886952368046E-6</v>
      </c>
      <c r="E335" s="52">
        <v>6.5389649662780569E-6</v>
      </c>
      <c r="F335" s="49">
        <v>6.2965118425540105E-6</v>
      </c>
    </row>
    <row r="336" spans="1:6" x14ac:dyDescent="0.2">
      <c r="A336" s="49"/>
      <c r="B336" s="52">
        <v>9.464116297515383E-6</v>
      </c>
      <c r="C336" s="52">
        <v>6.6537610965357645E-6</v>
      </c>
      <c r="D336" s="52">
        <v>6.930663659414709E-6</v>
      </c>
      <c r="E336" s="52">
        <v>6.5792182550150461E-6</v>
      </c>
      <c r="F336" s="49">
        <v>6.3327659788732738E-6</v>
      </c>
    </row>
    <row r="337" spans="2:6" x14ac:dyDescent="0.2">
      <c r="B337" s="52">
        <v>9.4869862903189325E-6</v>
      </c>
      <c r="C337" s="52">
        <v>6.6813039451633657E-6</v>
      </c>
      <c r="D337" s="52">
        <v>7.0046850702955962E-6</v>
      </c>
      <c r="E337" s="52">
        <v>6.6046687214423045E-6</v>
      </c>
      <c r="F337" s="49">
        <v>6.3638223895553662E-6</v>
      </c>
    </row>
    <row r="338" spans="2:6" x14ac:dyDescent="0.2">
      <c r="B338" s="52">
        <v>9.5218110520879736E-6</v>
      </c>
      <c r="C338" s="52">
        <v>6.7180710496992685E-6</v>
      </c>
      <c r="D338" s="52">
        <v>7.0218268707101174E-6</v>
      </c>
      <c r="E338" s="52">
        <v>6.650765229512083E-6</v>
      </c>
      <c r="F338" s="49">
        <v>6.4024155024113561E-6</v>
      </c>
    </row>
    <row r="339" spans="2:6" x14ac:dyDescent="0.2">
      <c r="B339" s="52">
        <v>9.5433816134822303E-6</v>
      </c>
      <c r="C339" s="52">
        <v>6.7430155163808697E-6</v>
      </c>
      <c r="D339" s="52">
        <v>7.054811850295635E-6</v>
      </c>
      <c r="E339" s="52">
        <v>6.6750470520727826E-6</v>
      </c>
      <c r="F339" s="49">
        <v>6.440748728985487E-6</v>
      </c>
    </row>
    <row r="340" spans="2:6" x14ac:dyDescent="0.2">
      <c r="B340" s="52">
        <v>9.5845735891568048E-6</v>
      </c>
      <c r="C340" s="52">
        <v>6.7654915202137704E-6</v>
      </c>
      <c r="D340" s="52">
        <v>7.1015622150625099E-6</v>
      </c>
      <c r="E340" s="52">
        <v>6.7025751075961439E-6</v>
      </c>
      <c r="F340" s="49">
        <v>6.4533532136556242E-6</v>
      </c>
    </row>
    <row r="341" spans="2:6" x14ac:dyDescent="0.2">
      <c r="B341" s="52">
        <v>9.6071836956784953E-6</v>
      </c>
      <c r="C341" s="52">
        <v>6.8218764084419723E-6</v>
      </c>
      <c r="D341" s="52">
        <v>7.1389625068760107E-6</v>
      </c>
      <c r="E341" s="52">
        <v>6.7365956290448251E-6</v>
      </c>
      <c r="F341" s="49">
        <v>6.4957146775985627E-6</v>
      </c>
    </row>
    <row r="342" spans="2:6" x14ac:dyDescent="0.2">
      <c r="B342" s="52">
        <v>9.6355113004010729E-6</v>
      </c>
      <c r="C342" s="52">
        <v>6.8373367810206736E-6</v>
      </c>
      <c r="D342" s="52">
        <v>7.1455854752179854E-6</v>
      </c>
      <c r="E342" s="52">
        <v>6.7868473153068095E-6</v>
      </c>
      <c r="F342" s="49">
        <v>6.5279405765490184E-6</v>
      </c>
    </row>
    <row r="343" spans="2:6" x14ac:dyDescent="0.2">
      <c r="B343" s="52">
        <v>9.6522739655809479E-6</v>
      </c>
      <c r="C343" s="52">
        <v>6.9071033362707775E-6</v>
      </c>
      <c r="D343" s="52">
        <v>7.2325930985341146E-6</v>
      </c>
      <c r="E343" s="52">
        <v>6.7969755621503098E-6</v>
      </c>
      <c r="F343" s="49">
        <v>6.5544489772985871E-6</v>
      </c>
    </row>
    <row r="344" spans="2:6" x14ac:dyDescent="0.2">
      <c r="B344" s="52">
        <v>9.7064602553484495E-6</v>
      </c>
      <c r="C344" s="52">
        <v>6.9462089845580787E-6</v>
      </c>
      <c r="D344" s="52">
        <v>7.2551891081714381E-6</v>
      </c>
      <c r="E344" s="52">
        <v>6.8109992885490032E-6</v>
      </c>
      <c r="F344" s="49">
        <v>6.5851155585578921E-6</v>
      </c>
    </row>
    <row r="345" spans="2:6" x14ac:dyDescent="0.2">
      <c r="B345" s="52">
        <v>9.7090591181670333E-6</v>
      </c>
      <c r="C345" s="52">
        <v>6.9654370109584801E-6</v>
      </c>
      <c r="D345" s="52">
        <v>7.2807719466688675E-6</v>
      </c>
      <c r="E345" s="52">
        <v>6.8420332756720364E-6</v>
      </c>
      <c r="F345" s="49">
        <v>6.6179911732129941E-6</v>
      </c>
    </row>
    <row r="346" spans="2:6" x14ac:dyDescent="0.2">
      <c r="B346" s="52">
        <v>9.7290703618701384E-6</v>
      </c>
      <c r="C346" s="52">
        <v>7.008829989456682E-6</v>
      </c>
      <c r="D346" s="52">
        <v>7.3223278264616458E-6</v>
      </c>
      <c r="E346" s="52">
        <v>6.8976087839927836E-6</v>
      </c>
      <c r="F346" s="49">
        <v>6.6700983727256264E-6</v>
      </c>
    </row>
    <row r="347" spans="2:6" x14ac:dyDescent="0.2">
      <c r="B347" s="52">
        <v>9.7368669503258947E-6</v>
      </c>
      <c r="C347" s="52">
        <v>7.0307863169003829E-6</v>
      </c>
      <c r="D347" s="52">
        <v>7.3480405270834276E-6</v>
      </c>
      <c r="E347" s="52">
        <v>6.917995126998291E-6</v>
      </c>
      <c r="F347" s="49">
        <v>6.6984259774482047E-6</v>
      </c>
    </row>
    <row r="348" spans="2:6" x14ac:dyDescent="0.2">
      <c r="B348" s="52">
        <v>9.7603866588340889E-6</v>
      </c>
      <c r="C348" s="52">
        <v>7.0692423697011847E-6</v>
      </c>
      <c r="D348" s="52">
        <v>7.3769997808140193E-6</v>
      </c>
      <c r="E348" s="52">
        <v>6.9735706353190383E-6</v>
      </c>
      <c r="F348" s="49">
        <v>6.730521933257731E-6</v>
      </c>
    </row>
    <row r="349" spans="2:6" x14ac:dyDescent="0.2">
      <c r="B349" s="52">
        <v>9.7918328989389713E-6</v>
      </c>
      <c r="C349" s="52">
        <v>7.0966552992314864E-6</v>
      </c>
      <c r="D349" s="52">
        <v>7.3949207539746557E-6</v>
      </c>
      <c r="E349" s="52">
        <v>6.9973330606057132E-6</v>
      </c>
      <c r="F349" s="49">
        <v>6.7623580027853992E-6</v>
      </c>
    </row>
    <row r="350" spans="2:6" x14ac:dyDescent="0.2">
      <c r="B350" s="52">
        <v>9.7959910794487066E-6</v>
      </c>
      <c r="C350" s="52">
        <v>7.1217296850103871E-6</v>
      </c>
      <c r="D350" s="52">
        <v>7.43413911552909E-6</v>
      </c>
      <c r="E350" s="52">
        <v>7.0468056509566585E-6</v>
      </c>
      <c r="F350" s="49">
        <v>6.8001714567958132E-6</v>
      </c>
    </row>
    <row r="351" spans="2:6" x14ac:dyDescent="0.2">
      <c r="B351" s="52">
        <v>9.8093752229644196E-6</v>
      </c>
      <c r="C351" s="52">
        <v>7.1690202364275895E-6</v>
      </c>
      <c r="D351" s="52">
        <v>7.4705005103477708E-6</v>
      </c>
      <c r="E351" s="52">
        <v>7.065893500777102E-6</v>
      </c>
      <c r="F351" s="49">
        <v>6.8283691183774621E-6</v>
      </c>
    </row>
    <row r="352" spans="2:6" x14ac:dyDescent="0.2">
      <c r="B352" s="52">
        <v>9.830945784358678E-6</v>
      </c>
      <c r="C352" s="52">
        <v>7.2098148329797914E-6</v>
      </c>
      <c r="D352" s="52">
        <v>7.5304968117985951E-6</v>
      </c>
      <c r="E352" s="52">
        <v>7.0822545149089103E-6</v>
      </c>
      <c r="F352" s="49">
        <v>6.8668322880925217E-6</v>
      </c>
    </row>
    <row r="353" spans="2:6" x14ac:dyDescent="0.2">
      <c r="B353" s="52">
        <v>9.8364033962777061E-6</v>
      </c>
      <c r="C353" s="52">
        <v>7.2582746562726938E-6</v>
      </c>
      <c r="D353" s="52">
        <v>7.569585311228677E-6</v>
      </c>
      <c r="E353" s="52">
        <v>7.1277017763861564E-6</v>
      </c>
      <c r="F353" s="49">
        <v>6.9038660832573608E-6</v>
      </c>
    </row>
    <row r="354" spans="2:6" x14ac:dyDescent="0.2">
      <c r="B354" s="52">
        <v>9.8422508376195233E-6</v>
      </c>
      <c r="C354" s="52">
        <v>7.2794514691325949E-6</v>
      </c>
      <c r="D354" s="52">
        <v>7.5842597312805027E-6</v>
      </c>
      <c r="E354" s="52">
        <v>7.1783430106036595E-6</v>
      </c>
      <c r="F354" s="49">
        <v>6.9402501627175526E-6</v>
      </c>
    </row>
    <row r="355" spans="2:6" x14ac:dyDescent="0.2">
      <c r="B355" s="52">
        <v>9.8510869712027118E-6</v>
      </c>
      <c r="C355" s="52">
        <v>7.3337576518039975E-6</v>
      </c>
      <c r="D355" s="52">
        <v>7.6346462355292463E-6</v>
      </c>
      <c r="E355" s="52">
        <v>7.2005472440682579E-6</v>
      </c>
      <c r="F355" s="49">
        <v>6.9854703757609347E-6</v>
      </c>
    </row>
    <row r="356" spans="2:6" x14ac:dyDescent="0.2">
      <c r="B356" s="52">
        <v>9.8644711147184264E-6</v>
      </c>
      <c r="C356" s="52">
        <v>7.3236239622145966E-6</v>
      </c>
      <c r="D356" s="52">
        <v>7.7068495766691983E-6</v>
      </c>
      <c r="E356" s="52">
        <v>7.2541750126114082E-6</v>
      </c>
      <c r="F356" s="49">
        <v>7.0392668361056471E-6</v>
      </c>
    </row>
    <row r="357" spans="2:6" x14ac:dyDescent="0.2">
      <c r="B357" s="52">
        <v>9.8704484992011723E-6</v>
      </c>
      <c r="C357" s="52">
        <v>7.3785797403725003E-6</v>
      </c>
      <c r="D357" s="52">
        <v>7.7417824881200018E-6</v>
      </c>
      <c r="E357" s="52">
        <v>7.2841702051863903E-6</v>
      </c>
      <c r="F357" s="49">
        <v>7.0840972197262408E-6</v>
      </c>
    </row>
    <row r="358" spans="2:6" x14ac:dyDescent="0.2">
      <c r="B358" s="52">
        <v>9.870318556060242E-6</v>
      </c>
      <c r="C358" s="52">
        <v>7.4031344497622011E-6</v>
      </c>
      <c r="D358" s="52">
        <v>7.7572360809179428E-6</v>
      </c>
      <c r="E358" s="52">
        <v>7.3459784807954456E-6</v>
      </c>
      <c r="F358" s="49">
        <v>7.1174926069450606E-6</v>
      </c>
    </row>
    <row r="359" spans="2:6" x14ac:dyDescent="0.2">
      <c r="B359" s="52">
        <v>9.8946179234140128E-6</v>
      </c>
      <c r="C359" s="52">
        <v>7.4306772983898023E-6</v>
      </c>
      <c r="D359" s="52">
        <v>7.8134663807625459E-6</v>
      </c>
      <c r="E359" s="52">
        <v>7.3609111524236841E-6</v>
      </c>
      <c r="F359" s="49">
        <v>7.1458202116676381E-6</v>
      </c>
    </row>
    <row r="360" spans="2:6" x14ac:dyDescent="0.2">
      <c r="B360" s="52">
        <v>9.8800642916299374E-6</v>
      </c>
      <c r="C360" s="52">
        <v>7.4797867171692049E-6</v>
      </c>
      <c r="D360" s="52">
        <v>7.8770988216952381E-6</v>
      </c>
      <c r="E360" s="52">
        <v>7.3981779068350261E-6</v>
      </c>
      <c r="F360" s="49">
        <v>7.1799952577320329E-6</v>
      </c>
    </row>
    <row r="361" spans="2:6" x14ac:dyDescent="0.2">
      <c r="B361" s="52">
        <v>9.8868213349582581E-6</v>
      </c>
      <c r="C361" s="52">
        <v>7.5057705366292058E-6</v>
      </c>
      <c r="D361" s="52">
        <v>7.8964482782237492E-6</v>
      </c>
      <c r="E361" s="52">
        <v>7.425316414402867E-6</v>
      </c>
      <c r="F361" s="49">
        <v>7.2178087117424469E-6</v>
      </c>
    </row>
    <row r="362" spans="2:6" x14ac:dyDescent="0.2">
      <c r="B362" s="52">
        <v>9.9008551941786175E-6</v>
      </c>
      <c r="C362" s="52">
        <v>7.5508524633923084E-6</v>
      </c>
      <c r="D362" s="52">
        <v>7.9207324954776546E-6</v>
      </c>
      <c r="E362" s="52">
        <v>7.4775158404424475E-6</v>
      </c>
      <c r="F362" s="49">
        <v>7.2536730186389219E-6</v>
      </c>
    </row>
    <row r="363" spans="2:6" x14ac:dyDescent="0.2">
      <c r="B363" s="52">
        <v>9.9031941707153457E-6</v>
      </c>
      <c r="C363" s="52">
        <v>7.5730686290306084E-6</v>
      </c>
      <c r="D363" s="52">
        <v>7.9855336955295192E-6</v>
      </c>
      <c r="E363" s="52">
        <v>7.4988111286775E-6</v>
      </c>
      <c r="F363" s="49">
        <v>7.2856390313075195E-6</v>
      </c>
    </row>
    <row r="364" spans="2:6" x14ac:dyDescent="0.2">
      <c r="B364" s="52">
        <v>9.8976066156553874E-6</v>
      </c>
      <c r="C364" s="52">
        <v>7.607757028009711E-6</v>
      </c>
      <c r="D364" s="52">
        <v>7.9900788698818539E-6</v>
      </c>
      <c r="E364" s="52">
        <v>7.5407524585550734E-6</v>
      </c>
      <c r="F364" s="49">
        <v>7.3183847028216921E-6</v>
      </c>
    </row>
    <row r="365" spans="2:6" x14ac:dyDescent="0.2">
      <c r="B365" s="52">
        <v>9.8953975822595894E-6</v>
      </c>
      <c r="C365" s="52">
        <v>7.6573861231783135E-6</v>
      </c>
      <c r="D365" s="52">
        <v>8.0312451633015741E-6</v>
      </c>
      <c r="E365" s="52">
        <v>7.5504911574430541E-6</v>
      </c>
      <c r="F365" s="49">
        <v>7.3554184979865312E-6</v>
      </c>
    </row>
    <row r="366" spans="2:6" x14ac:dyDescent="0.2">
      <c r="B366" s="52">
        <v>9.897736558796316E-6</v>
      </c>
      <c r="C366" s="52">
        <v>7.6851888100005137E-6</v>
      </c>
      <c r="D366" s="52">
        <v>8.0570877260477083E-6</v>
      </c>
      <c r="E366" s="52">
        <v>7.6276216526358666E-6</v>
      </c>
      <c r="F366" s="49">
        <v>7.3988195070569028E-6</v>
      </c>
    </row>
    <row r="367" spans="2:6" x14ac:dyDescent="0.2">
      <c r="B367" s="52">
        <v>9.8981263882191034E-6</v>
      </c>
      <c r="C367" s="52">
        <v>7.7219559145364165E-6</v>
      </c>
      <c r="D367" s="52">
        <v>8.087345601021824E-6</v>
      </c>
      <c r="E367" s="52">
        <v>7.6447617626787148E-6</v>
      </c>
      <c r="F367" s="49">
        <v>7.4315651785710754E-6</v>
      </c>
    </row>
    <row r="368" spans="2:6" x14ac:dyDescent="0.2">
      <c r="B368" s="52">
        <v>9.9002054784739711E-6</v>
      </c>
      <c r="C368" s="52">
        <v>7.772104686094218E-6</v>
      </c>
      <c r="D368" s="52">
        <v>8.134225827913053E-6</v>
      </c>
      <c r="E368" s="52">
        <v>7.6855344486897313E-6</v>
      </c>
      <c r="F368" s="49">
        <v>7.4665198834810459E-6</v>
      </c>
    </row>
    <row r="369" spans="2:6" x14ac:dyDescent="0.2">
      <c r="B369" s="52">
        <v>9.9050133746883545E-6</v>
      </c>
      <c r="C369" s="52">
        <v>7.800167211111019E-6</v>
      </c>
      <c r="D369" s="52">
        <v>8.1648732892602284E-6</v>
      </c>
      <c r="E369" s="52">
        <v>7.6874821884673274E-6</v>
      </c>
      <c r="F369" s="49">
        <v>7.4974463510222097E-6</v>
      </c>
    </row>
    <row r="370" spans="2:6" x14ac:dyDescent="0.2">
      <c r="B370" s="52">
        <v>9.9021546255879102E-6</v>
      </c>
      <c r="C370" s="52">
        <v>7.8245920014034212E-6</v>
      </c>
      <c r="D370" s="52">
        <v>8.1916248868768285E-6</v>
      </c>
      <c r="E370" s="52">
        <v>7.7455248338396955E-6</v>
      </c>
      <c r="F370" s="49">
        <v>7.5407174169516518E-6</v>
      </c>
    </row>
    <row r="371" spans="2:6" x14ac:dyDescent="0.2">
      <c r="B371" s="52">
        <v>9.9102111003255254E-6</v>
      </c>
      <c r="C371" s="52">
        <v>7.8642173260799222E-6</v>
      </c>
      <c r="D371" s="52">
        <v>8.2434398744934485E-6</v>
      </c>
      <c r="E371" s="52">
        <v>7.7764289716442236E-6</v>
      </c>
      <c r="F371" s="49">
        <v>7.5691749648151596E-6</v>
      </c>
    </row>
    <row r="372" spans="2:6" x14ac:dyDescent="0.2">
      <c r="B372" s="52">
        <v>9.9047534884064956E-6</v>
      </c>
      <c r="C372" s="52">
        <v>7.8924097701940253E-6</v>
      </c>
      <c r="D372" s="52">
        <v>8.2596726400375038E-6</v>
      </c>
      <c r="E372" s="52">
        <v>7.7999316982938849E-6</v>
      </c>
      <c r="F372" s="49">
        <v>7.5769715532709151E-6</v>
      </c>
    </row>
    <row r="373" spans="2:6" x14ac:dyDescent="0.2">
      <c r="B373" s="52">
        <v>9.9069625218022936E-6</v>
      </c>
      <c r="C373" s="52">
        <v>7.9082599000646243E-6</v>
      </c>
      <c r="D373" s="52">
        <v>8.2633087795193709E-6</v>
      </c>
      <c r="E373" s="52">
        <v>7.8253821647211424E-6</v>
      </c>
      <c r="F373" s="49">
        <v>7.6154347229859755E-6</v>
      </c>
    </row>
    <row r="374" spans="2:6" x14ac:dyDescent="0.2">
      <c r="B374" s="52">
        <v>9.8994258196283962E-6</v>
      </c>
      <c r="C374" s="52">
        <v>7.9778965362174287E-6</v>
      </c>
      <c r="D374" s="52">
        <v>8.3026570031981576E-6</v>
      </c>
      <c r="E374" s="52">
        <v>7.8625190698139785E-6</v>
      </c>
      <c r="F374" s="49">
        <v>7.6360956823937262E-6</v>
      </c>
    </row>
    <row r="375" spans="2:6" x14ac:dyDescent="0.2">
      <c r="B375" s="52">
        <v>9.9017647961651227E-6</v>
      </c>
      <c r="C375" s="52">
        <v>7.990108931363629E-6</v>
      </c>
      <c r="D375" s="52">
        <v>8.335252396410618E-6</v>
      </c>
      <c r="E375" s="52">
        <v>7.8996559749068145E-6</v>
      </c>
      <c r="F375" s="49">
        <v>7.6774176012092309E-6</v>
      </c>
    </row>
    <row r="376" spans="2:6" x14ac:dyDescent="0.2">
      <c r="B376" s="52">
        <v>9.9148890533989785E-6</v>
      </c>
      <c r="C376" s="52">
        <v>8.058706214738032E-6</v>
      </c>
      <c r="D376" s="52">
        <v>8.4131696710220787E-6</v>
      </c>
      <c r="E376" s="52">
        <v>7.9445838391100351E-6</v>
      </c>
      <c r="F376" s="49">
        <v>7.6983384468988413E-6</v>
      </c>
    </row>
    <row r="377" spans="2:6" x14ac:dyDescent="0.2">
      <c r="B377" s="52">
        <v>9.9093014983390201E-6</v>
      </c>
      <c r="C377" s="52">
        <v>8.069099742522032E-6</v>
      </c>
      <c r="D377" s="52">
        <v>8.418234293871823E-6</v>
      </c>
      <c r="E377" s="52">
        <v>7.9674373191671633E-6</v>
      </c>
      <c r="F377" s="49">
        <v>7.7457676933380204E-6</v>
      </c>
    </row>
    <row r="378" spans="2:6" x14ac:dyDescent="0.2">
      <c r="B378" s="52">
        <v>9.9119003611576056E-6</v>
      </c>
      <c r="C378" s="52">
        <v>8.1078156335174338E-6</v>
      </c>
      <c r="D378" s="52">
        <v>8.4518685840791026E-6</v>
      </c>
      <c r="E378" s="52">
        <v>8.024571019309988E-6</v>
      </c>
      <c r="F378" s="49">
        <v>7.7805924551070615E-6</v>
      </c>
    </row>
    <row r="379" spans="2:6" x14ac:dyDescent="0.2">
      <c r="B379" s="52">
        <v>9.9087817257753024E-6</v>
      </c>
      <c r="C379" s="52">
        <v>8.1508188547237379E-6</v>
      </c>
      <c r="D379" s="52">
        <v>8.5113454370325164E-6</v>
      </c>
      <c r="E379" s="52">
        <v>8.0459961568635473E-6</v>
      </c>
      <c r="F379" s="49">
        <v>7.810349434379862E-6</v>
      </c>
    </row>
    <row r="380" spans="2:6" x14ac:dyDescent="0.2">
      <c r="B380" s="52">
        <v>9.9190472339087138E-6</v>
      </c>
      <c r="C380" s="52">
        <v>8.1757633214053383E-6</v>
      </c>
      <c r="D380" s="52">
        <v>8.5047224686905434E-6</v>
      </c>
      <c r="E380" s="52">
        <v>8.0548259105219829E-6</v>
      </c>
      <c r="F380" s="49">
        <v>7.8406261862163787E-6</v>
      </c>
    </row>
    <row r="381" spans="2:6" x14ac:dyDescent="0.2">
      <c r="B381" s="52">
        <v>9.9093014983390201E-6</v>
      </c>
      <c r="C381" s="52">
        <v>8.2272112839361401E-6</v>
      </c>
      <c r="D381" s="52">
        <v>8.5371879997786507E-6</v>
      </c>
      <c r="E381" s="52">
        <v>8.0796271303567089E-6</v>
      </c>
      <c r="F381" s="49">
        <v>7.8755808911263484E-6</v>
      </c>
    </row>
    <row r="382" spans="2:6" x14ac:dyDescent="0.2">
      <c r="B382" s="52">
        <v>9.9085218394934452E-6</v>
      </c>
      <c r="C382" s="52">
        <v>8.2399433554715402E-6</v>
      </c>
      <c r="D382" s="52">
        <v>8.5651083565144249E-6</v>
      </c>
      <c r="E382" s="52">
        <v>8.1471487759800475E-6</v>
      </c>
      <c r="F382" s="49">
        <v>7.9274282043571217E-6</v>
      </c>
    </row>
    <row r="383" spans="2:6" x14ac:dyDescent="0.2">
      <c r="B383" s="52">
        <v>9.9125500768622502E-6</v>
      </c>
      <c r="C383" s="52">
        <v>8.2665767704180421E-6</v>
      </c>
      <c r="D383" s="52">
        <v>8.6378311461517864E-6</v>
      </c>
      <c r="E383" s="52">
        <v>8.1775335165105483E-6</v>
      </c>
      <c r="F383" s="49">
        <v>7.9588744444620025E-6</v>
      </c>
    </row>
    <row r="384" spans="2:6" x14ac:dyDescent="0.2">
      <c r="B384" s="52">
        <v>9.9177478024994211E-6</v>
      </c>
      <c r="C384" s="52">
        <v>8.3069816096783437E-6</v>
      </c>
      <c r="D384" s="52">
        <v>8.6593882587942891E-6</v>
      </c>
      <c r="E384" s="52">
        <v>8.1832468865248308E-6</v>
      </c>
      <c r="F384" s="49">
        <v>8.0016257378277285E-6</v>
      </c>
    </row>
    <row r="385" spans="1:6" x14ac:dyDescent="0.2">
      <c r="A385" s="49"/>
      <c r="B385" s="52">
        <v>9.9020246824469816E-6</v>
      </c>
      <c r="C385" s="52">
        <v>8.3369929211546454E-6</v>
      </c>
      <c r="D385" s="52">
        <v>8.6975677233539051E-6</v>
      </c>
      <c r="E385" s="52">
        <v>8.2250583670838983E-6</v>
      </c>
      <c r="F385" s="49">
        <v>8.0252753894768529E-6</v>
      </c>
    </row>
    <row r="386" spans="1:6" x14ac:dyDescent="0.2">
      <c r="A386" s="49"/>
      <c r="B386" s="52">
        <v>9.9065726923795061E-6</v>
      </c>
      <c r="C386" s="52">
        <v>8.3862322590313475E-6</v>
      </c>
      <c r="D386" s="52">
        <v>8.7122421434057299E-6</v>
      </c>
      <c r="E386" s="52">
        <v>8.282192067226723E-6</v>
      </c>
      <c r="F386" s="49">
        <v>8.0461962351664633E-6</v>
      </c>
    </row>
    <row r="387" spans="1:6" x14ac:dyDescent="0.2">
      <c r="A387" s="49"/>
      <c r="B387" s="52">
        <v>9.9061828629567169E-6</v>
      </c>
      <c r="C387" s="52">
        <v>8.41481446043735E-6</v>
      </c>
      <c r="D387" s="52">
        <v>8.7771732055819461E-6</v>
      </c>
      <c r="E387" s="52">
        <v>8.3085514788835239E-6</v>
      </c>
      <c r="F387" s="49">
        <v>8.0836198597540899E-6</v>
      </c>
    </row>
    <row r="388" spans="1:6" x14ac:dyDescent="0.2">
      <c r="A388" s="50" t="s">
        <v>1470</v>
      </c>
      <c r="B388" s="52">
        <v>9.9124201337213216E-6</v>
      </c>
      <c r="C388" s="52">
        <v>8.4179325187725507E-6</v>
      </c>
      <c r="D388" s="52">
        <v>8.8485973739757836E-6</v>
      </c>
      <c r="E388" s="52">
        <v>8.3860715220318551E-6</v>
      </c>
      <c r="F388" s="49">
        <v>8.2026477768452886E-6</v>
      </c>
    </row>
    <row r="389" spans="1:6" x14ac:dyDescent="0.2">
      <c r="A389" s="49"/>
      <c r="B389" s="52">
        <v>9.913069849425968E-6</v>
      </c>
      <c r="C389" s="52">
        <v>8.4465147201785516E-6</v>
      </c>
      <c r="D389" s="52">
        <v>8.9259952000898347E-6</v>
      </c>
      <c r="E389" s="52">
        <v>8.3946415770532805E-6</v>
      </c>
      <c r="F389" s="49">
        <v>8.2485177055933178E-6</v>
      </c>
    </row>
    <row r="390" spans="1:6" x14ac:dyDescent="0.2">
      <c r="A390" s="49"/>
      <c r="B390" s="52">
        <v>9.9051433178292831E-6</v>
      </c>
      <c r="C390" s="52">
        <v>8.4884785886064527E-6</v>
      </c>
      <c r="D390" s="52">
        <v>8.9254757515924252E-6</v>
      </c>
      <c r="E390" s="52">
        <v>8.4416470303526032E-6</v>
      </c>
      <c r="F390" s="49">
        <v>8.2742464474973116E-6</v>
      </c>
    </row>
    <row r="391" spans="1:6" x14ac:dyDescent="0.2">
      <c r="A391" s="49"/>
      <c r="B391" s="52">
        <v>9.9151489396808357E-6</v>
      </c>
      <c r="C391" s="52">
        <v>8.4980926018066538E-6</v>
      </c>
      <c r="D391" s="52">
        <v>8.9910561243904024E-6</v>
      </c>
      <c r="E391" s="52">
        <v>8.4673571954168743E-6</v>
      </c>
      <c r="F391" s="49">
        <v>8.3068621758705548E-6</v>
      </c>
    </row>
    <row r="392" spans="1:6" x14ac:dyDescent="0.2">
      <c r="A392" s="49"/>
      <c r="B392" s="52">
        <v>9.9241150164049544E-6</v>
      </c>
      <c r="C392" s="52">
        <v>8.5347297872452545E-6</v>
      </c>
      <c r="D392" s="52">
        <v>8.9839137075510182E-6</v>
      </c>
      <c r="E392" s="52">
        <v>8.4826794150006316E-6</v>
      </c>
      <c r="F392" s="49">
        <v>8.3384383591163641E-6</v>
      </c>
    </row>
    <row r="393" spans="1:6" x14ac:dyDescent="0.2">
      <c r="A393" s="49"/>
      <c r="B393" s="52">
        <v>9.9086517826343738E-6</v>
      </c>
      <c r="C393" s="52">
        <v>8.5822801768570568E-6</v>
      </c>
      <c r="D393" s="52">
        <v>9.0531302198308659E-6</v>
      </c>
      <c r="E393" s="52">
        <v>8.5078701827908771E-6</v>
      </c>
      <c r="F393" s="49">
        <v>8.3710540874896073E-6</v>
      </c>
    </row>
    <row r="394" spans="1:6" x14ac:dyDescent="0.2">
      <c r="A394" s="49"/>
      <c r="B394" s="52">
        <v>9.9143692808352607E-6</v>
      </c>
      <c r="C394" s="52">
        <v>8.5938429765167585E-6</v>
      </c>
      <c r="D394" s="52">
        <v>9.0916992707635382E-6</v>
      </c>
      <c r="E394" s="52">
        <v>8.5798067052434318E-6</v>
      </c>
      <c r="F394" s="49">
        <v>8.4134155514325458E-6</v>
      </c>
    </row>
    <row r="395" spans="1:6" x14ac:dyDescent="0.2">
      <c r="A395" s="49"/>
      <c r="B395" s="52">
        <v>9.9090416120571613E-6</v>
      </c>
      <c r="C395" s="52">
        <v>8.6150197893766597E-6</v>
      </c>
      <c r="D395" s="52">
        <v>9.1241648018516454E-6</v>
      </c>
      <c r="E395" s="52">
        <v>8.5778589654658357E-6</v>
      </c>
      <c r="F395" s="49">
        <v>8.4374550325044594E-6</v>
      </c>
    </row>
    <row r="396" spans="1:6" x14ac:dyDescent="0.2">
      <c r="A396" s="49"/>
      <c r="B396" s="52">
        <v>9.9219059830091565E-6</v>
      </c>
      <c r="C396" s="52">
        <v>8.6598418779451607E-6</v>
      </c>
      <c r="D396" s="52">
        <v>9.132086391437144E-6</v>
      </c>
      <c r="E396" s="52">
        <v>8.6300583915054171E-6</v>
      </c>
      <c r="F396" s="49">
        <v>8.4683815000456224E-6</v>
      </c>
    </row>
    <row r="397" spans="1:6" x14ac:dyDescent="0.2">
      <c r="A397" s="49"/>
      <c r="B397" s="52">
        <v>9.9072224080841508E-6</v>
      </c>
      <c r="C397" s="52">
        <v>8.6923216522701628E-6</v>
      </c>
      <c r="D397" s="52">
        <v>9.1365017036651272E-6</v>
      </c>
      <c r="E397" s="52">
        <v>8.6483671454148215E-6</v>
      </c>
      <c r="F397" s="49">
        <v>8.5078842148881166E-6</v>
      </c>
    </row>
    <row r="398" spans="1:6" x14ac:dyDescent="0.2">
      <c r="A398" s="49"/>
      <c r="B398" s="52">
        <v>9.9225556987138028E-6</v>
      </c>
      <c r="C398" s="52">
        <v>8.7215534491626656E-6</v>
      </c>
      <c r="D398" s="52">
        <v>9.1555914359449351E-6</v>
      </c>
      <c r="E398" s="52">
        <v>8.6953725987141442E-6</v>
      </c>
      <c r="F398" s="49">
        <v>8.5311440371144535E-6</v>
      </c>
    </row>
    <row r="399" spans="1:6" x14ac:dyDescent="0.2">
      <c r="A399" s="49"/>
      <c r="B399" s="52">
        <v>9.9115105317348164E-6</v>
      </c>
      <c r="C399" s="52">
        <v>8.7354547925737657E-6</v>
      </c>
      <c r="D399" s="52">
        <v>9.2301322953232302E-6</v>
      </c>
      <c r="E399" s="52">
        <v>8.7200439692303643E-6</v>
      </c>
      <c r="F399" s="49">
        <v>8.579222999258279E-6</v>
      </c>
    </row>
    <row r="400" spans="1:6" x14ac:dyDescent="0.2">
      <c r="A400" s="49"/>
      <c r="B400" s="52">
        <v>9.9057930335339295E-6</v>
      </c>
      <c r="C400" s="52">
        <v>8.7772887419043664E-6</v>
      </c>
      <c r="D400" s="52">
        <v>9.2712985887429521E-6</v>
      </c>
      <c r="E400" s="52">
        <v>8.7271856817482173E-6</v>
      </c>
      <c r="F400" s="49">
        <v>8.6056014568669175E-6</v>
      </c>
    </row>
    <row r="401" spans="2:6" x14ac:dyDescent="0.2">
      <c r="B401" s="52">
        <v>9.915278882821766E-6</v>
      </c>
      <c r="C401" s="52">
        <v>8.8430278051381712E-6</v>
      </c>
      <c r="D401" s="52">
        <v>9.2855834224217206E-6</v>
      </c>
      <c r="E401" s="52">
        <v>8.7526361481754748E-6</v>
      </c>
      <c r="F401" s="49">
        <v>8.6240533828788727E-6</v>
      </c>
    </row>
    <row r="402" spans="2:6" x14ac:dyDescent="0.2">
      <c r="B402" s="52">
        <v>9.9124201337213216E-6</v>
      </c>
      <c r="C402" s="52">
        <v>8.8465356207652697E-6</v>
      </c>
      <c r="D402" s="52">
        <v>9.2983099106082587E-6</v>
      </c>
      <c r="E402" s="52">
        <v>8.7861372723501305E-6</v>
      </c>
      <c r="F402" s="49">
        <v>8.6631662682985795E-6</v>
      </c>
    </row>
    <row r="403" spans="2:6" x14ac:dyDescent="0.2">
      <c r="B403" s="52">
        <v>9.9102111003255254E-6</v>
      </c>
      <c r="C403" s="52">
        <v>8.8883695700958721E-6</v>
      </c>
      <c r="D403" s="52">
        <v>9.3251913703492121E-6</v>
      </c>
      <c r="E403" s="52">
        <v>8.8331427256494532E-6</v>
      </c>
      <c r="F403" s="49">
        <v>8.6870758062295628E-6</v>
      </c>
    </row>
    <row r="404" spans="2:6" x14ac:dyDescent="0.2">
      <c r="B404" s="52">
        <v>9.9094314414799487E-6</v>
      </c>
      <c r="C404" s="52">
        <v>8.9168218524045743E-6</v>
      </c>
      <c r="D404" s="52">
        <v>9.3240226112300397E-6</v>
      </c>
      <c r="E404" s="52">
        <v>8.8741751102974816E-6</v>
      </c>
      <c r="F404" s="49">
        <v>8.7095559696103248E-6</v>
      </c>
    </row>
    <row r="405" spans="2:6" x14ac:dyDescent="0.2">
      <c r="B405" s="52">
        <v>9.9106009297483129E-6</v>
      </c>
      <c r="C405" s="52">
        <v>8.9613841027784762E-6</v>
      </c>
      <c r="D405" s="52">
        <v>9.3711625623699735E-6</v>
      </c>
      <c r="E405" s="52">
        <v>8.9048195494649977E-6</v>
      </c>
      <c r="F405" s="49">
        <v>8.7302169290180763E-6</v>
      </c>
    </row>
    <row r="406" spans="2:6" x14ac:dyDescent="0.2">
      <c r="B406" s="52">
        <v>9.9178777456403514E-6</v>
      </c>
      <c r="C406" s="52">
        <v>8.9925646861304779E-6</v>
      </c>
      <c r="D406" s="52">
        <v>9.3927196750124778E-6</v>
      </c>
      <c r="E406" s="52">
        <v>8.9204014676857669E-6</v>
      </c>
      <c r="F406" s="49">
        <v>8.782713957953496E-6</v>
      </c>
    </row>
    <row r="407" spans="2:6" x14ac:dyDescent="0.2">
      <c r="B407" s="52">
        <v>9.9164483710901284E-6</v>
      </c>
      <c r="C407" s="52">
        <v>9.0364773410178797E-6</v>
      </c>
      <c r="D407" s="52">
        <v>9.4460930081213266E-6</v>
      </c>
      <c r="E407" s="52">
        <v>8.9432549477428967E-6</v>
      </c>
      <c r="F407" s="49">
        <v>8.8177986060043943E-6</v>
      </c>
    </row>
    <row r="408" spans="2:6" x14ac:dyDescent="0.2">
      <c r="B408" s="52">
        <v>9.9228155849956617E-6</v>
      </c>
      <c r="C408" s="52">
        <v>9.0557053674182802E-6</v>
      </c>
      <c r="D408" s="52">
        <v>9.453884735582472E-6</v>
      </c>
      <c r="E408" s="52">
        <v>8.9687054141701542E-6</v>
      </c>
      <c r="F408" s="49">
        <v>8.8449567224586094E-6</v>
      </c>
    </row>
    <row r="409" spans="2:6" x14ac:dyDescent="0.2">
      <c r="B409" s="52">
        <v>9.9147591102580482E-6</v>
      </c>
      <c r="C409" s="52">
        <v>9.0801301577106807E-6</v>
      </c>
      <c r="D409" s="52">
        <v>9.5132317264115343E-6</v>
      </c>
      <c r="E409" s="52">
        <v>9.0064915658555218E-6</v>
      </c>
      <c r="F409" s="49">
        <v>8.8687363172486641E-6</v>
      </c>
    </row>
    <row r="410" spans="2:6" x14ac:dyDescent="0.2">
      <c r="B410" s="52">
        <v>9.9150189965399071E-6</v>
      </c>
      <c r="C410" s="52">
        <v>9.0946810966082827E-6</v>
      </c>
      <c r="D410" s="52">
        <v>9.5343992526809806E-6</v>
      </c>
      <c r="E410" s="52">
        <v>9.034149470697389E-6</v>
      </c>
      <c r="F410" s="49">
        <v>8.886538527555973E-6</v>
      </c>
    </row>
    <row r="411" spans="2:6" x14ac:dyDescent="0.2">
      <c r="B411" s="52">
        <v>9.9242449595458847E-6</v>
      </c>
      <c r="C411" s="52">
        <v>9.1363851268415848E-6</v>
      </c>
      <c r="D411" s="52">
        <v>9.5827079629400851E-6</v>
      </c>
      <c r="E411" s="52">
        <v>9.0877772392405393E-6</v>
      </c>
      <c r="F411" s="49">
        <v>8.9122672694599651E-6</v>
      </c>
    </row>
    <row r="412" spans="2:6" x14ac:dyDescent="0.2">
      <c r="B412" s="52">
        <v>9.9159285985264123E-6</v>
      </c>
      <c r="C412" s="52">
        <v>9.154703719560886E-6</v>
      </c>
      <c r="D412" s="52">
        <v>9.549203534857157E-6</v>
      </c>
      <c r="E412" s="52">
        <v>9.1006323217726749E-6</v>
      </c>
      <c r="F412" s="49">
        <v>8.962945094422376E-6</v>
      </c>
    </row>
    <row r="413" spans="2:6" x14ac:dyDescent="0.2">
      <c r="B413" s="52">
        <v>9.9122901905803931E-6</v>
      </c>
      <c r="C413" s="52">
        <v>9.1980966980590879E-6</v>
      </c>
      <c r="D413" s="52">
        <v>9.5708905096240146E-6</v>
      </c>
      <c r="E413" s="52">
        <v>9.1264723361554519E-6</v>
      </c>
      <c r="F413" s="49">
        <v>8.9830862812664115E-6</v>
      </c>
    </row>
    <row r="414" spans="2:6" x14ac:dyDescent="0.2">
      <c r="B414" s="52">
        <v>9.9148890533989768E-6</v>
      </c>
      <c r="C414" s="52">
        <v>9.2217419737676895E-6</v>
      </c>
      <c r="D414" s="52">
        <v>9.6502362676033508E-6</v>
      </c>
      <c r="E414" s="52">
        <v>9.1665957755739369E-6</v>
      </c>
      <c r="F414" s="49">
        <v>9.0173912704717348E-6</v>
      </c>
    </row>
    <row r="415" spans="2:6" x14ac:dyDescent="0.2">
      <c r="B415" s="52">
        <v>9.9080020669297274E-6</v>
      </c>
      <c r="C415" s="52">
        <v>9.242918786627589E-6</v>
      </c>
      <c r="D415" s="52">
        <v>9.651664750971228E-6</v>
      </c>
      <c r="E415" s="52">
        <v>9.1813985978836669E-6</v>
      </c>
      <c r="F415" s="49">
        <v>9.0449392163487374E-6</v>
      </c>
    </row>
    <row r="416" spans="2:6" x14ac:dyDescent="0.2">
      <c r="B416" s="52">
        <v>9.9163184279491998E-6</v>
      </c>
      <c r="C416" s="52">
        <v>9.3347715884186941E-6</v>
      </c>
      <c r="D416" s="52">
        <v>9.6636120664116517E-6</v>
      </c>
      <c r="E416" s="52">
        <v>9.2089266534070282E-6</v>
      </c>
      <c r="F416" s="49">
        <v>9.0754758544671129E-6</v>
      </c>
    </row>
    <row r="417" spans="2:6" x14ac:dyDescent="0.2">
      <c r="B417" s="52">
        <v>9.9164483710901284E-6</v>
      </c>
      <c r="C417" s="52">
        <v>9.3054098724288927E-6</v>
      </c>
      <c r="D417" s="52">
        <v>9.7352959590541941E-6</v>
      </c>
      <c r="E417" s="52">
        <v>9.2211324893466323E-6</v>
      </c>
      <c r="F417" s="49">
        <v>9.1062723788673473E-6</v>
      </c>
    </row>
    <row r="418" spans="2:6" x14ac:dyDescent="0.2">
      <c r="B418" s="52">
        <v>9.9185274613449961E-6</v>
      </c>
      <c r="C418" s="52">
        <v>9.3421769769647938E-6</v>
      </c>
      <c r="D418" s="52">
        <v>9.7145180191578041E-6</v>
      </c>
      <c r="E418" s="52">
        <v>9.291770518614124E-6</v>
      </c>
      <c r="F418" s="49">
        <v>9.1472044682600628E-6</v>
      </c>
    </row>
    <row r="419" spans="2:6" x14ac:dyDescent="0.2">
      <c r="B419" s="52">
        <v>9.91800768878128E-6</v>
      </c>
      <c r="C419" s="52">
        <v>9.370629259273496E-6</v>
      </c>
      <c r="D419" s="52">
        <v>9.7438668592614538E-6</v>
      </c>
      <c r="E419" s="52">
        <v>9.317740382315407E-6</v>
      </c>
      <c r="F419" s="49">
        <v>9.1821591731700342E-6</v>
      </c>
    </row>
    <row r="420" spans="2:6" x14ac:dyDescent="0.2">
      <c r="B420" s="52">
        <v>9.9224257555728742E-6</v>
      </c>
      <c r="C420" s="52">
        <v>9.3773850523330955E-6</v>
      </c>
      <c r="D420" s="52">
        <v>9.8115250260490711E-6</v>
      </c>
      <c r="E420" s="52">
        <v>9.3683816165329101E-6</v>
      </c>
      <c r="F420" s="49">
        <v>9.2250404096766888E-6</v>
      </c>
    </row>
    <row r="421" spans="2:6" x14ac:dyDescent="0.2">
      <c r="B421" s="52">
        <v>9.9194370633315013E-6</v>
      </c>
      <c r="C421" s="52">
        <v>9.3941446158847972E-6</v>
      </c>
      <c r="D421" s="52">
        <v>9.8172389595205782E-6</v>
      </c>
      <c r="E421" s="52">
        <v>9.3729263426806339E-6</v>
      </c>
      <c r="F421" s="49">
        <v>9.2573962517680748E-6</v>
      </c>
    </row>
    <row r="422" spans="2:6" x14ac:dyDescent="0.2">
      <c r="B422" s="52">
        <v>9.9146291671171196E-6</v>
      </c>
      <c r="C422" s="52">
        <v>9.4292227721557985E-6</v>
      </c>
      <c r="D422" s="52">
        <v>9.8520420088470302E-6</v>
      </c>
      <c r="E422" s="52">
        <v>9.4265541112237859E-6</v>
      </c>
      <c r="F422" s="49">
        <v>9.2992379431472956E-6</v>
      </c>
    </row>
    <row r="423" spans="2:6" x14ac:dyDescent="0.2">
      <c r="B423" s="52">
        <v>9.9129399062850394E-6</v>
      </c>
      <c r="C423" s="52">
        <v>9.423636250971899E-6</v>
      </c>
      <c r="D423" s="52">
        <v>9.8925589916449893E-6</v>
      </c>
      <c r="E423" s="52">
        <v>9.4387599471633882E-6</v>
      </c>
      <c r="F423" s="49">
        <v>9.3367915108758507E-6</v>
      </c>
    </row>
    <row r="424" spans="2:6" x14ac:dyDescent="0.2">
      <c r="B424" s="52">
        <v>9.9121602474394628E-6</v>
      </c>
      <c r="C424" s="52">
        <v>9.4924933725409011E-6</v>
      </c>
      <c r="D424" s="52">
        <v>9.8843776778107859E-6</v>
      </c>
      <c r="E424" s="52">
        <v>9.4633014683611006E-6</v>
      </c>
      <c r="F424" s="49">
        <v>9.3569326977198845E-6</v>
      </c>
    </row>
    <row r="425" spans="2:6" x14ac:dyDescent="0.2">
      <c r="B425" s="52">
        <v>9.9290528557602664E-6</v>
      </c>
      <c r="C425" s="52">
        <v>9.5067844732439024E-6</v>
      </c>
      <c r="D425" s="52">
        <v>9.9159341740284272E-6</v>
      </c>
      <c r="E425" s="52">
        <v>9.4630417697240887E-6</v>
      </c>
      <c r="F425" s="49">
        <v>9.3770738845639199E-6</v>
      </c>
    </row>
    <row r="426" spans="2:6" x14ac:dyDescent="0.2">
      <c r="B426" s="52">
        <v>9.9269737655053987E-6</v>
      </c>
      <c r="C426" s="52">
        <v>9.5582324357747042E-6</v>
      </c>
      <c r="D426" s="52">
        <v>9.9512566718522888E-6</v>
      </c>
      <c r="E426" s="52">
        <v>9.5427692512870297E-6</v>
      </c>
      <c r="F426" s="49">
        <v>9.4090398972325167E-6</v>
      </c>
    </row>
    <row r="427" spans="2:6" x14ac:dyDescent="0.2">
      <c r="B427" s="52">
        <v>9.9208664378817243E-6</v>
      </c>
      <c r="C427" s="52">
        <v>9.5977278413539066E-6</v>
      </c>
      <c r="D427" s="52">
        <v>9.9555421219559186E-6</v>
      </c>
      <c r="E427" s="52">
        <v>9.5661421286181851E-6</v>
      </c>
      <c r="F427" s="49">
        <v>9.4598476653358562E-6</v>
      </c>
    </row>
    <row r="428" spans="2:6" x14ac:dyDescent="0.2">
      <c r="B428" s="52">
        <v>9.9102111003255237E-6</v>
      </c>
      <c r="C428" s="52">
        <v>9.6089008837217055E-6</v>
      </c>
      <c r="D428" s="52">
        <v>9.9870986181735599E-6</v>
      </c>
      <c r="E428" s="52">
        <v>9.5875672661717444E-6</v>
      </c>
      <c r="F428" s="49">
        <v>9.4902543603133031E-6</v>
      </c>
    </row>
    <row r="429" spans="2:6" x14ac:dyDescent="0.2">
      <c r="B429" s="52">
        <v>9.9148890533989785E-6</v>
      </c>
      <c r="C429" s="52">
        <v>9.6243612563004068E-6</v>
      </c>
      <c r="D429" s="52">
        <v>1.0009694627810883E-5</v>
      </c>
      <c r="E429" s="52">
        <v>9.6049670748516037E-6</v>
      </c>
      <c r="F429" s="49">
        <v>9.4998701527420682E-6</v>
      </c>
    </row>
    <row r="430" spans="2:6" x14ac:dyDescent="0.2">
      <c r="B430" s="52">
        <v>9.9189172907677852E-6</v>
      </c>
      <c r="C430" s="52">
        <v>9.7132259188536117E-6</v>
      </c>
      <c r="D430" s="52">
        <v>1.0005409177707254E-5</v>
      </c>
      <c r="E430" s="52">
        <v>9.6588545420317676E-6</v>
      </c>
      <c r="F430" s="49">
        <v>9.5372937773296948E-6</v>
      </c>
    </row>
    <row r="431" spans="2:6" x14ac:dyDescent="0.2">
      <c r="B431" s="52">
        <v>9.9204766084589351E-6</v>
      </c>
      <c r="C431" s="52">
        <v>9.6972458698857105E-6</v>
      </c>
      <c r="D431" s="52">
        <v>1.0022031529624364E-5</v>
      </c>
      <c r="E431" s="52">
        <v>9.6592440899872871E-6</v>
      </c>
      <c r="F431" s="49">
        <v>9.5582146230193035E-6</v>
      </c>
    </row>
    <row r="432" spans="2:6" x14ac:dyDescent="0.2">
      <c r="B432" s="52">
        <v>9.9203466653180066E-6</v>
      </c>
      <c r="C432" s="52">
        <v>9.7227100129565124E-6</v>
      </c>
      <c r="D432" s="52">
        <v>1.0072418033873108E-5</v>
      </c>
      <c r="E432" s="52">
        <v>9.6463890074551516E-6</v>
      </c>
      <c r="F432" s="49">
        <v>9.597847281002728E-6</v>
      </c>
    </row>
    <row r="433" spans="2:6" x14ac:dyDescent="0.2">
      <c r="B433" s="52">
        <v>9.9193071201905727E-6</v>
      </c>
      <c r="C433" s="52">
        <v>9.7441466640110126E-6</v>
      </c>
      <c r="D433" s="52">
        <v>1.0062938098795381E-5</v>
      </c>
      <c r="E433" s="52">
        <v>9.7057301460125843E-6</v>
      </c>
      <c r="F433" s="49">
        <v>9.611881140223089E-6</v>
      </c>
    </row>
    <row r="434" spans="2:6" x14ac:dyDescent="0.2">
      <c r="B434" s="52">
        <v>9.91800768878128E-6</v>
      </c>
      <c r="C434" s="52">
        <v>9.7889687525795153E-6</v>
      </c>
      <c r="D434" s="52">
        <v>1.0068652032266888E-5</v>
      </c>
      <c r="E434" s="52">
        <v>9.7094957762492707E-6</v>
      </c>
      <c r="F434" s="49">
        <v>9.6343613036038493E-6</v>
      </c>
    </row>
    <row r="435" spans="2:6" x14ac:dyDescent="0.2">
      <c r="B435" s="52">
        <v>9.9237251869821669E-6</v>
      </c>
      <c r="C435" s="52">
        <v>9.7997520376554165E-6</v>
      </c>
      <c r="D435" s="52">
        <v>1.0127609436722892E-5</v>
      </c>
      <c r="E435" s="52">
        <v>9.762993695473915E-6</v>
      </c>
      <c r="F435" s="49">
        <v>9.5979772241436583E-6</v>
      </c>
    </row>
    <row r="436" spans="2:6" x14ac:dyDescent="0.2">
      <c r="B436" s="52">
        <v>9.9164483710901284E-6</v>
      </c>
      <c r="C436" s="52">
        <v>9.8253460998235187E-6</v>
      </c>
      <c r="D436" s="52">
        <v>1.0118778812266927E-5</v>
      </c>
      <c r="E436" s="52">
        <v>9.7767577232355939E-6</v>
      </c>
      <c r="F436" s="49">
        <v>9.6710052693459009E-6</v>
      </c>
    </row>
    <row r="437" spans="2:6" x14ac:dyDescent="0.2">
      <c r="B437" s="52">
        <v>9.9265839360826096E-6</v>
      </c>
      <c r="C437" s="52">
        <v>9.8471725081699183E-6</v>
      </c>
      <c r="D437" s="52">
        <v>1.0098520320867947E-5</v>
      </c>
      <c r="E437" s="52">
        <v>9.818828902431675E-6</v>
      </c>
      <c r="F437" s="49">
        <v>9.7228525825766743E-6</v>
      </c>
    </row>
    <row r="438" spans="2:6" x14ac:dyDescent="0.2">
      <c r="B438" s="52">
        <v>9.9222958124319456E-6</v>
      </c>
      <c r="C438" s="52">
        <v>9.8626328807486197E-6</v>
      </c>
      <c r="D438" s="52">
        <v>1.0122544813873148E-5</v>
      </c>
      <c r="E438" s="52">
        <v>9.8492136429621759E-6</v>
      </c>
      <c r="F438" s="49">
        <v>9.7485813244806681E-6</v>
      </c>
    </row>
    <row r="439" spans="2:6" x14ac:dyDescent="0.2">
      <c r="B439" s="52">
        <v>9.9189172907677835E-6</v>
      </c>
      <c r="C439" s="52">
        <v>9.9035573963981211E-6</v>
      </c>
      <c r="D439" s="52">
        <v>1.0166697936152974E-5</v>
      </c>
      <c r="E439" s="52">
        <v>9.8659642050495037E-6</v>
      </c>
      <c r="F439" s="49">
        <v>9.7685925681837732E-6</v>
      </c>
    </row>
    <row r="440" spans="2:6" x14ac:dyDescent="0.2">
      <c r="B440" s="52">
        <v>9.9159285985264123E-6</v>
      </c>
      <c r="C440" s="52">
        <v>9.9225255846039226E-6</v>
      </c>
      <c r="D440" s="52">
        <v>1.0182411253199618E-5</v>
      </c>
      <c r="E440" s="52">
        <v>9.8731059175673585E-6</v>
      </c>
      <c r="F440" s="49">
        <v>9.7860049490682929E-6</v>
      </c>
    </row>
    <row r="441" spans="2:6" x14ac:dyDescent="0.2">
      <c r="B441" s="52">
        <v>9.9159285985264123E-6</v>
      </c>
      <c r="C441" s="52">
        <v>9.9522770578856234E-6</v>
      </c>
      <c r="D441" s="52">
        <v>1.0191501601904289E-5</v>
      </c>
      <c r="E441" s="52">
        <v>9.9020623155942887E-6</v>
      </c>
      <c r="F441" s="49">
        <v>9.8049766476439642E-6</v>
      </c>
    </row>
    <row r="442" spans="2:6" x14ac:dyDescent="0.2">
      <c r="B442" s="52">
        <v>9.9295726283239842E-6</v>
      </c>
      <c r="C442" s="52">
        <v>1.0000217204789325E-5</v>
      </c>
      <c r="D442" s="52">
        <v>1.0163191658795458E-5</v>
      </c>
      <c r="E442" s="52">
        <v>9.9667272762104844E-6</v>
      </c>
      <c r="F442" s="49">
        <v>9.830705389547958E-6</v>
      </c>
    </row>
    <row r="443" spans="2:6" x14ac:dyDescent="0.2">
      <c r="B443" s="52">
        <v>9.9265839360826113E-6</v>
      </c>
      <c r="C443" s="52">
        <v>1.0023082965914128E-5</v>
      </c>
      <c r="D443" s="52">
        <v>1.0173840352992358E-5</v>
      </c>
      <c r="E443" s="52">
        <v>9.9415365084202388E-6</v>
      </c>
      <c r="F443" s="49">
        <v>9.8664397533035044E-6</v>
      </c>
    </row>
    <row r="444" spans="2:6" x14ac:dyDescent="0.2">
      <c r="B444" s="52">
        <v>9.9196969496133602E-6</v>
      </c>
      <c r="C444" s="52">
        <v>1.0042830668703728E-5</v>
      </c>
      <c r="D444" s="52">
        <v>1.0214746922163374E-5</v>
      </c>
      <c r="E444" s="52">
        <v>9.9839972355718377E-6</v>
      </c>
      <c r="F444" s="49">
        <v>9.8887899735433361E-6</v>
      </c>
    </row>
    <row r="445" spans="2:6" x14ac:dyDescent="0.2">
      <c r="B445" s="52">
        <v>9.915278882821766E-6</v>
      </c>
      <c r="C445" s="52">
        <v>1.0062318533298728E-5</v>
      </c>
      <c r="D445" s="52">
        <v>1.0187605738173715E-5</v>
      </c>
      <c r="E445" s="52">
        <v>1.0002825386755269E-5</v>
      </c>
      <c r="F445" s="49">
        <v>9.907111956414361E-6</v>
      </c>
    </row>
    <row r="446" spans="2:6" x14ac:dyDescent="0.2">
      <c r="B446" s="52">
        <v>9.9167082573719873E-6</v>
      </c>
      <c r="C446" s="52">
        <v>1.007349157566653E-5</v>
      </c>
      <c r="D446" s="52">
        <v>1.0190202980660763E-5</v>
      </c>
      <c r="E446" s="52">
        <v>1.0058920292350041E-5</v>
      </c>
      <c r="F446" s="49">
        <v>9.9425864338880485E-6</v>
      </c>
    </row>
    <row r="447" spans="2:6" x14ac:dyDescent="0.2">
      <c r="B447" s="52">
        <v>9.9169681436538462E-6</v>
      </c>
      <c r="C447" s="52">
        <v>1.0099735233321131E-5</v>
      </c>
      <c r="D447" s="52">
        <v>1.0199812777862844E-5</v>
      </c>
      <c r="E447" s="52">
        <v>1.0097485539946448E-5</v>
      </c>
      <c r="F447" s="49">
        <v>9.957789781376772E-6</v>
      </c>
    </row>
    <row r="448" spans="2:6" x14ac:dyDescent="0.2">
      <c r="B448" s="52">
        <v>9.9177478024994211E-6</v>
      </c>
      <c r="C448" s="52">
        <v>1.0118573502429632E-5</v>
      </c>
      <c r="D448" s="52">
        <v>1.019851415661932E-5</v>
      </c>
      <c r="E448" s="52">
        <v>1.0121767362507148E-5</v>
      </c>
      <c r="F448" s="49">
        <v>9.9692247777785459E-6</v>
      </c>
    </row>
    <row r="449" spans="2:6" x14ac:dyDescent="0.2">
      <c r="B449" s="52">
        <v>9.9186574044859264E-6</v>
      </c>
      <c r="C449" s="52">
        <v>1.0165474296554934E-5</v>
      </c>
      <c r="D449" s="52">
        <v>1.0206955194702228E-5</v>
      </c>
      <c r="E449" s="52">
        <v>1.0120468869322084E-5</v>
      </c>
      <c r="F449" s="49">
        <v>9.9872868743677136E-6</v>
      </c>
    </row>
    <row r="450" spans="2:6" x14ac:dyDescent="0.2">
      <c r="B450" s="52">
        <v>9.9125500768622502E-6</v>
      </c>
      <c r="C450" s="52">
        <v>1.0157289393425034E-5</v>
      </c>
      <c r="D450" s="52">
        <v>1.0244615210764435E-5</v>
      </c>
      <c r="E450" s="52">
        <v>1.0146308883704861E-5</v>
      </c>
      <c r="F450" s="49">
        <v>1.0021721806713967E-5</v>
      </c>
    </row>
    <row r="451" spans="2:6" x14ac:dyDescent="0.2">
      <c r="B451" s="52">
        <v>9.9191771770496424E-6</v>
      </c>
      <c r="C451" s="52">
        <v>1.0200292614631334E-5</v>
      </c>
      <c r="D451" s="52">
        <v>1.0217474026774775E-5</v>
      </c>
      <c r="E451" s="52">
        <v>1.0147607376889926E-5</v>
      </c>
      <c r="F451" s="49">
        <v>1.0052778217396059E-5</v>
      </c>
    </row>
  </sheetData>
  <pageMargins left="0.7" right="0.7" top="0.75" bottom="0.75" header="0.3" footer="0.3"/>
  <pageSetup orientation="portrait" horizontalDpi="200" verticalDpi="200" copies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328"/>
  <sheetViews>
    <sheetView workbookViewId="0">
      <selection activeCell="Q19" sqref="Q19"/>
    </sheetView>
  </sheetViews>
  <sheetFormatPr defaultRowHeight="11.25" x14ac:dyDescent="0.2"/>
  <cols>
    <col min="1" max="1" width="10.7109375" style="69" customWidth="1"/>
    <col min="2" max="3" width="10.7109375" style="70" customWidth="1"/>
    <col min="4" max="16384" width="9.140625" style="68"/>
  </cols>
  <sheetData>
    <row r="1" spans="1:4" s="71" customFormat="1" x14ac:dyDescent="0.2">
      <c r="A1" s="71" t="s">
        <v>1633</v>
      </c>
      <c r="B1" s="72" t="s">
        <v>1634</v>
      </c>
      <c r="C1" s="72" t="s">
        <v>1635</v>
      </c>
      <c r="D1" s="71" t="s">
        <v>1636</v>
      </c>
    </row>
    <row r="2" spans="1:4" x14ac:dyDescent="0.2">
      <c r="A2" s="69">
        <v>1</v>
      </c>
      <c r="B2" s="70" t="s">
        <v>1637</v>
      </c>
      <c r="C2" s="70">
        <v>19.037109375000004</v>
      </c>
      <c r="D2" s="68">
        <v>0</v>
      </c>
    </row>
    <row r="3" spans="1:4" x14ac:dyDescent="0.2">
      <c r="A3" s="69">
        <v>2</v>
      </c>
      <c r="B3" s="70" t="s">
        <v>1638</v>
      </c>
      <c r="C3" s="70">
        <v>19.0009765625</v>
      </c>
      <c r="D3" s="68">
        <v>0</v>
      </c>
    </row>
    <row r="4" spans="1:4" x14ac:dyDescent="0.2">
      <c r="A4" s="69">
        <v>3</v>
      </c>
      <c r="B4" s="70" t="s">
        <v>1639</v>
      </c>
      <c r="C4" s="70">
        <v>9.3710937499999964</v>
      </c>
      <c r="D4" s="68">
        <v>0</v>
      </c>
    </row>
    <row r="5" spans="1:4" x14ac:dyDescent="0.2">
      <c r="A5" s="69">
        <v>4</v>
      </c>
      <c r="B5" s="70" t="s">
        <v>1640</v>
      </c>
      <c r="C5" s="70">
        <v>8.20703125</v>
      </c>
      <c r="D5" s="68">
        <v>0</v>
      </c>
    </row>
    <row r="6" spans="1:4" x14ac:dyDescent="0.2">
      <c r="A6" s="69">
        <v>5</v>
      </c>
      <c r="B6" s="70" t="s">
        <v>1641</v>
      </c>
      <c r="C6" s="70">
        <v>18.541992187500004</v>
      </c>
      <c r="D6" s="68">
        <v>0</v>
      </c>
    </row>
    <row r="7" spans="1:4" x14ac:dyDescent="0.2">
      <c r="A7" s="69">
        <v>6</v>
      </c>
      <c r="B7" s="70" t="s">
        <v>1642</v>
      </c>
      <c r="C7" s="70">
        <v>21.1650390625</v>
      </c>
      <c r="D7" s="68">
        <v>0</v>
      </c>
    </row>
    <row r="8" spans="1:4" x14ac:dyDescent="0.2">
      <c r="A8" s="69">
        <v>7</v>
      </c>
      <c r="B8" s="70" t="s">
        <v>1643</v>
      </c>
      <c r="C8" s="70">
        <v>8.7314453124999982</v>
      </c>
      <c r="D8" s="68">
        <v>0</v>
      </c>
    </row>
    <row r="9" spans="1:4" x14ac:dyDescent="0.2">
      <c r="A9" s="69">
        <v>8</v>
      </c>
      <c r="B9" s="70" t="s">
        <v>1644</v>
      </c>
      <c r="C9" s="70">
        <v>8.7304687499999982</v>
      </c>
      <c r="D9" s="68">
        <v>0</v>
      </c>
    </row>
    <row r="10" spans="1:4" x14ac:dyDescent="0.2">
      <c r="A10" s="69">
        <v>9</v>
      </c>
      <c r="B10" s="70" t="s">
        <v>1645</v>
      </c>
      <c r="C10" s="70">
        <v>20.8466796875</v>
      </c>
      <c r="D10" s="68">
        <v>0</v>
      </c>
    </row>
    <row r="11" spans="1:4" x14ac:dyDescent="0.2">
      <c r="A11" s="69">
        <v>10</v>
      </c>
      <c r="B11" s="70" t="s">
        <v>1646</v>
      </c>
      <c r="C11" s="70">
        <v>18.0322265625</v>
      </c>
      <c r="D11" s="68">
        <v>0</v>
      </c>
    </row>
    <row r="12" spans="1:4" x14ac:dyDescent="0.2">
      <c r="A12" s="69">
        <v>11</v>
      </c>
      <c r="B12" s="70" t="s">
        <v>1647</v>
      </c>
      <c r="C12" s="70">
        <v>8.7509765625</v>
      </c>
      <c r="D12" s="68">
        <v>0</v>
      </c>
    </row>
    <row r="13" spans="1:4" x14ac:dyDescent="0.2">
      <c r="A13" s="69">
        <v>12</v>
      </c>
      <c r="B13" s="70" t="s">
        <v>1648</v>
      </c>
      <c r="C13" s="70">
        <v>8.1650390624999982</v>
      </c>
      <c r="D13" s="68">
        <v>0</v>
      </c>
    </row>
    <row r="14" spans="1:4" x14ac:dyDescent="0.2">
      <c r="A14" s="69">
        <v>13</v>
      </c>
      <c r="B14" s="70" t="s">
        <v>1649</v>
      </c>
      <c r="C14" s="70">
        <v>21.6484375</v>
      </c>
      <c r="D14" s="68">
        <v>0</v>
      </c>
    </row>
    <row r="15" spans="1:4" x14ac:dyDescent="0.2">
      <c r="A15" s="69">
        <v>14</v>
      </c>
      <c r="B15" s="70" t="s">
        <v>1650</v>
      </c>
      <c r="C15" s="70">
        <v>20.0244140625</v>
      </c>
      <c r="D15" s="68">
        <v>0</v>
      </c>
    </row>
    <row r="16" spans="1:4" x14ac:dyDescent="0.2">
      <c r="A16" s="69">
        <v>15</v>
      </c>
      <c r="B16" s="70" t="s">
        <v>1651</v>
      </c>
      <c r="C16" s="70">
        <v>8.86328125</v>
      </c>
      <c r="D16" s="68">
        <v>0</v>
      </c>
    </row>
    <row r="17" spans="1:4" x14ac:dyDescent="0.2">
      <c r="A17" s="69">
        <v>16</v>
      </c>
      <c r="B17" s="70" t="s">
        <v>1652</v>
      </c>
      <c r="C17" s="70">
        <v>8.583984375</v>
      </c>
      <c r="D17" s="68">
        <v>0</v>
      </c>
    </row>
    <row r="18" spans="1:4" x14ac:dyDescent="0.2">
      <c r="A18" s="69">
        <v>17</v>
      </c>
      <c r="B18" s="70" t="s">
        <v>1653</v>
      </c>
      <c r="C18" s="70">
        <v>20.9677734375</v>
      </c>
      <c r="D18" s="68">
        <v>0</v>
      </c>
    </row>
    <row r="19" spans="1:4" x14ac:dyDescent="0.2">
      <c r="A19" s="69">
        <v>18</v>
      </c>
      <c r="B19" s="70" t="s">
        <v>1312</v>
      </c>
      <c r="C19" s="70">
        <v>19.650390625</v>
      </c>
      <c r="D19" s="68">
        <v>0</v>
      </c>
    </row>
    <row r="20" spans="1:4" x14ac:dyDescent="0.2">
      <c r="A20" s="69">
        <v>19</v>
      </c>
      <c r="B20" s="70" t="s">
        <v>1654</v>
      </c>
      <c r="C20" s="70">
        <v>8.8242187499999982</v>
      </c>
      <c r="D20" s="68">
        <v>0</v>
      </c>
    </row>
    <row r="21" spans="1:4" x14ac:dyDescent="0.2">
      <c r="A21" s="69">
        <v>20</v>
      </c>
      <c r="B21" s="70" t="s">
        <v>284</v>
      </c>
      <c r="C21" s="70">
        <v>8.6884765624999982</v>
      </c>
      <c r="D21" s="68">
        <v>0</v>
      </c>
    </row>
    <row r="22" spans="1:4" x14ac:dyDescent="0.2">
      <c r="A22" s="69">
        <v>21</v>
      </c>
      <c r="B22" s="70" t="s">
        <v>1655</v>
      </c>
      <c r="C22" s="70">
        <v>21.38671875</v>
      </c>
      <c r="D22" s="68">
        <v>0</v>
      </c>
    </row>
    <row r="23" spans="1:4" x14ac:dyDescent="0.2">
      <c r="A23" s="69">
        <v>22</v>
      </c>
      <c r="B23" s="70" t="s">
        <v>1250</v>
      </c>
      <c r="C23" s="70">
        <v>19.615234375000004</v>
      </c>
      <c r="D23" s="68">
        <v>0</v>
      </c>
    </row>
    <row r="24" spans="1:4" x14ac:dyDescent="0.2">
      <c r="A24" s="69">
        <v>23</v>
      </c>
      <c r="B24" s="70" t="s">
        <v>1656</v>
      </c>
      <c r="C24" s="70">
        <v>10.370117187499996</v>
      </c>
      <c r="D24" s="68">
        <v>0</v>
      </c>
    </row>
    <row r="25" spans="1:4" x14ac:dyDescent="0.2">
      <c r="A25" s="69">
        <v>24</v>
      </c>
      <c r="B25" s="70" t="s">
        <v>291</v>
      </c>
      <c r="C25" s="70">
        <v>8.6953125</v>
      </c>
      <c r="D25" s="68">
        <v>0</v>
      </c>
    </row>
    <row r="26" spans="1:4" x14ac:dyDescent="0.2">
      <c r="A26" s="69">
        <v>25</v>
      </c>
      <c r="B26" s="70" t="s">
        <v>1657</v>
      </c>
      <c r="C26" s="70">
        <v>21.951171874999996</v>
      </c>
      <c r="D26" s="68">
        <v>0</v>
      </c>
    </row>
    <row r="27" spans="1:4" x14ac:dyDescent="0.2">
      <c r="A27" s="69">
        <v>26</v>
      </c>
      <c r="B27" s="70" t="s">
        <v>1246</v>
      </c>
      <c r="C27" s="70">
        <v>19.7724609375</v>
      </c>
      <c r="D27" s="68">
        <v>0</v>
      </c>
    </row>
    <row r="28" spans="1:4" x14ac:dyDescent="0.2">
      <c r="A28" s="69">
        <v>27</v>
      </c>
      <c r="B28" s="70" t="s">
        <v>1658</v>
      </c>
      <c r="C28" s="70">
        <v>10.25390625</v>
      </c>
      <c r="D28" s="68">
        <v>0</v>
      </c>
    </row>
    <row r="29" spans="1:4" x14ac:dyDescent="0.2">
      <c r="A29" s="69">
        <v>28</v>
      </c>
      <c r="B29" s="70" t="s">
        <v>1248</v>
      </c>
      <c r="C29" s="70">
        <v>8.8564453124999982</v>
      </c>
      <c r="D29" s="68">
        <v>0</v>
      </c>
    </row>
    <row r="30" spans="1:4" x14ac:dyDescent="0.2">
      <c r="A30" s="69">
        <v>29</v>
      </c>
      <c r="B30" s="70" t="s">
        <v>1659</v>
      </c>
      <c r="C30" s="70">
        <v>19.890624999999996</v>
      </c>
      <c r="D30" s="68">
        <v>0</v>
      </c>
    </row>
    <row r="31" spans="1:4" x14ac:dyDescent="0.2">
      <c r="A31" s="69">
        <v>30</v>
      </c>
      <c r="B31" s="70" t="s">
        <v>1660</v>
      </c>
      <c r="C31" s="70">
        <v>17.3720703125</v>
      </c>
      <c r="D31" s="68">
        <v>0</v>
      </c>
    </row>
    <row r="32" spans="1:4" x14ac:dyDescent="0.2">
      <c r="A32" s="69">
        <v>31</v>
      </c>
      <c r="B32" s="70" t="s">
        <v>1661</v>
      </c>
      <c r="C32" s="70">
        <v>9.1005859374999982</v>
      </c>
      <c r="D32" s="68">
        <v>0</v>
      </c>
    </row>
    <row r="33" spans="1:4" x14ac:dyDescent="0.2">
      <c r="A33" s="69">
        <v>32</v>
      </c>
      <c r="B33" s="70" t="s">
        <v>1662</v>
      </c>
      <c r="C33" s="70">
        <v>8.6767578125</v>
      </c>
      <c r="D33" s="68">
        <v>0</v>
      </c>
    </row>
    <row r="34" spans="1:4" x14ac:dyDescent="0.2">
      <c r="A34" s="69">
        <v>33</v>
      </c>
      <c r="B34" s="70" t="s">
        <v>1663</v>
      </c>
      <c r="C34" s="70">
        <v>20.04296875</v>
      </c>
      <c r="D34" s="68">
        <v>0</v>
      </c>
    </row>
    <row r="35" spans="1:4" x14ac:dyDescent="0.2">
      <c r="A35" s="69">
        <v>34</v>
      </c>
      <c r="B35" s="70" t="s">
        <v>1664</v>
      </c>
      <c r="C35" s="70">
        <v>17.314453124999996</v>
      </c>
      <c r="D35" s="68">
        <v>0</v>
      </c>
    </row>
    <row r="36" spans="1:4" x14ac:dyDescent="0.2">
      <c r="A36" s="69">
        <v>35</v>
      </c>
      <c r="B36" s="70" t="s">
        <v>1665</v>
      </c>
      <c r="C36" s="70">
        <v>9.3105468749999964</v>
      </c>
      <c r="D36" s="68">
        <v>0</v>
      </c>
    </row>
    <row r="37" spans="1:4" x14ac:dyDescent="0.2">
      <c r="A37" s="69">
        <v>36</v>
      </c>
      <c r="B37" s="70" t="s">
        <v>1666</v>
      </c>
      <c r="C37" s="70">
        <v>8.6474609375</v>
      </c>
      <c r="D37" s="68">
        <v>0</v>
      </c>
    </row>
    <row r="38" spans="1:4" x14ac:dyDescent="0.2">
      <c r="A38" s="69">
        <v>37</v>
      </c>
      <c r="B38" s="70" t="s">
        <v>1667</v>
      </c>
      <c r="C38" s="70">
        <v>21.1064453125</v>
      </c>
      <c r="D38" s="68">
        <v>0</v>
      </c>
    </row>
    <row r="39" spans="1:4" x14ac:dyDescent="0.2">
      <c r="A39" s="69">
        <v>38</v>
      </c>
      <c r="B39" s="70" t="s">
        <v>1668</v>
      </c>
      <c r="C39" s="70">
        <v>17.0400390625</v>
      </c>
      <c r="D39" s="68">
        <v>0</v>
      </c>
    </row>
    <row r="40" spans="1:4" x14ac:dyDescent="0.2">
      <c r="A40" s="69">
        <v>39</v>
      </c>
      <c r="B40" s="70" t="s">
        <v>1669</v>
      </c>
      <c r="C40" s="70">
        <v>9.103515625</v>
      </c>
      <c r="D40" s="68">
        <v>0</v>
      </c>
    </row>
    <row r="41" spans="1:4" x14ac:dyDescent="0.2">
      <c r="A41" s="69">
        <v>40</v>
      </c>
      <c r="B41" s="70" t="s">
        <v>1670</v>
      </c>
      <c r="C41" s="70">
        <v>8.9013671875000018</v>
      </c>
      <c r="D41" s="68">
        <v>0</v>
      </c>
    </row>
    <row r="42" spans="1:4" x14ac:dyDescent="0.2">
      <c r="A42" s="69">
        <v>41</v>
      </c>
      <c r="B42" s="70" t="s">
        <v>1671</v>
      </c>
      <c r="C42" s="70">
        <v>20.0830078125</v>
      </c>
      <c r="D42" s="68">
        <v>0</v>
      </c>
    </row>
    <row r="43" spans="1:4" x14ac:dyDescent="0.2">
      <c r="A43" s="69">
        <v>42</v>
      </c>
      <c r="B43" s="70" t="s">
        <v>1672</v>
      </c>
      <c r="C43" s="70">
        <v>18.0556640625</v>
      </c>
      <c r="D43" s="68">
        <v>0</v>
      </c>
    </row>
    <row r="44" spans="1:4" x14ac:dyDescent="0.2">
      <c r="A44" s="69">
        <v>43</v>
      </c>
      <c r="B44" s="70" t="s">
        <v>1673</v>
      </c>
      <c r="C44" s="70">
        <v>10.583984374999998</v>
      </c>
      <c r="D44" s="68">
        <v>0</v>
      </c>
    </row>
    <row r="45" spans="1:4" x14ac:dyDescent="0.2">
      <c r="A45" s="69">
        <v>44</v>
      </c>
      <c r="B45" s="70" t="s">
        <v>1674</v>
      </c>
      <c r="C45" s="70">
        <v>9.1367187499999982</v>
      </c>
      <c r="D45" s="68">
        <v>0</v>
      </c>
    </row>
    <row r="46" spans="1:4" x14ac:dyDescent="0.2">
      <c r="A46" s="69">
        <v>45</v>
      </c>
      <c r="B46" s="70" t="s">
        <v>1675</v>
      </c>
      <c r="C46" s="70">
        <v>20.067382812499996</v>
      </c>
      <c r="D46" s="68">
        <v>0</v>
      </c>
    </row>
    <row r="47" spans="1:4" x14ac:dyDescent="0.2">
      <c r="A47" s="69">
        <v>46</v>
      </c>
      <c r="B47" s="70" t="s">
        <v>1676</v>
      </c>
      <c r="C47" s="70">
        <v>17.926757812499996</v>
      </c>
      <c r="D47" s="68">
        <v>0</v>
      </c>
    </row>
    <row r="48" spans="1:4" x14ac:dyDescent="0.2">
      <c r="A48" s="69">
        <v>47</v>
      </c>
      <c r="B48" s="70" t="s">
        <v>1677</v>
      </c>
      <c r="C48" s="70">
        <v>10.314453125</v>
      </c>
      <c r="D48" s="68">
        <v>0</v>
      </c>
    </row>
    <row r="49" spans="1:4" x14ac:dyDescent="0.2">
      <c r="A49" s="69">
        <v>48</v>
      </c>
      <c r="B49" s="70" t="s">
        <v>1678</v>
      </c>
      <c r="C49" s="70">
        <v>9.232421875</v>
      </c>
      <c r="D49" s="68">
        <v>0</v>
      </c>
    </row>
    <row r="50" spans="1:4" x14ac:dyDescent="0.2">
      <c r="A50" s="69">
        <v>49</v>
      </c>
      <c r="B50" s="70" t="s">
        <v>1679</v>
      </c>
      <c r="C50" s="70">
        <v>19.3056640625</v>
      </c>
      <c r="D50" s="68">
        <v>0</v>
      </c>
    </row>
    <row r="51" spans="1:4" x14ac:dyDescent="0.2">
      <c r="A51" s="69">
        <v>50</v>
      </c>
      <c r="B51" s="70" t="s">
        <v>1680</v>
      </c>
      <c r="C51" s="70">
        <v>20.163085937499996</v>
      </c>
      <c r="D51" s="68">
        <v>0</v>
      </c>
    </row>
    <row r="52" spans="1:4" x14ac:dyDescent="0.2">
      <c r="A52" s="69">
        <v>51</v>
      </c>
      <c r="B52" s="70" t="s">
        <v>1681</v>
      </c>
      <c r="C52" s="70">
        <v>10.109375</v>
      </c>
      <c r="D52" s="68">
        <v>0</v>
      </c>
    </row>
    <row r="53" spans="1:4" x14ac:dyDescent="0.2">
      <c r="A53" s="69">
        <v>52</v>
      </c>
      <c r="B53" s="70" t="s">
        <v>1682</v>
      </c>
      <c r="C53" s="70">
        <v>9.1962890625</v>
      </c>
      <c r="D53" s="68">
        <v>0</v>
      </c>
    </row>
    <row r="54" spans="1:4" x14ac:dyDescent="0.2">
      <c r="A54" s="69">
        <v>53</v>
      </c>
      <c r="B54" s="70" t="s">
        <v>1683</v>
      </c>
      <c r="C54" s="70">
        <v>19.8056640625</v>
      </c>
      <c r="D54" s="68">
        <v>0</v>
      </c>
    </row>
    <row r="55" spans="1:4" x14ac:dyDescent="0.2">
      <c r="A55" s="69">
        <v>54</v>
      </c>
      <c r="B55" s="70" t="s">
        <v>1684</v>
      </c>
      <c r="C55" s="70">
        <v>20.5546875</v>
      </c>
      <c r="D55" s="68">
        <v>0</v>
      </c>
    </row>
    <row r="56" spans="1:4" x14ac:dyDescent="0.2">
      <c r="A56" s="69">
        <v>55</v>
      </c>
      <c r="B56" s="70" t="s">
        <v>1685</v>
      </c>
      <c r="C56" s="70">
        <v>10.2060546875</v>
      </c>
      <c r="D56" s="68">
        <v>0</v>
      </c>
    </row>
    <row r="57" spans="1:4" x14ac:dyDescent="0.2">
      <c r="A57" s="69">
        <v>56</v>
      </c>
      <c r="B57" s="70" t="s">
        <v>1686</v>
      </c>
      <c r="C57" s="70">
        <v>9.1406249999999982</v>
      </c>
      <c r="D57" s="68">
        <v>0</v>
      </c>
    </row>
    <row r="58" spans="1:4" x14ac:dyDescent="0.2">
      <c r="A58" s="69">
        <v>57</v>
      </c>
      <c r="B58" s="70" t="s">
        <v>1687</v>
      </c>
      <c r="C58" s="70">
        <v>22.87890625</v>
      </c>
      <c r="D58" s="68">
        <v>0</v>
      </c>
    </row>
    <row r="59" spans="1:4" x14ac:dyDescent="0.2">
      <c r="A59" s="69">
        <v>58</v>
      </c>
      <c r="B59" s="70" t="s">
        <v>1688</v>
      </c>
      <c r="C59" s="70">
        <v>20.822265625</v>
      </c>
      <c r="D59" s="68">
        <v>0</v>
      </c>
    </row>
    <row r="60" spans="1:4" x14ac:dyDescent="0.2">
      <c r="A60" s="69">
        <v>59</v>
      </c>
      <c r="B60" s="70" t="s">
        <v>1689</v>
      </c>
      <c r="C60" s="70">
        <v>10.365234374999998</v>
      </c>
      <c r="D60" s="68">
        <v>0</v>
      </c>
    </row>
    <row r="61" spans="1:4" x14ac:dyDescent="0.2">
      <c r="A61" s="69">
        <v>60</v>
      </c>
      <c r="B61" s="70" t="s">
        <v>1690</v>
      </c>
      <c r="C61" s="70">
        <v>8.591796875</v>
      </c>
      <c r="D61" s="68">
        <v>0</v>
      </c>
    </row>
    <row r="62" spans="1:4" x14ac:dyDescent="0.2">
      <c r="A62" s="69">
        <v>61</v>
      </c>
      <c r="B62" s="70" t="s">
        <v>1691</v>
      </c>
      <c r="C62" s="70">
        <v>22.7939453125</v>
      </c>
      <c r="D62" s="68">
        <v>0</v>
      </c>
    </row>
    <row r="63" spans="1:4" x14ac:dyDescent="0.2">
      <c r="A63" s="69">
        <v>62</v>
      </c>
      <c r="B63" s="70" t="s">
        <v>1692</v>
      </c>
      <c r="C63" s="70">
        <v>20.67578125</v>
      </c>
      <c r="D63" s="68">
        <v>0</v>
      </c>
    </row>
    <row r="64" spans="1:4" x14ac:dyDescent="0.2">
      <c r="A64" s="69">
        <v>63</v>
      </c>
      <c r="B64" s="70" t="s">
        <v>1693</v>
      </c>
      <c r="C64" s="70">
        <v>10.341796875</v>
      </c>
      <c r="D64" s="68">
        <v>0</v>
      </c>
    </row>
    <row r="65" spans="1:4" x14ac:dyDescent="0.2">
      <c r="A65" s="69">
        <v>64</v>
      </c>
      <c r="B65" s="70" t="s">
        <v>1694</v>
      </c>
      <c r="C65" s="70">
        <v>8.4375</v>
      </c>
      <c r="D65" s="68">
        <v>0</v>
      </c>
    </row>
    <row r="66" spans="1:4" x14ac:dyDescent="0.2">
      <c r="A66" s="69">
        <v>65</v>
      </c>
      <c r="B66" s="70" t="s">
        <v>1695</v>
      </c>
      <c r="C66" s="70">
        <v>23.0302734375</v>
      </c>
      <c r="D66" s="68">
        <v>0</v>
      </c>
    </row>
    <row r="67" spans="1:4" x14ac:dyDescent="0.2">
      <c r="A67" s="69">
        <v>66</v>
      </c>
      <c r="B67" s="70" t="s">
        <v>1696</v>
      </c>
      <c r="C67" s="70">
        <v>18.494140625</v>
      </c>
      <c r="D67" s="68">
        <v>0</v>
      </c>
    </row>
    <row r="68" spans="1:4" x14ac:dyDescent="0.2">
      <c r="A68" s="69">
        <v>67</v>
      </c>
      <c r="B68" s="70" t="s">
        <v>1697</v>
      </c>
      <c r="C68" s="70">
        <v>10.063476562499998</v>
      </c>
      <c r="D68" s="68">
        <v>0</v>
      </c>
    </row>
    <row r="69" spans="1:4" x14ac:dyDescent="0.2">
      <c r="A69" s="69">
        <v>68</v>
      </c>
      <c r="B69" s="70" t="s">
        <v>1698</v>
      </c>
      <c r="C69" s="70">
        <v>8.3417968749999964</v>
      </c>
      <c r="D69" s="68">
        <v>0</v>
      </c>
    </row>
    <row r="70" spans="1:4" x14ac:dyDescent="0.2">
      <c r="A70" s="69">
        <v>69</v>
      </c>
      <c r="B70" s="70" t="s">
        <v>1699</v>
      </c>
      <c r="C70" s="70">
        <v>22.194335937500004</v>
      </c>
      <c r="D70" s="68">
        <v>0</v>
      </c>
    </row>
    <row r="71" spans="1:4" x14ac:dyDescent="0.2">
      <c r="A71" s="69">
        <v>70</v>
      </c>
      <c r="B71" s="70" t="s">
        <v>1700</v>
      </c>
      <c r="C71" s="70">
        <v>17.750976562499996</v>
      </c>
      <c r="D71" s="68">
        <v>0</v>
      </c>
    </row>
    <row r="72" spans="1:4" x14ac:dyDescent="0.2">
      <c r="A72" s="69">
        <v>71</v>
      </c>
      <c r="B72" s="70" t="s">
        <v>1701</v>
      </c>
      <c r="C72" s="70">
        <v>10.134765624999998</v>
      </c>
      <c r="D72" s="68">
        <v>0</v>
      </c>
    </row>
    <row r="73" spans="1:4" x14ac:dyDescent="0.2">
      <c r="A73" s="69">
        <v>72</v>
      </c>
      <c r="B73" s="70" t="s">
        <v>1702</v>
      </c>
      <c r="C73" s="70">
        <v>8.9111328125000018</v>
      </c>
      <c r="D73" s="68">
        <v>0</v>
      </c>
    </row>
    <row r="74" spans="1:4" x14ac:dyDescent="0.2">
      <c r="A74" s="69">
        <v>73</v>
      </c>
      <c r="B74" s="70" t="s">
        <v>1703</v>
      </c>
      <c r="C74" s="70">
        <v>21.578125</v>
      </c>
      <c r="D74" s="68">
        <v>0</v>
      </c>
    </row>
    <row r="75" spans="1:4" x14ac:dyDescent="0.2">
      <c r="A75" s="69">
        <v>74</v>
      </c>
      <c r="B75" s="70" t="s">
        <v>1704</v>
      </c>
      <c r="C75" s="70">
        <v>20.2548828125</v>
      </c>
      <c r="D75" s="68">
        <v>0</v>
      </c>
    </row>
    <row r="76" spans="1:4" x14ac:dyDescent="0.2">
      <c r="A76" s="69">
        <v>75</v>
      </c>
      <c r="B76" s="70" t="s">
        <v>1705</v>
      </c>
      <c r="C76" s="70">
        <v>10.0068359375</v>
      </c>
      <c r="D76" s="68">
        <v>0</v>
      </c>
    </row>
    <row r="77" spans="1:4" x14ac:dyDescent="0.2">
      <c r="A77" s="69">
        <v>76</v>
      </c>
      <c r="B77" s="70" t="s">
        <v>1706</v>
      </c>
      <c r="C77" s="70">
        <v>8.7822265625</v>
      </c>
      <c r="D77" s="68">
        <v>0</v>
      </c>
    </row>
    <row r="78" spans="1:4" x14ac:dyDescent="0.2">
      <c r="A78" s="69">
        <v>77</v>
      </c>
      <c r="B78" s="70" t="s">
        <v>1707</v>
      </c>
      <c r="C78" s="70">
        <v>21.399414062499996</v>
      </c>
      <c r="D78" s="68">
        <v>0</v>
      </c>
    </row>
    <row r="79" spans="1:4" x14ac:dyDescent="0.2">
      <c r="A79" s="69">
        <v>78</v>
      </c>
      <c r="B79" s="70" t="s">
        <v>1708</v>
      </c>
      <c r="C79" s="70">
        <v>20.017578124999996</v>
      </c>
      <c r="D79" s="68">
        <v>0</v>
      </c>
    </row>
    <row r="80" spans="1:4" x14ac:dyDescent="0.2">
      <c r="A80" s="69">
        <v>79</v>
      </c>
      <c r="B80" s="70" t="s">
        <v>1709</v>
      </c>
      <c r="C80" s="70">
        <v>9.7998046875</v>
      </c>
      <c r="D80" s="68">
        <v>0</v>
      </c>
    </row>
    <row r="81" spans="1:4" x14ac:dyDescent="0.2">
      <c r="A81" s="69">
        <v>80</v>
      </c>
      <c r="B81" s="70" t="s">
        <v>1710</v>
      </c>
      <c r="C81" s="70">
        <v>8.8935546874999964</v>
      </c>
      <c r="D81" s="68">
        <v>0</v>
      </c>
    </row>
    <row r="82" spans="1:4" x14ac:dyDescent="0.2">
      <c r="A82" s="69">
        <v>81</v>
      </c>
      <c r="B82" s="70" t="s">
        <v>1711</v>
      </c>
      <c r="C82" s="70">
        <v>21.6171875</v>
      </c>
      <c r="D82" s="68">
        <v>0</v>
      </c>
    </row>
    <row r="83" spans="1:4" x14ac:dyDescent="0.2">
      <c r="A83" s="69">
        <v>82</v>
      </c>
      <c r="B83" s="70" t="s">
        <v>1712</v>
      </c>
      <c r="C83" s="70">
        <v>19.859375</v>
      </c>
      <c r="D83" s="68">
        <v>0</v>
      </c>
    </row>
    <row r="84" spans="1:4" x14ac:dyDescent="0.2">
      <c r="A84" s="69">
        <v>83</v>
      </c>
      <c r="B84" s="70" t="s">
        <v>1713</v>
      </c>
      <c r="C84" s="70">
        <v>9.7822265625</v>
      </c>
      <c r="D84" s="68">
        <v>0</v>
      </c>
    </row>
    <row r="85" spans="1:4" x14ac:dyDescent="0.2">
      <c r="A85" s="69">
        <v>84</v>
      </c>
      <c r="B85" s="70" t="s">
        <v>1714</v>
      </c>
      <c r="C85" s="70">
        <v>8.3046875</v>
      </c>
      <c r="D85" s="68">
        <v>0</v>
      </c>
    </row>
    <row r="86" spans="1:4" x14ac:dyDescent="0.2">
      <c r="A86" s="69">
        <v>85</v>
      </c>
      <c r="B86" s="70" t="s">
        <v>1715</v>
      </c>
      <c r="C86" s="70">
        <v>18.1064453125</v>
      </c>
      <c r="D86" s="68">
        <v>0</v>
      </c>
    </row>
    <row r="87" spans="1:4" x14ac:dyDescent="0.2">
      <c r="A87" s="69">
        <v>86</v>
      </c>
      <c r="B87" s="70" t="s">
        <v>1716</v>
      </c>
      <c r="C87" s="70">
        <v>17.586914062500004</v>
      </c>
      <c r="D87" s="68">
        <v>0</v>
      </c>
    </row>
    <row r="88" spans="1:4" x14ac:dyDescent="0.2">
      <c r="A88" s="69">
        <v>87</v>
      </c>
      <c r="B88" s="70" t="s">
        <v>1717</v>
      </c>
      <c r="C88" s="70">
        <v>8.6103515624999964</v>
      </c>
      <c r="D88" s="68">
        <v>0</v>
      </c>
    </row>
    <row r="89" spans="1:4" x14ac:dyDescent="0.2">
      <c r="A89" s="69">
        <v>88</v>
      </c>
      <c r="B89" s="70" t="s">
        <v>1718</v>
      </c>
      <c r="C89" s="70">
        <v>8.2167968749999982</v>
      </c>
      <c r="D89" s="68">
        <v>0</v>
      </c>
    </row>
    <row r="90" spans="1:4" x14ac:dyDescent="0.2">
      <c r="A90" s="69">
        <v>89</v>
      </c>
      <c r="B90" s="70" t="s">
        <v>1719</v>
      </c>
      <c r="C90" s="70">
        <v>20.837890625</v>
      </c>
      <c r="D90" s="68">
        <v>0</v>
      </c>
    </row>
    <row r="91" spans="1:4" x14ac:dyDescent="0.2">
      <c r="A91" s="69">
        <v>90</v>
      </c>
      <c r="B91" s="70" t="s">
        <v>1720</v>
      </c>
      <c r="C91" s="70">
        <v>19.9501953125</v>
      </c>
      <c r="D91" s="68">
        <v>0</v>
      </c>
    </row>
    <row r="92" spans="1:4" x14ac:dyDescent="0.2">
      <c r="A92" s="69">
        <v>91</v>
      </c>
      <c r="B92" s="70" t="s">
        <v>1721</v>
      </c>
      <c r="C92" s="70">
        <v>9.4560546874999982</v>
      </c>
      <c r="D92" s="68">
        <v>0</v>
      </c>
    </row>
    <row r="93" spans="1:4" x14ac:dyDescent="0.2">
      <c r="A93" s="69">
        <v>92</v>
      </c>
      <c r="B93" s="70" t="s">
        <v>1722</v>
      </c>
      <c r="C93" s="70">
        <v>8.6230468749999982</v>
      </c>
      <c r="D93" s="68">
        <v>0</v>
      </c>
    </row>
    <row r="94" spans="1:4" x14ac:dyDescent="0.2">
      <c r="A94" s="69">
        <v>93</v>
      </c>
      <c r="B94" s="70" t="s">
        <v>1723</v>
      </c>
      <c r="C94" s="70">
        <v>19.1298828125</v>
      </c>
      <c r="D94" s="68">
        <v>0</v>
      </c>
    </row>
    <row r="95" spans="1:4" x14ac:dyDescent="0.2">
      <c r="A95" s="69">
        <v>94</v>
      </c>
      <c r="B95" s="70" t="s">
        <v>1724</v>
      </c>
      <c r="C95" s="70">
        <v>19.7353515625</v>
      </c>
      <c r="D95" s="68">
        <v>0</v>
      </c>
    </row>
    <row r="96" spans="1:4" x14ac:dyDescent="0.2">
      <c r="A96" s="69">
        <v>95</v>
      </c>
      <c r="B96" s="70" t="s">
        <v>1725</v>
      </c>
      <c r="C96" s="70">
        <v>8.7080078125</v>
      </c>
      <c r="D96" s="68">
        <v>0</v>
      </c>
    </row>
    <row r="97" spans="1:4" x14ac:dyDescent="0.2">
      <c r="A97" s="69">
        <v>96</v>
      </c>
      <c r="B97" s="70" t="s">
        <v>1726</v>
      </c>
      <c r="C97" s="70">
        <v>9.1064453124999982</v>
      </c>
      <c r="D97" s="68">
        <v>0</v>
      </c>
    </row>
    <row r="98" spans="1:4" x14ac:dyDescent="0.2">
      <c r="A98" s="69">
        <v>97</v>
      </c>
      <c r="B98" s="70" t="s">
        <v>1727</v>
      </c>
      <c r="C98" s="70">
        <v>17.986328125</v>
      </c>
      <c r="D98" s="68">
        <v>0</v>
      </c>
    </row>
    <row r="99" spans="1:4" x14ac:dyDescent="0.2">
      <c r="A99" s="69">
        <v>98</v>
      </c>
      <c r="B99" s="70" t="s">
        <v>1728</v>
      </c>
      <c r="C99" s="70">
        <v>17.3271484375</v>
      </c>
      <c r="D99" s="68">
        <v>0</v>
      </c>
    </row>
    <row r="100" spans="1:4" x14ac:dyDescent="0.2">
      <c r="A100" s="69">
        <v>99</v>
      </c>
      <c r="B100" s="70" t="s">
        <v>1729</v>
      </c>
      <c r="C100" s="70">
        <v>8.4912109374999982</v>
      </c>
      <c r="D100" s="68">
        <v>0</v>
      </c>
    </row>
    <row r="101" spans="1:4" x14ac:dyDescent="0.2">
      <c r="A101" s="69">
        <v>100</v>
      </c>
      <c r="B101" s="70" t="s">
        <v>1730</v>
      </c>
      <c r="C101" s="70">
        <v>8.2021484375</v>
      </c>
      <c r="D101" s="68">
        <v>0</v>
      </c>
    </row>
    <row r="102" spans="1:4" x14ac:dyDescent="0.2">
      <c r="A102" s="69">
        <v>101</v>
      </c>
      <c r="B102" s="70" t="s">
        <v>1731</v>
      </c>
      <c r="C102" s="70">
        <v>21.981445312500004</v>
      </c>
      <c r="D102" s="68">
        <v>0</v>
      </c>
    </row>
    <row r="103" spans="1:4" x14ac:dyDescent="0.2">
      <c r="A103" s="69">
        <v>102</v>
      </c>
      <c r="B103" s="70" t="s">
        <v>1732</v>
      </c>
      <c r="C103" s="70">
        <v>20.0625</v>
      </c>
      <c r="D103" s="68">
        <v>0</v>
      </c>
    </row>
    <row r="104" spans="1:4" x14ac:dyDescent="0.2">
      <c r="A104" s="69">
        <v>103</v>
      </c>
      <c r="B104" s="70" t="s">
        <v>1733</v>
      </c>
      <c r="C104" s="70">
        <v>8.8046875</v>
      </c>
      <c r="D104" s="68">
        <v>0</v>
      </c>
    </row>
    <row r="105" spans="1:4" x14ac:dyDescent="0.2">
      <c r="A105" s="69">
        <v>104</v>
      </c>
      <c r="B105" s="70" t="s">
        <v>1734</v>
      </c>
      <c r="C105" s="70">
        <v>8.4433593749999982</v>
      </c>
      <c r="D105" s="68">
        <v>0</v>
      </c>
    </row>
    <row r="106" spans="1:4" x14ac:dyDescent="0.2">
      <c r="A106" s="69">
        <v>105</v>
      </c>
      <c r="B106" s="70" t="s">
        <v>1735</v>
      </c>
      <c r="C106" s="70">
        <v>21.828124999999996</v>
      </c>
      <c r="D106" s="68">
        <v>0</v>
      </c>
    </row>
    <row r="107" spans="1:4" x14ac:dyDescent="0.2">
      <c r="A107" s="69">
        <v>106</v>
      </c>
      <c r="B107" s="70" t="s">
        <v>1736</v>
      </c>
      <c r="C107" s="70">
        <v>18.80078125</v>
      </c>
      <c r="D107" s="68">
        <v>0</v>
      </c>
    </row>
    <row r="108" spans="1:4" x14ac:dyDescent="0.2">
      <c r="A108" s="69">
        <v>107</v>
      </c>
      <c r="B108" s="70" t="s">
        <v>1737</v>
      </c>
      <c r="C108" s="70">
        <v>8.9833984375</v>
      </c>
      <c r="D108" s="68">
        <v>0</v>
      </c>
    </row>
    <row r="109" spans="1:4" x14ac:dyDescent="0.2">
      <c r="A109" s="69">
        <v>108</v>
      </c>
      <c r="B109" s="70" t="s">
        <v>1738</v>
      </c>
      <c r="C109" s="70">
        <v>8.5126953125</v>
      </c>
      <c r="D109" s="68">
        <v>0</v>
      </c>
    </row>
    <row r="110" spans="1:4" x14ac:dyDescent="0.2">
      <c r="A110" s="69">
        <v>109</v>
      </c>
      <c r="B110" s="70" t="s">
        <v>1739</v>
      </c>
      <c r="C110" s="70">
        <v>18.4052734375</v>
      </c>
      <c r="D110" s="68">
        <v>0</v>
      </c>
    </row>
    <row r="111" spans="1:4" x14ac:dyDescent="0.2">
      <c r="A111" s="69">
        <v>110</v>
      </c>
      <c r="B111" s="70" t="s">
        <v>1740</v>
      </c>
      <c r="C111" s="70">
        <v>21.4501953125</v>
      </c>
      <c r="D111" s="68">
        <v>0</v>
      </c>
    </row>
    <row r="112" spans="1:4" x14ac:dyDescent="0.2">
      <c r="A112" s="69">
        <v>111</v>
      </c>
      <c r="B112" s="70" t="s">
        <v>1741</v>
      </c>
      <c r="C112" s="70">
        <v>8.8662109375</v>
      </c>
      <c r="D112" s="68">
        <v>0</v>
      </c>
    </row>
    <row r="113" spans="1:4" x14ac:dyDescent="0.2">
      <c r="A113" s="69">
        <v>112</v>
      </c>
      <c r="B113" s="70" t="s">
        <v>1742</v>
      </c>
      <c r="C113" s="70">
        <v>8.5947265624999982</v>
      </c>
      <c r="D113" s="68">
        <v>0</v>
      </c>
    </row>
    <row r="114" spans="1:4" x14ac:dyDescent="0.2">
      <c r="A114" s="69">
        <v>113</v>
      </c>
      <c r="B114" s="70" t="s">
        <v>1743</v>
      </c>
      <c r="C114" s="70">
        <v>22.9736328125</v>
      </c>
      <c r="D114" s="68">
        <v>0</v>
      </c>
    </row>
    <row r="115" spans="1:4" x14ac:dyDescent="0.2">
      <c r="A115" s="69">
        <v>114</v>
      </c>
      <c r="B115" s="70" t="s">
        <v>1253</v>
      </c>
      <c r="C115" s="70">
        <v>21.659179687499993</v>
      </c>
      <c r="D115" s="68">
        <v>0</v>
      </c>
    </row>
    <row r="116" spans="1:4" x14ac:dyDescent="0.2">
      <c r="A116" s="69">
        <v>115</v>
      </c>
      <c r="B116" s="70" t="s">
        <v>1744</v>
      </c>
      <c r="C116" s="70">
        <v>9.1904296875</v>
      </c>
      <c r="D116" s="68">
        <v>0</v>
      </c>
    </row>
    <row r="117" spans="1:4" x14ac:dyDescent="0.2">
      <c r="A117" s="69">
        <v>116</v>
      </c>
      <c r="B117" s="70" t="s">
        <v>286</v>
      </c>
      <c r="C117" s="70">
        <v>8.5439453125</v>
      </c>
      <c r="D117" s="68">
        <v>0</v>
      </c>
    </row>
    <row r="118" spans="1:4" x14ac:dyDescent="0.2">
      <c r="A118" s="69">
        <v>117</v>
      </c>
      <c r="B118" s="70" t="s">
        <v>1745</v>
      </c>
      <c r="C118" s="70">
        <v>21.0380859375</v>
      </c>
      <c r="D118" s="68">
        <v>0</v>
      </c>
    </row>
    <row r="119" spans="1:4" x14ac:dyDescent="0.2">
      <c r="A119" s="69">
        <v>118</v>
      </c>
      <c r="B119" s="70" t="s">
        <v>1230</v>
      </c>
      <c r="C119" s="70">
        <v>20.2236328125</v>
      </c>
      <c r="D119" s="68">
        <v>0</v>
      </c>
    </row>
    <row r="120" spans="1:4" x14ac:dyDescent="0.2">
      <c r="A120" s="69">
        <v>119</v>
      </c>
      <c r="B120" s="70" t="s">
        <v>1746</v>
      </c>
      <c r="C120" s="70">
        <v>9.1337890625</v>
      </c>
      <c r="D120" s="68">
        <v>0</v>
      </c>
    </row>
    <row r="121" spans="1:4" x14ac:dyDescent="0.2">
      <c r="A121" s="69">
        <v>120</v>
      </c>
      <c r="B121" s="70" t="s">
        <v>1232</v>
      </c>
      <c r="C121" s="70">
        <v>8.6396484375</v>
      </c>
      <c r="D121" s="68">
        <v>0</v>
      </c>
    </row>
    <row r="122" spans="1:4" x14ac:dyDescent="0.2">
      <c r="A122" s="69">
        <v>121</v>
      </c>
      <c r="B122" s="70" t="s">
        <v>1747</v>
      </c>
      <c r="C122" s="70">
        <v>22.7060546875</v>
      </c>
      <c r="D122" s="68">
        <v>0</v>
      </c>
    </row>
    <row r="123" spans="1:4" x14ac:dyDescent="0.2">
      <c r="A123" s="69">
        <v>122</v>
      </c>
      <c r="B123" s="70" t="s">
        <v>1336</v>
      </c>
      <c r="C123" s="70">
        <v>19.9306640625</v>
      </c>
      <c r="D123" s="68">
        <v>0</v>
      </c>
    </row>
    <row r="124" spans="1:4" x14ac:dyDescent="0.2">
      <c r="A124" s="69">
        <v>123</v>
      </c>
      <c r="B124" s="70" t="s">
        <v>1748</v>
      </c>
      <c r="C124" s="70">
        <v>9.5947265625</v>
      </c>
      <c r="D124" s="68">
        <v>0</v>
      </c>
    </row>
    <row r="125" spans="1:4" x14ac:dyDescent="0.2">
      <c r="A125" s="69">
        <v>124</v>
      </c>
      <c r="B125" s="70" t="s">
        <v>285</v>
      </c>
      <c r="C125" s="70">
        <v>8.4423828125</v>
      </c>
      <c r="D125" s="68">
        <v>0</v>
      </c>
    </row>
    <row r="126" spans="1:4" x14ac:dyDescent="0.2">
      <c r="A126" s="69">
        <v>125</v>
      </c>
      <c r="B126" s="70" t="s">
        <v>1749</v>
      </c>
      <c r="C126" s="70">
        <v>22.5</v>
      </c>
      <c r="D126" s="68">
        <v>0</v>
      </c>
    </row>
    <row r="127" spans="1:4" x14ac:dyDescent="0.2">
      <c r="A127" s="69">
        <v>126</v>
      </c>
      <c r="B127" s="70" t="s">
        <v>1333</v>
      </c>
      <c r="C127" s="70">
        <v>19.879882812499996</v>
      </c>
      <c r="D127" s="68">
        <v>0</v>
      </c>
    </row>
    <row r="128" spans="1:4" x14ac:dyDescent="0.2">
      <c r="A128" s="69">
        <v>127</v>
      </c>
      <c r="B128" s="70" t="s">
        <v>1750</v>
      </c>
      <c r="C128" s="70">
        <v>9.53125</v>
      </c>
      <c r="D128" s="68">
        <v>0</v>
      </c>
    </row>
    <row r="129" spans="1:4" x14ac:dyDescent="0.2">
      <c r="A129" s="69">
        <v>128</v>
      </c>
      <c r="B129" s="70" t="s">
        <v>288</v>
      </c>
      <c r="C129" s="70">
        <v>8.5244140624999982</v>
      </c>
      <c r="D129" s="68">
        <v>0</v>
      </c>
    </row>
    <row r="130" spans="1:4" x14ac:dyDescent="0.2">
      <c r="A130" s="69">
        <v>129</v>
      </c>
      <c r="B130" s="70" t="s">
        <v>1751</v>
      </c>
      <c r="C130" s="70">
        <v>21.3837890625</v>
      </c>
      <c r="D130" s="68">
        <v>0</v>
      </c>
    </row>
    <row r="131" spans="1:4" x14ac:dyDescent="0.2">
      <c r="A131" s="69">
        <v>130</v>
      </c>
      <c r="B131" s="70" t="s">
        <v>1343</v>
      </c>
      <c r="C131" s="70">
        <v>20.651367187499996</v>
      </c>
      <c r="D131" s="68">
        <v>0</v>
      </c>
    </row>
    <row r="132" spans="1:4" x14ac:dyDescent="0.2">
      <c r="A132" s="69">
        <v>131</v>
      </c>
      <c r="B132" s="70" t="s">
        <v>1752</v>
      </c>
      <c r="C132" s="70">
        <v>9.0468749999999982</v>
      </c>
      <c r="D132" s="68">
        <v>0</v>
      </c>
    </row>
    <row r="133" spans="1:4" x14ac:dyDescent="0.2">
      <c r="A133" s="69">
        <v>132</v>
      </c>
      <c r="B133" s="70" t="s">
        <v>1345</v>
      </c>
      <c r="C133" s="70">
        <v>8.6582031249999982</v>
      </c>
      <c r="D133" s="68">
        <v>0</v>
      </c>
    </row>
    <row r="134" spans="1:4" x14ac:dyDescent="0.2">
      <c r="A134" s="69">
        <v>133</v>
      </c>
      <c r="B134" s="70" t="s">
        <v>1753</v>
      </c>
      <c r="C134" s="70">
        <v>21.2880859375</v>
      </c>
      <c r="D134" s="68">
        <v>0</v>
      </c>
    </row>
    <row r="135" spans="1:4" x14ac:dyDescent="0.2">
      <c r="A135" s="69">
        <v>134</v>
      </c>
      <c r="B135" s="70" t="s">
        <v>1339</v>
      </c>
      <c r="C135" s="70">
        <v>20.6005859375</v>
      </c>
      <c r="D135" s="68">
        <v>0</v>
      </c>
    </row>
    <row r="136" spans="1:4" x14ac:dyDescent="0.2">
      <c r="A136" s="69">
        <v>135</v>
      </c>
      <c r="B136" s="70" t="s">
        <v>1754</v>
      </c>
      <c r="C136" s="70">
        <v>8.9560546874999982</v>
      </c>
      <c r="D136" s="68">
        <v>0</v>
      </c>
    </row>
    <row r="137" spans="1:4" x14ac:dyDescent="0.2">
      <c r="A137" s="69">
        <v>136</v>
      </c>
      <c r="B137" s="70" t="s">
        <v>1341</v>
      </c>
      <c r="C137" s="70">
        <v>8.59765625</v>
      </c>
      <c r="D137" s="68">
        <v>0</v>
      </c>
    </row>
    <row r="138" spans="1:4" x14ac:dyDescent="0.2">
      <c r="A138" s="69">
        <v>137</v>
      </c>
      <c r="B138" s="70" t="s">
        <v>1755</v>
      </c>
      <c r="C138" s="70">
        <v>21.511718750000004</v>
      </c>
      <c r="D138" s="68">
        <v>0</v>
      </c>
    </row>
    <row r="139" spans="1:4" x14ac:dyDescent="0.2">
      <c r="A139" s="69">
        <v>138</v>
      </c>
      <c r="B139" s="70" t="s">
        <v>1350</v>
      </c>
      <c r="C139" s="70">
        <v>21.3994140625</v>
      </c>
      <c r="D139" s="68">
        <v>0</v>
      </c>
    </row>
    <row r="140" spans="1:4" x14ac:dyDescent="0.2">
      <c r="A140" s="69">
        <v>139</v>
      </c>
      <c r="B140" s="70" t="s">
        <v>1756</v>
      </c>
      <c r="C140" s="70">
        <v>9.095703125</v>
      </c>
      <c r="D140" s="68">
        <v>0</v>
      </c>
    </row>
    <row r="141" spans="1:4" x14ac:dyDescent="0.2">
      <c r="A141" s="69">
        <v>140</v>
      </c>
      <c r="B141" s="70" t="s">
        <v>1352</v>
      </c>
      <c r="C141" s="70">
        <v>8.4560546875</v>
      </c>
      <c r="D141" s="68">
        <v>0</v>
      </c>
    </row>
    <row r="142" spans="1:4" x14ac:dyDescent="0.2">
      <c r="A142" s="69">
        <v>141</v>
      </c>
      <c r="B142" s="70" t="s">
        <v>1757</v>
      </c>
      <c r="C142" s="70">
        <v>21.5673828125</v>
      </c>
      <c r="D142" s="68">
        <v>0</v>
      </c>
    </row>
    <row r="143" spans="1:4" x14ac:dyDescent="0.2">
      <c r="A143" s="69">
        <v>142</v>
      </c>
      <c r="B143" s="70" t="s">
        <v>1347</v>
      </c>
      <c r="C143" s="70">
        <v>21.0458984375</v>
      </c>
      <c r="D143" s="68">
        <v>0</v>
      </c>
    </row>
    <row r="144" spans="1:4" x14ac:dyDescent="0.2">
      <c r="A144" s="69">
        <v>143</v>
      </c>
      <c r="B144" s="70" t="s">
        <v>1758</v>
      </c>
      <c r="C144" s="70">
        <v>9.0478515624999964</v>
      </c>
      <c r="D144" s="68">
        <v>0</v>
      </c>
    </row>
    <row r="145" spans="1:4" x14ac:dyDescent="0.2">
      <c r="A145" s="69">
        <v>144</v>
      </c>
      <c r="B145" s="70" t="s">
        <v>290</v>
      </c>
      <c r="C145" s="70">
        <v>8.4853515625</v>
      </c>
      <c r="D145" s="68">
        <v>0</v>
      </c>
    </row>
    <row r="146" spans="1:4" x14ac:dyDescent="0.2">
      <c r="A146" s="69">
        <v>145</v>
      </c>
      <c r="B146" s="70" t="s">
        <v>1759</v>
      </c>
      <c r="C146" s="70">
        <v>22.189453125</v>
      </c>
      <c r="D146" s="68">
        <v>0</v>
      </c>
    </row>
    <row r="147" spans="1:4" x14ac:dyDescent="0.2">
      <c r="A147" s="69">
        <v>146</v>
      </c>
      <c r="B147" s="70" t="s">
        <v>1357</v>
      </c>
      <c r="C147" s="70">
        <v>20.447265624999996</v>
      </c>
      <c r="D147" s="68">
        <v>0</v>
      </c>
    </row>
    <row r="148" spans="1:4" x14ac:dyDescent="0.2">
      <c r="A148" s="69">
        <v>147</v>
      </c>
      <c r="B148" s="70" t="s">
        <v>1760</v>
      </c>
      <c r="C148" s="70">
        <v>10.01953125</v>
      </c>
      <c r="D148" s="68">
        <v>0</v>
      </c>
    </row>
    <row r="149" spans="1:4" x14ac:dyDescent="0.2">
      <c r="A149" s="69">
        <v>148</v>
      </c>
      <c r="B149" s="70" t="s">
        <v>289</v>
      </c>
      <c r="C149" s="70">
        <v>8.6679687499999982</v>
      </c>
      <c r="D149" s="68">
        <v>0</v>
      </c>
    </row>
    <row r="150" spans="1:4" x14ac:dyDescent="0.2">
      <c r="A150" s="69">
        <v>149</v>
      </c>
      <c r="B150" s="70" t="s">
        <v>1761</v>
      </c>
      <c r="C150" s="70">
        <v>22.273437499999996</v>
      </c>
      <c r="D150" s="68">
        <v>0</v>
      </c>
    </row>
    <row r="151" spans="1:4" x14ac:dyDescent="0.2">
      <c r="A151" s="69">
        <v>150</v>
      </c>
      <c r="B151" s="70" t="s">
        <v>1354</v>
      </c>
      <c r="C151" s="70">
        <v>20.109375</v>
      </c>
      <c r="D151" s="68">
        <v>0</v>
      </c>
    </row>
    <row r="152" spans="1:4" x14ac:dyDescent="0.2">
      <c r="A152" s="69">
        <v>151</v>
      </c>
      <c r="B152" s="70" t="s">
        <v>1762</v>
      </c>
      <c r="C152" s="70">
        <v>10.063476562499998</v>
      </c>
      <c r="D152" s="68">
        <v>0</v>
      </c>
    </row>
    <row r="153" spans="1:4" x14ac:dyDescent="0.2">
      <c r="A153" s="69">
        <v>152</v>
      </c>
      <c r="B153" s="70" t="s">
        <v>292</v>
      </c>
      <c r="C153" s="70">
        <v>8.6845703124999982</v>
      </c>
      <c r="D153" s="68">
        <v>0</v>
      </c>
    </row>
    <row r="154" spans="1:4" x14ac:dyDescent="0.2">
      <c r="A154" s="69">
        <v>153</v>
      </c>
      <c r="B154" s="70" t="s">
        <v>1763</v>
      </c>
      <c r="C154" s="70">
        <v>21.7353515625</v>
      </c>
      <c r="D154" s="68">
        <v>0</v>
      </c>
    </row>
    <row r="155" spans="1:4" x14ac:dyDescent="0.2">
      <c r="A155" s="69">
        <v>154</v>
      </c>
      <c r="B155" s="70" t="s">
        <v>1364</v>
      </c>
      <c r="C155" s="70">
        <v>21.62109375</v>
      </c>
      <c r="D155" s="68">
        <v>0</v>
      </c>
    </row>
    <row r="156" spans="1:4" x14ac:dyDescent="0.2">
      <c r="A156" s="69">
        <v>155</v>
      </c>
      <c r="B156" s="70" t="s">
        <v>1764</v>
      </c>
      <c r="C156" s="70">
        <v>10.110351562499998</v>
      </c>
      <c r="D156" s="68">
        <v>0</v>
      </c>
    </row>
    <row r="157" spans="1:4" x14ac:dyDescent="0.2">
      <c r="A157" s="69">
        <v>156</v>
      </c>
      <c r="B157" s="70" t="s">
        <v>1366</v>
      </c>
      <c r="C157" s="70">
        <v>9.9580078124999964</v>
      </c>
      <c r="D157" s="68">
        <v>0</v>
      </c>
    </row>
    <row r="158" spans="1:4" x14ac:dyDescent="0.2">
      <c r="A158" s="69">
        <v>157</v>
      </c>
      <c r="B158" s="70" t="s">
        <v>1765</v>
      </c>
      <c r="C158" s="70">
        <v>21.9814453125</v>
      </c>
      <c r="D158" s="68">
        <v>0</v>
      </c>
    </row>
    <row r="159" spans="1:4" x14ac:dyDescent="0.2">
      <c r="A159" s="69">
        <v>158</v>
      </c>
      <c r="B159" s="70" t="s">
        <v>1360</v>
      </c>
      <c r="C159" s="70">
        <v>21.6591796875</v>
      </c>
      <c r="D159" s="68">
        <v>0</v>
      </c>
    </row>
    <row r="160" spans="1:4" x14ac:dyDescent="0.2">
      <c r="A160" s="69">
        <v>159</v>
      </c>
      <c r="B160" s="70" t="s">
        <v>1766</v>
      </c>
      <c r="C160" s="70">
        <v>10.226562499999998</v>
      </c>
      <c r="D160" s="68">
        <v>0</v>
      </c>
    </row>
    <row r="161" spans="1:4" x14ac:dyDescent="0.2">
      <c r="A161" s="69">
        <v>160</v>
      </c>
      <c r="B161" s="70" t="s">
        <v>1362</v>
      </c>
      <c r="C161" s="70">
        <v>10.291015625</v>
      </c>
      <c r="D161" s="68">
        <v>0</v>
      </c>
    </row>
    <row r="162" spans="1:4" x14ac:dyDescent="0.2">
      <c r="A162" s="69">
        <v>161</v>
      </c>
      <c r="B162" s="70" t="s">
        <v>1767</v>
      </c>
      <c r="C162" s="70">
        <v>21.702148437499996</v>
      </c>
      <c r="D162" s="68">
        <v>0</v>
      </c>
    </row>
    <row r="163" spans="1:4" x14ac:dyDescent="0.2">
      <c r="A163" s="69">
        <v>162</v>
      </c>
      <c r="B163" s="70" t="s">
        <v>1768</v>
      </c>
      <c r="C163" s="70">
        <v>17.7763671875</v>
      </c>
      <c r="D163" s="68">
        <v>0</v>
      </c>
    </row>
    <row r="164" spans="1:4" x14ac:dyDescent="0.2">
      <c r="A164" s="69">
        <v>163</v>
      </c>
      <c r="B164" s="70" t="s">
        <v>1769</v>
      </c>
      <c r="C164" s="70">
        <v>8.9501953125</v>
      </c>
      <c r="D164" s="68">
        <v>0</v>
      </c>
    </row>
    <row r="165" spans="1:4" x14ac:dyDescent="0.2">
      <c r="A165" s="69">
        <v>164</v>
      </c>
      <c r="B165" s="70" t="s">
        <v>1770</v>
      </c>
      <c r="C165" s="70">
        <v>8.6181640625</v>
      </c>
      <c r="D165" s="68">
        <v>0</v>
      </c>
    </row>
    <row r="166" spans="1:4" x14ac:dyDescent="0.2">
      <c r="A166" s="69">
        <v>165</v>
      </c>
      <c r="B166" s="70" t="s">
        <v>1057</v>
      </c>
      <c r="C166" s="70">
        <v>21.16015625</v>
      </c>
      <c r="D166" s="68">
        <v>0</v>
      </c>
    </row>
    <row r="167" spans="1:4" x14ac:dyDescent="0.2">
      <c r="A167" s="69">
        <v>166</v>
      </c>
      <c r="B167" s="70" t="s">
        <v>1771</v>
      </c>
      <c r="C167" s="70">
        <v>19.185546874999996</v>
      </c>
      <c r="D167" s="68">
        <v>0</v>
      </c>
    </row>
    <row r="168" spans="1:4" x14ac:dyDescent="0.2">
      <c r="A168" s="69">
        <v>167</v>
      </c>
      <c r="B168" s="70" t="s">
        <v>1772</v>
      </c>
      <c r="C168" s="70">
        <v>20.725585937500004</v>
      </c>
      <c r="D168" s="68">
        <v>0</v>
      </c>
    </row>
    <row r="169" spans="1:4" x14ac:dyDescent="0.2">
      <c r="A169" s="69">
        <v>168</v>
      </c>
      <c r="B169" s="70" t="s">
        <v>1773</v>
      </c>
      <c r="C169" s="70">
        <v>17.8662109375</v>
      </c>
      <c r="D169" s="68">
        <v>0</v>
      </c>
    </row>
    <row r="170" spans="1:4" x14ac:dyDescent="0.2">
      <c r="A170" s="69">
        <v>169</v>
      </c>
      <c r="B170" s="70" t="s">
        <v>1774</v>
      </c>
      <c r="C170" s="70">
        <v>17.4150390625</v>
      </c>
      <c r="D170" s="68">
        <v>0</v>
      </c>
    </row>
    <row r="171" spans="1:4" x14ac:dyDescent="0.2">
      <c r="A171" s="69">
        <v>170</v>
      </c>
      <c r="B171" s="70" t="s">
        <v>1775</v>
      </c>
      <c r="C171" s="70">
        <v>18.8583984375</v>
      </c>
      <c r="D171" s="68">
        <v>0</v>
      </c>
    </row>
    <row r="172" spans="1:4" x14ac:dyDescent="0.2">
      <c r="A172" s="69">
        <v>171</v>
      </c>
      <c r="B172" s="70" t="s">
        <v>1776</v>
      </c>
      <c r="C172" s="70">
        <v>22.7001953125</v>
      </c>
      <c r="D172" s="68">
        <v>0</v>
      </c>
    </row>
    <row r="173" spans="1:4" x14ac:dyDescent="0.2">
      <c r="A173" s="69">
        <v>172</v>
      </c>
      <c r="B173" s="70" t="s">
        <v>1777</v>
      </c>
      <c r="C173" s="70">
        <v>17.99609375</v>
      </c>
      <c r="D173" s="68">
        <v>0</v>
      </c>
    </row>
    <row r="174" spans="1:4" x14ac:dyDescent="0.2">
      <c r="A174" s="69">
        <v>173</v>
      </c>
      <c r="B174" s="70" t="s">
        <v>1097</v>
      </c>
      <c r="C174" s="70">
        <v>17.716796875</v>
      </c>
      <c r="D174" s="68">
        <v>0</v>
      </c>
    </row>
    <row r="175" spans="1:4" x14ac:dyDescent="0.2">
      <c r="A175" s="69">
        <v>174</v>
      </c>
      <c r="B175" s="70" t="s">
        <v>1098</v>
      </c>
      <c r="C175" s="70">
        <v>20.6982421875</v>
      </c>
      <c r="D175" s="68">
        <v>0</v>
      </c>
    </row>
    <row r="176" spans="1:4" x14ac:dyDescent="0.2">
      <c r="A176" s="69">
        <v>175</v>
      </c>
      <c r="B176" s="70" t="s">
        <v>1778</v>
      </c>
      <c r="C176" s="70">
        <v>19.03125</v>
      </c>
      <c r="D176" s="68">
        <v>0</v>
      </c>
    </row>
    <row r="177" spans="1:4" x14ac:dyDescent="0.2">
      <c r="A177" s="69">
        <v>176</v>
      </c>
      <c r="B177" s="70" t="s">
        <v>1779</v>
      </c>
      <c r="C177" s="70">
        <v>19.803710937500004</v>
      </c>
      <c r="D177" s="68">
        <v>0</v>
      </c>
    </row>
    <row r="178" spans="1:4" x14ac:dyDescent="0.2">
      <c r="A178" s="69">
        <v>177</v>
      </c>
      <c r="B178" s="70" t="s">
        <v>1101</v>
      </c>
      <c r="C178" s="70">
        <v>19.788085937499996</v>
      </c>
      <c r="D178" s="68">
        <v>0</v>
      </c>
    </row>
    <row r="179" spans="1:4" x14ac:dyDescent="0.2">
      <c r="A179" s="69">
        <v>178</v>
      </c>
      <c r="B179" s="70" t="s">
        <v>1102</v>
      </c>
      <c r="C179" s="70">
        <v>22.510742187500004</v>
      </c>
      <c r="D179" s="68">
        <v>0</v>
      </c>
    </row>
    <row r="180" spans="1:4" x14ac:dyDescent="0.2">
      <c r="A180" s="69">
        <v>179</v>
      </c>
      <c r="B180" s="70" t="s">
        <v>1780</v>
      </c>
      <c r="C180" s="70">
        <v>17.4111328125</v>
      </c>
      <c r="D180" s="68">
        <v>0</v>
      </c>
    </row>
    <row r="181" spans="1:4" x14ac:dyDescent="0.2">
      <c r="A181" s="69">
        <v>180</v>
      </c>
      <c r="B181" s="70" t="s">
        <v>1781</v>
      </c>
      <c r="C181" s="70">
        <v>21.3291015625</v>
      </c>
      <c r="D181" s="68">
        <v>0</v>
      </c>
    </row>
    <row r="182" spans="1:4" x14ac:dyDescent="0.2">
      <c r="A182" s="69">
        <v>181</v>
      </c>
      <c r="B182" s="70" t="s">
        <v>1782</v>
      </c>
      <c r="C182" s="70">
        <v>17.896484375</v>
      </c>
      <c r="D182" s="68">
        <v>0</v>
      </c>
    </row>
    <row r="183" spans="1:4" x14ac:dyDescent="0.2">
      <c r="A183" s="69">
        <v>182</v>
      </c>
      <c r="B183" s="70" t="s">
        <v>1783</v>
      </c>
      <c r="C183" s="70">
        <v>19.1328125</v>
      </c>
      <c r="D183" s="68">
        <v>0</v>
      </c>
    </row>
    <row r="184" spans="1:4" x14ac:dyDescent="0.2">
      <c r="A184" s="69">
        <v>183</v>
      </c>
      <c r="B184" s="70" t="s">
        <v>1784</v>
      </c>
      <c r="C184" s="70">
        <v>22.1259765625</v>
      </c>
      <c r="D184" s="68">
        <v>0</v>
      </c>
    </row>
    <row r="185" spans="1:4" x14ac:dyDescent="0.2">
      <c r="A185" s="69">
        <v>184</v>
      </c>
      <c r="B185" s="70" t="s">
        <v>1785</v>
      </c>
      <c r="C185" s="70">
        <v>20.211914062499996</v>
      </c>
      <c r="D185" s="68">
        <v>0</v>
      </c>
    </row>
    <row r="186" spans="1:4" x14ac:dyDescent="0.2">
      <c r="A186" s="69">
        <v>185</v>
      </c>
      <c r="B186" s="70" t="s">
        <v>1786</v>
      </c>
      <c r="C186" s="70">
        <v>18.5068359375</v>
      </c>
      <c r="D186" s="68">
        <v>0</v>
      </c>
    </row>
    <row r="187" spans="1:4" x14ac:dyDescent="0.2">
      <c r="A187" s="69">
        <v>186</v>
      </c>
      <c r="B187" s="70" t="s">
        <v>1787</v>
      </c>
      <c r="C187" s="70">
        <v>18.480468750000004</v>
      </c>
      <c r="D187" s="68">
        <v>0</v>
      </c>
    </row>
    <row r="188" spans="1:4" x14ac:dyDescent="0.2">
      <c r="A188" s="69">
        <v>187</v>
      </c>
      <c r="B188" s="70" t="s">
        <v>1788</v>
      </c>
      <c r="C188" s="70">
        <v>21.024414062500004</v>
      </c>
      <c r="D188" s="68">
        <v>0</v>
      </c>
    </row>
    <row r="189" spans="1:4" x14ac:dyDescent="0.2">
      <c r="A189" s="69">
        <v>188</v>
      </c>
      <c r="B189" s="70" t="s">
        <v>1789</v>
      </c>
      <c r="C189" s="70">
        <v>20.109374999999996</v>
      </c>
      <c r="D189" s="68">
        <v>0</v>
      </c>
    </row>
    <row r="190" spans="1:4" x14ac:dyDescent="0.2">
      <c r="A190" s="69">
        <v>189</v>
      </c>
      <c r="B190" s="70" t="s">
        <v>1113</v>
      </c>
      <c r="C190" s="70">
        <v>19.830078124999996</v>
      </c>
      <c r="D190" s="68">
        <v>0</v>
      </c>
    </row>
    <row r="191" spans="1:4" x14ac:dyDescent="0.2">
      <c r="A191" s="69">
        <v>190</v>
      </c>
      <c r="B191" s="70" t="s">
        <v>1114</v>
      </c>
      <c r="C191" s="70">
        <v>18.572265625000004</v>
      </c>
      <c r="D191" s="68">
        <v>0</v>
      </c>
    </row>
    <row r="192" spans="1:4" x14ac:dyDescent="0.2">
      <c r="A192" s="69">
        <v>191</v>
      </c>
      <c r="B192" s="70" t="s">
        <v>1790</v>
      </c>
      <c r="C192" s="70">
        <v>17.33984375</v>
      </c>
      <c r="D192" s="68">
        <v>0</v>
      </c>
    </row>
    <row r="193" spans="1:4" x14ac:dyDescent="0.2">
      <c r="A193" s="69">
        <v>192</v>
      </c>
      <c r="B193" s="70" t="s">
        <v>1791</v>
      </c>
      <c r="C193" s="70">
        <v>21.1171875</v>
      </c>
      <c r="D193" s="68">
        <v>0</v>
      </c>
    </row>
    <row r="194" spans="1:4" x14ac:dyDescent="0.2">
      <c r="A194" s="69">
        <v>193</v>
      </c>
      <c r="B194" s="70" t="s">
        <v>1792</v>
      </c>
      <c r="C194" s="70">
        <v>17.896484375</v>
      </c>
      <c r="D194" s="68">
        <v>0</v>
      </c>
    </row>
    <row r="195" spans="1:4" x14ac:dyDescent="0.2">
      <c r="A195" s="69">
        <v>194</v>
      </c>
      <c r="B195" s="70" t="s">
        <v>1793</v>
      </c>
      <c r="C195" s="70">
        <v>20.5029296875</v>
      </c>
      <c r="D195" s="68">
        <v>0</v>
      </c>
    </row>
    <row r="196" spans="1:4" x14ac:dyDescent="0.2">
      <c r="A196" s="69">
        <v>195</v>
      </c>
      <c r="B196" s="70" t="s">
        <v>1794</v>
      </c>
      <c r="C196" s="70">
        <v>21.0087890625</v>
      </c>
      <c r="D196" s="68">
        <v>0</v>
      </c>
    </row>
    <row r="197" spans="1:4" x14ac:dyDescent="0.2">
      <c r="A197" s="69">
        <v>196</v>
      </c>
      <c r="B197" s="70" t="s">
        <v>1795</v>
      </c>
      <c r="C197" s="70">
        <v>20.8359375</v>
      </c>
      <c r="D197" s="68">
        <v>0</v>
      </c>
    </row>
    <row r="198" spans="1:4" x14ac:dyDescent="0.2">
      <c r="A198" s="69">
        <v>197</v>
      </c>
      <c r="B198" s="70" t="s">
        <v>1121</v>
      </c>
      <c r="C198" s="70">
        <v>17.513671875</v>
      </c>
      <c r="D198" s="68">
        <v>0</v>
      </c>
    </row>
    <row r="199" spans="1:4" x14ac:dyDescent="0.2">
      <c r="A199" s="69">
        <v>198</v>
      </c>
      <c r="B199" s="70" t="s">
        <v>1796</v>
      </c>
      <c r="C199" s="70">
        <v>22.0283203125</v>
      </c>
      <c r="D199" s="68">
        <v>0</v>
      </c>
    </row>
    <row r="200" spans="1:4" x14ac:dyDescent="0.2">
      <c r="A200" s="69">
        <v>199</v>
      </c>
      <c r="B200" s="70" t="s">
        <v>1797</v>
      </c>
      <c r="C200" s="70">
        <v>18.6796875</v>
      </c>
      <c r="D200" s="68">
        <v>0</v>
      </c>
    </row>
    <row r="201" spans="1:4" x14ac:dyDescent="0.2">
      <c r="A201" s="69">
        <v>200</v>
      </c>
      <c r="B201" s="70" t="s">
        <v>1798</v>
      </c>
      <c r="C201" s="70">
        <v>20.596679687499996</v>
      </c>
      <c r="D201" s="68">
        <v>0</v>
      </c>
    </row>
    <row r="202" spans="1:4" x14ac:dyDescent="0.2">
      <c r="A202" s="69">
        <v>201</v>
      </c>
      <c r="B202" s="70" t="s">
        <v>1125</v>
      </c>
      <c r="C202" s="70">
        <v>18.513671875</v>
      </c>
      <c r="D202" s="68">
        <v>0</v>
      </c>
    </row>
    <row r="203" spans="1:4" x14ac:dyDescent="0.2">
      <c r="A203" s="69">
        <v>202</v>
      </c>
      <c r="B203" s="70" t="s">
        <v>1126</v>
      </c>
      <c r="C203" s="70">
        <v>18.3740234375</v>
      </c>
      <c r="D203" s="68">
        <v>0</v>
      </c>
    </row>
    <row r="204" spans="1:4" x14ac:dyDescent="0.2">
      <c r="A204" s="69">
        <v>203</v>
      </c>
      <c r="B204" s="70" t="s">
        <v>1799</v>
      </c>
      <c r="C204" s="70">
        <v>17.71875</v>
      </c>
      <c r="D204" s="68">
        <v>0</v>
      </c>
    </row>
    <row r="205" spans="1:4" x14ac:dyDescent="0.2">
      <c r="A205" s="69">
        <v>204</v>
      </c>
      <c r="B205" s="70" t="s">
        <v>1800</v>
      </c>
      <c r="C205" s="70">
        <v>20.887695312499996</v>
      </c>
      <c r="D205" s="68">
        <v>0</v>
      </c>
    </row>
    <row r="206" spans="1:4" x14ac:dyDescent="0.2">
      <c r="A206" s="69">
        <v>205</v>
      </c>
      <c r="B206" s="70" t="s">
        <v>1801</v>
      </c>
      <c r="C206" s="70">
        <v>17.0361328125</v>
      </c>
      <c r="D206" s="68">
        <v>0</v>
      </c>
    </row>
    <row r="207" spans="1:4" x14ac:dyDescent="0.2">
      <c r="A207" s="69">
        <v>206</v>
      </c>
      <c r="B207" s="70" t="s">
        <v>1802</v>
      </c>
      <c r="C207" s="70">
        <v>19.1728515625</v>
      </c>
      <c r="D207" s="68">
        <v>0</v>
      </c>
    </row>
    <row r="208" spans="1:4" x14ac:dyDescent="0.2">
      <c r="A208" s="69">
        <v>207</v>
      </c>
      <c r="B208" s="70" t="s">
        <v>1803</v>
      </c>
      <c r="C208" s="70">
        <v>20.595703125</v>
      </c>
      <c r="D208" s="68">
        <v>0</v>
      </c>
    </row>
    <row r="209" spans="1:4" x14ac:dyDescent="0.2">
      <c r="A209" s="69">
        <v>208</v>
      </c>
      <c r="B209" s="70" t="s">
        <v>1804</v>
      </c>
      <c r="C209" s="70">
        <v>20.619140625</v>
      </c>
      <c r="D209" s="68">
        <v>0</v>
      </c>
    </row>
    <row r="210" spans="1:4" x14ac:dyDescent="0.2">
      <c r="A210" s="69">
        <v>209</v>
      </c>
      <c r="B210" s="70" t="s">
        <v>1805</v>
      </c>
      <c r="C210" s="70">
        <v>18.3212890625</v>
      </c>
      <c r="D210" s="68">
        <v>0</v>
      </c>
    </row>
    <row r="211" spans="1:4" x14ac:dyDescent="0.2">
      <c r="A211" s="69">
        <v>210</v>
      </c>
      <c r="B211" s="70" t="s">
        <v>1806</v>
      </c>
      <c r="C211" s="70">
        <v>21.649414062499996</v>
      </c>
      <c r="D211" s="68">
        <v>0</v>
      </c>
    </row>
    <row r="212" spans="1:4" x14ac:dyDescent="0.2">
      <c r="A212" s="69">
        <v>211</v>
      </c>
      <c r="B212" s="70" t="s">
        <v>1807</v>
      </c>
      <c r="C212" s="70">
        <v>20.806640625</v>
      </c>
      <c r="D212" s="68">
        <v>0</v>
      </c>
    </row>
    <row r="213" spans="1:4" x14ac:dyDescent="0.2">
      <c r="A213" s="69">
        <v>212</v>
      </c>
      <c r="B213" s="70" t="s">
        <v>1808</v>
      </c>
      <c r="C213" s="70">
        <v>20.0380859375</v>
      </c>
      <c r="D213" s="68">
        <v>0</v>
      </c>
    </row>
    <row r="214" spans="1:4" x14ac:dyDescent="0.2">
      <c r="A214" s="69">
        <v>213</v>
      </c>
      <c r="B214" s="70" t="s">
        <v>1809</v>
      </c>
      <c r="C214" s="70">
        <v>19.8759765625</v>
      </c>
      <c r="D214" s="68">
        <v>0</v>
      </c>
    </row>
    <row r="215" spans="1:4" x14ac:dyDescent="0.2">
      <c r="A215" s="69">
        <v>214</v>
      </c>
      <c r="B215" s="70" t="s">
        <v>1066</v>
      </c>
      <c r="C215" s="70">
        <v>21.886718749999996</v>
      </c>
      <c r="D215" s="68">
        <v>0</v>
      </c>
    </row>
    <row r="216" spans="1:4" x14ac:dyDescent="0.2">
      <c r="A216" s="69">
        <v>215</v>
      </c>
      <c r="B216" s="70" t="s">
        <v>1810</v>
      </c>
      <c r="C216" s="70">
        <v>21.217773437500004</v>
      </c>
      <c r="D216" s="68">
        <v>0</v>
      </c>
    </row>
    <row r="217" spans="1:4" x14ac:dyDescent="0.2">
      <c r="A217" s="69">
        <v>216</v>
      </c>
      <c r="B217" s="70" t="s">
        <v>1811</v>
      </c>
      <c r="C217" s="70">
        <v>18.876953125</v>
      </c>
      <c r="D217" s="68">
        <v>0</v>
      </c>
    </row>
    <row r="218" spans="1:4" x14ac:dyDescent="0.2">
      <c r="A218" s="69">
        <v>217</v>
      </c>
      <c r="B218" s="70" t="s">
        <v>1137</v>
      </c>
      <c r="C218" s="70">
        <v>17.631835937499996</v>
      </c>
      <c r="D218" s="68">
        <v>0</v>
      </c>
    </row>
    <row r="219" spans="1:4" x14ac:dyDescent="0.2">
      <c r="A219" s="69">
        <v>218</v>
      </c>
      <c r="B219" s="70" t="s">
        <v>1138</v>
      </c>
      <c r="C219" s="70">
        <v>19.09375</v>
      </c>
      <c r="D219" s="68">
        <v>0</v>
      </c>
    </row>
    <row r="220" spans="1:4" x14ac:dyDescent="0.2">
      <c r="A220" s="69">
        <v>219</v>
      </c>
      <c r="B220" s="70" t="s">
        <v>1812</v>
      </c>
      <c r="C220" s="70">
        <v>20.812499999999996</v>
      </c>
      <c r="D220" s="68">
        <v>0</v>
      </c>
    </row>
    <row r="221" spans="1:4" x14ac:dyDescent="0.2">
      <c r="A221" s="69">
        <v>220</v>
      </c>
      <c r="B221" s="70" t="s">
        <v>1813</v>
      </c>
      <c r="C221" s="70">
        <v>20.2197265625</v>
      </c>
      <c r="D221" s="68">
        <v>0</v>
      </c>
    </row>
    <row r="222" spans="1:4" x14ac:dyDescent="0.2">
      <c r="A222" s="69">
        <v>221</v>
      </c>
      <c r="B222" s="70" t="s">
        <v>1814</v>
      </c>
      <c r="C222" s="70">
        <v>17.754882812499996</v>
      </c>
      <c r="D222" s="68">
        <v>0</v>
      </c>
    </row>
    <row r="223" spans="1:4" x14ac:dyDescent="0.2">
      <c r="A223" s="69">
        <v>222</v>
      </c>
      <c r="B223" s="70" t="s">
        <v>1815</v>
      </c>
      <c r="C223" s="70">
        <v>22.162109375</v>
      </c>
      <c r="D223" s="68">
        <v>0</v>
      </c>
    </row>
    <row r="224" spans="1:4" x14ac:dyDescent="0.2">
      <c r="A224" s="69">
        <v>223</v>
      </c>
      <c r="B224" s="70" t="s">
        <v>1816</v>
      </c>
      <c r="C224" s="70">
        <v>20.9375</v>
      </c>
      <c r="D224" s="68">
        <v>0</v>
      </c>
    </row>
    <row r="225" spans="1:4" x14ac:dyDescent="0.2">
      <c r="A225" s="69">
        <v>224</v>
      </c>
      <c r="B225" s="70" t="s">
        <v>1817</v>
      </c>
      <c r="C225" s="70">
        <v>21.019531249999996</v>
      </c>
      <c r="D225" s="68">
        <v>0</v>
      </c>
    </row>
    <row r="226" spans="1:4" x14ac:dyDescent="0.2">
      <c r="A226" s="69">
        <v>225</v>
      </c>
      <c r="B226" s="70" t="s">
        <v>1818</v>
      </c>
      <c r="C226" s="70">
        <v>17.0244140625</v>
      </c>
      <c r="D226" s="68">
        <v>0</v>
      </c>
    </row>
    <row r="227" spans="1:4" x14ac:dyDescent="0.2">
      <c r="A227" s="69">
        <v>226</v>
      </c>
      <c r="B227" s="70" t="s">
        <v>1819</v>
      </c>
      <c r="C227" s="70">
        <v>21.2265625</v>
      </c>
      <c r="D227" s="68">
        <v>0</v>
      </c>
    </row>
    <row r="228" spans="1:4" x14ac:dyDescent="0.2">
      <c r="A228" s="69">
        <v>227</v>
      </c>
      <c r="B228" s="70" t="s">
        <v>1820</v>
      </c>
      <c r="C228" s="70">
        <v>17.8408203125</v>
      </c>
      <c r="D228" s="68">
        <v>0</v>
      </c>
    </row>
    <row r="229" spans="1:4" x14ac:dyDescent="0.2">
      <c r="A229" s="69">
        <v>228</v>
      </c>
      <c r="B229" s="70" t="s">
        <v>1821</v>
      </c>
      <c r="C229" s="70">
        <v>20.271484375</v>
      </c>
      <c r="D229" s="68">
        <v>0</v>
      </c>
    </row>
    <row r="230" spans="1:4" x14ac:dyDescent="0.2">
      <c r="A230" s="69">
        <v>229</v>
      </c>
      <c r="B230" s="70" t="s">
        <v>1149</v>
      </c>
      <c r="C230" s="70">
        <v>17.5146484375</v>
      </c>
      <c r="D230" s="68">
        <v>0</v>
      </c>
    </row>
    <row r="231" spans="1:4" x14ac:dyDescent="0.2">
      <c r="A231" s="69">
        <v>230</v>
      </c>
      <c r="B231" s="70" t="s">
        <v>1150</v>
      </c>
      <c r="C231" s="70">
        <v>18.97265625</v>
      </c>
      <c r="D231" s="68">
        <v>0</v>
      </c>
    </row>
    <row r="232" spans="1:4" x14ac:dyDescent="0.2">
      <c r="A232" s="69">
        <v>231</v>
      </c>
      <c r="B232" s="70" t="s">
        <v>1822</v>
      </c>
      <c r="C232" s="70">
        <v>18.00390625</v>
      </c>
      <c r="D232" s="68">
        <v>0</v>
      </c>
    </row>
    <row r="233" spans="1:4" x14ac:dyDescent="0.2">
      <c r="A233" s="69">
        <v>232</v>
      </c>
      <c r="B233" s="70" t="s">
        <v>1823</v>
      </c>
      <c r="C233" s="70">
        <v>20.4052734375</v>
      </c>
      <c r="D233" s="68">
        <v>0</v>
      </c>
    </row>
    <row r="234" spans="1:4" x14ac:dyDescent="0.2">
      <c r="A234" s="69">
        <v>233</v>
      </c>
      <c r="B234" s="70" t="s">
        <v>1153</v>
      </c>
      <c r="C234" s="70">
        <v>18.855468749999996</v>
      </c>
      <c r="D234" s="68">
        <v>0</v>
      </c>
    </row>
    <row r="235" spans="1:4" x14ac:dyDescent="0.2">
      <c r="A235" s="69">
        <v>234</v>
      </c>
      <c r="B235" s="70" t="s">
        <v>1824</v>
      </c>
      <c r="C235" s="70">
        <v>22.1025390625</v>
      </c>
      <c r="D235" s="68">
        <v>0</v>
      </c>
    </row>
    <row r="236" spans="1:4" x14ac:dyDescent="0.2">
      <c r="A236" s="69">
        <v>235</v>
      </c>
      <c r="B236" s="70" t="s">
        <v>1825</v>
      </c>
      <c r="C236" s="70">
        <v>21.1806640625</v>
      </c>
      <c r="D236" s="68">
        <v>0</v>
      </c>
    </row>
    <row r="237" spans="1:4" x14ac:dyDescent="0.2">
      <c r="A237" s="69">
        <v>236</v>
      </c>
      <c r="B237" s="70" t="s">
        <v>1826</v>
      </c>
      <c r="C237" s="70">
        <v>20.2099609375</v>
      </c>
      <c r="D237" s="68">
        <v>0</v>
      </c>
    </row>
    <row r="238" spans="1:4" x14ac:dyDescent="0.2">
      <c r="A238" s="69">
        <v>237</v>
      </c>
      <c r="B238" s="70" t="s">
        <v>1157</v>
      </c>
      <c r="C238" s="70">
        <v>18.75390625</v>
      </c>
      <c r="D238" s="68">
        <v>0</v>
      </c>
    </row>
    <row r="239" spans="1:4" x14ac:dyDescent="0.2">
      <c r="A239" s="69">
        <v>238</v>
      </c>
      <c r="B239" s="70" t="s">
        <v>1827</v>
      </c>
      <c r="C239" s="70">
        <v>21.671874999999996</v>
      </c>
      <c r="D239" s="68">
        <v>0</v>
      </c>
    </row>
    <row r="240" spans="1:4" x14ac:dyDescent="0.2">
      <c r="A240" s="69">
        <v>239</v>
      </c>
      <c r="B240" s="70" t="s">
        <v>1828</v>
      </c>
      <c r="C240" s="70">
        <v>18.081054687499996</v>
      </c>
      <c r="D240" s="68">
        <v>0</v>
      </c>
    </row>
    <row r="241" spans="1:4" x14ac:dyDescent="0.2">
      <c r="A241" s="69">
        <v>240</v>
      </c>
      <c r="B241" s="70" t="s">
        <v>1829</v>
      </c>
      <c r="C241" s="70">
        <v>20.3916015625</v>
      </c>
      <c r="D241" s="68">
        <v>0</v>
      </c>
    </row>
    <row r="242" spans="1:4" x14ac:dyDescent="0.2">
      <c r="A242" s="69">
        <v>241</v>
      </c>
      <c r="B242" s="70" t="s">
        <v>1830</v>
      </c>
      <c r="C242" s="70">
        <v>19.6943359375</v>
      </c>
      <c r="D242" s="68">
        <v>0</v>
      </c>
    </row>
    <row r="243" spans="1:4" x14ac:dyDescent="0.2">
      <c r="A243" s="69">
        <v>242</v>
      </c>
      <c r="B243" s="70" t="s">
        <v>1831</v>
      </c>
      <c r="C243" s="70">
        <v>22.408203125000004</v>
      </c>
      <c r="D243" s="68">
        <v>0</v>
      </c>
    </row>
    <row r="244" spans="1:4" x14ac:dyDescent="0.2">
      <c r="A244" s="69">
        <v>243</v>
      </c>
      <c r="B244" s="70" t="s">
        <v>1832</v>
      </c>
      <c r="C244" s="70">
        <v>21.5869140625</v>
      </c>
      <c r="D244" s="68">
        <v>0</v>
      </c>
    </row>
    <row r="245" spans="1:4" x14ac:dyDescent="0.2">
      <c r="A245" s="69">
        <v>244</v>
      </c>
      <c r="B245" s="70" t="s">
        <v>1833</v>
      </c>
      <c r="C245" s="70">
        <v>20.1650390625</v>
      </c>
      <c r="D245" s="68">
        <v>0</v>
      </c>
    </row>
    <row r="246" spans="1:4" x14ac:dyDescent="0.2">
      <c r="A246" s="69">
        <v>245</v>
      </c>
      <c r="B246" s="70" t="s">
        <v>1834</v>
      </c>
      <c r="C246" s="70">
        <v>17.55859375</v>
      </c>
      <c r="D246" s="68">
        <v>0</v>
      </c>
    </row>
    <row r="247" spans="1:4" x14ac:dyDescent="0.2">
      <c r="A247" s="69">
        <v>246</v>
      </c>
      <c r="B247" s="70" t="s">
        <v>1166</v>
      </c>
      <c r="C247" s="70">
        <v>20.0576171875</v>
      </c>
      <c r="D247" s="68">
        <v>0</v>
      </c>
    </row>
    <row r="248" spans="1:4" x14ac:dyDescent="0.2">
      <c r="A248" s="69">
        <v>247</v>
      </c>
      <c r="B248" s="70" t="s">
        <v>1835</v>
      </c>
      <c r="C248" s="70">
        <v>21.267578125000004</v>
      </c>
      <c r="D248" s="68">
        <v>0</v>
      </c>
    </row>
    <row r="249" spans="1:4" x14ac:dyDescent="0.2">
      <c r="A249" s="69">
        <v>248</v>
      </c>
      <c r="B249" s="70" t="s">
        <v>1836</v>
      </c>
      <c r="C249" s="70">
        <v>20.96484375</v>
      </c>
      <c r="D249" s="68">
        <v>0</v>
      </c>
    </row>
    <row r="250" spans="1:4" x14ac:dyDescent="0.2">
      <c r="A250" s="69">
        <v>249</v>
      </c>
      <c r="B250" s="70" t="s">
        <v>1169</v>
      </c>
      <c r="C250" s="70">
        <v>18.4052734375</v>
      </c>
      <c r="D250" s="68">
        <v>0</v>
      </c>
    </row>
    <row r="251" spans="1:4" x14ac:dyDescent="0.2">
      <c r="A251" s="69">
        <v>250</v>
      </c>
      <c r="B251" s="70" t="s">
        <v>1170</v>
      </c>
      <c r="C251" s="70">
        <v>20.0556640625</v>
      </c>
      <c r="D251" s="68">
        <v>0</v>
      </c>
    </row>
    <row r="252" spans="1:4" x14ac:dyDescent="0.2">
      <c r="A252" s="69">
        <v>251</v>
      </c>
      <c r="B252" s="70" t="s">
        <v>1837</v>
      </c>
      <c r="C252" s="70">
        <v>21.225585937499996</v>
      </c>
      <c r="D252" s="68">
        <v>0</v>
      </c>
    </row>
    <row r="253" spans="1:4" x14ac:dyDescent="0.2">
      <c r="A253" s="69">
        <v>252</v>
      </c>
      <c r="B253" s="70" t="s">
        <v>1838</v>
      </c>
      <c r="C253" s="70">
        <v>21.2314453125</v>
      </c>
      <c r="D253" s="68">
        <v>0</v>
      </c>
    </row>
    <row r="254" spans="1:4" x14ac:dyDescent="0.2">
      <c r="A254" s="69">
        <v>253</v>
      </c>
      <c r="B254" s="70" t="s">
        <v>1839</v>
      </c>
      <c r="C254" s="70">
        <v>20.033203125</v>
      </c>
      <c r="D254" s="68">
        <v>0</v>
      </c>
    </row>
    <row r="255" spans="1:4" x14ac:dyDescent="0.2">
      <c r="A255" s="69">
        <v>254</v>
      </c>
      <c r="B255" s="70" t="s">
        <v>1840</v>
      </c>
      <c r="C255" s="70">
        <v>22.1083984375</v>
      </c>
      <c r="D255" s="68">
        <v>0</v>
      </c>
    </row>
    <row r="256" spans="1:4" x14ac:dyDescent="0.2">
      <c r="A256" s="69">
        <v>255</v>
      </c>
      <c r="B256" s="70" t="s">
        <v>1841</v>
      </c>
      <c r="C256" s="70">
        <v>17.6337890625</v>
      </c>
      <c r="D256" s="68">
        <v>0</v>
      </c>
    </row>
    <row r="257" spans="1:4" x14ac:dyDescent="0.2">
      <c r="A257" s="69">
        <v>256</v>
      </c>
      <c r="B257" s="70" t="s">
        <v>1842</v>
      </c>
      <c r="C257" s="70">
        <v>21.0029296875</v>
      </c>
      <c r="D257" s="68">
        <v>0</v>
      </c>
    </row>
    <row r="258" spans="1:4" x14ac:dyDescent="0.2">
      <c r="A258" s="69">
        <v>257</v>
      </c>
      <c r="B258" s="70" t="s">
        <v>1069</v>
      </c>
      <c r="C258" s="70">
        <v>20.9794921875</v>
      </c>
      <c r="D258" s="68">
        <v>0</v>
      </c>
    </row>
    <row r="259" spans="1:4" x14ac:dyDescent="0.2">
      <c r="A259" s="69">
        <v>258</v>
      </c>
      <c r="B259" s="70" t="s">
        <v>1843</v>
      </c>
      <c r="C259" s="70">
        <v>22.0283203125</v>
      </c>
      <c r="D259" s="68">
        <v>0</v>
      </c>
    </row>
    <row r="260" spans="1:4" x14ac:dyDescent="0.2">
      <c r="A260" s="69">
        <v>259</v>
      </c>
      <c r="B260" s="70" t="s">
        <v>1844</v>
      </c>
      <c r="C260" s="70">
        <v>20.724609375</v>
      </c>
      <c r="D260" s="68">
        <v>0</v>
      </c>
    </row>
    <row r="261" spans="1:4" x14ac:dyDescent="0.2">
      <c r="A261" s="69">
        <v>260</v>
      </c>
      <c r="B261" s="70" t="s">
        <v>1845</v>
      </c>
      <c r="C261" s="70">
        <v>18.005859375</v>
      </c>
      <c r="D261" s="68">
        <v>0</v>
      </c>
    </row>
    <row r="262" spans="1:4" x14ac:dyDescent="0.2">
      <c r="A262" s="69">
        <v>261</v>
      </c>
      <c r="B262" s="70" t="s">
        <v>1177</v>
      </c>
      <c r="C262" s="70">
        <v>18.5146484375</v>
      </c>
      <c r="D262" s="68">
        <v>0</v>
      </c>
    </row>
    <row r="263" spans="1:4" x14ac:dyDescent="0.2">
      <c r="A263" s="69">
        <v>262</v>
      </c>
      <c r="B263" s="70" t="s">
        <v>1178</v>
      </c>
      <c r="C263" s="70">
        <v>19.7861328125</v>
      </c>
      <c r="D263" s="68">
        <v>0</v>
      </c>
    </row>
    <row r="264" spans="1:4" x14ac:dyDescent="0.2">
      <c r="A264" s="69">
        <v>263</v>
      </c>
      <c r="B264" s="70" t="s">
        <v>1846</v>
      </c>
      <c r="C264" s="70">
        <v>21.2626953125</v>
      </c>
      <c r="D264" s="68">
        <v>0</v>
      </c>
    </row>
    <row r="265" spans="1:4" x14ac:dyDescent="0.2">
      <c r="A265" s="69">
        <v>264</v>
      </c>
      <c r="B265" s="70" t="s">
        <v>1847</v>
      </c>
      <c r="C265" s="70">
        <v>21.359374999999996</v>
      </c>
      <c r="D265" s="68">
        <v>0</v>
      </c>
    </row>
    <row r="266" spans="1:4" x14ac:dyDescent="0.2">
      <c r="A266" s="69">
        <v>265</v>
      </c>
      <c r="B266" s="70" t="s">
        <v>1848</v>
      </c>
      <c r="C266" s="70">
        <v>18.576171874999996</v>
      </c>
      <c r="D266" s="68">
        <v>0</v>
      </c>
    </row>
    <row r="267" spans="1:4" x14ac:dyDescent="0.2">
      <c r="A267" s="69">
        <v>266</v>
      </c>
      <c r="B267" s="70" t="s">
        <v>1182</v>
      </c>
      <c r="C267" s="70">
        <v>19.94921875</v>
      </c>
      <c r="D267" s="68">
        <v>0</v>
      </c>
    </row>
    <row r="268" spans="1:4" x14ac:dyDescent="0.2">
      <c r="A268" s="69">
        <v>267</v>
      </c>
      <c r="B268" s="70" t="s">
        <v>1849</v>
      </c>
      <c r="C268" s="70">
        <v>21.18359375</v>
      </c>
      <c r="D268" s="68">
        <v>0</v>
      </c>
    </row>
    <row r="269" spans="1:4" x14ac:dyDescent="0.2">
      <c r="A269" s="69">
        <v>268</v>
      </c>
      <c r="B269" s="70" t="s">
        <v>1850</v>
      </c>
      <c r="C269" s="70">
        <v>17.930664062499996</v>
      </c>
      <c r="D269" s="68">
        <v>0</v>
      </c>
    </row>
    <row r="270" spans="1:4" x14ac:dyDescent="0.2">
      <c r="A270" s="69">
        <v>269</v>
      </c>
      <c r="B270" s="70" t="s">
        <v>1851</v>
      </c>
      <c r="C270" s="70">
        <v>17.833984375</v>
      </c>
      <c r="D270" s="68">
        <v>0</v>
      </c>
    </row>
    <row r="271" spans="1:4" x14ac:dyDescent="0.2">
      <c r="A271" s="69">
        <v>270</v>
      </c>
      <c r="B271" s="70" t="s">
        <v>1852</v>
      </c>
      <c r="C271" s="70">
        <v>19.224609375</v>
      </c>
      <c r="D271" s="68">
        <v>0</v>
      </c>
    </row>
    <row r="272" spans="1:4" x14ac:dyDescent="0.2">
      <c r="A272" s="69">
        <v>271</v>
      </c>
      <c r="B272" s="70" t="s">
        <v>1853</v>
      </c>
      <c r="C272" s="70">
        <v>22.3125</v>
      </c>
      <c r="D272" s="68">
        <v>0</v>
      </c>
    </row>
    <row r="273" spans="1:4" x14ac:dyDescent="0.2">
      <c r="A273" s="69">
        <v>272</v>
      </c>
      <c r="B273" s="70" t="s">
        <v>1854</v>
      </c>
      <c r="C273" s="70">
        <v>18.013671875</v>
      </c>
      <c r="D273" s="68">
        <v>0</v>
      </c>
    </row>
    <row r="274" spans="1:4" x14ac:dyDescent="0.2">
      <c r="A274" s="69">
        <v>273</v>
      </c>
      <c r="B274" s="70" t="s">
        <v>1077</v>
      </c>
      <c r="C274" s="70">
        <v>20.6728515625</v>
      </c>
      <c r="D274" s="68">
        <v>0</v>
      </c>
    </row>
    <row r="275" spans="1:4" x14ac:dyDescent="0.2">
      <c r="A275" s="69">
        <v>274</v>
      </c>
      <c r="B275" s="70" t="s">
        <v>1078</v>
      </c>
      <c r="C275" s="70">
        <v>19.2412109375</v>
      </c>
      <c r="D275" s="68">
        <v>0</v>
      </c>
    </row>
    <row r="276" spans="1:4" x14ac:dyDescent="0.2">
      <c r="A276" s="69">
        <v>275</v>
      </c>
      <c r="B276" s="70" t="s">
        <v>1855</v>
      </c>
      <c r="C276" s="70">
        <v>21.341796875000004</v>
      </c>
      <c r="D276" s="68">
        <v>0</v>
      </c>
    </row>
    <row r="277" spans="1:4" x14ac:dyDescent="0.2">
      <c r="A277" s="69">
        <v>276</v>
      </c>
      <c r="B277" s="70" t="s">
        <v>1856</v>
      </c>
      <c r="C277" s="70">
        <v>19.1103515625</v>
      </c>
      <c r="D277" s="68">
        <v>0</v>
      </c>
    </row>
    <row r="278" spans="1:4" x14ac:dyDescent="0.2">
      <c r="A278" s="69">
        <v>277</v>
      </c>
      <c r="B278" s="70" t="s">
        <v>1857</v>
      </c>
      <c r="C278" s="70">
        <v>19.533203125</v>
      </c>
      <c r="D278" s="68">
        <v>0</v>
      </c>
    </row>
    <row r="279" spans="1:4" x14ac:dyDescent="0.2">
      <c r="A279" s="69">
        <v>278</v>
      </c>
      <c r="B279" s="70" t="s">
        <v>1858</v>
      </c>
      <c r="C279" s="70">
        <v>22.138671875</v>
      </c>
      <c r="D279" s="68">
        <v>0</v>
      </c>
    </row>
    <row r="280" spans="1:4" x14ac:dyDescent="0.2">
      <c r="A280" s="69">
        <v>279</v>
      </c>
      <c r="B280" s="70" t="s">
        <v>1859</v>
      </c>
      <c r="C280" s="70">
        <v>18.3857421875</v>
      </c>
      <c r="D280" s="68">
        <v>0</v>
      </c>
    </row>
    <row r="281" spans="1:4" x14ac:dyDescent="0.2">
      <c r="A281" s="69">
        <v>280</v>
      </c>
      <c r="B281" s="70" t="s">
        <v>1860</v>
      </c>
      <c r="C281" s="70">
        <v>18.6025390625</v>
      </c>
      <c r="D281" s="68">
        <v>0</v>
      </c>
    </row>
    <row r="282" spans="1:4" x14ac:dyDescent="0.2">
      <c r="A282" s="69">
        <v>281</v>
      </c>
      <c r="B282" s="70" t="s">
        <v>1861</v>
      </c>
      <c r="C282" s="70">
        <v>17.932617187500004</v>
      </c>
      <c r="D282" s="68">
        <v>0</v>
      </c>
    </row>
    <row r="283" spans="1:4" x14ac:dyDescent="0.2">
      <c r="A283" s="69">
        <v>282</v>
      </c>
      <c r="B283" s="70" t="s">
        <v>1862</v>
      </c>
      <c r="C283" s="70">
        <v>20.3603515625</v>
      </c>
      <c r="D283" s="68">
        <v>0</v>
      </c>
    </row>
    <row r="284" spans="1:4" x14ac:dyDescent="0.2">
      <c r="A284" s="69">
        <v>283</v>
      </c>
      <c r="B284" s="70" t="s">
        <v>1863</v>
      </c>
      <c r="C284" s="70">
        <v>21.470703125</v>
      </c>
      <c r="D284" s="68">
        <v>0</v>
      </c>
    </row>
    <row r="285" spans="1:4" x14ac:dyDescent="0.2">
      <c r="A285" s="69">
        <v>284</v>
      </c>
      <c r="B285" s="70" t="s">
        <v>1864</v>
      </c>
      <c r="C285" s="70">
        <v>20.7509765625</v>
      </c>
      <c r="D285" s="68">
        <v>0</v>
      </c>
    </row>
    <row r="286" spans="1:4" x14ac:dyDescent="0.2">
      <c r="A286" s="69">
        <v>285</v>
      </c>
      <c r="B286" s="70" t="s">
        <v>1089</v>
      </c>
      <c r="C286" s="70">
        <v>20.69140625</v>
      </c>
      <c r="D286" s="68">
        <v>0</v>
      </c>
    </row>
    <row r="287" spans="1:4" x14ac:dyDescent="0.2">
      <c r="A287" s="69">
        <v>286</v>
      </c>
      <c r="B287" s="70" t="s">
        <v>1090</v>
      </c>
      <c r="C287" s="70">
        <v>19.654296875000004</v>
      </c>
      <c r="D287" s="68">
        <v>0</v>
      </c>
    </row>
    <row r="288" spans="1:4" x14ac:dyDescent="0.2">
      <c r="A288" s="69">
        <v>287</v>
      </c>
      <c r="B288" s="70" t="s">
        <v>1865</v>
      </c>
      <c r="C288" s="70">
        <v>21.208984375</v>
      </c>
      <c r="D288" s="68">
        <v>0</v>
      </c>
    </row>
    <row r="289" spans="1:4" x14ac:dyDescent="0.2">
      <c r="A289" s="69">
        <v>288</v>
      </c>
      <c r="B289" s="70" t="s">
        <v>1866</v>
      </c>
      <c r="C289" s="70">
        <v>18.816406249999996</v>
      </c>
      <c r="D289" s="68">
        <v>0</v>
      </c>
    </row>
    <row r="290" spans="1:4" x14ac:dyDescent="0.2">
      <c r="A290" s="69">
        <v>289</v>
      </c>
      <c r="B290" s="70" t="s">
        <v>1867</v>
      </c>
      <c r="C290" s="70">
        <v>17.4736328125</v>
      </c>
      <c r="D290" s="68">
        <v>0</v>
      </c>
    </row>
    <row r="291" spans="1:4" x14ac:dyDescent="0.2">
      <c r="A291" s="69">
        <v>290</v>
      </c>
      <c r="B291" s="70" t="s">
        <v>1868</v>
      </c>
      <c r="C291" s="70">
        <v>18.859374999999996</v>
      </c>
      <c r="D291" s="68">
        <v>0</v>
      </c>
    </row>
    <row r="292" spans="1:4" x14ac:dyDescent="0.2">
      <c r="A292" s="69">
        <v>291</v>
      </c>
      <c r="B292" s="70" t="s">
        <v>1869</v>
      </c>
      <c r="C292" s="70">
        <v>22.494140625000004</v>
      </c>
      <c r="D292" s="68">
        <v>0</v>
      </c>
    </row>
    <row r="293" spans="1:4" x14ac:dyDescent="0.2">
      <c r="A293" s="69">
        <v>292</v>
      </c>
      <c r="B293" s="70" t="s">
        <v>1870</v>
      </c>
      <c r="C293" s="70">
        <v>19.649414062499996</v>
      </c>
      <c r="D293" s="68">
        <v>0</v>
      </c>
    </row>
    <row r="294" spans="1:4" x14ac:dyDescent="0.2">
      <c r="A294" s="69">
        <v>293</v>
      </c>
      <c r="B294" s="70" t="s">
        <v>1871</v>
      </c>
      <c r="C294" s="70">
        <v>20.669921875</v>
      </c>
      <c r="D294" s="68">
        <v>0</v>
      </c>
    </row>
    <row r="295" spans="1:4" x14ac:dyDescent="0.2">
      <c r="A295" s="69">
        <v>294</v>
      </c>
      <c r="B295" s="70" t="s">
        <v>1872</v>
      </c>
      <c r="C295" s="70">
        <v>18.064453124999996</v>
      </c>
      <c r="D295" s="68">
        <v>0</v>
      </c>
    </row>
    <row r="296" spans="1:4" x14ac:dyDescent="0.2">
      <c r="A296" s="69">
        <v>295</v>
      </c>
      <c r="B296" s="70" t="s">
        <v>1873</v>
      </c>
      <c r="C296" s="70">
        <v>8.9482421874999982</v>
      </c>
      <c r="D296" s="68">
        <v>0</v>
      </c>
    </row>
    <row r="297" spans="1:4" x14ac:dyDescent="0.2">
      <c r="A297" s="69">
        <v>296</v>
      </c>
      <c r="B297" s="70" t="s">
        <v>1874</v>
      </c>
      <c r="C297" s="70">
        <v>8.533203125</v>
      </c>
      <c r="D297" s="68">
        <v>0</v>
      </c>
    </row>
    <row r="298" spans="1:4" x14ac:dyDescent="0.2">
      <c r="A298" s="69">
        <v>297</v>
      </c>
      <c r="B298" s="70" t="s">
        <v>1875</v>
      </c>
      <c r="C298" s="70">
        <v>20.58984375</v>
      </c>
      <c r="D298" s="68">
        <v>0</v>
      </c>
    </row>
    <row r="299" spans="1:4" x14ac:dyDescent="0.2">
      <c r="A299" s="69">
        <v>298</v>
      </c>
      <c r="B299" s="70" t="s">
        <v>1876</v>
      </c>
      <c r="C299" s="70">
        <v>19.7763671875</v>
      </c>
      <c r="D299" s="68">
        <v>0</v>
      </c>
    </row>
    <row r="300" spans="1:4" x14ac:dyDescent="0.2">
      <c r="A300" s="69">
        <v>299</v>
      </c>
      <c r="B300" s="70" t="s">
        <v>1877</v>
      </c>
      <c r="C300" s="70">
        <v>9.28515625</v>
      </c>
      <c r="D300" s="68">
        <v>0</v>
      </c>
    </row>
    <row r="301" spans="1:4" x14ac:dyDescent="0.2">
      <c r="A301" s="69">
        <v>300</v>
      </c>
      <c r="B301" s="70" t="s">
        <v>1878</v>
      </c>
      <c r="C301" s="70">
        <v>8.2900390624999982</v>
      </c>
      <c r="D301" s="68">
        <v>0</v>
      </c>
    </row>
    <row r="302" spans="1:4" x14ac:dyDescent="0.2">
      <c r="A302" s="69">
        <v>301</v>
      </c>
      <c r="B302" s="70" t="s">
        <v>1879</v>
      </c>
      <c r="C302" s="70">
        <v>15.597656249999998</v>
      </c>
      <c r="D302" s="68">
        <v>0</v>
      </c>
    </row>
    <row r="303" spans="1:4" x14ac:dyDescent="0.2">
      <c r="A303" s="69">
        <v>302</v>
      </c>
      <c r="B303" s="70" t="s">
        <v>1880</v>
      </c>
      <c r="C303" s="70">
        <v>15.597656249999998</v>
      </c>
      <c r="D303" s="68">
        <v>0</v>
      </c>
    </row>
    <row r="304" spans="1:4" x14ac:dyDescent="0.2">
      <c r="A304" s="69">
        <v>303</v>
      </c>
      <c r="B304" s="70" t="s">
        <v>1396</v>
      </c>
      <c r="C304" s="70">
        <v>15.597656249999998</v>
      </c>
      <c r="D304" s="68">
        <v>0</v>
      </c>
    </row>
    <row r="305" spans="1:4" x14ac:dyDescent="0.2">
      <c r="A305" s="69">
        <v>304</v>
      </c>
      <c r="B305" s="70" t="s">
        <v>1397</v>
      </c>
      <c r="C305" s="70">
        <v>15.597656249999998</v>
      </c>
      <c r="D305" s="68">
        <v>0</v>
      </c>
    </row>
    <row r="306" spans="1:4" x14ac:dyDescent="0.2">
      <c r="A306" s="69">
        <v>305</v>
      </c>
      <c r="B306" s="70" t="s">
        <v>1881</v>
      </c>
      <c r="C306" s="70">
        <v>20.740234374999996</v>
      </c>
      <c r="D306" s="68">
        <v>0</v>
      </c>
    </row>
    <row r="307" spans="1:4" x14ac:dyDescent="0.2">
      <c r="A307" s="69">
        <v>306</v>
      </c>
      <c r="B307" s="70" t="s">
        <v>1315</v>
      </c>
      <c r="C307" s="70">
        <v>19.5009765625</v>
      </c>
      <c r="D307" s="68">
        <v>0</v>
      </c>
    </row>
    <row r="308" spans="1:4" x14ac:dyDescent="0.2">
      <c r="A308" s="69">
        <v>307</v>
      </c>
      <c r="B308" s="70" t="s">
        <v>1882</v>
      </c>
      <c r="C308" s="70">
        <v>9.2158203124999982</v>
      </c>
      <c r="D308" s="68">
        <v>0</v>
      </c>
    </row>
    <row r="309" spans="1:4" x14ac:dyDescent="0.2">
      <c r="A309" s="69">
        <v>308</v>
      </c>
      <c r="B309" s="70" t="s">
        <v>293</v>
      </c>
      <c r="C309" s="70">
        <v>8.2451171874999982</v>
      </c>
      <c r="D309" s="68">
        <v>0</v>
      </c>
    </row>
    <row r="310" spans="1:4" x14ac:dyDescent="0.2">
      <c r="A310" s="69">
        <v>309</v>
      </c>
      <c r="B310" s="70" t="s">
        <v>1883</v>
      </c>
      <c r="C310" s="70">
        <v>20.4326171875</v>
      </c>
      <c r="D310" s="68">
        <v>0</v>
      </c>
    </row>
    <row r="311" spans="1:4" x14ac:dyDescent="0.2">
      <c r="A311" s="69">
        <v>310</v>
      </c>
      <c r="B311" s="70" t="s">
        <v>1884</v>
      </c>
      <c r="C311" s="70">
        <v>17.837890625</v>
      </c>
      <c r="D311" s="68">
        <v>0</v>
      </c>
    </row>
    <row r="312" spans="1:4" x14ac:dyDescent="0.2">
      <c r="A312" s="69">
        <v>311</v>
      </c>
      <c r="B312" s="70" t="s">
        <v>1885</v>
      </c>
      <c r="C312" s="70">
        <v>9.40625</v>
      </c>
      <c r="D312" s="68">
        <v>0</v>
      </c>
    </row>
    <row r="313" spans="1:4" x14ac:dyDescent="0.2">
      <c r="A313" s="69">
        <v>312</v>
      </c>
      <c r="B313" s="70" t="s">
        <v>1320</v>
      </c>
      <c r="C313" s="70">
        <v>8.1904296874999982</v>
      </c>
      <c r="D313" s="68">
        <v>0</v>
      </c>
    </row>
    <row r="314" spans="1:4" x14ac:dyDescent="0.2">
      <c r="A314" s="69">
        <v>313</v>
      </c>
      <c r="B314" s="70" t="s">
        <v>1886</v>
      </c>
      <c r="C314" s="70">
        <v>20.650390625</v>
      </c>
      <c r="D314" s="68">
        <v>0</v>
      </c>
    </row>
    <row r="315" spans="1:4" x14ac:dyDescent="0.2">
      <c r="A315" s="69">
        <v>314</v>
      </c>
      <c r="B315" s="70" t="s">
        <v>1322</v>
      </c>
      <c r="C315" s="70">
        <v>18.126953125</v>
      </c>
      <c r="D315" s="68">
        <v>0</v>
      </c>
    </row>
    <row r="316" spans="1:4" x14ac:dyDescent="0.2">
      <c r="A316" s="69">
        <v>315</v>
      </c>
      <c r="B316" s="70" t="s">
        <v>1887</v>
      </c>
      <c r="C316" s="70">
        <v>9.5390624999999982</v>
      </c>
      <c r="D316" s="68">
        <v>0</v>
      </c>
    </row>
    <row r="317" spans="1:4" x14ac:dyDescent="0.2">
      <c r="A317" s="69">
        <v>316</v>
      </c>
      <c r="B317" s="70" t="s">
        <v>1324</v>
      </c>
      <c r="C317" s="70">
        <v>8.3623046874999964</v>
      </c>
      <c r="D317" s="68">
        <v>0</v>
      </c>
    </row>
    <row r="318" spans="1:4" x14ac:dyDescent="0.2">
      <c r="A318" s="69">
        <v>317</v>
      </c>
      <c r="B318" s="70" t="s">
        <v>1888</v>
      </c>
      <c r="C318" s="70">
        <v>20.6181640625</v>
      </c>
      <c r="D318" s="68">
        <v>0</v>
      </c>
    </row>
    <row r="319" spans="1:4" x14ac:dyDescent="0.2">
      <c r="A319" s="69">
        <v>318</v>
      </c>
      <c r="B319" s="70" t="s">
        <v>1329</v>
      </c>
      <c r="C319" s="70">
        <v>18.8056640625</v>
      </c>
      <c r="D319" s="68">
        <v>0</v>
      </c>
    </row>
    <row r="320" spans="1:4" x14ac:dyDescent="0.2">
      <c r="A320" s="69">
        <v>319</v>
      </c>
      <c r="B320" s="70" t="s">
        <v>1889</v>
      </c>
      <c r="C320" s="70">
        <v>9.7978515625</v>
      </c>
      <c r="D320" s="68">
        <v>0</v>
      </c>
    </row>
    <row r="321" spans="1:4" x14ac:dyDescent="0.2">
      <c r="A321" s="69">
        <v>320</v>
      </c>
      <c r="B321" s="70" t="s">
        <v>1890</v>
      </c>
      <c r="C321" s="70">
        <v>8.5507812499999964</v>
      </c>
      <c r="D321" s="68">
        <v>0</v>
      </c>
    </row>
    <row r="324" spans="1:4" x14ac:dyDescent="0.2">
      <c r="A324" s="69" t="s">
        <v>180</v>
      </c>
      <c r="C324" s="70">
        <f>MAX(C2:C321)</f>
        <v>23.0302734375</v>
      </c>
      <c r="D324" s="68">
        <f>MAX(D2:D321)</f>
        <v>0</v>
      </c>
    </row>
    <row r="325" spans="1:4" x14ac:dyDescent="0.2">
      <c r="A325" s="69" t="s">
        <v>179</v>
      </c>
      <c r="C325" s="70">
        <f>MIN(C2:C321)</f>
        <v>8.1650390624999982</v>
      </c>
      <c r="D325" s="68">
        <f>MIN(D2:D321)</f>
        <v>0</v>
      </c>
    </row>
    <row r="326" spans="1:4" x14ac:dyDescent="0.2">
      <c r="A326" s="69" t="s">
        <v>1891</v>
      </c>
      <c r="C326" s="70">
        <f>C324-C325</f>
        <v>14.865234375000002</v>
      </c>
      <c r="D326" s="68">
        <f>D324-D325</f>
        <v>0</v>
      </c>
    </row>
    <row r="327" spans="1:4" x14ac:dyDescent="0.2">
      <c r="A327" s="69" t="s">
        <v>1892</v>
      </c>
      <c r="C327" s="70">
        <f>AVERAGE(C2:C321)</f>
        <v>16.740060424804689</v>
      </c>
      <c r="D327" s="68">
        <f>AVERAGE(D2:D321)</f>
        <v>0</v>
      </c>
    </row>
    <row r="328" spans="1:4" x14ac:dyDescent="0.2">
      <c r="A328" s="69" t="s">
        <v>1893</v>
      </c>
      <c r="C328" s="70">
        <f>(C324-C325)/2+C325</f>
        <v>15.59765625</v>
      </c>
      <c r="D328" s="68">
        <f>(D324-D325)/2+D325</f>
        <v>0</v>
      </c>
    </row>
  </sheetData>
  <sortState ref="A2:D321">
    <sortCondition ref="A2"/>
  </sortState>
  <pageMargins left="0.7" right="0.7" top="0.75" bottom="0.75" header="0.3" footer="0.3"/>
  <pageSetup orientation="portrait" horizontalDpi="200" verticalDpi="200" copies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E8"/>
  <sheetViews>
    <sheetView tabSelected="1" zoomScale="98" zoomScaleNormal="98" workbookViewId="0">
      <selection activeCell="B22" sqref="B22"/>
    </sheetView>
  </sheetViews>
  <sheetFormatPr defaultRowHeight="12.75" x14ac:dyDescent="0.2"/>
  <cols>
    <col min="1" max="1" width="10.140625" bestFit="1" customWidth="1"/>
  </cols>
  <sheetData>
    <row r="2" spans="1:5" x14ac:dyDescent="0.2">
      <c r="B2" s="14" t="s">
        <v>809</v>
      </c>
      <c r="C2" s="14" t="s">
        <v>1050</v>
      </c>
      <c r="D2" s="14" t="s">
        <v>1051</v>
      </c>
      <c r="E2" s="14" t="s">
        <v>1052</v>
      </c>
    </row>
    <row r="4" spans="1:5" x14ac:dyDescent="0.2">
      <c r="A4" t="s">
        <v>810</v>
      </c>
      <c r="B4">
        <v>-2.6051441303869488E-9</v>
      </c>
      <c r="C4" s="44">
        <v>-2.171164955462899E-9</v>
      </c>
      <c r="D4" s="44">
        <v>-2.6619475088654235E-9</v>
      </c>
      <c r="E4" s="44">
        <v>-2.1375796846857956E-9</v>
      </c>
    </row>
    <row r="5" spans="1:5" x14ac:dyDescent="0.2">
      <c r="A5" t="s">
        <v>811</v>
      </c>
      <c r="B5">
        <v>-5.1201019706689058E-9</v>
      </c>
      <c r="C5" s="44">
        <v>-3.8203231950609063E-9</v>
      </c>
      <c r="D5" s="44">
        <v>-6.9710453221876827E-9</v>
      </c>
      <c r="E5" s="44">
        <v>-6.2949735806349054E-9</v>
      </c>
    </row>
    <row r="7" spans="1:5" x14ac:dyDescent="0.2">
      <c r="A7" t="s">
        <v>1439</v>
      </c>
      <c r="B7">
        <v>1.2910520434379578E-9</v>
      </c>
      <c r="C7">
        <v>1.3648010492324829E-9</v>
      </c>
      <c r="D7">
        <v>1.3217156529426575E-9</v>
      </c>
      <c r="E7">
        <v>1.3539869785308838E-9</v>
      </c>
    </row>
    <row r="8" spans="1:5" x14ac:dyDescent="0.2">
      <c r="A8" t="s">
        <v>1440</v>
      </c>
      <c r="B8">
        <v>1.2356275916099549E-9</v>
      </c>
      <c r="C8">
        <v>1.5928419828414917E-9</v>
      </c>
      <c r="D8">
        <v>1.7022901177406313E-9</v>
      </c>
      <c r="E8">
        <v>1.268171787261963E-9</v>
      </c>
    </row>
  </sheetData>
  <pageMargins left="0.7" right="0.7" top="0.75" bottom="0.75" header="0.3" footer="0.3"/>
  <pageSetup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32</vt:i4>
      </vt:variant>
    </vt:vector>
  </HeadingPairs>
  <TitlesOfParts>
    <vt:vector size="65" baseType="lpstr">
      <vt:lpstr>-Home-</vt:lpstr>
      <vt:lpstr>ChangeLog</vt:lpstr>
      <vt:lpstr>Pinmap_x4</vt:lpstr>
      <vt:lpstr>Chanmap_x4</vt:lpstr>
      <vt:lpstr>Global Specs</vt:lpstr>
      <vt:lpstr>DC_Specs</vt:lpstr>
      <vt:lpstr>Levels</vt:lpstr>
      <vt:lpstr>Levels_Scan</vt:lpstr>
      <vt:lpstr>Levels_Scan_debug</vt:lpstr>
      <vt:lpstr>Level_Conti_Isink</vt:lpstr>
      <vt:lpstr>Level_Conti_Isrc</vt:lpstr>
      <vt:lpstr>TSB_SRAM_100ns</vt:lpstr>
      <vt:lpstr>TSB_SRAM_20ns</vt:lpstr>
      <vt:lpstr>TSB_GPIO_Slow</vt:lpstr>
      <vt:lpstr>TSB_ChainTest_80ns</vt:lpstr>
      <vt:lpstr>TSB_ChainTest_50ns</vt:lpstr>
      <vt:lpstr>TSB_COMP2_trans</vt:lpstr>
      <vt:lpstr>TSB_COMP2_stuck</vt:lpstr>
      <vt:lpstr>TSB_COMP_trans</vt:lpstr>
      <vt:lpstr>TSB_COMP_stuck</vt:lpstr>
      <vt:lpstr>TSB_Bscan</vt:lpstr>
      <vt:lpstr>TSB_Scan</vt:lpstr>
      <vt:lpstr>TSB_pat_basic</vt:lpstr>
      <vt:lpstr>TSB_Conti</vt:lpstr>
      <vt:lpstr>TSB_20ns</vt:lpstr>
      <vt:lpstr>TSB</vt:lpstr>
      <vt:lpstr>DevChar</vt:lpstr>
      <vt:lpstr>Test Instances</vt:lpstr>
      <vt:lpstr>Flow Table</vt:lpstr>
      <vt:lpstr>Job List</vt:lpstr>
      <vt:lpstr>VbiasDAC_Isweep</vt:lpstr>
      <vt:lpstr>RTD Data</vt:lpstr>
      <vt:lpstr>VbiasDAC_OC</vt:lpstr>
      <vt:lpstr>_avee</vt:lpstr>
      <vt:lpstr>_cont_Isink</vt:lpstr>
      <vt:lpstr>_cont_Isrc</vt:lpstr>
      <vt:lpstr>_gpio_Isink</vt:lpstr>
      <vt:lpstr>_gpio_Isrc</vt:lpstr>
      <vt:lpstr>_Iph_default</vt:lpstr>
      <vt:lpstr>_irq_voh</vt:lpstr>
      <vt:lpstr>_irq_vol</vt:lpstr>
      <vt:lpstr>_irqout_Isink</vt:lpstr>
      <vt:lpstr>_irqout_Isrc</vt:lpstr>
      <vt:lpstr>_miso_Isink</vt:lpstr>
      <vt:lpstr>_miso_Isrc</vt:lpstr>
      <vt:lpstr>_tdo_Isink</vt:lpstr>
      <vt:lpstr>_tdo_Isrc</vt:lpstr>
      <vt:lpstr>_Tpr_default</vt:lpstr>
      <vt:lpstr>_Vch_default</vt:lpstr>
      <vt:lpstr>_Vcl_default</vt:lpstr>
      <vt:lpstr>_vdd10</vt:lpstr>
      <vt:lpstr>_vdd18io</vt:lpstr>
      <vt:lpstr>_Vfph_default</vt:lpstr>
      <vt:lpstr>_vih_input</vt:lpstr>
      <vt:lpstr>_vih_pif</vt:lpstr>
      <vt:lpstr>_vil_input</vt:lpstr>
      <vt:lpstr>_vil_pif</vt:lpstr>
      <vt:lpstr>_voh_miso</vt:lpstr>
      <vt:lpstr>_voh_other</vt:lpstr>
      <vt:lpstr>_voh_tdo</vt:lpstr>
      <vt:lpstr>_vol_miso</vt:lpstr>
      <vt:lpstr>_vol_other</vt:lpstr>
      <vt:lpstr>_vol_tdo</vt:lpstr>
      <vt:lpstr>_Vph_default</vt:lpstr>
      <vt:lpstr>_vqps</vt:lpstr>
    </vt:vector>
  </TitlesOfParts>
  <Company>Teradyne,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Proskauer</dc:creator>
  <cp:lastModifiedBy>Teradyne</cp:lastModifiedBy>
  <dcterms:created xsi:type="dcterms:W3CDTF">1997-10-27T17:44:02Z</dcterms:created>
  <dcterms:modified xsi:type="dcterms:W3CDTF">2021-12-28T15:36:01Z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rJob">
    <vt:lpwstr>ROYL_X4_PROD_RT</vt:lpwstr>
  </property>
  <property fmtid="{D5CDD505-2E9C-101B-9397-08002B2CF9AE}" pid="3" name="terPart">
    <vt:lpwstr/>
  </property>
  <property fmtid="{D5CDD505-2E9C-101B-9397-08002B2CF9AE}" pid="4" name="terEnv">
    <vt:lpwstr/>
  </property>
  <property fmtid="{D5CDD505-2E9C-101B-9397-08002B2CF9AE}" pid="5" name="terTI">
    <vt:lpwstr>Func_eFuse_PostTest</vt:lpwstr>
  </property>
  <property fmtid="{D5CDD505-2E9C-101B-9397-08002B2CF9AE}" pid="6" name="terAC">
    <vt:lpwstr/>
  </property>
  <property fmtid="{D5CDD505-2E9C-101B-9397-08002B2CF9AE}" pid="7" name="terDC">
    <vt:lpwstr>Functional.Typical</vt:lpwstr>
  </property>
  <property fmtid="{D5CDD505-2E9C-101B-9397-08002B2CF9AE}" pid="8" name="terChanMap">
    <vt:lpwstr>Chanmap_x4</vt:lpwstr>
  </property>
</Properties>
</file>