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7570e0cb6b73d/Documents/MAY PROJECT FINANCIAL MODELLING/"/>
    </mc:Choice>
  </mc:AlternateContent>
  <xr:revisionPtr revIDLastSave="5" documentId="8_{B7AB72E7-AD42-446D-8128-A3BE84D788AE}" xr6:coauthVersionLast="47" xr6:coauthVersionMax="47" xr10:uidLastSave="{FC7653F0-AFAF-4E2A-88DB-5078431F5D54}"/>
  <bookViews>
    <workbookView xWindow="-108" yWindow="-108" windowWidth="23256" windowHeight="12456" activeTab="1" xr2:uid="{7861FECF-5796-42C2-B895-448857D01FBF}"/>
  </bookViews>
  <sheets>
    <sheet name="BASE VALUATION" sheetId="1" r:id="rId1"/>
    <sheet name="3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6" i="2" l="1"/>
  <c r="H216" i="2"/>
  <c r="G216" i="2"/>
  <c r="F216" i="2"/>
  <c r="E216" i="2"/>
  <c r="D216" i="2"/>
  <c r="C216" i="2"/>
  <c r="B216" i="2"/>
  <c r="L212" i="2"/>
  <c r="J212" i="2"/>
  <c r="I212" i="2"/>
  <c r="H212" i="2"/>
  <c r="G212" i="2"/>
  <c r="F212" i="2"/>
  <c r="E212" i="2"/>
  <c r="D212" i="2"/>
  <c r="C212" i="2"/>
  <c r="B212" i="2"/>
  <c r="B211" i="2"/>
  <c r="J209" i="2"/>
  <c r="I209" i="2"/>
  <c r="H209" i="2"/>
  <c r="G209" i="2"/>
  <c r="F209" i="2"/>
  <c r="E209" i="2"/>
  <c r="D209" i="2"/>
  <c r="C209" i="2"/>
  <c r="B209" i="2"/>
  <c r="I205" i="2"/>
  <c r="K204" i="2"/>
  <c r="L201" i="2" s="1"/>
  <c r="J204" i="2"/>
  <c r="I204" i="2"/>
  <c r="H204" i="2"/>
  <c r="G204" i="2"/>
  <c r="F204" i="2"/>
  <c r="E204" i="2"/>
  <c r="D204" i="2"/>
  <c r="C204" i="2"/>
  <c r="B204" i="2"/>
  <c r="P200" i="2"/>
  <c r="M200" i="2"/>
  <c r="C198" i="2"/>
  <c r="P196" i="2"/>
  <c r="O196" i="2"/>
  <c r="N196" i="2"/>
  <c r="M196" i="2"/>
  <c r="L196" i="2"/>
  <c r="K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D196" i="2" s="1"/>
  <c r="D198" i="2" s="1"/>
  <c r="C195" i="2"/>
  <c r="C196" i="2" s="1"/>
  <c r="C205" i="2" s="1"/>
  <c r="B195" i="2"/>
  <c r="B196" i="2" s="1"/>
  <c r="J194" i="2"/>
  <c r="J196" i="2" s="1"/>
  <c r="I194" i="2"/>
  <c r="I196" i="2" s="1"/>
  <c r="H194" i="2"/>
  <c r="G194" i="2"/>
  <c r="F194" i="2"/>
  <c r="E194" i="2"/>
  <c r="D194" i="2"/>
  <c r="C194" i="2"/>
  <c r="B194" i="2"/>
  <c r="I188" i="2"/>
  <c r="H188" i="2"/>
  <c r="J187" i="2"/>
  <c r="E186" i="2"/>
  <c r="F185" i="2"/>
  <c r="E185" i="2"/>
  <c r="I184" i="2"/>
  <c r="H184" i="2"/>
  <c r="G184" i="2"/>
  <c r="B184" i="2"/>
  <c r="F183" i="2"/>
  <c r="E183" i="2"/>
  <c r="F180" i="2"/>
  <c r="E180" i="2"/>
  <c r="B180" i="2"/>
  <c r="F179" i="2"/>
  <c r="E179" i="2"/>
  <c r="B179" i="2"/>
  <c r="J178" i="2"/>
  <c r="F178" i="2"/>
  <c r="E178" i="2"/>
  <c r="I177" i="2"/>
  <c r="H177" i="2"/>
  <c r="E177" i="2"/>
  <c r="F176" i="2"/>
  <c r="E176" i="2"/>
  <c r="B176" i="2"/>
  <c r="I175" i="2"/>
  <c r="H175" i="2"/>
  <c r="J171" i="2"/>
  <c r="J183" i="2" s="1"/>
  <c r="I171" i="2"/>
  <c r="I179" i="2" s="1"/>
  <c r="H171" i="2"/>
  <c r="H179" i="2" s="1"/>
  <c r="G171" i="2"/>
  <c r="F171" i="2"/>
  <c r="E171" i="2"/>
  <c r="B171" i="2"/>
  <c r="B177" i="2" s="1"/>
  <c r="J169" i="2"/>
  <c r="J188" i="2" s="1"/>
  <c r="I169" i="2"/>
  <c r="H169" i="2"/>
  <c r="G169" i="2"/>
  <c r="F169" i="2"/>
  <c r="F188" i="2" s="1"/>
  <c r="E169" i="2"/>
  <c r="E188" i="2" s="1"/>
  <c r="D169" i="2"/>
  <c r="C169" i="2"/>
  <c r="B169" i="2"/>
  <c r="J168" i="2"/>
  <c r="I168" i="2"/>
  <c r="I187" i="2" s="1"/>
  <c r="H168" i="2"/>
  <c r="H187" i="2" s="1"/>
  <c r="G168" i="2"/>
  <c r="G187" i="2" s="1"/>
  <c r="F168" i="2"/>
  <c r="F187" i="2" s="1"/>
  <c r="E168" i="2"/>
  <c r="E187" i="2" s="1"/>
  <c r="D168" i="2"/>
  <c r="C168" i="2"/>
  <c r="B168" i="2"/>
  <c r="J167" i="2"/>
  <c r="J186" i="2" s="1"/>
  <c r="I167" i="2"/>
  <c r="I186" i="2" s="1"/>
  <c r="H167" i="2"/>
  <c r="H186" i="2" s="1"/>
  <c r="G167" i="2"/>
  <c r="G186" i="2" s="1"/>
  <c r="F167" i="2"/>
  <c r="F186" i="2" s="1"/>
  <c r="E167" i="2"/>
  <c r="D167" i="2"/>
  <c r="C167" i="2"/>
  <c r="B167" i="2"/>
  <c r="J166" i="2"/>
  <c r="J185" i="2" s="1"/>
  <c r="I166" i="2"/>
  <c r="I185" i="2" s="1"/>
  <c r="H166" i="2"/>
  <c r="H185" i="2" s="1"/>
  <c r="G166" i="2"/>
  <c r="G185" i="2" s="1"/>
  <c r="F166" i="2"/>
  <c r="E166" i="2"/>
  <c r="D166" i="2"/>
  <c r="C166" i="2"/>
  <c r="B166" i="2"/>
  <c r="B185" i="2" s="1"/>
  <c r="J165" i="2"/>
  <c r="J184" i="2" s="1"/>
  <c r="F165" i="2"/>
  <c r="F184" i="2" s="1"/>
  <c r="E165" i="2"/>
  <c r="E184" i="2" s="1"/>
  <c r="D165" i="2"/>
  <c r="C165" i="2"/>
  <c r="B165" i="2"/>
  <c r="J164" i="2"/>
  <c r="I164" i="2"/>
  <c r="I183" i="2" s="1"/>
  <c r="H164" i="2"/>
  <c r="H183" i="2" s="1"/>
  <c r="G164" i="2"/>
  <c r="F164" i="2"/>
  <c r="E164" i="2"/>
  <c r="D164" i="2"/>
  <c r="D163" i="2" s="1"/>
  <c r="C164" i="2"/>
  <c r="B164" i="2"/>
  <c r="I163" i="2"/>
  <c r="I182" i="2" s="1"/>
  <c r="J161" i="2"/>
  <c r="J180" i="2" s="1"/>
  <c r="I161" i="2"/>
  <c r="I180" i="2" s="1"/>
  <c r="H161" i="2"/>
  <c r="H180" i="2" s="1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G178" i="2" s="1"/>
  <c r="F159" i="2"/>
  <c r="E159" i="2"/>
  <c r="D159" i="2"/>
  <c r="C159" i="2"/>
  <c r="B159" i="2"/>
  <c r="J158" i="2"/>
  <c r="I158" i="2"/>
  <c r="H158" i="2"/>
  <c r="G158" i="2"/>
  <c r="G177" i="2" s="1"/>
  <c r="F158" i="2"/>
  <c r="F177" i="2" s="1"/>
  <c r="E158" i="2"/>
  <c r="D158" i="2"/>
  <c r="C158" i="2"/>
  <c r="B158" i="2"/>
  <c r="J157" i="2"/>
  <c r="J176" i="2" s="1"/>
  <c r="I157" i="2"/>
  <c r="I176" i="2" s="1"/>
  <c r="H157" i="2"/>
  <c r="H176" i="2" s="1"/>
  <c r="G157" i="2"/>
  <c r="G176" i="2" s="1"/>
  <c r="F157" i="2"/>
  <c r="E157" i="2"/>
  <c r="D157" i="2"/>
  <c r="C157" i="2"/>
  <c r="B157" i="2"/>
  <c r="J156" i="2"/>
  <c r="J155" i="2" s="1"/>
  <c r="J174" i="2" s="1"/>
  <c r="I156" i="2"/>
  <c r="H156" i="2"/>
  <c r="G156" i="2"/>
  <c r="F156" i="2"/>
  <c r="F175" i="2" s="1"/>
  <c r="E156" i="2"/>
  <c r="E175" i="2" s="1"/>
  <c r="D156" i="2"/>
  <c r="C156" i="2"/>
  <c r="B156" i="2"/>
  <c r="K131" i="2"/>
  <c r="L131" i="2" s="1"/>
  <c r="M131" i="2" s="1"/>
  <c r="N131" i="2" s="1"/>
  <c r="O131" i="2" s="1"/>
  <c r="P131" i="2" s="1"/>
  <c r="J131" i="2"/>
  <c r="I131" i="2"/>
  <c r="H131" i="2"/>
  <c r="G131" i="2"/>
  <c r="F131" i="2"/>
  <c r="E131" i="2"/>
  <c r="J130" i="2"/>
  <c r="K130" i="2" s="1"/>
  <c r="L130" i="2" s="1"/>
  <c r="M130" i="2" s="1"/>
  <c r="N130" i="2" s="1"/>
  <c r="O130" i="2" s="1"/>
  <c r="P130" i="2" s="1"/>
  <c r="I130" i="2"/>
  <c r="H130" i="2"/>
  <c r="G130" i="2"/>
  <c r="F130" i="2"/>
  <c r="E130" i="2"/>
  <c r="J129" i="2"/>
  <c r="I129" i="2"/>
  <c r="H129" i="2"/>
  <c r="G129" i="2"/>
  <c r="F129" i="2"/>
  <c r="E129" i="2"/>
  <c r="M128" i="2"/>
  <c r="N128" i="2" s="1"/>
  <c r="O128" i="2" s="1"/>
  <c r="P128" i="2" s="1"/>
  <c r="J128" i="2"/>
  <c r="K128" i="2" s="1"/>
  <c r="L128" i="2" s="1"/>
  <c r="I128" i="2"/>
  <c r="H128" i="2"/>
  <c r="G128" i="2"/>
  <c r="F128" i="2"/>
  <c r="E128" i="2"/>
  <c r="B128" i="2"/>
  <c r="J127" i="2"/>
  <c r="I127" i="2"/>
  <c r="H127" i="2"/>
  <c r="G127" i="2"/>
  <c r="F127" i="2"/>
  <c r="E127" i="2"/>
  <c r="J126" i="2"/>
  <c r="I126" i="2"/>
  <c r="H126" i="2"/>
  <c r="G126" i="2"/>
  <c r="F126" i="2"/>
  <c r="E126" i="2"/>
  <c r="B121" i="2"/>
  <c r="J118" i="2"/>
  <c r="I118" i="2"/>
  <c r="E118" i="2"/>
  <c r="C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B111" i="2"/>
  <c r="B118" i="2" s="1"/>
  <c r="K110" i="2"/>
  <c r="L110" i="2" s="1"/>
  <c r="M110" i="2" s="1"/>
  <c r="N110" i="2" s="1"/>
  <c r="O110" i="2" s="1"/>
  <c r="P110" i="2" s="1"/>
  <c r="K109" i="2"/>
  <c r="L109" i="2" s="1"/>
  <c r="C106" i="2"/>
  <c r="J105" i="2"/>
  <c r="I105" i="2"/>
  <c r="H105" i="2"/>
  <c r="G105" i="2"/>
  <c r="F105" i="2"/>
  <c r="E105" i="2"/>
  <c r="D105" i="2"/>
  <c r="C105" i="2"/>
  <c r="J104" i="2"/>
  <c r="I104" i="2"/>
  <c r="H104" i="2"/>
  <c r="G104" i="2"/>
  <c r="F104" i="2"/>
  <c r="E104" i="2"/>
  <c r="D104" i="2"/>
  <c r="C104" i="2"/>
  <c r="C102" i="2"/>
  <c r="B102" i="2"/>
  <c r="J100" i="2"/>
  <c r="I100" i="2"/>
  <c r="I121" i="2" s="1"/>
  <c r="H100" i="2"/>
  <c r="H118" i="2" s="1"/>
  <c r="G100" i="2"/>
  <c r="G118" i="2" s="1"/>
  <c r="F100" i="2"/>
  <c r="E100" i="2"/>
  <c r="E102" i="2" s="1"/>
  <c r="D100" i="2"/>
  <c r="D106" i="2" s="1"/>
  <c r="C100" i="2"/>
  <c r="B100" i="2"/>
  <c r="P96" i="2"/>
  <c r="O96" i="2"/>
  <c r="O200" i="2" s="1"/>
  <c r="N96" i="2"/>
  <c r="N200" i="2" s="1"/>
  <c r="M96" i="2"/>
  <c r="L96" i="2"/>
  <c r="L200" i="2" s="1"/>
  <c r="L202" i="2" s="1"/>
  <c r="H96" i="2"/>
  <c r="G96" i="2"/>
  <c r="F96" i="2"/>
  <c r="E96" i="2"/>
  <c r="D96" i="2"/>
  <c r="C96" i="2"/>
  <c r="H95" i="2"/>
  <c r="I95" i="2" s="1"/>
  <c r="I198" i="2" s="1"/>
  <c r="I92" i="2"/>
  <c r="H92" i="2"/>
  <c r="G92" i="2"/>
  <c r="F92" i="2"/>
  <c r="J85" i="2"/>
  <c r="I85" i="2"/>
  <c r="H85" i="2"/>
  <c r="G85" i="2"/>
  <c r="I81" i="2"/>
  <c r="H81" i="2"/>
  <c r="G81" i="2"/>
  <c r="F81" i="2"/>
  <c r="E81" i="2"/>
  <c r="E92" i="2" s="1"/>
  <c r="D81" i="2"/>
  <c r="D92" i="2" s="1"/>
  <c r="C81" i="2"/>
  <c r="B81" i="2"/>
  <c r="J68" i="2"/>
  <c r="I68" i="2"/>
  <c r="H68" i="2"/>
  <c r="G68" i="2"/>
  <c r="F68" i="2"/>
  <c r="E68" i="2"/>
  <c r="D68" i="2"/>
  <c r="C68" i="2"/>
  <c r="C92" i="2" s="1"/>
  <c r="B68" i="2"/>
  <c r="B92" i="2" s="1"/>
  <c r="J63" i="2"/>
  <c r="J57" i="2"/>
  <c r="J55" i="2" s="1"/>
  <c r="I57" i="2"/>
  <c r="I165" i="2" s="1"/>
  <c r="H57" i="2"/>
  <c r="H165" i="2" s="1"/>
  <c r="G57" i="2"/>
  <c r="G165" i="2" s="1"/>
  <c r="F57" i="2"/>
  <c r="E57" i="2"/>
  <c r="F55" i="2"/>
  <c r="E55" i="2"/>
  <c r="D55" i="2"/>
  <c r="C55" i="2"/>
  <c r="B55" i="2"/>
  <c r="G50" i="2"/>
  <c r="F50" i="2"/>
  <c r="D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K44" i="2"/>
  <c r="L44" i="2" s="1"/>
  <c r="M44" i="2" s="1"/>
  <c r="N44" i="2" s="1"/>
  <c r="O44" i="2" s="1"/>
  <c r="P44" i="2" s="1"/>
  <c r="K42" i="2"/>
  <c r="J41" i="2"/>
  <c r="I41" i="2"/>
  <c r="H41" i="2"/>
  <c r="G41" i="2"/>
  <c r="F41" i="2"/>
  <c r="F63" i="2" s="1"/>
  <c r="F93" i="2" s="1"/>
  <c r="E41" i="2"/>
  <c r="E63" i="2" s="1"/>
  <c r="E93" i="2" s="1"/>
  <c r="D41" i="2"/>
  <c r="D63" i="2" s="1"/>
  <c r="D93" i="2" s="1"/>
  <c r="C41" i="2"/>
  <c r="C63" i="2" s="1"/>
  <c r="C93" i="2" s="1"/>
  <c r="B41" i="2"/>
  <c r="B63" i="2" s="1"/>
  <c r="B93" i="2" s="1"/>
  <c r="M33" i="2"/>
  <c r="N33" i="2" s="1"/>
  <c r="O33" i="2" s="1"/>
  <c r="P33" i="2" s="1"/>
  <c r="L33" i="2"/>
  <c r="J33" i="2"/>
  <c r="I33" i="2"/>
  <c r="H33" i="2"/>
  <c r="G33" i="2"/>
  <c r="F33" i="2"/>
  <c r="E33" i="2"/>
  <c r="B33" i="2"/>
  <c r="J30" i="2"/>
  <c r="B30" i="2"/>
  <c r="L27" i="2"/>
  <c r="M27" i="2" s="1"/>
  <c r="N27" i="2" s="1"/>
  <c r="O27" i="2" s="1"/>
  <c r="P27" i="2" s="1"/>
  <c r="K27" i="2"/>
  <c r="D27" i="2"/>
  <c r="C27" i="2"/>
  <c r="L24" i="2"/>
  <c r="M24" i="2" s="1"/>
  <c r="N24" i="2" s="1"/>
  <c r="O24" i="2" s="1"/>
  <c r="P24" i="2" s="1"/>
  <c r="K20" i="2"/>
  <c r="K209" i="2" s="1"/>
  <c r="E18" i="2"/>
  <c r="E22" i="2" s="1"/>
  <c r="E26" i="2" s="1"/>
  <c r="E28" i="2" s="1"/>
  <c r="E32" i="2" s="1"/>
  <c r="E36" i="2" s="1"/>
  <c r="E208" i="2" s="1"/>
  <c r="J16" i="2"/>
  <c r="I16" i="2"/>
  <c r="H16" i="2"/>
  <c r="G16" i="2"/>
  <c r="F16" i="2"/>
  <c r="F18" i="2" s="1"/>
  <c r="F22" i="2" s="1"/>
  <c r="F26" i="2" s="1"/>
  <c r="F28" i="2" s="1"/>
  <c r="F32" i="2" s="1"/>
  <c r="F36" i="2" s="1"/>
  <c r="F208" i="2" s="1"/>
  <c r="E16" i="2"/>
  <c r="D16" i="2"/>
  <c r="C16" i="2"/>
  <c r="B16" i="2"/>
  <c r="J6" i="2"/>
  <c r="J18" i="2" s="1"/>
  <c r="J22" i="2" s="1"/>
  <c r="J26" i="2" s="1"/>
  <c r="J28" i="2" s="1"/>
  <c r="J32" i="2" s="1"/>
  <c r="J36" i="2" s="1"/>
  <c r="J208" i="2" s="1"/>
  <c r="I6" i="2"/>
  <c r="I18" i="2" s="1"/>
  <c r="I22" i="2" s="1"/>
  <c r="I26" i="2" s="1"/>
  <c r="I28" i="2" s="1"/>
  <c r="I32" i="2" s="1"/>
  <c r="I36" i="2" s="1"/>
  <c r="I208" i="2" s="1"/>
  <c r="H6" i="2"/>
  <c r="H18" i="2" s="1"/>
  <c r="H22" i="2" s="1"/>
  <c r="H26" i="2" s="1"/>
  <c r="H28" i="2" s="1"/>
  <c r="H32" i="2" s="1"/>
  <c r="H36" i="2" s="1"/>
  <c r="H208" i="2" s="1"/>
  <c r="G6" i="2"/>
  <c r="G18" i="2" s="1"/>
  <c r="G22" i="2" s="1"/>
  <c r="G26" i="2" s="1"/>
  <c r="G28" i="2" s="1"/>
  <c r="G32" i="2" s="1"/>
  <c r="G36" i="2" s="1"/>
  <c r="G208" i="2" s="1"/>
  <c r="F6" i="2"/>
  <c r="E6" i="2"/>
  <c r="B6" i="2"/>
  <c r="B18" i="2" s="1"/>
  <c r="B22" i="2" s="1"/>
  <c r="B26" i="2" s="1"/>
  <c r="B28" i="2" s="1"/>
  <c r="B32" i="2" s="1"/>
  <c r="B36" i="2" s="1"/>
  <c r="B208" i="2" s="1"/>
  <c r="L4" i="2"/>
  <c r="M4" i="2" s="1"/>
  <c r="N4" i="2" s="1"/>
  <c r="O4" i="2" s="1"/>
  <c r="P4" i="2" s="1"/>
  <c r="D3" i="2"/>
  <c r="D121" i="2" s="1"/>
  <c r="C3" i="2"/>
  <c r="C171" i="2" s="1"/>
  <c r="B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B41" i="1"/>
  <c r="B43" i="1" s="1"/>
  <c r="B44" i="1" s="1"/>
  <c r="B46" i="1" s="1"/>
  <c r="B40" i="1"/>
  <c r="F32" i="1"/>
  <c r="E32" i="1"/>
  <c r="D32" i="1"/>
  <c r="C32" i="1"/>
  <c r="B32" i="1"/>
  <c r="F31" i="1"/>
  <c r="E31" i="1"/>
  <c r="D31" i="1"/>
  <c r="C31" i="1"/>
  <c r="B31" i="1"/>
  <c r="F30" i="1"/>
  <c r="F33" i="1" s="1"/>
  <c r="E30" i="1"/>
  <c r="E33" i="1" s="1"/>
  <c r="D30" i="1"/>
  <c r="D33" i="1" s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C30" i="1" s="1"/>
  <c r="C33" i="1" s="1"/>
  <c r="B19" i="1"/>
  <c r="B30" i="1" s="1"/>
  <c r="B33" i="1" s="1"/>
  <c r="F18" i="1"/>
  <c r="E18" i="1"/>
  <c r="D18" i="1"/>
  <c r="C18" i="1"/>
  <c r="B18" i="1"/>
  <c r="G15" i="1"/>
  <c r="G14" i="1"/>
  <c r="G13" i="1"/>
  <c r="G11" i="1"/>
  <c r="G10" i="1"/>
  <c r="G9" i="1"/>
  <c r="G8" i="1"/>
  <c r="B37" i="1" s="1"/>
  <c r="G7" i="1"/>
  <c r="G6" i="1"/>
  <c r="G5" i="1"/>
  <c r="F3" i="1"/>
  <c r="E3" i="1"/>
  <c r="D3" i="1"/>
  <c r="C3" i="1"/>
  <c r="L111" i="2" l="1"/>
  <c r="L100" i="2" s="1"/>
  <c r="L102" i="2" s="1"/>
  <c r="M109" i="2"/>
  <c r="C177" i="2"/>
  <c r="C185" i="2"/>
  <c r="C180" i="2"/>
  <c r="C186" i="2"/>
  <c r="C184" i="2"/>
  <c r="C176" i="2"/>
  <c r="C179" i="2"/>
  <c r="B205" i="2"/>
  <c r="B198" i="2"/>
  <c r="D122" i="2"/>
  <c r="H163" i="2"/>
  <c r="H182" i="2" s="1"/>
  <c r="D129" i="2"/>
  <c r="G155" i="2"/>
  <c r="J93" i="2"/>
  <c r="H155" i="2"/>
  <c r="E196" i="2"/>
  <c r="E198" i="2" s="1"/>
  <c r="G163" i="2"/>
  <c r="G182" i="2" s="1"/>
  <c r="F196" i="2"/>
  <c r="F198" i="2" s="1"/>
  <c r="F106" i="2"/>
  <c r="F118" i="2"/>
  <c r="F121" i="2"/>
  <c r="F122" i="2" s="1"/>
  <c r="C178" i="2"/>
  <c r="D188" i="2"/>
  <c r="D205" i="2"/>
  <c r="G55" i="2"/>
  <c r="G63" i="2" s="1"/>
  <c r="G93" i="2" s="1"/>
  <c r="D127" i="2"/>
  <c r="B155" i="2"/>
  <c r="G175" i="2"/>
  <c r="G183" i="2"/>
  <c r="G179" i="2"/>
  <c r="E155" i="2"/>
  <c r="J163" i="2"/>
  <c r="C128" i="2"/>
  <c r="J216" i="2"/>
  <c r="K214" i="2" s="1"/>
  <c r="J81" i="2"/>
  <c r="J92" i="2" s="1"/>
  <c r="D102" i="2"/>
  <c r="I155" i="2"/>
  <c r="E106" i="2"/>
  <c r="E121" i="2"/>
  <c r="E122" i="2" s="1"/>
  <c r="C183" i="2"/>
  <c r="C163" i="2"/>
  <c r="C182" i="2" s="1"/>
  <c r="H55" i="2"/>
  <c r="H63" i="2" s="1"/>
  <c r="H93" i="2" s="1"/>
  <c r="I96" i="2"/>
  <c r="K111" i="2"/>
  <c r="K100" i="2" s="1"/>
  <c r="K102" i="2" s="1"/>
  <c r="B175" i="2"/>
  <c r="C155" i="2"/>
  <c r="D177" i="2"/>
  <c r="D155" i="2"/>
  <c r="B188" i="2"/>
  <c r="C131" i="2"/>
  <c r="C129" i="2"/>
  <c r="C127" i="2"/>
  <c r="C130" i="2"/>
  <c r="C126" i="2"/>
  <c r="D171" i="2"/>
  <c r="D130" i="2"/>
  <c r="D128" i="2"/>
  <c r="D6" i="2"/>
  <c r="D18" i="2" s="1"/>
  <c r="D22" i="2" s="1"/>
  <c r="D26" i="2" s="1"/>
  <c r="D28" i="2" s="1"/>
  <c r="D32" i="2" s="1"/>
  <c r="D36" i="2" s="1"/>
  <c r="D208" i="2" s="1"/>
  <c r="D131" i="2"/>
  <c r="D126" i="2"/>
  <c r="J95" i="2"/>
  <c r="F155" i="2"/>
  <c r="C121" i="2"/>
  <c r="C122" i="2" s="1"/>
  <c r="B183" i="2"/>
  <c r="B163" i="2"/>
  <c r="B182" i="2" s="1"/>
  <c r="C6" i="2"/>
  <c r="C18" i="2" s="1"/>
  <c r="C22" i="2" s="1"/>
  <c r="C26" i="2" s="1"/>
  <c r="C28" i="2" s="1"/>
  <c r="C32" i="2" s="1"/>
  <c r="C36" i="2" s="1"/>
  <c r="C208" i="2" s="1"/>
  <c r="B178" i="2"/>
  <c r="F102" i="2"/>
  <c r="D182" i="2"/>
  <c r="B131" i="2"/>
  <c r="B129" i="2"/>
  <c r="B127" i="2"/>
  <c r="B130" i="2"/>
  <c r="B126" i="2"/>
  <c r="L42" i="2"/>
  <c r="I55" i="2"/>
  <c r="I63" i="2" s="1"/>
  <c r="I93" i="2" s="1"/>
  <c r="D118" i="2"/>
  <c r="C175" i="2"/>
  <c r="E163" i="2"/>
  <c r="E182" i="2" s="1"/>
  <c r="J175" i="2"/>
  <c r="B186" i="2"/>
  <c r="G188" i="2"/>
  <c r="J198" i="2"/>
  <c r="G102" i="2"/>
  <c r="H178" i="2"/>
  <c r="H102" i="2"/>
  <c r="H106" i="2"/>
  <c r="I178" i="2"/>
  <c r="B187" i="2"/>
  <c r="G196" i="2"/>
  <c r="G198" i="2" s="1"/>
  <c r="G106" i="2"/>
  <c r="J205" i="2"/>
  <c r="K201" i="2"/>
  <c r="I122" i="2"/>
  <c r="I102" i="2"/>
  <c r="I106" i="2"/>
  <c r="G121" i="2"/>
  <c r="J177" i="2"/>
  <c r="K177" i="2" s="1"/>
  <c r="L177" i="2" s="1"/>
  <c r="M177" i="2" s="1"/>
  <c r="N177" i="2" s="1"/>
  <c r="O177" i="2" s="1"/>
  <c r="P177" i="2" s="1"/>
  <c r="F163" i="2"/>
  <c r="F182" i="2" s="1"/>
  <c r="C187" i="2"/>
  <c r="H196" i="2"/>
  <c r="J121" i="2"/>
  <c r="J102" i="2"/>
  <c r="J106" i="2"/>
  <c r="H121" i="2"/>
  <c r="H122" i="2" s="1"/>
  <c r="D175" i="2"/>
  <c r="J179" i="2"/>
  <c r="K179" i="2" s="1"/>
  <c r="L179" i="2" s="1"/>
  <c r="M179" i="2" s="1"/>
  <c r="N179" i="2" s="1"/>
  <c r="O179" i="2" s="1"/>
  <c r="P179" i="2" s="1"/>
  <c r="G180" i="2"/>
  <c r="C188" i="2"/>
  <c r="K121" i="2" l="1"/>
  <c r="J122" i="2"/>
  <c r="D185" i="2"/>
  <c r="D187" i="2"/>
  <c r="D186" i="2"/>
  <c r="D183" i="2"/>
  <c r="D179" i="2"/>
  <c r="D176" i="2"/>
  <c r="D180" i="2"/>
  <c r="E190" i="2"/>
  <c r="E191" i="2" s="1"/>
  <c r="E211" i="2" s="1"/>
  <c r="E174" i="2"/>
  <c r="D184" i="2"/>
  <c r="M111" i="2"/>
  <c r="M100" i="2" s="1"/>
  <c r="M102" i="2" s="1"/>
  <c r="N109" i="2"/>
  <c r="D190" i="2"/>
  <c r="D174" i="2"/>
  <c r="I190" i="2"/>
  <c r="I174" i="2"/>
  <c r="C174" i="2"/>
  <c r="C190" i="2"/>
  <c r="C191" i="2" s="1"/>
  <c r="C211" i="2" s="1"/>
  <c r="H198" i="2"/>
  <c r="H205" i="2"/>
  <c r="M42" i="2"/>
  <c r="G205" i="2"/>
  <c r="J182" i="2"/>
  <c r="J190" i="2"/>
  <c r="H190" i="2"/>
  <c r="H174" i="2"/>
  <c r="G190" i="2"/>
  <c r="G174" i="2"/>
  <c r="G122" i="2"/>
  <c r="F190" i="2"/>
  <c r="F191" i="2" s="1"/>
  <c r="F211" i="2" s="1"/>
  <c r="F174" i="2"/>
  <c r="D178" i="2"/>
  <c r="E205" i="2"/>
  <c r="K96" i="2"/>
  <c r="K200" i="2" s="1"/>
  <c r="K202" i="2" s="1"/>
  <c r="J96" i="2"/>
  <c r="B174" i="2"/>
  <c r="B190" i="2"/>
  <c r="F205" i="2"/>
  <c r="G191" i="2" l="1"/>
  <c r="G211" i="2" s="1"/>
  <c r="H191" i="2"/>
  <c r="H211" i="2" s="1"/>
  <c r="I191" i="2"/>
  <c r="I211" i="2" s="1"/>
  <c r="J191" i="2"/>
  <c r="J211" i="2" s="1"/>
  <c r="D191" i="2"/>
  <c r="D211" i="2" s="1"/>
  <c r="K212" i="2"/>
  <c r="K69" i="2"/>
  <c r="N111" i="2"/>
  <c r="N100" i="2" s="1"/>
  <c r="N102" i="2" s="1"/>
  <c r="O109" i="2"/>
  <c r="N42" i="2"/>
  <c r="L121" i="2"/>
  <c r="K3" i="2"/>
  <c r="L3" i="2" l="1"/>
  <c r="M121" i="2"/>
  <c r="O42" i="2"/>
  <c r="K68" i="2"/>
  <c r="L204" i="2"/>
  <c r="K194" i="2"/>
  <c r="P109" i="2"/>
  <c r="P111" i="2" s="1"/>
  <c r="P100" i="2" s="1"/>
  <c r="P102" i="2" s="1"/>
  <c r="O111" i="2"/>
  <c r="O100" i="2" s="1"/>
  <c r="O102" i="2" s="1"/>
  <c r="K13" i="2"/>
  <c r="K11" i="2"/>
  <c r="K9" i="2"/>
  <c r="K16" i="2" s="1"/>
  <c r="K14" i="2"/>
  <c r="K171" i="2"/>
  <c r="K6" i="2"/>
  <c r="K12" i="2"/>
  <c r="K10" i="2"/>
  <c r="P42" i="2" l="1"/>
  <c r="K18" i="2"/>
  <c r="K22" i="2" s="1"/>
  <c r="K26" i="2" s="1"/>
  <c r="K28" i="2" s="1"/>
  <c r="M201" i="2"/>
  <c r="M202" i="2" s="1"/>
  <c r="M212" i="2" s="1"/>
  <c r="L69" i="2"/>
  <c r="L20" i="2"/>
  <c r="L209" i="2" s="1"/>
  <c r="K168" i="2"/>
  <c r="K61" i="2" s="1"/>
  <c r="K164" i="2"/>
  <c r="K159" i="2"/>
  <c r="K87" i="2" s="1"/>
  <c r="K158" i="2"/>
  <c r="K86" i="2" s="1"/>
  <c r="K157" i="2"/>
  <c r="K84" i="2" s="1"/>
  <c r="K167" i="2"/>
  <c r="K60" i="2" s="1"/>
  <c r="K166" i="2"/>
  <c r="K58" i="2" s="1"/>
  <c r="K169" i="2"/>
  <c r="K62" i="2" s="1"/>
  <c r="K161" i="2"/>
  <c r="K90" i="2" s="1"/>
  <c r="K156" i="2"/>
  <c r="K160" i="2"/>
  <c r="K88" i="2" s="1"/>
  <c r="K165" i="2"/>
  <c r="K57" i="2" s="1"/>
  <c r="M3" i="2"/>
  <c r="N121" i="2"/>
  <c r="L13" i="2"/>
  <c r="L11" i="2"/>
  <c r="L9" i="2"/>
  <c r="L16" i="2" s="1"/>
  <c r="L171" i="2"/>
  <c r="L6" i="2"/>
  <c r="L14" i="2"/>
  <c r="L10" i="2"/>
  <c r="L12" i="2"/>
  <c r="K30" i="2" l="1"/>
  <c r="K32" i="2"/>
  <c r="K36" i="2" s="1"/>
  <c r="K56" i="2"/>
  <c r="K55" i="2" s="1"/>
  <c r="K163" i="2"/>
  <c r="N3" i="2"/>
  <c r="O121" i="2"/>
  <c r="M171" i="2"/>
  <c r="M11" i="2"/>
  <c r="M6" i="2"/>
  <c r="M12" i="2"/>
  <c r="M14" i="2"/>
  <c r="M10" i="2"/>
  <c r="M13" i="2"/>
  <c r="M9" i="2"/>
  <c r="L68" i="2"/>
  <c r="M204" i="2"/>
  <c r="L194" i="2"/>
  <c r="K155" i="2"/>
  <c r="K190" i="2" s="1"/>
  <c r="K191" i="2" s="1"/>
  <c r="K211" i="2" s="1"/>
  <c r="K83" i="2"/>
  <c r="L18" i="2"/>
  <c r="L22" i="2" s="1"/>
  <c r="L26" i="2" s="1"/>
  <c r="L28" i="2" s="1"/>
  <c r="L168" i="2"/>
  <c r="L61" i="2" s="1"/>
  <c r="L164" i="2"/>
  <c r="L159" i="2"/>
  <c r="L87" i="2" s="1"/>
  <c r="L157" i="2"/>
  <c r="L84" i="2" s="1"/>
  <c r="L169" i="2"/>
  <c r="L62" i="2" s="1"/>
  <c r="L156" i="2"/>
  <c r="L167" i="2"/>
  <c r="L60" i="2" s="1"/>
  <c r="L166" i="2"/>
  <c r="L58" i="2" s="1"/>
  <c r="L160" i="2"/>
  <c r="L88" i="2" s="1"/>
  <c r="L158" i="2"/>
  <c r="L86" i="2" s="1"/>
  <c r="L165" i="2"/>
  <c r="L57" i="2" s="1"/>
  <c r="L161" i="2"/>
  <c r="L90" i="2" s="1"/>
  <c r="L30" i="2" l="1"/>
  <c r="L32" i="2"/>
  <c r="L36" i="2" s="1"/>
  <c r="L208" i="2" s="1"/>
  <c r="P121" i="2"/>
  <c r="P3" i="2" s="1"/>
  <c r="O3" i="2"/>
  <c r="N11" i="2"/>
  <c r="N6" i="2"/>
  <c r="N10" i="2"/>
  <c r="N13" i="2"/>
  <c r="N14" i="2"/>
  <c r="N12" i="2"/>
  <c r="N9" i="2"/>
  <c r="N16" i="2" s="1"/>
  <c r="N171" i="2"/>
  <c r="L155" i="2"/>
  <c r="L83" i="2"/>
  <c r="M16" i="2"/>
  <c r="M18" i="2"/>
  <c r="K43" i="2"/>
  <c r="K208" i="2"/>
  <c r="K215" i="2" s="1"/>
  <c r="K216" i="2" s="1"/>
  <c r="L56" i="2"/>
  <c r="L55" i="2" s="1"/>
  <c r="L163" i="2"/>
  <c r="M167" i="2"/>
  <c r="M60" i="2" s="1"/>
  <c r="M158" i="2"/>
  <c r="M86" i="2" s="1"/>
  <c r="M159" i="2"/>
  <c r="M87" i="2" s="1"/>
  <c r="M157" i="2"/>
  <c r="M84" i="2" s="1"/>
  <c r="M169" i="2"/>
  <c r="M62" i="2" s="1"/>
  <c r="M156" i="2"/>
  <c r="M161" i="2"/>
  <c r="M90" i="2" s="1"/>
  <c r="M166" i="2"/>
  <c r="M58" i="2" s="1"/>
  <c r="M160" i="2"/>
  <c r="M88" i="2" s="1"/>
  <c r="M168" i="2"/>
  <c r="M61" i="2" s="1"/>
  <c r="M165" i="2"/>
  <c r="M57" i="2" s="1"/>
  <c r="M164" i="2"/>
  <c r="M69" i="2"/>
  <c r="M20" i="2"/>
  <c r="M209" i="2" s="1"/>
  <c r="N201" i="2"/>
  <c r="N202" i="2" s="1"/>
  <c r="N212" i="2" s="1"/>
  <c r="M163" i="2" l="1"/>
  <c r="M56" i="2"/>
  <c r="M55" i="2" s="1"/>
  <c r="M194" i="2"/>
  <c r="N204" i="2"/>
  <c r="M68" i="2"/>
  <c r="L43" i="2"/>
  <c r="K41" i="2"/>
  <c r="K63" i="2" s="1"/>
  <c r="L190" i="2"/>
  <c r="L191" i="2" s="1"/>
  <c r="L211" i="2" s="1"/>
  <c r="L215" i="2"/>
  <c r="L214" i="2"/>
  <c r="L216" i="2" s="1"/>
  <c r="K85" i="2"/>
  <c r="K81" i="2" s="1"/>
  <c r="K92" i="2" s="1"/>
  <c r="N18" i="2"/>
  <c r="M22" i="2"/>
  <c r="M26" i="2" s="1"/>
  <c r="M28" i="2" s="1"/>
  <c r="O13" i="2"/>
  <c r="O10" i="2"/>
  <c r="O9" i="2"/>
  <c r="O12" i="2"/>
  <c r="O6" i="2"/>
  <c r="O11" i="2"/>
  <c r="O14" i="2"/>
  <c r="O171" i="2"/>
  <c r="M155" i="2"/>
  <c r="M190" i="2" s="1"/>
  <c r="M191" i="2" s="1"/>
  <c r="M211" i="2" s="1"/>
  <c r="M83" i="2"/>
  <c r="P171" i="2"/>
  <c r="P14" i="2"/>
  <c r="P12" i="2"/>
  <c r="P10" i="2"/>
  <c r="P6" i="2"/>
  <c r="P13" i="2"/>
  <c r="P11" i="2"/>
  <c r="P9" i="2"/>
  <c r="P16" i="2" s="1"/>
  <c r="N167" i="2"/>
  <c r="N60" i="2" s="1"/>
  <c r="N158" i="2"/>
  <c r="N86" i="2" s="1"/>
  <c r="N169" i="2"/>
  <c r="N62" i="2" s="1"/>
  <c r="N156" i="2"/>
  <c r="N166" i="2"/>
  <c r="N58" i="2" s="1"/>
  <c r="N160" i="2"/>
  <c r="N88" i="2" s="1"/>
  <c r="N157" i="2"/>
  <c r="N84" i="2" s="1"/>
  <c r="N165" i="2"/>
  <c r="N57" i="2" s="1"/>
  <c r="N161" i="2"/>
  <c r="N90" i="2" s="1"/>
  <c r="N168" i="2"/>
  <c r="N61" i="2" s="1"/>
  <c r="N164" i="2"/>
  <c r="N159" i="2"/>
  <c r="N87" i="2" s="1"/>
  <c r="M214" i="2" l="1"/>
  <c r="L85" i="2"/>
  <c r="L81" i="2" s="1"/>
  <c r="L92" i="2" s="1"/>
  <c r="O167" i="2"/>
  <c r="O60" i="2" s="1"/>
  <c r="O158" i="2"/>
  <c r="O86" i="2" s="1"/>
  <c r="O169" i="2"/>
  <c r="O62" i="2" s="1"/>
  <c r="O156" i="2"/>
  <c r="O168" i="2"/>
  <c r="O61" i="2" s="1"/>
  <c r="O166" i="2"/>
  <c r="O58" i="2" s="1"/>
  <c r="O161" i="2"/>
  <c r="O90" i="2" s="1"/>
  <c r="O164" i="2"/>
  <c r="O157" i="2"/>
  <c r="O84" i="2" s="1"/>
  <c r="O160" i="2"/>
  <c r="O88" i="2" s="1"/>
  <c r="O165" i="2"/>
  <c r="O57" i="2" s="1"/>
  <c r="O159" i="2"/>
  <c r="O87" i="2" s="1"/>
  <c r="N163" i="2"/>
  <c r="N56" i="2"/>
  <c r="N55" i="2" s="1"/>
  <c r="K93" i="2"/>
  <c r="L41" i="2"/>
  <c r="L63" i="2" s="1"/>
  <c r="L93" i="2" s="1"/>
  <c r="N69" i="2"/>
  <c r="O201" i="2"/>
  <c r="O202" i="2" s="1"/>
  <c r="O212" i="2" s="1"/>
  <c r="N20" i="2"/>
  <c r="N209" i="2" s="1"/>
  <c r="M30" i="2"/>
  <c r="M32" i="2" s="1"/>
  <c r="M36" i="2" s="1"/>
  <c r="N83" i="2"/>
  <c r="N155" i="2"/>
  <c r="N190" i="2" s="1"/>
  <c r="N191" i="2" s="1"/>
  <c r="N211" i="2" s="1"/>
  <c r="P18" i="2"/>
  <c r="O16" i="2"/>
  <c r="O18" i="2" s="1"/>
  <c r="P166" i="2"/>
  <c r="P58" i="2" s="1"/>
  <c r="P161" i="2"/>
  <c r="P90" i="2" s="1"/>
  <c r="P157" i="2"/>
  <c r="P84" i="2" s="1"/>
  <c r="P156" i="2"/>
  <c r="P167" i="2"/>
  <c r="P60" i="2" s="1"/>
  <c r="P168" i="2"/>
  <c r="P61" i="2" s="1"/>
  <c r="P159" i="2"/>
  <c r="P87" i="2" s="1"/>
  <c r="P165" i="2"/>
  <c r="P57" i="2" s="1"/>
  <c r="P169" i="2"/>
  <c r="P62" i="2" s="1"/>
  <c r="P160" i="2"/>
  <c r="P88" i="2" s="1"/>
  <c r="P164" i="2"/>
  <c r="P158" i="2"/>
  <c r="P86" i="2" s="1"/>
  <c r="M208" i="2" l="1"/>
  <c r="M215" i="2" s="1"/>
  <c r="M43" i="2"/>
  <c r="P155" i="2"/>
  <c r="P190" i="2" s="1"/>
  <c r="P83" i="2"/>
  <c r="O163" i="2"/>
  <c r="O56" i="2"/>
  <c r="O55" i="2" s="1"/>
  <c r="N22" i="2"/>
  <c r="N26" i="2" s="1"/>
  <c r="N28" i="2" s="1"/>
  <c r="O83" i="2"/>
  <c r="O155" i="2"/>
  <c r="O190" i="2" s="1"/>
  <c r="O191" i="2" s="1"/>
  <c r="O211" i="2" s="1"/>
  <c r="O204" i="2"/>
  <c r="N194" i="2"/>
  <c r="N68" i="2"/>
  <c r="P56" i="2"/>
  <c r="P55" i="2" s="1"/>
  <c r="P163" i="2"/>
  <c r="M216" i="2"/>
  <c r="O69" i="2" l="1"/>
  <c r="O20" i="2"/>
  <c r="P201" i="2"/>
  <c r="P202" i="2" s="1"/>
  <c r="P212" i="2" s="1"/>
  <c r="M85" i="2"/>
  <c r="M81" i="2" s="1"/>
  <c r="M92" i="2" s="1"/>
  <c r="N214" i="2"/>
  <c r="P191" i="2"/>
  <c r="P211" i="2" s="1"/>
  <c r="M41" i="2"/>
  <c r="M63" i="2" s="1"/>
  <c r="M93" i="2" s="1"/>
  <c r="N30" i="2"/>
  <c r="N32" i="2" s="1"/>
  <c r="N36" i="2" s="1"/>
  <c r="N208" i="2" l="1"/>
  <c r="N215" i="2" s="1"/>
  <c r="N43" i="2"/>
  <c r="N216" i="2"/>
  <c r="O209" i="2"/>
  <c r="O22" i="2"/>
  <c r="O26" i="2" s="1"/>
  <c r="O28" i="2" s="1"/>
  <c r="P204" i="2"/>
  <c r="O194" i="2"/>
  <c r="O68" i="2"/>
  <c r="P69" i="2" l="1"/>
  <c r="P20" i="2"/>
  <c r="O30" i="2"/>
  <c r="O32" i="2"/>
  <c r="O36" i="2" s="1"/>
  <c r="O208" i="2" s="1"/>
  <c r="O215" i="2" s="1"/>
  <c r="N85" i="2"/>
  <c r="N81" i="2" s="1"/>
  <c r="N92" i="2" s="1"/>
  <c r="O214" i="2"/>
  <c r="O43" i="2"/>
  <c r="N41" i="2"/>
  <c r="N63" i="2" s="1"/>
  <c r="N93" i="2" s="1"/>
  <c r="O41" i="2" l="1"/>
  <c r="O63" i="2" s="1"/>
  <c r="P194" i="2"/>
  <c r="P68" i="2"/>
  <c r="O216" i="2"/>
  <c r="P209" i="2"/>
  <c r="P22" i="2"/>
  <c r="P26" i="2" s="1"/>
  <c r="P28" i="2" s="1"/>
  <c r="P30" i="2" l="1"/>
  <c r="P32" i="2" s="1"/>
  <c r="P36" i="2" s="1"/>
  <c r="O85" i="2"/>
  <c r="O81" i="2" s="1"/>
  <c r="O92" i="2" s="1"/>
  <c r="P214" i="2"/>
  <c r="O93" i="2"/>
  <c r="P208" i="2" l="1"/>
  <c r="P215" i="2" s="1"/>
  <c r="P216" i="2" s="1"/>
  <c r="P85" i="2" s="1"/>
  <c r="P81" i="2" s="1"/>
  <c r="P92" i="2" s="1"/>
  <c r="P43" i="2"/>
  <c r="P41" i="2" s="1"/>
  <c r="P63" i="2" s="1"/>
  <c r="P93" i="2" l="1"/>
</calcChain>
</file>

<file path=xl/sharedStrings.xml><?xml version="1.0" encoding="utf-8"?>
<sst xmlns="http://schemas.openxmlformats.org/spreadsheetml/2006/main" count="227" uniqueCount="163">
  <si>
    <t>Maruti Suzuki</t>
  </si>
  <si>
    <t>https://www.screener.in/company/MARUTI/consolidated/#profit-loss</t>
  </si>
  <si>
    <t>CAGR</t>
  </si>
  <si>
    <t>Fill in the company details here</t>
  </si>
  <si>
    <t>Sales</t>
  </si>
  <si>
    <t>Operating Profit (EBITDA)</t>
  </si>
  <si>
    <t>Interest</t>
  </si>
  <si>
    <t>Profit (PAT)</t>
  </si>
  <si>
    <t>Dividend</t>
  </si>
  <si>
    <t>-</t>
  </si>
  <si>
    <t>DPS</t>
  </si>
  <si>
    <t>Cash Flow from Operating Activities</t>
  </si>
  <si>
    <t>Net Worth</t>
  </si>
  <si>
    <t>Debt</t>
  </si>
  <si>
    <t>Assets</t>
  </si>
  <si>
    <t>Operating Profit Margin</t>
  </si>
  <si>
    <t>Net Profit Margin</t>
  </si>
  <si>
    <t>CFO / Interest</t>
  </si>
  <si>
    <t>OP / Interest</t>
  </si>
  <si>
    <t>Debt/Equity</t>
  </si>
  <si>
    <t>Return on Equity</t>
  </si>
  <si>
    <t>Return on Capital Employed</t>
  </si>
  <si>
    <t>Dividend Rate</t>
  </si>
  <si>
    <t>Dividend Payout Ratio</t>
  </si>
  <si>
    <t>Asset Turnover Ratio</t>
  </si>
  <si>
    <t>Gearing</t>
  </si>
  <si>
    <t>Return on Equity - Dupont</t>
  </si>
  <si>
    <t>Face Value</t>
  </si>
  <si>
    <t>Market Capitalization</t>
  </si>
  <si>
    <t>Expected Profits Current Year</t>
  </si>
  <si>
    <t>Current P/E</t>
  </si>
  <si>
    <t>3-year Forward PE Multiple</t>
  </si>
  <si>
    <t>Sales in 2027</t>
  </si>
  <si>
    <t>Expected sales growth rate</t>
  </si>
  <si>
    <t>NPM</t>
  </si>
  <si>
    <t>Net Profit in 2027</t>
  </si>
  <si>
    <t>Expected Market Capitalization in 2027</t>
  </si>
  <si>
    <t>CAGR in stock price</t>
  </si>
  <si>
    <t>Revenue</t>
  </si>
  <si>
    <t>Gross Revenue from operations</t>
  </si>
  <si>
    <t>Other Income</t>
  </si>
  <si>
    <t>Total Revenue</t>
  </si>
  <si>
    <t>Costs</t>
  </si>
  <si>
    <t>Raw Materials</t>
  </si>
  <si>
    <t>Purchases</t>
  </si>
  <si>
    <t>Changes in Stock in Trade</t>
  </si>
  <si>
    <t>Employee Cost</t>
  </si>
  <si>
    <t>Other Expenses</t>
  </si>
  <si>
    <t>Vehicles or Dies for Own Usage</t>
  </si>
  <si>
    <t>Total Costs</t>
  </si>
  <si>
    <t>Operating Profits</t>
  </si>
  <si>
    <t>Depreciation &amp; Amortization</t>
  </si>
  <si>
    <t>EBIT</t>
  </si>
  <si>
    <t>Profit Before Exceptional Items and Taxes</t>
  </si>
  <si>
    <t>Other/Exceptional Items</t>
  </si>
  <si>
    <t>Profit Before Taxes</t>
  </si>
  <si>
    <t>Taxes</t>
  </si>
  <si>
    <t>Profit Before Minority Interest and Share in Associates</t>
  </si>
  <si>
    <t>Share in Associates + JV</t>
  </si>
  <si>
    <t>Profit for the Year</t>
  </si>
  <si>
    <t>Sources of Funds</t>
  </si>
  <si>
    <t>Shareholder Funds</t>
  </si>
  <si>
    <t>Share Capital</t>
  </si>
  <si>
    <t>Reserves &amp; Surplus</t>
  </si>
  <si>
    <t>prev yr value + cur yr profuit</t>
  </si>
  <si>
    <t>Money Received against Warrants</t>
  </si>
  <si>
    <t>Minority Interest</t>
  </si>
  <si>
    <t>Share Application Money Pending Allotment</t>
  </si>
  <si>
    <t>Long Term Liabilities</t>
  </si>
  <si>
    <t xml:space="preserve">no change in long term lia </t>
  </si>
  <si>
    <t xml:space="preserve">Loans \  Lease + Borrowings </t>
  </si>
  <si>
    <t>Other Long Term Liabilities</t>
  </si>
  <si>
    <t>Long Term Provisions</t>
  </si>
  <si>
    <t>Deferred Tax Liabilities</t>
  </si>
  <si>
    <t>Current Liabilities</t>
  </si>
  <si>
    <t>Tax Liabilities</t>
  </si>
  <si>
    <t>Short Term Borrowings+ Lease liabilities</t>
  </si>
  <si>
    <t>Trade Payables micro  and  small</t>
  </si>
  <si>
    <t>Trade Payables</t>
  </si>
  <si>
    <t>Other Current Liabilities</t>
  </si>
  <si>
    <t>Short Term Provisions</t>
  </si>
  <si>
    <t>Other Finance Liabilities</t>
  </si>
  <si>
    <t>Total</t>
  </si>
  <si>
    <t>Application Of Funds</t>
  </si>
  <si>
    <t>Long Term Assets</t>
  </si>
  <si>
    <t>Tangible Assets</t>
  </si>
  <si>
    <t>Intangible Assets</t>
  </si>
  <si>
    <t>Capital Work in Progress</t>
  </si>
  <si>
    <t>Intangible Assets Under Development</t>
  </si>
  <si>
    <t xml:space="preserve">Right to use of  assets </t>
  </si>
  <si>
    <t>Non-Current Investments</t>
  </si>
  <si>
    <t xml:space="preserve">no change fromhere </t>
  </si>
  <si>
    <t>Other Financial Assets</t>
  </si>
  <si>
    <t>Long Term Loans and Advances</t>
  </si>
  <si>
    <t>Other Non Current Assets</t>
  </si>
  <si>
    <t xml:space="preserve">Non  curerent tax </t>
  </si>
  <si>
    <t>Deferred  tax</t>
  </si>
  <si>
    <t>Current Assets</t>
  </si>
  <si>
    <t>Inventories</t>
  </si>
  <si>
    <t>Receivables</t>
  </si>
  <si>
    <t>Cash &amp; Bank Balances</t>
  </si>
  <si>
    <t>Loans &amp; Advances</t>
  </si>
  <si>
    <t>Other Current Assets</t>
  </si>
  <si>
    <t>Current Tax Asset</t>
  </si>
  <si>
    <t>Investments</t>
  </si>
  <si>
    <t>Asset  for sales</t>
  </si>
  <si>
    <t xml:space="preserve">Balance check  </t>
  </si>
  <si>
    <t>Capacity</t>
  </si>
  <si>
    <t>New Capacity</t>
  </si>
  <si>
    <t>Domestic</t>
  </si>
  <si>
    <t>Exports</t>
  </si>
  <si>
    <t>Capacity Utilization</t>
  </si>
  <si>
    <t>Growth in Domestic Sales</t>
  </si>
  <si>
    <t>Growth in Export Sales</t>
  </si>
  <si>
    <t>Growth in Total Sales</t>
  </si>
  <si>
    <t>Industry Data</t>
  </si>
  <si>
    <t>Domestic Sales</t>
  </si>
  <si>
    <t>Growth in Domestic Market</t>
  </si>
  <si>
    <t>Growth in Exports</t>
  </si>
  <si>
    <t>Market Share</t>
  </si>
  <si>
    <t>Overall</t>
  </si>
  <si>
    <t>Revenue Per Car</t>
  </si>
  <si>
    <t>Growth</t>
  </si>
  <si>
    <t>Cost Drivers</t>
  </si>
  <si>
    <t>Own Use Vehicles</t>
  </si>
  <si>
    <t>Cost Per Car</t>
  </si>
  <si>
    <t>Working Capital Assumptions</t>
  </si>
  <si>
    <t>Short Term Borrowings</t>
  </si>
  <si>
    <t>Revenue for Operations</t>
  </si>
  <si>
    <t>Working Capital as % of Sales</t>
  </si>
  <si>
    <t>Total Working Capital</t>
  </si>
  <si>
    <t>Change in net working capital</t>
  </si>
  <si>
    <t>Capex Schedule</t>
  </si>
  <si>
    <t>Tangible</t>
  </si>
  <si>
    <t>Intangible</t>
  </si>
  <si>
    <t>Assets per Car Capacity</t>
  </si>
  <si>
    <t>Capex on Account of New Capacity</t>
  </si>
  <si>
    <t>Capex on Account of Wear and Tear</t>
  </si>
  <si>
    <t>Total Capex</t>
  </si>
  <si>
    <t>Depreciation</t>
  </si>
  <si>
    <t>Depreciation as % of LY Net Fixed Assets</t>
  </si>
  <si>
    <t>Free Cash Flow (FCF)</t>
  </si>
  <si>
    <t>PAT (Net Profit)</t>
  </si>
  <si>
    <t>Add : Depreciation</t>
  </si>
  <si>
    <t>Add : Change in Debt</t>
  </si>
  <si>
    <t>Less : Change in working Capital</t>
  </si>
  <si>
    <t>Less : CAPEX</t>
  </si>
  <si>
    <t>Opening Cash</t>
  </si>
  <si>
    <t>Cash Flow</t>
  </si>
  <si>
    <t>Closing Cash</t>
  </si>
  <si>
    <t>Growth %</t>
  </si>
  <si>
    <t>Terminal Value</t>
  </si>
  <si>
    <t>Risk Free rate</t>
  </si>
  <si>
    <t>Beta</t>
  </si>
  <si>
    <t>Market Premium (MP)</t>
  </si>
  <si>
    <t>Disc Rate (CAPM)</t>
  </si>
  <si>
    <t>Cash growth %</t>
  </si>
  <si>
    <t>PV of cash</t>
  </si>
  <si>
    <t>Cash today</t>
  </si>
  <si>
    <t>Total EV (Equity value)</t>
  </si>
  <si>
    <t>No of Shares (Mn)</t>
  </si>
  <si>
    <t>Per share value</t>
  </si>
  <si>
    <t>Current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</si>
</sst>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₹]#,##0"/>
    <numFmt numFmtId="166" formatCode="0.0%"/>
  </numFmts>
  <fonts count="19">
    <font>
      <sz val="11"/>
      <color theme="1"/>
      <name val="Calibri"/>
      <family val="2"/>
      <scheme val="minor"/>
    </font>
    <font>
      <sz val="10"/>
      <color rgb="FF000000"/>
      <name val="Arial"/>
    </font>
    <font>
      <u/>
      <sz val="10"/>
      <color rgb="FF1054CA"/>
      <name val="Arial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rgb="FF2F75B5"/>
      <name val="Calibri"/>
    </font>
    <font>
      <sz val="10"/>
      <color theme="1"/>
      <name val="Calibri"/>
      <scheme val="minor"/>
    </font>
    <font>
      <sz val="11"/>
      <color rgb="FF606F7B"/>
      <name val="Calibri"/>
    </font>
    <font>
      <sz val="11"/>
      <color rgb="FF22222F"/>
      <name val="&quot;Inter var&quot;"/>
    </font>
    <font>
      <sz val="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FF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5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3" fontId="7" fillId="3" borderId="5" xfId="0" applyNumberFormat="1" applyFont="1" applyFill="1" applyBorder="1"/>
    <xf numFmtId="9" fontId="4" fillId="0" borderId="5" xfId="0" applyNumberFormat="1" applyFont="1" applyBorder="1" applyAlignment="1">
      <alignment horizontal="center"/>
    </xf>
    <xf numFmtId="0" fontId="7" fillId="3" borderId="5" xfId="0" applyFont="1" applyFill="1" applyBorder="1"/>
    <xf numFmtId="1" fontId="7" fillId="3" borderId="5" xfId="0" applyNumberFormat="1" applyFont="1" applyFill="1" applyBorder="1"/>
    <xf numFmtId="0" fontId="7" fillId="4" borderId="5" xfId="0" applyFont="1" applyFill="1" applyBorder="1"/>
    <xf numFmtId="10" fontId="8" fillId="0" borderId="0" xfId="0" applyNumberFormat="1" applyFont="1" applyAlignment="1">
      <alignment vertical="center"/>
    </xf>
    <xf numFmtId="0" fontId="7" fillId="5" borderId="5" xfId="0" applyFont="1" applyFill="1" applyBorder="1"/>
    <xf numFmtId="3" fontId="7" fillId="3" borderId="5" xfId="0" applyNumberFormat="1" applyFont="1" applyFill="1" applyBorder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7" fillId="0" borderId="0" xfId="0" applyFont="1"/>
    <xf numFmtId="10" fontId="3" fillId="0" borderId="2" xfId="0" applyNumberFormat="1" applyFont="1" applyBorder="1" applyAlignment="1">
      <alignment horizontal="right"/>
    </xf>
    <xf numFmtId="10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/>
    <xf numFmtId="0" fontId="3" fillId="0" borderId="5" xfId="0" applyFont="1" applyBorder="1"/>
    <xf numFmtId="9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4" fontId="9" fillId="0" borderId="0" xfId="0" applyNumberFormat="1" applyFont="1" applyAlignment="1">
      <alignment horizontal="right" vertical="center"/>
    </xf>
    <xf numFmtId="4" fontId="9" fillId="3" borderId="0" xfId="0" applyNumberFormat="1" applyFont="1" applyFill="1" applyAlignment="1">
      <alignment horizontal="right" vertical="center"/>
    </xf>
    <xf numFmtId="3" fontId="7" fillId="5" borderId="5" xfId="0" applyNumberFormat="1" applyFont="1" applyFill="1" applyBorder="1"/>
    <xf numFmtId="164" fontId="10" fillId="3" borderId="0" xfId="0" applyNumberFormat="1" applyFont="1" applyFill="1" applyAlignment="1">
      <alignment horizontal="right" vertical="center"/>
    </xf>
    <xf numFmtId="164" fontId="3" fillId="3" borderId="5" xfId="0" applyNumberFormat="1" applyFont="1" applyFill="1" applyBorder="1"/>
    <xf numFmtId="3" fontId="3" fillId="0" borderId="5" xfId="0" applyNumberFormat="1" applyFont="1" applyBorder="1"/>
    <xf numFmtId="0" fontId="3" fillId="0" borderId="2" xfId="0" applyFont="1" applyBorder="1"/>
    <xf numFmtId="9" fontId="3" fillId="3" borderId="2" xfId="0" applyNumberFormat="1" applyFont="1" applyFill="1" applyBorder="1" applyAlignment="1">
      <alignment horizontal="right"/>
    </xf>
    <xf numFmtId="10" fontId="3" fillId="3" borderId="5" xfId="0" applyNumberFormat="1" applyFont="1" applyFill="1" applyBorder="1" applyAlignment="1">
      <alignment horizontal="right"/>
    </xf>
    <xf numFmtId="165" fontId="3" fillId="0" borderId="5" xfId="0" applyNumberFormat="1" applyFont="1" applyBorder="1"/>
    <xf numFmtId="0" fontId="11" fillId="0" borderId="0" xfId="0" applyFont="1"/>
    <xf numFmtId="0" fontId="12" fillId="6" borderId="1" xfId="0" applyFont="1" applyFill="1" applyBorder="1"/>
    <xf numFmtId="0" fontId="12" fillId="7" borderId="1" xfId="0" applyFont="1" applyFill="1" applyBorder="1"/>
    <xf numFmtId="0" fontId="12" fillId="0" borderId="6" xfId="0" applyFont="1" applyBorder="1"/>
    <xf numFmtId="0" fontId="13" fillId="0" borderId="0" xfId="0" applyFont="1"/>
    <xf numFmtId="3" fontId="1" fillId="0" borderId="0" xfId="0" applyNumberFormat="1" applyFont="1"/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6" xfId="0" applyFont="1" applyBorder="1"/>
    <xf numFmtId="0" fontId="12" fillId="0" borderId="7" xfId="0" applyFont="1" applyBorder="1"/>
    <xf numFmtId="3" fontId="14" fillId="0" borderId="4" xfId="0" applyNumberFormat="1" applyFont="1" applyBorder="1"/>
    <xf numFmtId="3" fontId="1" fillId="0" borderId="4" xfId="0" applyNumberFormat="1" applyFont="1" applyBorder="1"/>
    <xf numFmtId="3" fontId="8" fillId="0" borderId="0" xfId="0" applyNumberFormat="1" applyFont="1" applyAlignment="1">
      <alignment vertical="center"/>
    </xf>
    <xf numFmtId="0" fontId="15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/>
    <xf numFmtId="0" fontId="8" fillId="9" borderId="0" xfId="0" applyFont="1" applyFill="1" applyAlignment="1">
      <alignment vertical="center"/>
    </xf>
    <xf numFmtId="0" fontId="16" fillId="0" borderId="4" xfId="0" applyFont="1" applyBorder="1" applyAlignment="1">
      <alignment vertical="center"/>
    </xf>
    <xf numFmtId="3" fontId="16" fillId="0" borderId="4" xfId="0" applyNumberFormat="1" applyFont="1" applyBorder="1" applyAlignment="1">
      <alignment vertical="center"/>
    </xf>
    <xf numFmtId="1" fontId="16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3" fontId="15" fillId="8" borderId="0" xfId="0" applyNumberFormat="1" applyFont="1" applyFill="1" applyAlignment="1">
      <alignment vertical="center"/>
    </xf>
    <xf numFmtId="3" fontId="15" fillId="0" borderId="0" xfId="0" applyNumberFormat="1" applyFont="1" applyAlignment="1">
      <alignment vertical="center"/>
    </xf>
    <xf numFmtId="3" fontId="8" fillId="9" borderId="0" xfId="0" applyNumberFormat="1" applyFont="1" applyFill="1" applyAlignment="1">
      <alignment vertical="center"/>
    </xf>
    <xf numFmtId="3" fontId="17" fillId="0" borderId="0" xfId="0" applyNumberFormat="1" applyFont="1" applyAlignment="1">
      <alignment horizontal="right"/>
    </xf>
    <xf numFmtId="3" fontId="16" fillId="0" borderId="0" xfId="0" applyNumberFormat="1" applyFont="1" applyAlignment="1">
      <alignment vertical="center"/>
    </xf>
    <xf numFmtId="166" fontId="8" fillId="0" borderId="0" xfId="0" applyNumberFormat="1" applyFont="1" applyAlignment="1">
      <alignment vertical="center"/>
    </xf>
    <xf numFmtId="166" fontId="13" fillId="0" borderId="0" xfId="0" applyNumberFormat="1" applyFont="1"/>
    <xf numFmtId="9" fontId="8" fillId="0" borderId="0" xfId="0" applyNumberFormat="1" applyFont="1" applyAlignment="1">
      <alignment vertical="center"/>
    </xf>
    <xf numFmtId="0" fontId="12" fillId="0" borderId="4" xfId="0" applyFont="1" applyBorder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company/MARUTI/consolid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9CEE-3E7F-4EC3-AF47-C91A0099261A}">
  <dimension ref="A1:L1000"/>
  <sheetViews>
    <sheetView workbookViewId="0">
      <selection activeCell="H29" sqref="H29"/>
    </sheetView>
  </sheetViews>
  <sheetFormatPr defaultColWidth="12.6640625" defaultRowHeight="14.4"/>
  <cols>
    <col min="1" max="1" width="31.33203125" style="3" customWidth="1"/>
    <col min="2" max="2" width="11.77734375" style="3" customWidth="1"/>
    <col min="3" max="6" width="11" style="3" customWidth="1"/>
    <col min="7" max="7" width="9.109375" style="3" customWidth="1"/>
    <col min="8" max="26" width="10.44140625" style="3" customWidth="1"/>
    <col min="27" max="16384" width="12.6640625" style="3"/>
  </cols>
  <sheetData>
    <row r="1" spans="1:12" ht="15.75" customHeight="1">
      <c r="A1" s="1" t="s">
        <v>0</v>
      </c>
      <c r="B1" s="2" t="s">
        <v>1</v>
      </c>
    </row>
    <row r="2" spans="1:12" ht="15.75" customHeight="1"/>
    <row r="3" spans="1:12" ht="15.75" customHeight="1">
      <c r="A3" s="4"/>
      <c r="B3" s="5">
        <v>2020</v>
      </c>
      <c r="C3" s="5">
        <f t="shared" ref="C3:F3" si="0">B3+1</f>
        <v>2021</v>
      </c>
      <c r="D3" s="5">
        <f t="shared" si="0"/>
        <v>2022</v>
      </c>
      <c r="E3" s="5">
        <f t="shared" si="0"/>
        <v>2023</v>
      </c>
      <c r="F3" s="5">
        <f t="shared" si="0"/>
        <v>2024</v>
      </c>
      <c r="G3" s="6" t="s">
        <v>2</v>
      </c>
    </row>
    <row r="4" spans="1:12" ht="15.75" customHeight="1">
      <c r="A4" s="7"/>
      <c r="B4" s="8" t="s">
        <v>3</v>
      </c>
      <c r="C4" s="9"/>
      <c r="D4" s="9"/>
      <c r="E4" s="9"/>
      <c r="F4" s="10"/>
      <c r="G4" s="11"/>
    </row>
    <row r="5" spans="1:12" ht="15.75" customHeight="1">
      <c r="A5" s="7" t="s">
        <v>4</v>
      </c>
      <c r="B5" s="12">
        <v>75660</v>
      </c>
      <c r="C5" s="12">
        <v>70372</v>
      </c>
      <c r="D5" s="12">
        <v>88330</v>
      </c>
      <c r="E5" s="12">
        <v>118410</v>
      </c>
      <c r="F5" s="12">
        <v>141858</v>
      </c>
      <c r="G5" s="13">
        <f t="shared" ref="G5:G11" si="1">(F5/B5)^(1/5)-1</f>
        <v>0.13395938346353597</v>
      </c>
    </row>
    <row r="6" spans="1:12" ht="15.75" customHeight="1">
      <c r="A6" s="7" t="s">
        <v>5</v>
      </c>
      <c r="B6" s="12">
        <v>7355</v>
      </c>
      <c r="C6" s="12">
        <v>5411</v>
      </c>
      <c r="D6" s="12">
        <v>5752</v>
      </c>
      <c r="E6" s="12">
        <v>13122</v>
      </c>
      <c r="F6" s="12">
        <v>18626</v>
      </c>
      <c r="G6" s="13">
        <f t="shared" si="1"/>
        <v>0.20422429372888895</v>
      </c>
    </row>
    <row r="7" spans="1:12" ht="15.75" customHeight="1">
      <c r="A7" s="7" t="s">
        <v>6</v>
      </c>
      <c r="B7" s="14">
        <v>134</v>
      </c>
      <c r="C7" s="14">
        <v>102</v>
      </c>
      <c r="D7" s="14">
        <v>127</v>
      </c>
      <c r="E7" s="15">
        <v>252</v>
      </c>
      <c r="F7" s="14">
        <v>194</v>
      </c>
      <c r="G7" s="13">
        <f t="shared" si="1"/>
        <v>7.681075934691739E-2</v>
      </c>
    </row>
    <row r="8" spans="1:12" ht="15.75" customHeight="1">
      <c r="A8" s="7" t="s">
        <v>7</v>
      </c>
      <c r="B8" s="12">
        <v>5678</v>
      </c>
      <c r="C8" s="12">
        <v>4389</v>
      </c>
      <c r="D8" s="12">
        <v>3880</v>
      </c>
      <c r="E8" s="12">
        <v>8264</v>
      </c>
      <c r="F8" s="12">
        <v>13488</v>
      </c>
      <c r="G8" s="13">
        <f t="shared" si="1"/>
        <v>0.1889139800712234</v>
      </c>
    </row>
    <row r="9" spans="1:12" ht="15.75" customHeight="1">
      <c r="A9" s="7" t="s">
        <v>8</v>
      </c>
      <c r="B9" s="16" t="s">
        <v>9</v>
      </c>
      <c r="C9" s="16" t="s">
        <v>9</v>
      </c>
      <c r="D9" s="16" t="s">
        <v>9</v>
      </c>
      <c r="E9" s="16" t="s">
        <v>9</v>
      </c>
      <c r="F9" s="16" t="s">
        <v>9</v>
      </c>
      <c r="G9" s="13" t="e">
        <f t="shared" si="1"/>
        <v>#VALUE!</v>
      </c>
    </row>
    <row r="10" spans="1:12" ht="15.75" customHeight="1">
      <c r="A10" s="7" t="s">
        <v>10</v>
      </c>
      <c r="B10" s="16" t="s">
        <v>9</v>
      </c>
      <c r="C10" s="16" t="s">
        <v>9</v>
      </c>
      <c r="D10" s="16" t="s">
        <v>9</v>
      </c>
      <c r="E10" s="16" t="s">
        <v>9</v>
      </c>
      <c r="F10" s="16" t="s">
        <v>9</v>
      </c>
      <c r="G10" s="13" t="e">
        <f t="shared" si="1"/>
        <v>#VALUE!</v>
      </c>
    </row>
    <row r="11" spans="1:12" ht="15.75" customHeight="1">
      <c r="A11" s="7" t="s">
        <v>11</v>
      </c>
      <c r="B11" s="12">
        <v>3496</v>
      </c>
      <c r="C11" s="12">
        <v>8856</v>
      </c>
      <c r="D11" s="12">
        <v>1840</v>
      </c>
      <c r="E11" s="12">
        <v>10815</v>
      </c>
      <c r="F11" s="12">
        <v>16801</v>
      </c>
      <c r="G11" s="13">
        <f t="shared" si="1"/>
        <v>0.36884017012646186</v>
      </c>
      <c r="L11" s="17"/>
    </row>
    <row r="12" spans="1:12" ht="15.75" customHeight="1">
      <c r="A12" s="7"/>
      <c r="B12" s="18"/>
      <c r="C12" s="18"/>
      <c r="D12" s="18"/>
      <c r="E12" s="18"/>
      <c r="F12" s="18"/>
      <c r="G12" s="11"/>
    </row>
    <row r="13" spans="1:12" ht="15.75" customHeight="1">
      <c r="A13" s="7" t="s">
        <v>12</v>
      </c>
      <c r="B13" s="19">
        <v>49413</v>
      </c>
      <c r="C13" s="19">
        <v>52501</v>
      </c>
      <c r="D13" s="19">
        <v>55334</v>
      </c>
      <c r="E13" s="19">
        <v>74600</v>
      </c>
      <c r="F13" s="19">
        <v>85636</v>
      </c>
      <c r="G13" s="13">
        <f t="shared" ref="G13:G15" si="2">(F13/B13)^(1/5)-1</f>
        <v>0.11625400555265197</v>
      </c>
    </row>
    <row r="14" spans="1:12" ht="15.75" customHeight="1">
      <c r="A14" s="7" t="s">
        <v>13</v>
      </c>
      <c r="B14" s="19">
        <v>2890</v>
      </c>
      <c r="C14" s="19">
        <v>2662</v>
      </c>
      <c r="D14" s="19">
        <v>2157</v>
      </c>
      <c r="E14" s="19">
        <v>2739</v>
      </c>
      <c r="F14" s="19">
        <v>3716</v>
      </c>
      <c r="G14" s="13">
        <f t="shared" si="2"/>
        <v>5.1563667733926621E-2</v>
      </c>
    </row>
    <row r="15" spans="1:12" ht="15.75" customHeight="1">
      <c r="A15" s="7" t="s">
        <v>14</v>
      </c>
      <c r="B15" s="19">
        <v>15744</v>
      </c>
      <c r="C15" s="19">
        <v>14989</v>
      </c>
      <c r="D15" s="19">
        <v>13747</v>
      </c>
      <c r="E15" s="19">
        <v>27941</v>
      </c>
      <c r="F15" s="19">
        <v>27865</v>
      </c>
      <c r="G15" s="13">
        <f t="shared" si="2"/>
        <v>0.12095658681128274</v>
      </c>
    </row>
    <row r="16" spans="1:12" ht="15.75" customHeight="1">
      <c r="A16" s="20"/>
      <c r="B16" s="21"/>
      <c r="C16" s="22"/>
      <c r="D16" s="20"/>
      <c r="E16" s="20"/>
      <c r="F16" s="20"/>
      <c r="G16" s="20"/>
    </row>
    <row r="17" spans="1:7" ht="15.75" customHeight="1">
      <c r="A17" s="20"/>
      <c r="B17" s="20"/>
      <c r="C17" s="22"/>
      <c r="D17" s="20"/>
      <c r="E17" s="20"/>
      <c r="F17" s="20"/>
      <c r="G17" s="20"/>
    </row>
    <row r="18" spans="1:7" ht="15.75" customHeight="1">
      <c r="A18" s="4" t="s">
        <v>15</v>
      </c>
      <c r="B18" s="23">
        <f t="shared" ref="B18:F18" si="3">B6/B5</f>
        <v>9.7211208035950306E-2</v>
      </c>
      <c r="C18" s="23">
        <f t="shared" si="3"/>
        <v>7.6891377252316262E-2</v>
      </c>
      <c r="D18" s="23">
        <f t="shared" si="3"/>
        <v>6.5119438469376206E-2</v>
      </c>
      <c r="E18" s="23">
        <f t="shared" si="3"/>
        <v>0.1108183430453509</v>
      </c>
      <c r="F18" s="23">
        <f t="shared" si="3"/>
        <v>0.13130031439890594</v>
      </c>
      <c r="G18" s="20"/>
    </row>
    <row r="19" spans="1:7" ht="15.75" customHeight="1">
      <c r="A19" s="7" t="s">
        <v>16</v>
      </c>
      <c r="B19" s="24">
        <f t="shared" ref="B19:F19" si="4">B8/B5</f>
        <v>7.5046259582342054E-2</v>
      </c>
      <c r="C19" s="24">
        <f t="shared" si="4"/>
        <v>6.236855567555278E-2</v>
      </c>
      <c r="D19" s="24">
        <f t="shared" si="4"/>
        <v>4.3926185893807312E-2</v>
      </c>
      <c r="E19" s="24">
        <f t="shared" si="4"/>
        <v>6.9791402753145854E-2</v>
      </c>
      <c r="F19" s="24">
        <f t="shared" si="4"/>
        <v>9.5080996489447192E-2</v>
      </c>
      <c r="G19" s="20"/>
    </row>
    <row r="20" spans="1:7" ht="15.75" customHeight="1">
      <c r="A20" s="7" t="s">
        <v>17</v>
      </c>
      <c r="B20" s="25">
        <f t="shared" ref="B20:F20" si="5">B11/B7</f>
        <v>26.089552238805972</v>
      </c>
      <c r="C20" s="25">
        <f t="shared" si="5"/>
        <v>86.82352941176471</v>
      </c>
      <c r="D20" s="25">
        <f t="shared" si="5"/>
        <v>14.488188976377952</v>
      </c>
      <c r="E20" s="25">
        <f t="shared" si="5"/>
        <v>42.916666666666664</v>
      </c>
      <c r="F20" s="25">
        <f t="shared" si="5"/>
        <v>86.603092783505161</v>
      </c>
      <c r="G20" s="20"/>
    </row>
    <row r="21" spans="1:7" ht="15.75" customHeight="1">
      <c r="A21" s="7" t="s">
        <v>18</v>
      </c>
      <c r="B21" s="25">
        <f t="shared" ref="B21:F21" si="6">B6/B7</f>
        <v>54.888059701492537</v>
      </c>
      <c r="C21" s="25">
        <f t="shared" si="6"/>
        <v>53.049019607843135</v>
      </c>
      <c r="D21" s="25">
        <f t="shared" si="6"/>
        <v>45.291338582677163</v>
      </c>
      <c r="E21" s="25">
        <f t="shared" si="6"/>
        <v>52.071428571428569</v>
      </c>
      <c r="F21" s="25">
        <f t="shared" si="6"/>
        <v>96.010309278350519</v>
      </c>
      <c r="G21" s="20"/>
    </row>
    <row r="22" spans="1:7" ht="15.75" customHeight="1">
      <c r="A22" s="7" t="s">
        <v>19</v>
      </c>
      <c r="B22" s="25">
        <f t="shared" ref="B22:F22" si="7">B14/B13</f>
        <v>5.848663307226843E-2</v>
      </c>
      <c r="C22" s="25">
        <f t="shared" si="7"/>
        <v>5.0703796118169178E-2</v>
      </c>
      <c r="D22" s="25">
        <f t="shared" si="7"/>
        <v>3.898145805472223E-2</v>
      </c>
      <c r="E22" s="25">
        <f t="shared" si="7"/>
        <v>3.6715817694369976E-2</v>
      </c>
      <c r="F22" s="25">
        <f t="shared" si="7"/>
        <v>4.3392965575225373E-2</v>
      </c>
      <c r="G22" s="20"/>
    </row>
    <row r="23" spans="1:7" ht="15.75" customHeight="1">
      <c r="A23" s="7"/>
      <c r="B23" s="26"/>
      <c r="C23" s="26"/>
      <c r="D23" s="26"/>
      <c r="E23" s="26"/>
      <c r="F23" s="26"/>
      <c r="G23" s="20"/>
    </row>
    <row r="24" spans="1:7" ht="15.75" customHeight="1">
      <c r="A24" s="7" t="s">
        <v>20</v>
      </c>
      <c r="B24" s="27">
        <f t="shared" ref="B24:F24" si="8">B8/B13</f>
        <v>0.11490903203610386</v>
      </c>
      <c r="C24" s="27">
        <f t="shared" si="8"/>
        <v>8.3598407649378106E-2</v>
      </c>
      <c r="D24" s="27">
        <f t="shared" si="8"/>
        <v>7.0119637112805874E-2</v>
      </c>
      <c r="E24" s="27">
        <f t="shared" si="8"/>
        <v>0.11077747989276139</v>
      </c>
      <c r="F24" s="27">
        <f t="shared" si="8"/>
        <v>0.15750385351954785</v>
      </c>
      <c r="G24" s="20"/>
    </row>
    <row r="25" spans="1:7" ht="15.75" customHeight="1">
      <c r="A25" s="7" t="s">
        <v>21</v>
      </c>
      <c r="B25" s="27">
        <f t="shared" ref="B25:F25" si="9">B6/SUM(B13:B14)</f>
        <v>0.14062290881976178</v>
      </c>
      <c r="C25" s="27">
        <f t="shared" si="9"/>
        <v>9.8091111795950189E-2</v>
      </c>
      <c r="D25" s="27">
        <f t="shared" si="9"/>
        <v>0.10005044267798438</v>
      </c>
      <c r="E25" s="27">
        <f t="shared" si="9"/>
        <v>0.16966860186969057</v>
      </c>
      <c r="F25" s="27">
        <f t="shared" si="9"/>
        <v>0.20845644193750559</v>
      </c>
      <c r="G25" s="20"/>
    </row>
    <row r="26" spans="1:7" ht="15.75" customHeight="1">
      <c r="A26" s="7" t="s">
        <v>22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0"/>
    </row>
    <row r="27" spans="1:7" ht="15.75" customHeight="1">
      <c r="A27" s="7" t="s">
        <v>23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0"/>
    </row>
    <row r="28" spans="1:7" ht="15.75" customHeight="1">
      <c r="A28" s="7"/>
      <c r="B28" s="26"/>
      <c r="C28" s="26"/>
      <c r="D28" s="26"/>
      <c r="E28" s="26"/>
      <c r="F28" s="26"/>
      <c r="G28" s="20"/>
    </row>
    <row r="29" spans="1:7" ht="15.75" customHeight="1">
      <c r="A29" s="7"/>
      <c r="B29" s="26"/>
      <c r="C29" s="26"/>
      <c r="D29" s="26"/>
      <c r="E29" s="26"/>
      <c r="F29" s="26"/>
      <c r="G29" s="20"/>
    </row>
    <row r="30" spans="1:7" ht="15.75" customHeight="1">
      <c r="A30" s="7" t="s">
        <v>16</v>
      </c>
      <c r="B30" s="24">
        <f t="shared" ref="B30:F30" si="10">B19</f>
        <v>7.5046259582342054E-2</v>
      </c>
      <c r="C30" s="24">
        <f t="shared" si="10"/>
        <v>6.236855567555278E-2</v>
      </c>
      <c r="D30" s="24">
        <f t="shared" si="10"/>
        <v>4.3926185893807312E-2</v>
      </c>
      <c r="E30" s="24">
        <f t="shared" si="10"/>
        <v>6.9791402753145854E-2</v>
      </c>
      <c r="F30" s="24">
        <f t="shared" si="10"/>
        <v>9.5080996489447192E-2</v>
      </c>
      <c r="G30" s="20"/>
    </row>
    <row r="31" spans="1:7" ht="15.75" customHeight="1">
      <c r="A31" s="7" t="s">
        <v>24</v>
      </c>
      <c r="B31" s="25">
        <f t="shared" ref="B31:F31" si="11">B5/B15</f>
        <v>4.805640243902439</v>
      </c>
      <c r="C31" s="25">
        <f t="shared" si="11"/>
        <v>4.6949096003736077</v>
      </c>
      <c r="D31" s="25">
        <f t="shared" si="11"/>
        <v>6.4254019058703715</v>
      </c>
      <c r="E31" s="25">
        <f t="shared" si="11"/>
        <v>4.2378583443684912</v>
      </c>
      <c r="F31" s="25">
        <f t="shared" si="11"/>
        <v>5.0909025659429394</v>
      </c>
      <c r="G31" s="20"/>
    </row>
    <row r="32" spans="1:7" ht="15.75" customHeight="1">
      <c r="A32" s="7" t="s">
        <v>25</v>
      </c>
      <c r="B32" s="25">
        <f t="shared" ref="B32:F32" si="12">B15/B13</f>
        <v>0.31862060591342362</v>
      </c>
      <c r="C32" s="25">
        <f t="shared" si="12"/>
        <v>0.28549932382240339</v>
      </c>
      <c r="D32" s="25">
        <f t="shared" si="12"/>
        <v>0.24843676582209853</v>
      </c>
      <c r="E32" s="25">
        <f t="shared" si="12"/>
        <v>0.37454423592493297</v>
      </c>
      <c r="F32" s="25">
        <f t="shared" si="12"/>
        <v>0.32538885515437432</v>
      </c>
      <c r="G32" s="20"/>
    </row>
    <row r="33" spans="1:10" ht="15.75" customHeight="1">
      <c r="A33" s="7" t="s">
        <v>26</v>
      </c>
      <c r="B33" s="27">
        <f t="shared" ref="B33:F33" si="13">B30*B31*B32</f>
        <v>0.11490903203610386</v>
      </c>
      <c r="C33" s="27">
        <f t="shared" si="13"/>
        <v>8.3598407649378134E-2</v>
      </c>
      <c r="D33" s="27">
        <f t="shared" si="13"/>
        <v>7.011963711280586E-2</v>
      </c>
      <c r="E33" s="27">
        <f t="shared" si="13"/>
        <v>0.1107774798927614</v>
      </c>
      <c r="F33" s="27">
        <f t="shared" si="13"/>
        <v>0.15750385351954785</v>
      </c>
      <c r="G33" s="20"/>
    </row>
    <row r="34" spans="1:10" ht="15.75" customHeight="1">
      <c r="A34" s="20"/>
      <c r="B34" s="20"/>
      <c r="C34" s="20"/>
      <c r="D34" s="20"/>
      <c r="E34" s="20"/>
      <c r="F34" s="20"/>
      <c r="G34" s="20"/>
    </row>
    <row r="35" spans="1:10" ht="15.75" customHeight="1">
      <c r="A35" s="4" t="s">
        <v>27</v>
      </c>
      <c r="B35" s="29">
        <v>5</v>
      </c>
      <c r="C35" s="20"/>
      <c r="D35" s="20"/>
      <c r="E35" s="20"/>
      <c r="F35" s="20"/>
      <c r="G35" s="20"/>
      <c r="J35" s="30"/>
    </row>
    <row r="36" spans="1:10" ht="15.75" customHeight="1">
      <c r="A36" s="7" t="s">
        <v>28</v>
      </c>
      <c r="B36" s="31">
        <v>408566</v>
      </c>
      <c r="C36" s="20"/>
      <c r="D36" s="20"/>
      <c r="E36" s="20"/>
      <c r="F36" s="20"/>
      <c r="G36" s="20"/>
    </row>
    <row r="37" spans="1:10" ht="15.75" customHeight="1">
      <c r="A37" s="7" t="s">
        <v>29</v>
      </c>
      <c r="B37" s="32">
        <f>F8*(1+G8)</f>
        <v>16036.071763200662</v>
      </c>
      <c r="C37" s="20"/>
      <c r="D37" s="20"/>
      <c r="E37" s="20"/>
      <c r="F37" s="20"/>
      <c r="G37" s="20"/>
    </row>
    <row r="38" spans="1:10" ht="15.75" customHeight="1">
      <c r="A38" s="7" t="s">
        <v>30</v>
      </c>
      <c r="B38" s="33">
        <v>28.2</v>
      </c>
      <c r="C38" s="20"/>
      <c r="D38" s="20"/>
      <c r="E38" s="20"/>
      <c r="F38" s="20"/>
      <c r="G38" s="20"/>
    </row>
    <row r="39" spans="1:10" ht="15.75" customHeight="1">
      <c r="A39" s="7"/>
      <c r="B39" s="26"/>
      <c r="C39" s="20"/>
      <c r="D39" s="20"/>
      <c r="E39" s="20"/>
      <c r="F39" s="20"/>
      <c r="G39" s="20"/>
    </row>
    <row r="40" spans="1:10" ht="15.75" customHeight="1">
      <c r="A40" s="7" t="s">
        <v>31</v>
      </c>
      <c r="B40" s="34">
        <f>B38</f>
        <v>28.2</v>
      </c>
      <c r="C40" s="20"/>
      <c r="D40" s="20"/>
      <c r="E40" s="20"/>
      <c r="F40" s="20"/>
      <c r="G40" s="20"/>
    </row>
    <row r="41" spans="1:10" ht="15.75" customHeight="1">
      <c r="A41" s="7" t="s">
        <v>32</v>
      </c>
      <c r="B41" s="35">
        <f>F5*(1+G41)^3</f>
        <v>204686.48262599992</v>
      </c>
      <c r="C41" s="20"/>
      <c r="D41" s="4" t="s">
        <v>33</v>
      </c>
      <c r="E41" s="36"/>
      <c r="F41" s="36"/>
      <c r="G41" s="37">
        <v>0.13</v>
      </c>
    </row>
    <row r="42" spans="1:10" ht="15.75" customHeight="1">
      <c r="A42" s="7" t="s">
        <v>34</v>
      </c>
      <c r="B42" s="38">
        <v>0.1</v>
      </c>
      <c r="C42" s="20"/>
      <c r="D42" s="20"/>
      <c r="E42" s="20"/>
      <c r="F42" s="20"/>
      <c r="G42" s="20"/>
    </row>
    <row r="43" spans="1:10" ht="15.75" customHeight="1">
      <c r="A43" s="7" t="s">
        <v>35</v>
      </c>
      <c r="B43" s="35">
        <f>B41*B42</f>
        <v>20468.648262599992</v>
      </c>
      <c r="C43" s="20"/>
      <c r="D43" s="20"/>
      <c r="E43" s="20"/>
      <c r="F43" s="20"/>
      <c r="G43" s="20"/>
    </row>
    <row r="44" spans="1:10" ht="15.75" customHeight="1">
      <c r="A44" s="7" t="s">
        <v>36</v>
      </c>
      <c r="B44" s="39">
        <f>B43*B40</f>
        <v>577215.88100531977</v>
      </c>
      <c r="C44" s="20"/>
      <c r="D44" s="20"/>
      <c r="E44" s="20"/>
      <c r="F44" s="20"/>
      <c r="G44" s="20"/>
    </row>
    <row r="45" spans="1:10" ht="15.75" customHeight="1">
      <c r="A45" s="20"/>
      <c r="B45" s="20"/>
      <c r="C45" s="20"/>
      <c r="D45" s="20"/>
      <c r="E45" s="20"/>
      <c r="F45" s="20"/>
      <c r="G45" s="20"/>
    </row>
    <row r="46" spans="1:10" ht="15.75" customHeight="1">
      <c r="A46" s="4" t="s">
        <v>37</v>
      </c>
      <c r="B46" s="23">
        <f>(B44/B36)-1</f>
        <v>0.41278491358879532</v>
      </c>
      <c r="C46" s="36"/>
      <c r="D46" s="36"/>
      <c r="E46" s="36"/>
      <c r="F46" s="36"/>
      <c r="G46" s="36"/>
    </row>
    <row r="47" spans="1:10" ht="15.75" customHeight="1"/>
    <row r="48" spans="1:10" ht="15.75" customHeight="1"/>
    <row r="49" s="3" customFormat="1" ht="15.75" customHeight="1"/>
    <row r="50" s="3" customFormat="1" ht="15.75" customHeight="1"/>
    <row r="51" s="3" customFormat="1" ht="15.75" customHeight="1"/>
    <row r="52" s="3" customFormat="1" ht="15.75" customHeight="1"/>
    <row r="53" s="3" customFormat="1" ht="15.75" customHeight="1"/>
    <row r="54" s="3" customFormat="1" ht="15.75" customHeight="1"/>
    <row r="55" s="3" customFormat="1" ht="15.75" customHeight="1"/>
    <row r="56" s="3" customFormat="1" ht="15.75" customHeight="1"/>
    <row r="57" s="3" customFormat="1" ht="15.75" customHeight="1"/>
    <row r="58" s="3" customFormat="1" ht="15.75" customHeight="1"/>
    <row r="59" s="3" customFormat="1" ht="15.75" customHeight="1"/>
    <row r="60" s="3" customFormat="1" ht="15.75" customHeight="1"/>
    <row r="61" s="3" customFormat="1" ht="15.75" customHeight="1"/>
    <row r="62" s="3" customFormat="1" ht="15.75" customHeight="1"/>
    <row r="63" s="3" customFormat="1" ht="15.75" customHeight="1"/>
    <row r="64" s="3" customFormat="1" ht="15.75" customHeight="1"/>
    <row r="65" s="3" customFormat="1" ht="15.75" customHeight="1"/>
    <row r="66" s="3" customFormat="1" ht="15.75" customHeight="1"/>
    <row r="67" s="3" customFormat="1" ht="15.75" customHeight="1"/>
    <row r="68" s="3" customFormat="1" ht="15.75" customHeight="1"/>
    <row r="69" s="3" customFormat="1" ht="15.75" customHeight="1"/>
    <row r="70" s="3" customFormat="1" ht="15.75" customHeight="1"/>
    <row r="71" s="3" customFormat="1" ht="15.75" customHeight="1"/>
    <row r="72" s="3" customFormat="1" ht="15.75" customHeight="1"/>
    <row r="73" s="3" customFormat="1" ht="15.75" customHeight="1"/>
    <row r="74" s="3" customFormat="1" ht="15.75" customHeight="1"/>
    <row r="75" s="3" customFormat="1" ht="15.75" customHeight="1"/>
    <row r="76" s="3" customFormat="1" ht="15.75" customHeight="1"/>
    <row r="77" s="3" customFormat="1" ht="15.75" customHeight="1"/>
    <row r="78" s="3" customFormat="1" ht="15.75" customHeight="1"/>
    <row r="79" s="3" customFormat="1" ht="15.75" customHeight="1"/>
    <row r="80" s="3" customFormat="1" ht="15.75" customHeight="1"/>
    <row r="81" s="3" customFormat="1" ht="15.75" customHeight="1"/>
    <row r="82" s="3" customFormat="1" ht="15.75" customHeight="1"/>
    <row r="83" s="3" customFormat="1" ht="15.75" customHeight="1"/>
    <row r="84" s="3" customFormat="1" ht="15.75" customHeight="1"/>
    <row r="85" s="3" customFormat="1" ht="15.75" customHeight="1"/>
    <row r="86" s="3" customFormat="1" ht="15.75" customHeight="1"/>
    <row r="87" s="3" customFormat="1" ht="15.75" customHeight="1"/>
    <row r="88" s="3" customFormat="1" ht="15.75" customHeight="1"/>
    <row r="89" s="3" customFormat="1" ht="15.75" customHeight="1"/>
    <row r="90" s="3" customFormat="1" ht="15.75" customHeight="1"/>
    <row r="91" s="3" customFormat="1" ht="15.75" customHeight="1"/>
    <row r="92" s="3" customFormat="1" ht="15.75" customHeight="1"/>
    <row r="93" s="3" customFormat="1" ht="15.75" customHeight="1"/>
    <row r="94" s="3" customFormat="1" ht="15.75" customHeight="1"/>
    <row r="95" s="3" customFormat="1" ht="15.75" customHeight="1"/>
    <row r="96" s="3" customFormat="1" ht="15.75" customHeight="1"/>
    <row r="97" s="3" customFormat="1" ht="15.75" customHeight="1"/>
    <row r="98" s="3" customFormat="1" ht="15.75" customHeight="1"/>
    <row r="99" s="3" customFormat="1" ht="15.75" customHeight="1"/>
    <row r="100" s="3" customFormat="1" ht="15.75" customHeight="1"/>
    <row r="101" s="3" customFormat="1" ht="15.75" customHeight="1"/>
    <row r="102" s="3" customFormat="1" ht="15.75" customHeight="1"/>
    <row r="103" s="3" customFormat="1" ht="15.75" customHeight="1"/>
    <row r="104" s="3" customFormat="1" ht="15.75" customHeight="1"/>
    <row r="105" s="3" customFormat="1" ht="15.75" customHeight="1"/>
    <row r="106" s="3" customFormat="1" ht="15.75" customHeight="1"/>
    <row r="107" s="3" customFormat="1" ht="15.75" customHeight="1"/>
    <row r="108" s="3" customFormat="1" ht="15.75" customHeight="1"/>
    <row r="109" s="3" customFormat="1" ht="15.75" customHeight="1"/>
    <row r="110" s="3" customFormat="1" ht="15.75" customHeight="1"/>
    <row r="111" s="3" customFormat="1" ht="15.75" customHeight="1"/>
    <row r="112" s="3" customFormat="1" ht="15.75" customHeight="1"/>
    <row r="113" s="3" customFormat="1" ht="15.75" customHeight="1"/>
    <row r="114" s="3" customFormat="1" ht="15.75" customHeight="1"/>
    <row r="115" s="3" customFormat="1" ht="15.75" customHeight="1"/>
    <row r="116" s="3" customFormat="1" ht="15.75" customHeight="1"/>
    <row r="117" s="3" customFormat="1" ht="15.75" customHeight="1"/>
    <row r="118" s="3" customFormat="1" ht="15.75" customHeight="1"/>
    <row r="119" s="3" customFormat="1" ht="15.75" customHeight="1"/>
    <row r="120" s="3" customFormat="1" ht="15.75" customHeight="1"/>
    <row r="121" s="3" customFormat="1" ht="15.75" customHeight="1"/>
    <row r="122" s="3" customFormat="1" ht="15.75" customHeight="1"/>
    <row r="123" s="3" customFormat="1" ht="15.75" customHeight="1"/>
    <row r="124" s="3" customFormat="1" ht="15.75" customHeight="1"/>
    <row r="125" s="3" customFormat="1" ht="15.75" customHeight="1"/>
    <row r="126" s="3" customFormat="1" ht="15.75" customHeight="1"/>
    <row r="127" s="3" customFormat="1" ht="15.75" customHeight="1"/>
    <row r="128" s="3" customFormat="1" ht="15.75" customHeight="1"/>
    <row r="129" s="3" customFormat="1" ht="15.75" customHeight="1"/>
    <row r="130" s="3" customFormat="1" ht="15.75" customHeight="1"/>
    <row r="131" s="3" customFormat="1" ht="15.75" customHeight="1"/>
    <row r="132" s="3" customFormat="1" ht="15.75" customHeight="1"/>
    <row r="133" s="3" customFormat="1" ht="15.75" customHeight="1"/>
    <row r="134" s="3" customFormat="1" ht="15.75" customHeight="1"/>
    <row r="135" s="3" customFormat="1" ht="15.75" customHeight="1"/>
    <row r="136" s="3" customFormat="1" ht="15.75" customHeight="1"/>
    <row r="137" s="3" customFormat="1" ht="15.75" customHeight="1"/>
    <row r="138" s="3" customFormat="1" ht="15.75" customHeight="1"/>
    <row r="139" s="3" customFormat="1" ht="15.75" customHeight="1"/>
    <row r="140" s="3" customFormat="1" ht="15.75" customHeight="1"/>
    <row r="141" s="3" customFormat="1" ht="15.75" customHeight="1"/>
    <row r="142" s="3" customFormat="1" ht="15.75" customHeight="1"/>
    <row r="143" s="3" customFormat="1" ht="15.75" customHeight="1"/>
    <row r="144" s="3" customFormat="1" ht="15.75" customHeight="1"/>
    <row r="145" s="3" customFormat="1" ht="15.75" customHeight="1"/>
    <row r="146" s="3" customFormat="1" ht="15.75" customHeight="1"/>
    <row r="147" s="3" customFormat="1" ht="15.75" customHeight="1"/>
    <row r="148" s="3" customFormat="1" ht="15.75" customHeight="1"/>
    <row r="149" s="3" customFormat="1" ht="15.75" customHeight="1"/>
    <row r="150" s="3" customFormat="1" ht="15.75" customHeight="1"/>
    <row r="151" s="3" customFormat="1" ht="15.75" customHeight="1"/>
    <row r="152" s="3" customFormat="1" ht="15.75" customHeight="1"/>
    <row r="153" s="3" customFormat="1" ht="15.75" customHeight="1"/>
    <row r="154" s="3" customFormat="1" ht="15.75" customHeight="1"/>
    <row r="155" s="3" customFormat="1" ht="15.75" customHeight="1"/>
    <row r="156" s="3" customFormat="1" ht="15.75" customHeight="1"/>
    <row r="157" s="3" customFormat="1" ht="15.75" customHeight="1"/>
    <row r="158" s="3" customFormat="1" ht="15.75" customHeight="1"/>
    <row r="159" s="3" customFormat="1" ht="15.75" customHeight="1"/>
    <row r="160" s="3" customFormat="1" ht="15.75" customHeight="1"/>
    <row r="161" s="3" customFormat="1" ht="15.75" customHeight="1"/>
    <row r="162" s="3" customFormat="1" ht="15.75" customHeight="1"/>
    <row r="163" s="3" customFormat="1" ht="15.75" customHeight="1"/>
    <row r="164" s="3" customFormat="1" ht="15.75" customHeight="1"/>
    <row r="165" s="3" customFormat="1" ht="15.75" customHeight="1"/>
    <row r="166" s="3" customFormat="1" ht="15.75" customHeight="1"/>
    <row r="167" s="3" customFormat="1" ht="15.75" customHeight="1"/>
    <row r="168" s="3" customFormat="1" ht="15.75" customHeight="1"/>
    <row r="169" s="3" customFormat="1" ht="15.75" customHeight="1"/>
    <row r="170" s="3" customFormat="1" ht="15.75" customHeight="1"/>
    <row r="171" s="3" customFormat="1" ht="15.75" customHeight="1"/>
    <row r="172" s="3" customFormat="1" ht="15.75" customHeight="1"/>
    <row r="173" s="3" customFormat="1" ht="15.75" customHeight="1"/>
    <row r="174" s="3" customFormat="1" ht="15.75" customHeight="1"/>
    <row r="175" s="3" customFormat="1" ht="15.75" customHeight="1"/>
    <row r="176" s="3" customFormat="1" ht="15.75" customHeight="1"/>
    <row r="177" s="3" customFormat="1" ht="15.75" customHeight="1"/>
    <row r="178" s="3" customFormat="1" ht="15.75" customHeight="1"/>
    <row r="179" s="3" customFormat="1" ht="15.75" customHeight="1"/>
    <row r="180" s="3" customFormat="1" ht="15.75" customHeight="1"/>
    <row r="181" s="3" customFormat="1" ht="15.75" customHeight="1"/>
    <row r="182" s="3" customFormat="1" ht="15.75" customHeight="1"/>
    <row r="183" s="3" customFormat="1" ht="15.75" customHeight="1"/>
    <row r="184" s="3" customFormat="1" ht="15.75" customHeight="1"/>
    <row r="185" s="3" customFormat="1" ht="15.75" customHeight="1"/>
    <row r="186" s="3" customFormat="1" ht="15.75" customHeight="1"/>
    <row r="187" s="3" customFormat="1" ht="15.75" customHeight="1"/>
    <row r="188" s="3" customFormat="1" ht="15.75" customHeight="1"/>
    <row r="189" s="3" customFormat="1" ht="15.75" customHeight="1"/>
    <row r="190" s="3" customFormat="1" ht="15.75" customHeight="1"/>
    <row r="191" s="3" customFormat="1" ht="15.75" customHeight="1"/>
    <row r="192" s="3" customFormat="1" ht="15.75" customHeight="1"/>
    <row r="193" s="3" customFormat="1" ht="15.75" customHeight="1"/>
    <row r="194" s="3" customFormat="1" ht="15.75" customHeight="1"/>
    <row r="195" s="3" customFormat="1" ht="15.75" customHeight="1"/>
    <row r="196" s="3" customFormat="1" ht="15.75" customHeight="1"/>
    <row r="197" s="3" customFormat="1" ht="15.75" customHeight="1"/>
    <row r="198" s="3" customFormat="1" ht="15.75" customHeight="1"/>
    <row r="199" s="3" customFormat="1" ht="15.75" customHeight="1"/>
    <row r="200" s="3" customFormat="1" ht="15.75" customHeight="1"/>
    <row r="201" s="3" customFormat="1" ht="15.75" customHeight="1"/>
    <row r="202" s="3" customFormat="1" ht="15.75" customHeight="1"/>
    <row r="203" s="3" customFormat="1" ht="15.75" customHeight="1"/>
    <row r="204" s="3" customFormat="1" ht="15.75" customHeight="1"/>
    <row r="205" s="3" customFormat="1" ht="15.75" customHeight="1"/>
    <row r="206" s="3" customFormat="1" ht="15.75" customHeight="1"/>
    <row r="207" s="3" customFormat="1" ht="15.75" customHeight="1"/>
    <row r="208" s="3" customFormat="1" ht="15.75" customHeight="1"/>
    <row r="209" s="3" customFormat="1" ht="15.75" customHeight="1"/>
    <row r="210" s="3" customFormat="1" ht="15.75" customHeight="1"/>
    <row r="211" s="3" customFormat="1" ht="15.75" customHeight="1"/>
    <row r="212" s="3" customFormat="1" ht="15.75" customHeight="1"/>
    <row r="213" s="3" customFormat="1" ht="15.75" customHeight="1"/>
    <row r="214" s="3" customFormat="1" ht="15.75" customHeight="1"/>
    <row r="215" s="3" customFormat="1" ht="15.75" customHeight="1"/>
    <row r="216" s="3" customFormat="1" ht="15.75" customHeight="1"/>
    <row r="217" s="3" customFormat="1" ht="15.75" customHeight="1"/>
    <row r="218" s="3" customFormat="1" ht="15.75" customHeight="1"/>
    <row r="219" s="3" customFormat="1" ht="15.75" customHeight="1"/>
    <row r="220" s="3" customFormat="1" ht="15.75" customHeight="1"/>
    <row r="221" s="3" customFormat="1" ht="15.75" customHeight="1"/>
    <row r="222" s="3" customFormat="1" ht="15.75" customHeight="1"/>
    <row r="223" s="3" customFormat="1" ht="15.75" customHeight="1"/>
    <row r="224" s="3" customFormat="1" ht="15.75" customHeight="1"/>
    <row r="225" s="3" customFormat="1" ht="15.75" customHeight="1"/>
    <row r="226" s="3" customFormat="1" ht="15.75" customHeight="1"/>
    <row r="227" s="3" customFormat="1" ht="15.75" customHeight="1"/>
    <row r="228" s="3" customFormat="1" ht="15.75" customHeight="1"/>
    <row r="229" s="3" customFormat="1" ht="15.75" customHeight="1"/>
    <row r="230" s="3" customFormat="1" ht="15.75" customHeight="1"/>
    <row r="231" s="3" customFormat="1" ht="15.75" customHeight="1"/>
    <row r="232" s="3" customFormat="1" ht="15.75" customHeight="1"/>
    <row r="233" s="3" customFormat="1" ht="15.75" customHeight="1"/>
    <row r="234" s="3" customFormat="1" ht="15.75" customHeight="1"/>
    <row r="235" s="3" customFormat="1" ht="15.75" customHeight="1"/>
    <row r="236" s="3" customFormat="1" ht="15.75" customHeight="1"/>
    <row r="237" s="3" customFormat="1" ht="15.75" customHeight="1"/>
    <row r="238" s="3" customFormat="1" ht="15.75" customHeight="1"/>
    <row r="239" s="3" customFormat="1" ht="15.75" customHeight="1"/>
    <row r="240" s="3" customFormat="1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</sheetData>
  <mergeCells count="1">
    <mergeCell ref="B4:F4"/>
  </mergeCells>
  <hyperlinks>
    <hyperlink ref="B1" r:id="rId1" xr:uid="{D982D895-F4FC-4BF3-A7BD-3E3717C889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D877-0EB0-4426-B1FA-C75F1800E1F8}">
  <dimension ref="A1:Z1003"/>
  <sheetViews>
    <sheetView tabSelected="1" topLeftCell="A194" zoomScale="51" workbookViewId="0">
      <selection activeCell="U226" sqref="U226"/>
    </sheetView>
  </sheetViews>
  <sheetFormatPr defaultColWidth="12.6640625" defaultRowHeight="14.4"/>
  <cols>
    <col min="1" max="1" width="38.6640625" style="3" customWidth="1"/>
    <col min="2" max="6" width="11" style="3" customWidth="1"/>
    <col min="7" max="26" width="10.44140625" style="3" customWidth="1"/>
    <col min="27" max="16384" width="12.6640625" style="3"/>
  </cols>
  <sheetData>
    <row r="1" spans="1:16" ht="15.75" customHeight="1">
      <c r="A1" s="40"/>
      <c r="B1" s="41">
        <v>2016</v>
      </c>
      <c r="C1" s="41">
        <f t="shared" ref="C1:P1" si="0">B1+1</f>
        <v>2017</v>
      </c>
      <c r="D1" s="41">
        <f t="shared" si="0"/>
        <v>2018</v>
      </c>
      <c r="E1" s="41">
        <f t="shared" si="0"/>
        <v>2019</v>
      </c>
      <c r="F1" s="41">
        <f t="shared" si="0"/>
        <v>2020</v>
      </c>
      <c r="G1" s="41">
        <f t="shared" si="0"/>
        <v>2021</v>
      </c>
      <c r="H1" s="41">
        <f t="shared" si="0"/>
        <v>2022</v>
      </c>
      <c r="I1" s="41">
        <f t="shared" si="0"/>
        <v>2023</v>
      </c>
      <c r="J1" s="41">
        <f t="shared" si="0"/>
        <v>2024</v>
      </c>
      <c r="K1" s="42">
        <f t="shared" si="0"/>
        <v>2025</v>
      </c>
      <c r="L1" s="42">
        <f t="shared" si="0"/>
        <v>2026</v>
      </c>
      <c r="M1" s="42">
        <f t="shared" si="0"/>
        <v>2027</v>
      </c>
      <c r="N1" s="42">
        <f t="shared" si="0"/>
        <v>2028</v>
      </c>
      <c r="O1" s="42">
        <f t="shared" si="0"/>
        <v>2029</v>
      </c>
      <c r="P1" s="42">
        <f t="shared" si="0"/>
        <v>2030</v>
      </c>
    </row>
    <row r="2" spans="1:16" ht="15.75" customHeight="1">
      <c r="A2" s="43" t="s">
        <v>38</v>
      </c>
      <c r="B2" s="44"/>
      <c r="C2" s="44"/>
      <c r="D2" s="44"/>
      <c r="E2" s="44"/>
      <c r="F2" s="44"/>
      <c r="G2" s="44"/>
      <c r="H2" s="44"/>
      <c r="I2" s="44"/>
    </row>
    <row r="3" spans="1:16" ht="15.75" customHeight="1">
      <c r="A3" s="44" t="s">
        <v>39</v>
      </c>
      <c r="B3" s="45">
        <f>646759-76144</f>
        <v>570615</v>
      </c>
      <c r="C3" s="45">
        <f>773164-92314</f>
        <v>680850</v>
      </c>
      <c r="D3" s="45">
        <f>820411-22317</f>
        <v>798094</v>
      </c>
      <c r="E3" s="45">
        <v>860685</v>
      </c>
      <c r="F3" s="45">
        <v>756600</v>
      </c>
      <c r="G3" s="45">
        <v>703720</v>
      </c>
      <c r="H3" s="45">
        <v>883298</v>
      </c>
      <c r="I3" s="45">
        <v>1184099</v>
      </c>
      <c r="J3" s="45">
        <v>1418582</v>
      </c>
      <c r="K3" s="46">
        <f t="shared" ref="K3:P3" si="1">(K121*K100)/10^6</f>
        <v>1722651.3853198765</v>
      </c>
      <c r="L3" s="46">
        <f t="shared" si="1"/>
        <v>2030469.8120675986</v>
      </c>
      <c r="M3" s="46">
        <f t="shared" si="1"/>
        <v>2394289.4391187266</v>
      </c>
      <c r="N3" s="46">
        <f t="shared" si="1"/>
        <v>2824420.7927830182</v>
      </c>
      <c r="O3" s="46">
        <f t="shared" si="1"/>
        <v>3333087.4163425085</v>
      </c>
      <c r="P3" s="46">
        <f t="shared" si="1"/>
        <v>3934782.5625723302</v>
      </c>
    </row>
    <row r="4" spans="1:16" ht="15.75" customHeight="1">
      <c r="A4" s="44" t="s">
        <v>40</v>
      </c>
      <c r="B4" s="45">
        <v>15505</v>
      </c>
      <c r="C4" s="45">
        <v>22896</v>
      </c>
      <c r="D4" s="45">
        <v>20458</v>
      </c>
      <c r="E4" s="45">
        <v>25616</v>
      </c>
      <c r="F4" s="45">
        <v>33344</v>
      </c>
      <c r="G4" s="45">
        <v>29363</v>
      </c>
      <c r="H4" s="45">
        <v>17447</v>
      </c>
      <c r="I4" s="45">
        <v>22647</v>
      </c>
      <c r="J4" s="45">
        <v>40935</v>
      </c>
      <c r="K4" s="47">
        <v>15000</v>
      </c>
      <c r="L4" s="47">
        <f t="shared" ref="L4:P4" si="2">K4</f>
        <v>15000</v>
      </c>
      <c r="M4" s="47">
        <f t="shared" si="2"/>
        <v>15000</v>
      </c>
      <c r="N4" s="47">
        <f t="shared" si="2"/>
        <v>15000</v>
      </c>
      <c r="O4" s="47">
        <f t="shared" si="2"/>
        <v>15000</v>
      </c>
      <c r="P4" s="47">
        <f t="shared" si="2"/>
        <v>15000</v>
      </c>
    </row>
    <row r="5" spans="1:16" ht="15.75" customHeight="1">
      <c r="A5" s="48"/>
    </row>
    <row r="6" spans="1:16" ht="15.75" customHeight="1">
      <c r="A6" s="49" t="s">
        <v>41</v>
      </c>
      <c r="B6" s="50">
        <f t="shared" ref="B6:P6" si="3">SUM(B3:B4)</f>
        <v>586120</v>
      </c>
      <c r="C6" s="50">
        <f t="shared" si="3"/>
        <v>703746</v>
      </c>
      <c r="D6" s="50">
        <f t="shared" si="3"/>
        <v>818552</v>
      </c>
      <c r="E6" s="50">
        <f t="shared" si="3"/>
        <v>886301</v>
      </c>
      <c r="F6" s="50">
        <f t="shared" si="3"/>
        <v>789944</v>
      </c>
      <c r="G6" s="50">
        <f t="shared" si="3"/>
        <v>733083</v>
      </c>
      <c r="H6" s="50">
        <f t="shared" si="3"/>
        <v>900745</v>
      </c>
      <c r="I6" s="50">
        <f t="shared" si="3"/>
        <v>1206746</v>
      </c>
      <c r="J6" s="50">
        <f t="shared" si="3"/>
        <v>1459517</v>
      </c>
      <c r="K6" s="50">
        <f t="shared" si="3"/>
        <v>1737651.3853198765</v>
      </c>
      <c r="L6" s="50">
        <f t="shared" si="3"/>
        <v>2045469.8120675986</v>
      </c>
      <c r="M6" s="50">
        <f t="shared" si="3"/>
        <v>2409289.4391187266</v>
      </c>
      <c r="N6" s="50">
        <f t="shared" si="3"/>
        <v>2839420.7927830182</v>
      </c>
      <c r="O6" s="50">
        <f t="shared" si="3"/>
        <v>3348087.4163425085</v>
      </c>
      <c r="P6" s="50">
        <f t="shared" si="3"/>
        <v>3949782.5625723302</v>
      </c>
    </row>
    <row r="7" spans="1:16" ht="15.75" customHeight="1">
      <c r="A7" s="48"/>
    </row>
    <row r="8" spans="1:16" ht="15.75" customHeight="1">
      <c r="A8" s="43" t="s">
        <v>42</v>
      </c>
    </row>
    <row r="9" spans="1:16" ht="15.75" customHeight="1">
      <c r="A9" s="44" t="s">
        <v>43</v>
      </c>
      <c r="B9" s="45">
        <v>362007</v>
      </c>
      <c r="C9" s="45">
        <v>426279</v>
      </c>
      <c r="D9" s="45">
        <v>449432</v>
      </c>
      <c r="E9" s="45">
        <v>450257</v>
      </c>
      <c r="F9" s="45">
        <v>346348</v>
      </c>
      <c r="G9" s="45">
        <v>332964</v>
      </c>
      <c r="H9" s="45">
        <v>397396</v>
      </c>
      <c r="I9" s="45">
        <v>733522</v>
      </c>
      <c r="J9" s="45">
        <v>789153</v>
      </c>
      <c r="K9" s="46">
        <f t="shared" ref="K9:P14" si="4">K$3*K126</f>
        <v>1033590.8311919258</v>
      </c>
      <c r="L9" s="46">
        <f t="shared" si="4"/>
        <v>1218281.8872405591</v>
      </c>
      <c r="M9" s="46">
        <f t="shared" si="4"/>
        <v>1436573.6634712359</v>
      </c>
      <c r="N9" s="46">
        <f t="shared" si="4"/>
        <v>1694652.4756698108</v>
      </c>
      <c r="O9" s="46">
        <f t="shared" si="4"/>
        <v>1999852.4498055051</v>
      </c>
      <c r="P9" s="46">
        <f t="shared" si="4"/>
        <v>2360869.5375433979</v>
      </c>
    </row>
    <row r="10" spans="1:16" ht="15.75" customHeight="1">
      <c r="A10" s="44" t="s">
        <v>44</v>
      </c>
      <c r="B10" s="45">
        <v>31715</v>
      </c>
      <c r="C10" s="45">
        <v>44936</v>
      </c>
      <c r="D10" s="45">
        <v>100021</v>
      </c>
      <c r="E10" s="45">
        <v>143209</v>
      </c>
      <c r="F10" s="45">
        <v>187672</v>
      </c>
      <c r="G10" s="45">
        <v>172541</v>
      </c>
      <c r="H10" s="45">
        <v>263975</v>
      </c>
      <c r="I10" s="45">
        <v>127147</v>
      </c>
      <c r="J10" s="45">
        <v>212042</v>
      </c>
      <c r="K10" s="46">
        <f t="shared" si="4"/>
        <v>172265.13853198767</v>
      </c>
      <c r="L10" s="46">
        <f t="shared" si="4"/>
        <v>203046.98120675987</v>
      </c>
      <c r="M10" s="46">
        <f t="shared" si="4"/>
        <v>239428.94391187269</v>
      </c>
      <c r="N10" s="46">
        <f t="shared" si="4"/>
        <v>282442.07927830186</v>
      </c>
      <c r="O10" s="46">
        <f t="shared" si="4"/>
        <v>333308.74163425085</v>
      </c>
      <c r="P10" s="46">
        <f t="shared" si="4"/>
        <v>393478.25625723304</v>
      </c>
    </row>
    <row r="11" spans="1:16" ht="15.75" customHeight="1">
      <c r="A11" s="44" t="s">
        <v>45</v>
      </c>
      <c r="B11" s="45">
        <v>63</v>
      </c>
      <c r="C11" s="45">
        <v>-3793</v>
      </c>
      <c r="D11" s="45">
        <v>408</v>
      </c>
      <c r="E11" s="45">
        <v>2116</v>
      </c>
      <c r="F11" s="45">
        <v>-2387</v>
      </c>
      <c r="G11" s="45">
        <v>2736</v>
      </c>
      <c r="H11" s="45">
        <v>-931</v>
      </c>
      <c r="I11" s="45">
        <v>-5805</v>
      </c>
      <c r="J11" s="45">
        <v>-3786</v>
      </c>
      <c r="K11" s="46">
        <f t="shared" si="4"/>
        <v>-4597.5193149363604</v>
      </c>
      <c r="L11" s="46">
        <f t="shared" si="4"/>
        <v>-5419.0443051497396</v>
      </c>
      <c r="M11" s="46">
        <f t="shared" si="4"/>
        <v>-6390.0287868473579</v>
      </c>
      <c r="N11" s="46">
        <f t="shared" si="4"/>
        <v>-7537.99013485051</v>
      </c>
      <c r="O11" s="46">
        <f t="shared" si="4"/>
        <v>-8895.5513028310925</v>
      </c>
      <c r="P11" s="46">
        <f t="shared" si="4"/>
        <v>-10501.392786528266</v>
      </c>
    </row>
    <row r="12" spans="1:16" ht="15.75" customHeight="1">
      <c r="A12" s="44" t="s">
        <v>46</v>
      </c>
      <c r="B12" s="45">
        <v>20602</v>
      </c>
      <c r="C12" s="45">
        <v>23603</v>
      </c>
      <c r="D12" s="45">
        <v>28634</v>
      </c>
      <c r="E12" s="45">
        <v>32850</v>
      </c>
      <c r="F12" s="45">
        <v>34162</v>
      </c>
      <c r="G12" s="45">
        <v>34316</v>
      </c>
      <c r="H12" s="45">
        <v>40514</v>
      </c>
      <c r="I12" s="45">
        <v>53085</v>
      </c>
      <c r="J12" s="45">
        <v>63016</v>
      </c>
      <c r="K12" s="46">
        <f t="shared" si="4"/>
        <v>68906.05541279506</v>
      </c>
      <c r="L12" s="46">
        <f t="shared" si="4"/>
        <v>81218.792482703939</v>
      </c>
      <c r="M12" s="46">
        <f t="shared" si="4"/>
        <v>95771.577564749066</v>
      </c>
      <c r="N12" s="46">
        <f t="shared" si="4"/>
        <v>112976.83171132073</v>
      </c>
      <c r="O12" s="46">
        <f t="shared" si="4"/>
        <v>133323.49665370033</v>
      </c>
      <c r="P12" s="46">
        <f t="shared" si="4"/>
        <v>157391.3025028932</v>
      </c>
    </row>
    <row r="13" spans="1:16" ht="15.75" customHeight="1">
      <c r="A13" s="44" t="s">
        <v>47</v>
      </c>
      <c r="B13" s="45">
        <v>81147</v>
      </c>
      <c r="C13" s="45">
        <v>87280</v>
      </c>
      <c r="D13" s="45">
        <v>99956</v>
      </c>
      <c r="E13" s="45">
        <v>123442</v>
      </c>
      <c r="F13" s="45">
        <v>118896</v>
      </c>
      <c r="G13" s="45">
        <v>108375</v>
      </c>
      <c r="H13" s="45">
        <v>126727</v>
      </c>
      <c r="I13" s="45">
        <v>146771</v>
      </c>
      <c r="J13" s="45">
        <v>175501</v>
      </c>
      <c r="K13" s="46">
        <f t="shared" si="4"/>
        <v>213119.18576086801</v>
      </c>
      <c r="L13" s="46">
        <f t="shared" si="4"/>
        <v>251201.18716272703</v>
      </c>
      <c r="M13" s="46">
        <f t="shared" si="4"/>
        <v>296211.42158491764</v>
      </c>
      <c r="N13" s="46">
        <f t="shared" si="4"/>
        <v>349425.46398742724</v>
      </c>
      <c r="O13" s="46">
        <f t="shared" si="4"/>
        <v>412355.55974594812</v>
      </c>
      <c r="P13" s="46">
        <f t="shared" si="4"/>
        <v>486794.7531506861</v>
      </c>
    </row>
    <row r="14" spans="1:16" ht="15.75" customHeight="1">
      <c r="A14" s="44" t="s">
        <v>48</v>
      </c>
      <c r="B14" s="45">
        <v>-602</v>
      </c>
      <c r="C14" s="45">
        <v>-1036</v>
      </c>
      <c r="D14" s="45">
        <v>-991</v>
      </c>
      <c r="E14" s="45">
        <v>-1221</v>
      </c>
      <c r="F14" s="45">
        <v>-1217</v>
      </c>
      <c r="G14" s="45">
        <v>-728</v>
      </c>
      <c r="H14" s="45">
        <v>-1445</v>
      </c>
      <c r="I14" s="45">
        <v>-1565</v>
      </c>
      <c r="J14" s="45">
        <v>-2607</v>
      </c>
      <c r="K14" s="46">
        <f t="shared" si="4"/>
        <v>-3165.8037121075258</v>
      </c>
      <c r="L14" s="46">
        <f t="shared" si="4"/>
        <v>-3731.4972275555656</v>
      </c>
      <c r="M14" s="46">
        <f t="shared" si="4"/>
        <v>-4400.1069855549558</v>
      </c>
      <c r="N14" s="46">
        <f t="shared" si="4"/>
        <v>-5190.5811625872375</v>
      </c>
      <c r="O14" s="46">
        <f t="shared" si="4"/>
        <v>-6125.3835833282246</v>
      </c>
      <c r="P14" s="46">
        <f t="shared" si="4"/>
        <v>-7231.1492325618574</v>
      </c>
    </row>
    <row r="15" spans="1:16" ht="15.75" customHeight="1">
      <c r="A15" s="48"/>
    </row>
    <row r="16" spans="1:16" ht="15.75" customHeight="1">
      <c r="A16" s="49" t="s">
        <v>49</v>
      </c>
      <c r="B16" s="51">
        <f t="shared" ref="B16:P16" si="5">SUM(B9:B14)</f>
        <v>494932</v>
      </c>
      <c r="C16" s="51">
        <f t="shared" si="5"/>
        <v>577269</v>
      </c>
      <c r="D16" s="51">
        <f t="shared" si="5"/>
        <v>677460</v>
      </c>
      <c r="E16" s="51">
        <f t="shared" si="5"/>
        <v>750653</v>
      </c>
      <c r="F16" s="51">
        <f t="shared" si="5"/>
        <v>683474</v>
      </c>
      <c r="G16" s="51">
        <f t="shared" si="5"/>
        <v>650204</v>
      </c>
      <c r="H16" s="51">
        <f t="shared" si="5"/>
        <v>826236</v>
      </c>
      <c r="I16" s="51">
        <f t="shared" si="5"/>
        <v>1053155</v>
      </c>
      <c r="J16" s="51">
        <f t="shared" si="5"/>
        <v>1233319</v>
      </c>
      <c r="K16" s="51">
        <f t="shared" si="5"/>
        <v>1480117.8878705327</v>
      </c>
      <c r="L16" s="51">
        <f t="shared" si="5"/>
        <v>1744598.3065600446</v>
      </c>
      <c r="M16" s="51">
        <f t="shared" si="5"/>
        <v>2057195.4707603732</v>
      </c>
      <c r="N16" s="51">
        <f t="shared" si="5"/>
        <v>2426768.2793494225</v>
      </c>
      <c r="O16" s="51">
        <f t="shared" si="5"/>
        <v>2863819.3129532454</v>
      </c>
      <c r="P16" s="51">
        <f t="shared" si="5"/>
        <v>3380801.3074351205</v>
      </c>
    </row>
    <row r="17" spans="1:16" ht="15.75" customHeight="1">
      <c r="A17" s="48"/>
    </row>
    <row r="18" spans="1:16" ht="15.75" customHeight="1">
      <c r="A18" s="43" t="s">
        <v>50</v>
      </c>
      <c r="B18" s="45">
        <f t="shared" ref="B18:P18" si="6">B6-B16</f>
        <v>91188</v>
      </c>
      <c r="C18" s="45">
        <f t="shared" si="6"/>
        <v>126477</v>
      </c>
      <c r="D18" s="45">
        <f t="shared" si="6"/>
        <v>141092</v>
      </c>
      <c r="E18" s="45">
        <f t="shared" si="6"/>
        <v>135648</v>
      </c>
      <c r="F18" s="45">
        <f t="shared" si="6"/>
        <v>106470</v>
      </c>
      <c r="G18" s="45">
        <f t="shared" si="6"/>
        <v>82879</v>
      </c>
      <c r="H18" s="45">
        <f t="shared" si="6"/>
        <v>74509</v>
      </c>
      <c r="I18" s="45">
        <f t="shared" si="6"/>
        <v>153591</v>
      </c>
      <c r="J18" s="45">
        <f t="shared" si="6"/>
        <v>226198</v>
      </c>
      <c r="K18" s="45">
        <f t="shared" si="6"/>
        <v>257533.49744934379</v>
      </c>
      <c r="L18" s="45">
        <f t="shared" si="6"/>
        <v>300871.50550755393</v>
      </c>
      <c r="M18" s="45">
        <f t="shared" si="6"/>
        <v>352093.96835835348</v>
      </c>
      <c r="N18" s="45">
        <f t="shared" si="6"/>
        <v>412652.51343359565</v>
      </c>
      <c r="O18" s="45">
        <f t="shared" si="6"/>
        <v>484268.10338926315</v>
      </c>
      <c r="P18" s="45">
        <f t="shared" si="6"/>
        <v>568981.25513720978</v>
      </c>
    </row>
    <row r="19" spans="1:16" ht="15.75" customHeight="1">
      <c r="A19" s="48"/>
    </row>
    <row r="20" spans="1:16" ht="15.75" customHeight="1">
      <c r="A20" s="44" t="s">
        <v>51</v>
      </c>
      <c r="B20" s="45">
        <v>28670</v>
      </c>
      <c r="C20" s="45">
        <v>26039</v>
      </c>
      <c r="D20" s="45">
        <v>27598</v>
      </c>
      <c r="E20" s="45">
        <v>30208</v>
      </c>
      <c r="F20" s="45">
        <v>35284</v>
      </c>
      <c r="G20" s="45">
        <v>30341</v>
      </c>
      <c r="H20" s="45">
        <v>27890</v>
      </c>
      <c r="I20" s="45">
        <v>48460</v>
      </c>
      <c r="J20" s="45">
        <v>52558</v>
      </c>
      <c r="K20" s="46">
        <f t="shared" ref="K20:P20" si="7">K204</f>
        <v>53399.4</v>
      </c>
      <c r="L20" s="46">
        <f t="shared" si="7"/>
        <v>60473.189999999995</v>
      </c>
      <c r="M20" s="46">
        <f t="shared" si="7"/>
        <v>66612.121499999994</v>
      </c>
      <c r="N20" s="46">
        <f t="shared" si="7"/>
        <v>72891.281774999996</v>
      </c>
      <c r="O20" s="46">
        <f t="shared" si="7"/>
        <v>79149.407733749991</v>
      </c>
      <c r="P20" s="46">
        <f t="shared" si="7"/>
        <v>85410.688839937502</v>
      </c>
    </row>
    <row r="21" spans="1:16" ht="15.75" customHeight="1">
      <c r="A21" s="48"/>
      <c r="J21" s="45"/>
    </row>
    <row r="22" spans="1:16" ht="15.75" customHeight="1">
      <c r="A22" s="48" t="s">
        <v>52</v>
      </c>
      <c r="B22" s="45">
        <f t="shared" ref="B22:P22" si="8">B18-B20</f>
        <v>62518</v>
      </c>
      <c r="C22" s="45">
        <f t="shared" si="8"/>
        <v>100438</v>
      </c>
      <c r="D22" s="45">
        <f t="shared" si="8"/>
        <v>113494</v>
      </c>
      <c r="E22" s="45">
        <f t="shared" si="8"/>
        <v>105440</v>
      </c>
      <c r="F22" s="45">
        <f t="shared" si="8"/>
        <v>71186</v>
      </c>
      <c r="G22" s="45">
        <f t="shared" si="8"/>
        <v>52538</v>
      </c>
      <c r="H22" s="45">
        <f t="shared" si="8"/>
        <v>46619</v>
      </c>
      <c r="I22" s="45">
        <f t="shared" si="8"/>
        <v>105131</v>
      </c>
      <c r="J22" s="45">
        <f t="shared" si="8"/>
        <v>173640</v>
      </c>
      <c r="K22" s="45">
        <f t="shared" si="8"/>
        <v>204134.0974493438</v>
      </c>
      <c r="L22" s="45">
        <f t="shared" si="8"/>
        <v>240398.31550755393</v>
      </c>
      <c r="M22" s="45">
        <f t="shared" si="8"/>
        <v>285481.84685835347</v>
      </c>
      <c r="N22" s="45">
        <f t="shared" si="8"/>
        <v>339761.23165859567</v>
      </c>
      <c r="O22" s="45">
        <f t="shared" si="8"/>
        <v>405118.69565551315</v>
      </c>
      <c r="P22" s="45">
        <f t="shared" si="8"/>
        <v>483570.56629727228</v>
      </c>
    </row>
    <row r="23" spans="1:16" ht="15.75" customHeight="1">
      <c r="A23" s="48"/>
    </row>
    <row r="24" spans="1:16" ht="15.75" customHeight="1">
      <c r="A24" s="44" t="s">
        <v>6</v>
      </c>
      <c r="B24" s="45">
        <v>937</v>
      </c>
      <c r="C24" s="45">
        <v>894</v>
      </c>
      <c r="D24" s="45">
        <v>3458</v>
      </c>
      <c r="E24" s="45">
        <v>759</v>
      </c>
      <c r="F24" s="45">
        <v>1342</v>
      </c>
      <c r="G24" s="45">
        <v>1018</v>
      </c>
      <c r="H24" s="45">
        <v>1266</v>
      </c>
      <c r="I24" s="45">
        <v>2523</v>
      </c>
      <c r="J24" s="45">
        <v>1936</v>
      </c>
      <c r="K24" s="47">
        <v>1936</v>
      </c>
      <c r="L24" s="47">
        <f t="shared" ref="L24:P24" si="9">K24</f>
        <v>1936</v>
      </c>
      <c r="M24" s="47">
        <f t="shared" si="9"/>
        <v>1936</v>
      </c>
      <c r="N24" s="47">
        <f t="shared" si="9"/>
        <v>1936</v>
      </c>
      <c r="O24" s="47">
        <f t="shared" si="9"/>
        <v>1936</v>
      </c>
      <c r="P24" s="47">
        <f t="shared" si="9"/>
        <v>1936</v>
      </c>
    </row>
    <row r="25" spans="1:16" ht="15.75" customHeight="1">
      <c r="A25" s="48"/>
    </row>
    <row r="26" spans="1:16" ht="15.75" customHeight="1">
      <c r="A26" s="48" t="s">
        <v>53</v>
      </c>
      <c r="B26" s="45">
        <f t="shared" ref="B26:P26" si="10">B22-B24</f>
        <v>61581</v>
      </c>
      <c r="C26" s="45">
        <f t="shared" si="10"/>
        <v>99544</v>
      </c>
      <c r="D26" s="45">
        <f t="shared" si="10"/>
        <v>110036</v>
      </c>
      <c r="E26" s="45">
        <f t="shared" si="10"/>
        <v>104681</v>
      </c>
      <c r="F26" s="45">
        <f t="shared" si="10"/>
        <v>69844</v>
      </c>
      <c r="G26" s="45">
        <f t="shared" si="10"/>
        <v>51520</v>
      </c>
      <c r="H26" s="45">
        <f t="shared" si="10"/>
        <v>45353</v>
      </c>
      <c r="I26" s="45">
        <f t="shared" si="10"/>
        <v>102608</v>
      </c>
      <c r="J26" s="45">
        <f t="shared" si="10"/>
        <v>171704</v>
      </c>
      <c r="K26" s="45">
        <f t="shared" si="10"/>
        <v>202198.0974493438</v>
      </c>
      <c r="L26" s="45">
        <f t="shared" si="10"/>
        <v>238462.31550755393</v>
      </c>
      <c r="M26" s="45">
        <f t="shared" si="10"/>
        <v>283545.84685835347</v>
      </c>
      <c r="N26" s="45">
        <f t="shared" si="10"/>
        <v>337825.23165859567</v>
      </c>
      <c r="O26" s="45">
        <f t="shared" si="10"/>
        <v>403182.69565551315</v>
      </c>
      <c r="P26" s="45">
        <f t="shared" si="10"/>
        <v>481634.56629727228</v>
      </c>
    </row>
    <row r="27" spans="1:16" ht="15.75" customHeight="1">
      <c r="A27" s="48" t="s">
        <v>54</v>
      </c>
      <c r="B27" s="45">
        <v>4715</v>
      </c>
      <c r="C27" s="45">
        <f>1493+235</f>
        <v>1728</v>
      </c>
      <c r="D27" s="45">
        <f>1366+267</f>
        <v>1633</v>
      </c>
      <c r="E27" s="45">
        <v>-2030</v>
      </c>
      <c r="F27" s="45">
        <v>-4417</v>
      </c>
      <c r="G27" s="45">
        <v>5136</v>
      </c>
      <c r="H27" s="45">
        <v>3129</v>
      </c>
      <c r="I27" s="45">
        <v>586</v>
      </c>
      <c r="J27" s="45">
        <v>2669</v>
      </c>
      <c r="K27" s="52">
        <f t="shared" ref="K27:P27" si="11">J27</f>
        <v>2669</v>
      </c>
      <c r="L27" s="52">
        <f t="shared" si="11"/>
        <v>2669</v>
      </c>
      <c r="M27" s="52">
        <f t="shared" si="11"/>
        <v>2669</v>
      </c>
      <c r="N27" s="52">
        <f t="shared" si="11"/>
        <v>2669</v>
      </c>
      <c r="O27" s="52">
        <f t="shared" si="11"/>
        <v>2669</v>
      </c>
      <c r="P27" s="52">
        <f t="shared" si="11"/>
        <v>2669</v>
      </c>
    </row>
    <row r="28" spans="1:16" ht="15.75" customHeight="1">
      <c r="A28" s="48" t="s">
        <v>55</v>
      </c>
      <c r="B28" s="45">
        <f t="shared" ref="B28:P28" si="12">SUM(B26:B27)</f>
        <v>66296</v>
      </c>
      <c r="C28" s="45">
        <f t="shared" si="12"/>
        <v>101272</v>
      </c>
      <c r="D28" s="45">
        <f t="shared" si="12"/>
        <v>111669</v>
      </c>
      <c r="E28" s="45">
        <f t="shared" si="12"/>
        <v>102651</v>
      </c>
      <c r="F28" s="45">
        <f t="shared" si="12"/>
        <v>65427</v>
      </c>
      <c r="G28" s="45">
        <f t="shared" si="12"/>
        <v>56656</v>
      </c>
      <c r="H28" s="45">
        <f t="shared" si="12"/>
        <v>48482</v>
      </c>
      <c r="I28" s="45">
        <f t="shared" si="12"/>
        <v>103194</v>
      </c>
      <c r="J28" s="45">
        <f t="shared" si="12"/>
        <v>174373</v>
      </c>
      <c r="K28" s="45">
        <f t="shared" si="12"/>
        <v>204867.0974493438</v>
      </c>
      <c r="L28" s="45">
        <f t="shared" si="12"/>
        <v>241131.31550755393</v>
      </c>
      <c r="M28" s="45">
        <f t="shared" si="12"/>
        <v>286214.84685835347</v>
      </c>
      <c r="N28" s="45">
        <f t="shared" si="12"/>
        <v>340494.23165859567</v>
      </c>
      <c r="O28" s="45">
        <f t="shared" si="12"/>
        <v>405851.69565551315</v>
      </c>
      <c r="P28" s="45">
        <f t="shared" si="12"/>
        <v>484303.56629727228</v>
      </c>
    </row>
    <row r="29" spans="1:16" ht="15.75" customHeight="1">
      <c r="A29" s="48"/>
    </row>
    <row r="30" spans="1:16" ht="15.75" customHeight="1">
      <c r="A30" s="44" t="s">
        <v>56</v>
      </c>
      <c r="B30" s="45">
        <f>20788-801</f>
        <v>19987</v>
      </c>
      <c r="C30" s="45">
        <v>26162</v>
      </c>
      <c r="D30" s="45">
        <v>32862</v>
      </c>
      <c r="E30" s="45">
        <v>29732</v>
      </c>
      <c r="F30" s="45">
        <v>14252</v>
      </c>
      <c r="G30" s="45">
        <v>9319</v>
      </c>
      <c r="H30" s="45">
        <v>8177</v>
      </c>
      <c r="I30" s="45">
        <v>21745</v>
      </c>
      <c r="J30" s="45">
        <f>36633+2730</f>
        <v>39363</v>
      </c>
      <c r="K30" s="46">
        <f t="shared" ref="K30:P30" si="13">K28*K31</f>
        <v>51216.774362335949</v>
      </c>
      <c r="L30" s="46">
        <f t="shared" si="13"/>
        <v>60282.828876888481</v>
      </c>
      <c r="M30" s="46">
        <f t="shared" si="13"/>
        <v>71553.711714588368</v>
      </c>
      <c r="N30" s="46">
        <f t="shared" si="13"/>
        <v>85123.557914648918</v>
      </c>
      <c r="O30" s="46">
        <f t="shared" si="13"/>
        <v>101462.92391387829</v>
      </c>
      <c r="P30" s="46">
        <f t="shared" si="13"/>
        <v>121075.89157431807</v>
      </c>
    </row>
    <row r="31" spans="1:16" ht="15.75" customHeight="1">
      <c r="A31" s="48"/>
      <c r="K31" s="17">
        <v>0.25</v>
      </c>
      <c r="L31" s="17">
        <v>0.25</v>
      </c>
      <c r="M31" s="17">
        <v>0.25</v>
      </c>
      <c r="N31" s="17">
        <v>0.25</v>
      </c>
      <c r="O31" s="17">
        <v>0.25</v>
      </c>
      <c r="P31" s="17">
        <v>0.25</v>
      </c>
    </row>
    <row r="32" spans="1:16" ht="15.75" customHeight="1">
      <c r="A32" s="48" t="s">
        <v>57</v>
      </c>
      <c r="B32" s="45">
        <f t="shared" ref="B32:P32" si="14">B28-B30</f>
        <v>46309</v>
      </c>
      <c r="C32" s="45">
        <f t="shared" si="14"/>
        <v>75110</v>
      </c>
      <c r="D32" s="45">
        <f t="shared" si="14"/>
        <v>78807</v>
      </c>
      <c r="E32" s="45">
        <f t="shared" si="14"/>
        <v>72919</v>
      </c>
      <c r="F32" s="45">
        <f t="shared" si="14"/>
        <v>51175</v>
      </c>
      <c r="G32" s="45">
        <f t="shared" si="14"/>
        <v>47337</v>
      </c>
      <c r="H32" s="45">
        <f t="shared" si="14"/>
        <v>40305</v>
      </c>
      <c r="I32" s="45">
        <f t="shared" si="14"/>
        <v>81449</v>
      </c>
      <c r="J32" s="45">
        <f t="shared" si="14"/>
        <v>135010</v>
      </c>
      <c r="K32" s="45">
        <f t="shared" si="14"/>
        <v>153650.32308700786</v>
      </c>
      <c r="L32" s="45">
        <f t="shared" si="14"/>
        <v>180848.48663066543</v>
      </c>
      <c r="M32" s="45">
        <f t="shared" si="14"/>
        <v>214661.1351437651</v>
      </c>
      <c r="N32" s="45">
        <f t="shared" si="14"/>
        <v>255370.67374394677</v>
      </c>
      <c r="O32" s="45">
        <f t="shared" si="14"/>
        <v>304388.77174163488</v>
      </c>
      <c r="P32" s="45">
        <f t="shared" si="14"/>
        <v>363227.67472295422</v>
      </c>
    </row>
    <row r="33" spans="1:17" ht="15.75" customHeight="1">
      <c r="A33" s="44" t="s">
        <v>58</v>
      </c>
      <c r="B33" s="45">
        <f>689-10</f>
        <v>679</v>
      </c>
      <c r="C33" s="45">
        <v>2216</v>
      </c>
      <c r="D33" s="45">
        <v>3311</v>
      </c>
      <c r="E33" s="45">
        <f>1273+284</f>
        <v>1557</v>
      </c>
      <c r="F33" s="45">
        <f>1175+9</f>
        <v>1184</v>
      </c>
      <c r="G33" s="45">
        <f>1588+102</f>
        <v>1690</v>
      </c>
      <c r="H33" s="45">
        <f>1464+155</f>
        <v>1619</v>
      </c>
      <c r="I33" s="45">
        <f>1558+216</f>
        <v>1774</v>
      </c>
      <c r="J33" s="45">
        <f>2263+278</f>
        <v>2541</v>
      </c>
      <c r="K33" s="47">
        <v>2541</v>
      </c>
      <c r="L33" s="47">
        <f t="shared" ref="L33:P33" si="15">K33</f>
        <v>2541</v>
      </c>
      <c r="M33" s="47">
        <f t="shared" si="15"/>
        <v>2541</v>
      </c>
      <c r="N33" s="47">
        <f t="shared" si="15"/>
        <v>2541</v>
      </c>
      <c r="O33" s="47">
        <f t="shared" si="15"/>
        <v>2541</v>
      </c>
      <c r="P33" s="47">
        <f t="shared" si="15"/>
        <v>2541</v>
      </c>
    </row>
    <row r="34" spans="1:17" ht="15.75" customHeight="1">
      <c r="A34" s="44"/>
    </row>
    <row r="35" spans="1:17" ht="15.75" customHeight="1">
      <c r="A35" s="44"/>
    </row>
    <row r="36" spans="1:17" ht="15.75" customHeight="1">
      <c r="A36" s="49" t="s">
        <v>59</v>
      </c>
      <c r="B36" s="50">
        <f t="shared" ref="B36:D36" si="16">B32+B33</f>
        <v>46988</v>
      </c>
      <c r="C36" s="50">
        <f t="shared" si="16"/>
        <v>77326</v>
      </c>
      <c r="D36" s="50">
        <f t="shared" si="16"/>
        <v>82118</v>
      </c>
      <c r="E36" s="50">
        <f>E32+F33</f>
        <v>74103</v>
      </c>
      <c r="F36" s="50">
        <f t="shared" ref="F36:P36" si="17">F32+F33</f>
        <v>52359</v>
      </c>
      <c r="G36" s="50">
        <f t="shared" si="17"/>
        <v>49027</v>
      </c>
      <c r="H36" s="50">
        <f t="shared" si="17"/>
        <v>41924</v>
      </c>
      <c r="I36" s="50">
        <f t="shared" si="17"/>
        <v>83223</v>
      </c>
      <c r="J36" s="50">
        <f t="shared" si="17"/>
        <v>137551</v>
      </c>
      <c r="K36" s="50">
        <f t="shared" si="17"/>
        <v>156191.32308700786</v>
      </c>
      <c r="L36" s="50">
        <f t="shared" si="17"/>
        <v>183389.48663066543</v>
      </c>
      <c r="M36" s="50">
        <f t="shared" si="17"/>
        <v>217202.1351437651</v>
      </c>
      <c r="N36" s="50">
        <f t="shared" si="17"/>
        <v>257911.67374394677</v>
      </c>
      <c r="O36" s="50">
        <f t="shared" si="17"/>
        <v>306929.77174163488</v>
      </c>
      <c r="P36" s="50">
        <f t="shared" si="17"/>
        <v>365768.67472295422</v>
      </c>
    </row>
    <row r="37" spans="1:17" ht="15.75" customHeight="1">
      <c r="A37" s="44"/>
    </row>
    <row r="38" spans="1:17" ht="15.75" customHeight="1">
      <c r="A38" s="44"/>
    </row>
    <row r="39" spans="1:17" ht="15.75" customHeight="1">
      <c r="A39" s="43" t="s">
        <v>60</v>
      </c>
    </row>
    <row r="40" spans="1:17" ht="15.75" customHeight="1">
      <c r="A40" s="48"/>
    </row>
    <row r="41" spans="1:17" ht="15.75" customHeight="1">
      <c r="A41" s="43" t="s">
        <v>61</v>
      </c>
      <c r="B41" s="47">
        <f t="shared" ref="B41:P41" si="18">SUM(B42:B48)</f>
        <v>277631</v>
      </c>
      <c r="C41" s="47">
        <f t="shared" si="18"/>
        <v>370905</v>
      </c>
      <c r="D41" s="47">
        <f t="shared" si="18"/>
        <v>425755</v>
      </c>
      <c r="E41" s="47">
        <f t="shared" si="18"/>
        <v>471097</v>
      </c>
      <c r="F41" s="47">
        <f t="shared" si="18"/>
        <v>494322</v>
      </c>
      <c r="G41" s="47">
        <f t="shared" si="18"/>
        <v>525006</v>
      </c>
      <c r="H41" s="52">
        <f t="shared" si="18"/>
        <v>553335</v>
      </c>
      <c r="I41" s="47">
        <f t="shared" si="18"/>
        <v>746002</v>
      </c>
      <c r="J41" s="47">
        <f t="shared" si="18"/>
        <v>856360</v>
      </c>
      <c r="K41" s="46">
        <f t="shared" si="18"/>
        <v>1012551.3230870079</v>
      </c>
      <c r="L41" s="46">
        <f t="shared" si="18"/>
        <v>1195940.8097176733</v>
      </c>
      <c r="M41" s="46">
        <f t="shared" si="18"/>
        <v>1413142.9448614384</v>
      </c>
      <c r="N41" s="46">
        <f t="shared" si="18"/>
        <v>1671054.6186053851</v>
      </c>
      <c r="O41" s="46">
        <f t="shared" si="18"/>
        <v>1977984.39034702</v>
      </c>
      <c r="P41" s="46">
        <f t="shared" si="18"/>
        <v>2343753.0650699744</v>
      </c>
    </row>
    <row r="42" spans="1:17" ht="15.75" customHeight="1">
      <c r="A42" s="44" t="s">
        <v>62</v>
      </c>
      <c r="B42" s="47">
        <v>1510</v>
      </c>
      <c r="C42" s="47">
        <v>1510</v>
      </c>
      <c r="D42" s="47">
        <v>1510</v>
      </c>
      <c r="E42" s="47">
        <v>1510</v>
      </c>
      <c r="F42" s="47">
        <v>1510</v>
      </c>
      <c r="G42" s="47">
        <v>1510</v>
      </c>
      <c r="H42" s="52">
        <v>1510</v>
      </c>
      <c r="I42" s="47">
        <v>1572</v>
      </c>
      <c r="J42" s="47">
        <v>1572</v>
      </c>
      <c r="K42" s="53">
        <f t="shared" ref="K42:P42" si="19">J42</f>
        <v>1572</v>
      </c>
      <c r="L42" s="53">
        <f t="shared" si="19"/>
        <v>1572</v>
      </c>
      <c r="M42" s="53">
        <f t="shared" si="19"/>
        <v>1572</v>
      </c>
      <c r="N42" s="53">
        <f t="shared" si="19"/>
        <v>1572</v>
      </c>
      <c r="O42" s="53">
        <f t="shared" si="19"/>
        <v>1572</v>
      </c>
      <c r="P42" s="53">
        <f t="shared" si="19"/>
        <v>1572</v>
      </c>
    </row>
    <row r="43" spans="1:17" ht="15.75" customHeight="1">
      <c r="A43" s="44" t="s">
        <v>63</v>
      </c>
      <c r="B43" s="52">
        <v>275977</v>
      </c>
      <c r="C43" s="52">
        <v>369241</v>
      </c>
      <c r="D43" s="52">
        <v>424084</v>
      </c>
      <c r="E43" s="52">
        <v>469411</v>
      </c>
      <c r="F43" s="52">
        <v>492620</v>
      </c>
      <c r="G43" s="52">
        <v>523496</v>
      </c>
      <c r="H43" s="52">
        <v>551825</v>
      </c>
      <c r="I43" s="52">
        <v>744430</v>
      </c>
      <c r="J43" s="52">
        <v>854788</v>
      </c>
      <c r="K43" s="52">
        <f t="shared" ref="K43:P43" si="20">J43+K36</f>
        <v>1010979.3230870079</v>
      </c>
      <c r="L43" s="52">
        <f t="shared" si="20"/>
        <v>1194368.8097176733</v>
      </c>
      <c r="M43" s="52">
        <f t="shared" si="20"/>
        <v>1411570.9448614384</v>
      </c>
      <c r="N43" s="52">
        <f t="shared" si="20"/>
        <v>1669482.6186053851</v>
      </c>
      <c r="O43" s="52">
        <f t="shared" si="20"/>
        <v>1976412.39034702</v>
      </c>
      <c r="P43" s="52">
        <f t="shared" si="20"/>
        <v>2342181.0650699744</v>
      </c>
      <c r="Q43" s="47" t="s">
        <v>64</v>
      </c>
    </row>
    <row r="44" spans="1:17" ht="15.75" customHeight="1">
      <c r="A44" s="44" t="s">
        <v>65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f t="shared" ref="K44:P44" si="21">J44</f>
        <v>0</v>
      </c>
      <c r="L44" s="47">
        <f t="shared" si="21"/>
        <v>0</v>
      </c>
      <c r="M44" s="47">
        <f t="shared" si="21"/>
        <v>0</v>
      </c>
      <c r="N44" s="47">
        <f t="shared" si="21"/>
        <v>0</v>
      </c>
      <c r="O44" s="47">
        <f t="shared" si="21"/>
        <v>0</v>
      </c>
      <c r="P44" s="47">
        <f t="shared" si="21"/>
        <v>0</v>
      </c>
    </row>
    <row r="45" spans="1:17" ht="15.75" customHeight="1">
      <c r="A45" s="48"/>
    </row>
    <row r="46" spans="1:17" ht="15.75" customHeight="1">
      <c r="A46" s="48" t="s">
        <v>66</v>
      </c>
      <c r="B46" s="47">
        <v>144</v>
      </c>
      <c r="C46" s="47">
        <v>154</v>
      </c>
      <c r="D46" s="47">
        <v>161</v>
      </c>
      <c r="E46" s="47">
        <v>176</v>
      </c>
      <c r="F46" s="52">
        <v>192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</row>
    <row r="47" spans="1:17" ht="15.75" customHeight="1">
      <c r="A47" s="48" t="s">
        <v>67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</row>
    <row r="48" spans="1:17" ht="15.75" customHeight="1">
      <c r="A48" s="48"/>
    </row>
    <row r="49" spans="1:26" ht="15.75" customHeight="1">
      <c r="A49" s="43" t="s">
        <v>68</v>
      </c>
      <c r="B49" s="52">
        <f t="shared" ref="B49:P49" si="22">SUM(B50:B54)</f>
        <v>10467</v>
      </c>
      <c r="C49" s="47">
        <f t="shared" si="22"/>
        <v>16332</v>
      </c>
      <c r="D49" s="47">
        <f t="shared" si="22"/>
        <v>22244</v>
      </c>
      <c r="E49" s="47">
        <f t="shared" si="22"/>
        <v>26985</v>
      </c>
      <c r="F49" s="47">
        <f t="shared" si="22"/>
        <v>28901</v>
      </c>
      <c r="G49" s="47">
        <f t="shared" si="22"/>
        <v>26616</v>
      </c>
      <c r="H49" s="47">
        <f t="shared" si="22"/>
        <v>22985</v>
      </c>
      <c r="I49" s="47">
        <f t="shared" si="22"/>
        <v>30185</v>
      </c>
      <c r="J49" s="47">
        <f t="shared" si="22"/>
        <v>37630</v>
      </c>
      <c r="K49" s="53">
        <f t="shared" si="22"/>
        <v>37630</v>
      </c>
      <c r="L49" s="54">
        <f t="shared" si="22"/>
        <v>37630</v>
      </c>
      <c r="M49" s="54">
        <f t="shared" si="22"/>
        <v>37630</v>
      </c>
      <c r="N49" s="54">
        <f t="shared" si="22"/>
        <v>37630</v>
      </c>
      <c r="O49" s="54">
        <f t="shared" si="22"/>
        <v>37630</v>
      </c>
      <c r="P49" s="54">
        <f t="shared" si="22"/>
        <v>37630</v>
      </c>
      <c r="Q49" s="47" t="s">
        <v>69</v>
      </c>
    </row>
    <row r="50" spans="1:26" ht="15.75" customHeight="1">
      <c r="A50" s="44" t="s">
        <v>70</v>
      </c>
      <c r="B50" s="52">
        <v>1471</v>
      </c>
      <c r="C50" s="47">
        <v>0</v>
      </c>
      <c r="D50" s="47">
        <f>100 +0</f>
        <v>100</v>
      </c>
      <c r="E50" s="47">
        <v>80</v>
      </c>
      <c r="F50" s="47">
        <f>54+598</f>
        <v>652</v>
      </c>
      <c r="G50" s="47">
        <f>392+28</f>
        <v>420</v>
      </c>
      <c r="H50" s="47">
        <v>329</v>
      </c>
      <c r="I50" s="47">
        <v>250</v>
      </c>
      <c r="J50" s="47">
        <v>677</v>
      </c>
      <c r="K50" s="53">
        <v>677</v>
      </c>
      <c r="L50" s="54">
        <v>677</v>
      </c>
      <c r="M50" s="54">
        <v>677</v>
      </c>
      <c r="N50" s="54">
        <v>677</v>
      </c>
      <c r="O50" s="54">
        <v>677</v>
      </c>
      <c r="P50" s="54">
        <v>677</v>
      </c>
    </row>
    <row r="51" spans="1:26" ht="15.75" customHeight="1">
      <c r="A51" s="44" t="s">
        <v>71</v>
      </c>
      <c r="B51" s="52">
        <v>1224</v>
      </c>
      <c r="C51" s="52">
        <v>11055</v>
      </c>
      <c r="D51" s="52">
        <v>15859</v>
      </c>
      <c r="E51" s="52">
        <v>20371</v>
      </c>
      <c r="F51" s="52">
        <v>21158</v>
      </c>
      <c r="G51" s="52">
        <v>21295</v>
      </c>
      <c r="H51" s="52">
        <v>21812</v>
      </c>
      <c r="I51" s="47">
        <v>25850</v>
      </c>
      <c r="J51" s="47">
        <v>31617</v>
      </c>
      <c r="K51" s="53">
        <v>31617</v>
      </c>
      <c r="L51" s="54">
        <v>31617</v>
      </c>
      <c r="M51" s="54">
        <v>31617</v>
      </c>
      <c r="N51" s="54">
        <v>31617</v>
      </c>
      <c r="O51" s="54">
        <v>31617</v>
      </c>
      <c r="P51" s="54">
        <v>31617</v>
      </c>
    </row>
    <row r="52" spans="1:26" ht="15.75" customHeight="1">
      <c r="A52" s="44" t="s">
        <v>72</v>
      </c>
      <c r="B52" s="52">
        <v>3021</v>
      </c>
      <c r="C52" s="47">
        <v>219</v>
      </c>
      <c r="D52" s="47">
        <v>265</v>
      </c>
      <c r="E52" s="47">
        <v>395</v>
      </c>
      <c r="F52" s="47">
        <v>516</v>
      </c>
      <c r="G52" s="47">
        <v>447</v>
      </c>
      <c r="H52" s="47">
        <v>844</v>
      </c>
      <c r="I52" s="47">
        <v>875</v>
      </c>
      <c r="J52" s="47">
        <v>1448</v>
      </c>
      <c r="K52" s="53">
        <v>1448</v>
      </c>
      <c r="L52" s="54">
        <v>1448</v>
      </c>
      <c r="M52" s="54">
        <v>1448</v>
      </c>
      <c r="N52" s="54">
        <v>1448</v>
      </c>
      <c r="O52" s="54">
        <v>1448</v>
      </c>
      <c r="P52" s="54">
        <v>1448</v>
      </c>
    </row>
    <row r="53" spans="1:26" ht="15.75" customHeight="1">
      <c r="A53" s="44" t="s">
        <v>73</v>
      </c>
      <c r="B53" s="52">
        <v>4751</v>
      </c>
      <c r="C53" s="52">
        <v>5058</v>
      </c>
      <c r="D53" s="52">
        <v>6020</v>
      </c>
      <c r="E53" s="52">
        <v>6139</v>
      </c>
      <c r="F53" s="47">
        <v>6575</v>
      </c>
      <c r="G53" s="47">
        <v>4454</v>
      </c>
      <c r="H53" s="47">
        <v>0</v>
      </c>
      <c r="I53" s="47">
        <v>3210</v>
      </c>
      <c r="J53" s="47">
        <v>3888</v>
      </c>
      <c r="K53" s="53">
        <v>3888</v>
      </c>
      <c r="L53" s="54">
        <v>3888</v>
      </c>
      <c r="M53" s="54">
        <v>3888</v>
      </c>
      <c r="N53" s="54">
        <v>3888</v>
      </c>
      <c r="O53" s="54">
        <v>3888</v>
      </c>
      <c r="P53" s="54">
        <v>3888</v>
      </c>
    </row>
    <row r="54" spans="1:26" ht="15.75" customHeight="1">
      <c r="A54" s="48"/>
    </row>
    <row r="55" spans="1:26" ht="15.75" customHeight="1">
      <c r="A55" s="55" t="s">
        <v>74</v>
      </c>
      <c r="B55" s="47">
        <f t="shared" ref="B55:P55" si="23">SUM(B56:B62)</f>
        <v>114601</v>
      </c>
      <c r="C55" s="52">
        <f t="shared" si="23"/>
        <v>132368</v>
      </c>
      <c r="D55" s="52">
        <f t="shared" si="23"/>
        <v>154485</v>
      </c>
      <c r="E55" s="52">
        <f t="shared" si="23"/>
        <v>141605</v>
      </c>
      <c r="F55" s="52">
        <f t="shared" si="23"/>
        <v>113054</v>
      </c>
      <c r="G55" s="52">
        <f t="shared" si="23"/>
        <v>162139</v>
      </c>
      <c r="H55" s="52">
        <f t="shared" si="23"/>
        <v>170235</v>
      </c>
      <c r="I55" s="52">
        <f t="shared" si="23"/>
        <v>227667</v>
      </c>
      <c r="J55" s="52">
        <f t="shared" si="23"/>
        <v>259518</v>
      </c>
      <c r="K55" s="52">
        <f t="shared" si="23"/>
        <v>329026.41459609644</v>
      </c>
      <c r="L55" s="52">
        <f t="shared" si="23"/>
        <v>387819.73410491133</v>
      </c>
      <c r="M55" s="52">
        <f t="shared" si="23"/>
        <v>457309.28287167684</v>
      </c>
      <c r="N55" s="52">
        <f t="shared" si="23"/>
        <v>539464.37142155645</v>
      </c>
      <c r="O55" s="52">
        <f t="shared" si="23"/>
        <v>636619.6965214191</v>
      </c>
      <c r="P55" s="52">
        <f t="shared" si="23"/>
        <v>751543.469451315</v>
      </c>
    </row>
    <row r="56" spans="1:26" ht="15.75" customHeight="1">
      <c r="A56" s="44" t="s">
        <v>75</v>
      </c>
      <c r="C56" s="52">
        <v>8036</v>
      </c>
      <c r="D56" s="52">
        <v>8541</v>
      </c>
      <c r="E56" s="52">
        <v>6729</v>
      </c>
      <c r="F56" s="52">
        <v>6962</v>
      </c>
      <c r="G56" s="52">
        <v>8547</v>
      </c>
      <c r="H56" s="52">
        <v>11113</v>
      </c>
      <c r="I56" s="52">
        <v>11584</v>
      </c>
      <c r="J56" s="52">
        <v>12030</v>
      </c>
      <c r="K56" s="52">
        <f t="shared" ref="K56:P58" si="24">K164</f>
        <v>17226.513853198765</v>
      </c>
      <c r="L56" s="52">
        <f t="shared" si="24"/>
        <v>20304.698120675985</v>
      </c>
      <c r="M56" s="52">
        <f t="shared" si="24"/>
        <v>23942.894391187267</v>
      </c>
      <c r="N56" s="52">
        <f t="shared" si="24"/>
        <v>28244.207927830183</v>
      </c>
      <c r="O56" s="52">
        <f t="shared" si="24"/>
        <v>33330.874163425084</v>
      </c>
      <c r="P56" s="52">
        <f t="shared" si="24"/>
        <v>39347.825625723301</v>
      </c>
    </row>
    <row r="57" spans="1:26" ht="15.75" customHeight="1">
      <c r="A57" s="44" t="s">
        <v>76</v>
      </c>
      <c r="B57" s="47">
        <v>907</v>
      </c>
      <c r="C57" s="52">
        <v>4836</v>
      </c>
      <c r="D57" s="52">
        <v>1108</v>
      </c>
      <c r="E57" s="47">
        <f>1496+0</f>
        <v>1496</v>
      </c>
      <c r="F57" s="47">
        <f>1063 + 103</f>
        <v>1166</v>
      </c>
      <c r="G57" s="47">
        <f>4888+74</f>
        <v>4962</v>
      </c>
      <c r="H57" s="47">
        <f>3819+80</f>
        <v>3899</v>
      </c>
      <c r="I57" s="52">
        <f>12158+68</f>
        <v>12226</v>
      </c>
      <c r="J57" s="47">
        <f>331+178</f>
        <v>509</v>
      </c>
      <c r="K57" s="52">
        <f t="shared" si="24"/>
        <v>1722.6513853198765</v>
      </c>
      <c r="L57" s="52">
        <f t="shared" si="24"/>
        <v>2030.4698120675987</v>
      </c>
      <c r="M57" s="52">
        <f t="shared" si="24"/>
        <v>2394.2894391187265</v>
      </c>
      <c r="N57" s="52">
        <f t="shared" si="24"/>
        <v>2824.4207927830184</v>
      </c>
      <c r="O57" s="52">
        <f t="shared" si="24"/>
        <v>3333.0874163425087</v>
      </c>
      <c r="P57" s="52">
        <f t="shared" si="24"/>
        <v>3934.7825625723303</v>
      </c>
    </row>
    <row r="58" spans="1:26" ht="15.75" customHeight="1">
      <c r="A58" s="44" t="s">
        <v>77</v>
      </c>
      <c r="B58" s="47">
        <v>533</v>
      </c>
      <c r="C58" s="47">
        <v>832</v>
      </c>
      <c r="D58" s="47">
        <v>711</v>
      </c>
      <c r="E58" s="47">
        <v>682</v>
      </c>
      <c r="F58" s="47">
        <v>481</v>
      </c>
      <c r="G58" s="47">
        <v>698</v>
      </c>
      <c r="H58" s="47">
        <v>1087</v>
      </c>
      <c r="I58" s="47">
        <v>1947</v>
      </c>
      <c r="J58" s="47">
        <v>2070</v>
      </c>
      <c r="K58" s="52">
        <f t="shared" si="24"/>
        <v>206718.16623838517</v>
      </c>
      <c r="L58" s="52">
        <f t="shared" si="24"/>
        <v>243656.37744811183</v>
      </c>
      <c r="M58" s="52">
        <f t="shared" si="24"/>
        <v>287314.73269424721</v>
      </c>
      <c r="N58" s="52">
        <f t="shared" si="24"/>
        <v>338930.49513396219</v>
      </c>
      <c r="O58" s="52">
        <f t="shared" si="24"/>
        <v>399970.48996110103</v>
      </c>
      <c r="P58" s="52">
        <f t="shared" si="24"/>
        <v>472173.90750867961</v>
      </c>
    </row>
    <row r="59" spans="1:26" ht="15.75" customHeight="1">
      <c r="A59" s="44" t="s">
        <v>78</v>
      </c>
      <c r="B59" s="52">
        <v>70738</v>
      </c>
      <c r="C59" s="52">
        <v>82860</v>
      </c>
      <c r="D59" s="52">
        <v>104282</v>
      </c>
      <c r="E59" s="52">
        <v>95695</v>
      </c>
      <c r="F59" s="52">
        <v>74507</v>
      </c>
      <c r="G59" s="52">
        <v>100983</v>
      </c>
      <c r="H59" s="52">
        <v>96565</v>
      </c>
      <c r="I59" s="52">
        <v>134808</v>
      </c>
      <c r="J59" s="52">
        <v>167814</v>
      </c>
      <c r="K59" s="56"/>
      <c r="L59" s="56"/>
      <c r="M59" s="56"/>
      <c r="N59" s="56"/>
      <c r="O59" s="56"/>
      <c r="P59" s="56"/>
    </row>
    <row r="60" spans="1:26" ht="15.75" customHeight="1">
      <c r="A60" s="44" t="s">
        <v>79</v>
      </c>
      <c r="B60" s="52">
        <v>24078</v>
      </c>
      <c r="C60" s="52">
        <v>18278</v>
      </c>
      <c r="D60" s="52">
        <v>20896</v>
      </c>
      <c r="E60" s="52">
        <v>16329</v>
      </c>
      <c r="F60" s="52">
        <v>14091</v>
      </c>
      <c r="G60" s="52">
        <v>26801</v>
      </c>
      <c r="H60" s="52">
        <v>28686</v>
      </c>
      <c r="I60" s="52">
        <v>33372</v>
      </c>
      <c r="J60" s="52">
        <v>41739</v>
      </c>
      <c r="K60" s="52">
        <f t="shared" ref="K60:P62" si="25">K167</f>
        <v>51679.541559596291</v>
      </c>
      <c r="L60" s="52">
        <f t="shared" si="25"/>
        <v>60914.094362027958</v>
      </c>
      <c r="M60" s="52">
        <f t="shared" si="25"/>
        <v>71828.683173561803</v>
      </c>
      <c r="N60" s="52">
        <f t="shared" si="25"/>
        <v>84732.623783490548</v>
      </c>
      <c r="O60" s="52">
        <f t="shared" si="25"/>
        <v>99992.622490275258</v>
      </c>
      <c r="P60" s="52">
        <f t="shared" si="25"/>
        <v>118043.4768771699</v>
      </c>
    </row>
    <row r="61" spans="1:26" ht="15.75" customHeight="1">
      <c r="A61" s="44" t="s">
        <v>80</v>
      </c>
      <c r="B61" s="52">
        <v>18345</v>
      </c>
      <c r="C61" s="52">
        <v>4498</v>
      </c>
      <c r="D61" s="52">
        <v>5609</v>
      </c>
      <c r="E61" s="52">
        <v>6254</v>
      </c>
      <c r="F61" s="52">
        <v>6807</v>
      </c>
      <c r="G61" s="47">
        <v>7428</v>
      </c>
      <c r="H61" s="47">
        <v>8613</v>
      </c>
      <c r="I61" s="52">
        <v>10830</v>
      </c>
      <c r="J61" s="52">
        <v>13119</v>
      </c>
      <c r="K61" s="52">
        <f t="shared" si="25"/>
        <v>17226.513853198765</v>
      </c>
      <c r="L61" s="52">
        <f t="shared" si="25"/>
        <v>20304.698120675985</v>
      </c>
      <c r="M61" s="52">
        <f t="shared" si="25"/>
        <v>23942.894391187267</v>
      </c>
      <c r="N61" s="52">
        <f t="shared" si="25"/>
        <v>28244.207927830183</v>
      </c>
      <c r="O61" s="52">
        <f t="shared" si="25"/>
        <v>33330.874163425084</v>
      </c>
      <c r="P61" s="52">
        <f t="shared" si="25"/>
        <v>39347.825625723301</v>
      </c>
    </row>
    <row r="62" spans="1:26" ht="15.75" customHeight="1">
      <c r="A62" s="44" t="s">
        <v>81</v>
      </c>
      <c r="B62" s="47">
        <v>0</v>
      </c>
      <c r="C62" s="52">
        <v>13028</v>
      </c>
      <c r="D62" s="52">
        <v>13338</v>
      </c>
      <c r="E62" s="52">
        <v>14420</v>
      </c>
      <c r="F62" s="52">
        <v>9040</v>
      </c>
      <c r="G62" s="52">
        <v>12720</v>
      </c>
      <c r="H62" s="52">
        <v>20272</v>
      </c>
      <c r="I62" s="52">
        <v>22900</v>
      </c>
      <c r="J62" s="52">
        <v>22237</v>
      </c>
      <c r="K62" s="52">
        <f t="shared" si="25"/>
        <v>34453.02770639753</v>
      </c>
      <c r="L62" s="52">
        <f t="shared" si="25"/>
        <v>40609.396241351969</v>
      </c>
      <c r="M62" s="52">
        <f t="shared" si="25"/>
        <v>47885.788782374533</v>
      </c>
      <c r="N62" s="52">
        <f t="shared" si="25"/>
        <v>56488.415855660365</v>
      </c>
      <c r="O62" s="52">
        <f t="shared" si="25"/>
        <v>66661.748326850167</v>
      </c>
      <c r="P62" s="52">
        <f t="shared" si="25"/>
        <v>78695.651251446601</v>
      </c>
    </row>
    <row r="63" spans="1:26" ht="15.75" customHeight="1">
      <c r="A63" s="49" t="s">
        <v>82</v>
      </c>
      <c r="B63" s="57">
        <f t="shared" ref="B63:P63" si="26">SUM(B41,B49,B55)</f>
        <v>402699</v>
      </c>
      <c r="C63" s="57">
        <f t="shared" si="26"/>
        <v>519605</v>
      </c>
      <c r="D63" s="57">
        <f t="shared" si="26"/>
        <v>602484</v>
      </c>
      <c r="E63" s="57">
        <f t="shared" si="26"/>
        <v>639687</v>
      </c>
      <c r="F63" s="57">
        <f t="shared" si="26"/>
        <v>636277</v>
      </c>
      <c r="G63" s="57">
        <f t="shared" si="26"/>
        <v>713761</v>
      </c>
      <c r="H63" s="58">
        <f t="shared" si="26"/>
        <v>746555</v>
      </c>
      <c r="I63" s="57">
        <f t="shared" si="26"/>
        <v>1003854</v>
      </c>
      <c r="J63" s="57">
        <f t="shared" si="26"/>
        <v>1153508</v>
      </c>
      <c r="K63" s="59">
        <f t="shared" si="26"/>
        <v>1379207.7376831041</v>
      </c>
      <c r="L63" s="59">
        <f t="shared" si="26"/>
        <v>1621390.5438225847</v>
      </c>
      <c r="M63" s="59">
        <f t="shared" si="26"/>
        <v>1908082.2277331152</v>
      </c>
      <c r="N63" s="59">
        <f t="shared" si="26"/>
        <v>2248148.9900269415</v>
      </c>
      <c r="O63" s="59">
        <f t="shared" si="26"/>
        <v>2652234.0868684389</v>
      </c>
      <c r="P63" s="59">
        <f t="shared" si="26"/>
        <v>3132926.5345212892</v>
      </c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>
      <c r="A64" s="48"/>
    </row>
    <row r="65" spans="1:17" ht="15.75" customHeight="1">
      <c r="A65" s="48"/>
    </row>
    <row r="66" spans="1:17" ht="15.75" customHeight="1">
      <c r="A66" s="43" t="s">
        <v>83</v>
      </c>
    </row>
    <row r="67" spans="1:17" ht="15.75" customHeight="1">
      <c r="A67" s="48"/>
    </row>
    <row r="68" spans="1:17" ht="15.75" customHeight="1">
      <c r="A68" s="55" t="s">
        <v>84</v>
      </c>
      <c r="B68" s="52">
        <f>SUM(B69:B80)</f>
        <v>328656</v>
      </c>
      <c r="C68" s="52">
        <f t="shared" ref="C68:H68" si="27">SUM(C69:C79)</f>
        <v>431625</v>
      </c>
      <c r="D68" s="52">
        <f t="shared" si="27"/>
        <v>523184</v>
      </c>
      <c r="E68" s="52">
        <f t="shared" si="27"/>
        <v>515960</v>
      </c>
      <c r="F68" s="52">
        <f t="shared" si="27"/>
        <v>551871</v>
      </c>
      <c r="G68" s="52">
        <f t="shared" si="27"/>
        <v>532791</v>
      </c>
      <c r="H68" s="52">
        <f t="shared" si="27"/>
        <v>578621</v>
      </c>
      <c r="I68" s="52">
        <f t="shared" ref="I68:J68" si="28">SUM(I69:I80)</f>
        <v>847162</v>
      </c>
      <c r="J68" s="52">
        <f t="shared" si="28"/>
        <v>927170</v>
      </c>
      <c r="K68" s="52">
        <f t="shared" ref="K68:P68" si="29">SUM(K69:K79)</f>
        <v>974328.6</v>
      </c>
      <c r="L68" s="52">
        <f t="shared" si="29"/>
        <v>1015254.81</v>
      </c>
      <c r="M68" s="52">
        <f t="shared" si="29"/>
        <v>1057115.8785000001</v>
      </c>
      <c r="N68" s="52">
        <f t="shared" si="29"/>
        <v>1098836.718225</v>
      </c>
      <c r="O68" s="52">
        <f t="shared" si="29"/>
        <v>1140578.5922662499</v>
      </c>
      <c r="P68" s="52">
        <f t="shared" si="29"/>
        <v>1182317.3111600624</v>
      </c>
    </row>
    <row r="69" spans="1:17" ht="15.75" customHeight="1">
      <c r="A69" s="61" t="s">
        <v>85</v>
      </c>
      <c r="B69" s="52">
        <v>126251</v>
      </c>
      <c r="C69" s="52">
        <v>129377</v>
      </c>
      <c r="D69" s="52">
        <v>130771</v>
      </c>
      <c r="E69" s="52">
        <v>149862</v>
      </c>
      <c r="F69" s="52">
        <v>147905</v>
      </c>
      <c r="G69" s="52">
        <v>141785</v>
      </c>
      <c r="H69" s="52">
        <v>128261</v>
      </c>
      <c r="I69" s="52">
        <v>268028</v>
      </c>
      <c r="J69" s="52">
        <v>267982</v>
      </c>
      <c r="K69" s="52">
        <f t="shared" ref="K69:P69" si="30">SUM(J69:J73,K202)-K204</f>
        <v>403154.6</v>
      </c>
      <c r="L69" s="52">
        <f t="shared" si="30"/>
        <v>444080.81</v>
      </c>
      <c r="M69" s="52">
        <f t="shared" si="30"/>
        <v>485941.87849999999</v>
      </c>
      <c r="N69" s="52">
        <f t="shared" si="30"/>
        <v>527662.71822499996</v>
      </c>
      <c r="O69" s="52">
        <f t="shared" si="30"/>
        <v>569404.59226625005</v>
      </c>
      <c r="P69" s="52">
        <f t="shared" si="30"/>
        <v>611143.31116006244</v>
      </c>
    </row>
    <row r="70" spans="1:17" ht="15.75" customHeight="1">
      <c r="A70" s="61" t="s">
        <v>86</v>
      </c>
      <c r="B70" s="52">
        <v>3508</v>
      </c>
      <c r="C70" s="52">
        <v>3730</v>
      </c>
      <c r="D70" s="52">
        <v>3117</v>
      </c>
      <c r="E70" s="52">
        <v>4511</v>
      </c>
      <c r="F70" s="52">
        <v>4067</v>
      </c>
      <c r="G70" s="52">
        <v>2242</v>
      </c>
      <c r="H70" s="52">
        <v>3499</v>
      </c>
      <c r="I70" s="52">
        <v>5479</v>
      </c>
      <c r="J70" s="52">
        <v>4537</v>
      </c>
      <c r="K70" s="56"/>
      <c r="L70" s="56"/>
      <c r="M70" s="56"/>
      <c r="N70" s="56"/>
      <c r="O70" s="56"/>
      <c r="P70" s="56"/>
    </row>
    <row r="71" spans="1:17" ht="15.75" customHeight="1">
      <c r="A71" s="61" t="s">
        <v>87</v>
      </c>
      <c r="B71" s="52">
        <v>10134</v>
      </c>
      <c r="C71" s="52">
        <v>12523</v>
      </c>
      <c r="D71" s="52">
        <v>21321</v>
      </c>
      <c r="E71" s="52">
        <v>16069</v>
      </c>
      <c r="F71" s="52">
        <v>13443</v>
      </c>
      <c r="G71" s="52">
        <v>11993</v>
      </c>
      <c r="H71" s="52">
        <v>26462</v>
      </c>
      <c r="I71" s="52">
        <v>40541</v>
      </c>
      <c r="J71" s="52">
        <v>75043</v>
      </c>
      <c r="K71" s="56"/>
      <c r="L71" s="56"/>
      <c r="M71" s="56"/>
      <c r="N71" s="56"/>
      <c r="O71" s="56"/>
      <c r="P71" s="56"/>
    </row>
    <row r="72" spans="1:17" ht="15.75" customHeight="1">
      <c r="A72" s="61" t="s">
        <v>88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52">
        <v>2975</v>
      </c>
      <c r="H72" s="52">
        <v>2903</v>
      </c>
      <c r="I72" s="47">
        <v>889</v>
      </c>
      <c r="J72" s="52">
        <v>2305</v>
      </c>
      <c r="K72" s="56"/>
      <c r="L72" s="56"/>
      <c r="M72" s="56"/>
      <c r="N72" s="56"/>
      <c r="O72" s="56"/>
      <c r="P72" s="56"/>
    </row>
    <row r="73" spans="1:17" ht="15.75" customHeight="1">
      <c r="A73" s="44" t="s">
        <v>89</v>
      </c>
      <c r="B73" s="47">
        <v>0</v>
      </c>
      <c r="C73" s="47">
        <v>0</v>
      </c>
      <c r="D73" s="47">
        <v>0</v>
      </c>
      <c r="E73" s="47">
        <v>0</v>
      </c>
      <c r="F73" s="52">
        <v>6181</v>
      </c>
      <c r="G73" s="52">
        <v>5860</v>
      </c>
      <c r="H73" s="52">
        <v>5712</v>
      </c>
      <c r="I73" s="52">
        <v>5907</v>
      </c>
      <c r="J73" s="52">
        <v>6129</v>
      </c>
      <c r="K73" s="56"/>
      <c r="L73" s="56"/>
      <c r="M73" s="56"/>
      <c r="N73" s="56"/>
      <c r="O73" s="56"/>
      <c r="P73" s="56"/>
    </row>
    <row r="74" spans="1:17" ht="15.75" customHeight="1">
      <c r="A74" s="44" t="s">
        <v>90</v>
      </c>
      <c r="B74" s="52">
        <v>175117</v>
      </c>
      <c r="C74" s="52">
        <v>269718</v>
      </c>
      <c r="D74" s="52">
        <v>349058</v>
      </c>
      <c r="E74" s="52">
        <v>324581</v>
      </c>
      <c r="F74" s="52">
        <v>362692</v>
      </c>
      <c r="G74" s="52">
        <v>345291</v>
      </c>
      <c r="H74" s="52">
        <v>379346</v>
      </c>
      <c r="I74" s="52">
        <v>491843</v>
      </c>
      <c r="J74" s="52">
        <v>533838</v>
      </c>
      <c r="K74" s="62">
        <v>533838</v>
      </c>
      <c r="L74" s="63">
        <v>533838</v>
      </c>
      <c r="M74" s="63">
        <v>533838</v>
      </c>
      <c r="N74" s="63">
        <v>533838</v>
      </c>
      <c r="O74" s="63">
        <v>533838</v>
      </c>
      <c r="P74" s="63">
        <v>533838</v>
      </c>
      <c r="Q74" s="47" t="s">
        <v>91</v>
      </c>
    </row>
    <row r="75" spans="1:17" ht="15.75" customHeight="1">
      <c r="A75" s="44" t="s">
        <v>92</v>
      </c>
      <c r="C75" s="47">
        <v>241</v>
      </c>
      <c r="D75" s="47">
        <v>328</v>
      </c>
      <c r="E75" s="47">
        <v>344</v>
      </c>
      <c r="F75" s="47">
        <v>365</v>
      </c>
      <c r="G75" s="47">
        <v>369</v>
      </c>
      <c r="H75" s="47">
        <v>375</v>
      </c>
      <c r="I75" s="52">
        <v>2398</v>
      </c>
      <c r="J75" s="52">
        <v>2981</v>
      </c>
      <c r="K75" s="62">
        <v>2981</v>
      </c>
      <c r="L75" s="63">
        <v>2981</v>
      </c>
      <c r="M75" s="63">
        <v>2981</v>
      </c>
      <c r="N75" s="63">
        <v>2981</v>
      </c>
      <c r="O75" s="63">
        <v>2981</v>
      </c>
      <c r="P75" s="63">
        <v>2981</v>
      </c>
    </row>
    <row r="76" spans="1:17" ht="15.75" customHeight="1">
      <c r="A76" s="44" t="s">
        <v>93</v>
      </c>
      <c r="B76" s="52">
        <v>13555</v>
      </c>
      <c r="C76" s="47">
        <v>3</v>
      </c>
      <c r="D76" s="47">
        <v>2</v>
      </c>
      <c r="E76" s="47">
        <v>2</v>
      </c>
      <c r="F76" s="47">
        <v>2</v>
      </c>
      <c r="G76" s="47">
        <v>2</v>
      </c>
      <c r="H76" s="47">
        <v>2</v>
      </c>
      <c r="I76" s="47">
        <v>2</v>
      </c>
      <c r="J76" s="47">
        <v>1</v>
      </c>
      <c r="K76" s="53">
        <v>1</v>
      </c>
      <c r="L76" s="54">
        <v>1</v>
      </c>
      <c r="M76" s="54">
        <v>1</v>
      </c>
      <c r="N76" s="54">
        <v>1</v>
      </c>
      <c r="O76" s="54">
        <v>1</v>
      </c>
      <c r="P76" s="54">
        <v>1</v>
      </c>
    </row>
    <row r="77" spans="1:17" ht="15.75" customHeight="1">
      <c r="A77" s="44" t="s">
        <v>94</v>
      </c>
      <c r="B77" s="47">
        <v>91</v>
      </c>
      <c r="C77" s="52">
        <v>16033</v>
      </c>
      <c r="D77" s="52">
        <v>18587</v>
      </c>
      <c r="E77" s="52">
        <v>20591</v>
      </c>
      <c r="F77" s="52">
        <v>17216</v>
      </c>
      <c r="G77" s="52">
        <v>16867</v>
      </c>
      <c r="H77" s="52">
        <v>25204</v>
      </c>
      <c r="I77" s="52">
        <v>23226</v>
      </c>
      <c r="J77" s="52">
        <v>28049</v>
      </c>
      <c r="K77" s="62">
        <v>28049</v>
      </c>
      <c r="L77" s="63">
        <v>28049</v>
      </c>
      <c r="M77" s="63">
        <v>28049</v>
      </c>
      <c r="N77" s="63">
        <v>28049</v>
      </c>
      <c r="O77" s="63">
        <v>28049</v>
      </c>
      <c r="P77" s="63">
        <v>28049</v>
      </c>
    </row>
    <row r="78" spans="1:17" ht="15.75" customHeight="1">
      <c r="A78" s="44" t="s">
        <v>95</v>
      </c>
      <c r="B78" s="47">
        <v>0</v>
      </c>
      <c r="C78" s="47">
        <v>0</v>
      </c>
      <c r="D78" s="47">
        <v>0</v>
      </c>
      <c r="E78" s="47">
        <v>0</v>
      </c>
      <c r="F78" s="47">
        <v>0</v>
      </c>
      <c r="G78" s="52">
        <v>5407</v>
      </c>
      <c r="H78" s="52">
        <v>5446</v>
      </c>
      <c r="I78" s="52">
        <v>6055</v>
      </c>
      <c r="J78" s="52">
        <v>5838</v>
      </c>
      <c r="K78" s="62">
        <v>5838</v>
      </c>
      <c r="L78" s="63">
        <v>5838</v>
      </c>
      <c r="M78" s="63">
        <v>5838</v>
      </c>
      <c r="N78" s="63">
        <v>5838</v>
      </c>
      <c r="O78" s="63">
        <v>5838</v>
      </c>
      <c r="P78" s="63">
        <v>5838</v>
      </c>
    </row>
    <row r="79" spans="1:17" ht="15.75" customHeight="1">
      <c r="A79" s="44" t="s">
        <v>96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1411</v>
      </c>
      <c r="I79" s="47">
        <v>2794</v>
      </c>
      <c r="J79" s="52">
        <v>467</v>
      </c>
      <c r="K79" s="62">
        <v>467</v>
      </c>
      <c r="L79" s="63">
        <v>467</v>
      </c>
      <c r="M79" s="63">
        <v>467</v>
      </c>
      <c r="N79" s="63">
        <v>467</v>
      </c>
      <c r="O79" s="63">
        <v>467</v>
      </c>
      <c r="P79" s="63">
        <v>467</v>
      </c>
    </row>
    <row r="80" spans="1:17" ht="15.75" customHeight="1">
      <c r="A80" s="44"/>
    </row>
    <row r="81" spans="1:26" ht="15.75" customHeight="1">
      <c r="A81" s="55" t="s">
        <v>97</v>
      </c>
      <c r="B81" s="52">
        <f t="shared" ref="B81:P81" si="31">SUM(B83:B91)</f>
        <v>74043</v>
      </c>
      <c r="C81" s="52">
        <f t="shared" si="31"/>
        <v>87980</v>
      </c>
      <c r="D81" s="52">
        <f t="shared" si="31"/>
        <v>79300</v>
      </c>
      <c r="E81" s="52">
        <f t="shared" si="31"/>
        <v>123727</v>
      </c>
      <c r="F81" s="52">
        <f t="shared" si="31"/>
        <v>84406</v>
      </c>
      <c r="G81" s="52">
        <f t="shared" si="31"/>
        <v>180970</v>
      </c>
      <c r="H81" s="52">
        <f t="shared" si="31"/>
        <v>167934</v>
      </c>
      <c r="I81" s="52">
        <f t="shared" si="31"/>
        <v>156692</v>
      </c>
      <c r="J81" s="52">
        <f t="shared" si="31"/>
        <v>226338</v>
      </c>
      <c r="K81" s="52">
        <f t="shared" si="31"/>
        <v>404879.13768310432</v>
      </c>
      <c r="L81" s="52">
        <f t="shared" si="31"/>
        <v>606135.73382258462</v>
      </c>
      <c r="M81" s="52">
        <f t="shared" si="31"/>
        <v>850966.34923311532</v>
      </c>
      <c r="N81" s="52">
        <f t="shared" si="31"/>
        <v>1149312.2718019416</v>
      </c>
      <c r="O81" s="52">
        <f t="shared" si="31"/>
        <v>1511655.4946021889</v>
      </c>
      <c r="P81" s="52">
        <f t="shared" si="31"/>
        <v>1950609.2233612267</v>
      </c>
    </row>
    <row r="82" spans="1:26" ht="15.75" customHeight="1">
      <c r="A82" s="44"/>
    </row>
    <row r="83" spans="1:26" ht="15.75" customHeight="1">
      <c r="A83" s="61" t="s">
        <v>98</v>
      </c>
      <c r="B83" s="52">
        <v>31998</v>
      </c>
      <c r="C83" s="52">
        <v>32637</v>
      </c>
      <c r="D83" s="52">
        <v>31602</v>
      </c>
      <c r="E83" s="52">
        <v>33226</v>
      </c>
      <c r="F83" s="52">
        <v>32139</v>
      </c>
      <c r="G83" s="52">
        <v>30490</v>
      </c>
      <c r="H83" s="52">
        <v>35323</v>
      </c>
      <c r="I83" s="52">
        <v>54435</v>
      </c>
      <c r="J83" s="52">
        <v>53181</v>
      </c>
      <c r="K83" s="52">
        <f t="shared" ref="K83:P84" si="32">K156</f>
        <v>68906.05541279506</v>
      </c>
      <c r="L83" s="52">
        <f t="shared" si="32"/>
        <v>81218.792482703939</v>
      </c>
      <c r="M83" s="52">
        <f t="shared" si="32"/>
        <v>95771.577564749066</v>
      </c>
      <c r="N83" s="52">
        <f t="shared" si="32"/>
        <v>112976.83171132073</v>
      </c>
      <c r="O83" s="52">
        <f t="shared" si="32"/>
        <v>133323.49665370033</v>
      </c>
      <c r="P83" s="52">
        <f t="shared" si="32"/>
        <v>157391.3025028932</v>
      </c>
    </row>
    <row r="84" spans="1:26" ht="15.75" customHeight="1">
      <c r="A84" s="61" t="s">
        <v>99</v>
      </c>
      <c r="B84" s="52">
        <v>13873</v>
      </c>
      <c r="C84" s="52">
        <v>12026</v>
      </c>
      <c r="D84" s="52">
        <v>14654</v>
      </c>
      <c r="E84" s="52">
        <v>23128</v>
      </c>
      <c r="F84" s="52">
        <v>21298</v>
      </c>
      <c r="G84" s="52">
        <v>12799</v>
      </c>
      <c r="H84" s="52">
        <v>20345</v>
      </c>
      <c r="I84" s="52">
        <v>32848</v>
      </c>
      <c r="J84" s="52">
        <v>45968</v>
      </c>
      <c r="K84" s="52">
        <f t="shared" si="32"/>
        <v>51679.541559596291</v>
      </c>
      <c r="L84" s="52">
        <f t="shared" si="32"/>
        <v>60914.094362027958</v>
      </c>
      <c r="M84" s="52">
        <f t="shared" si="32"/>
        <v>71828.683173561803</v>
      </c>
      <c r="N84" s="52">
        <f t="shared" si="32"/>
        <v>84732.623783490548</v>
      </c>
      <c r="O84" s="52">
        <f t="shared" si="32"/>
        <v>99992.622490275258</v>
      </c>
      <c r="P84" s="52">
        <f t="shared" si="32"/>
        <v>118043.4768771699</v>
      </c>
    </row>
    <row r="85" spans="1:26" ht="15.75" customHeight="1">
      <c r="A85" s="61" t="s">
        <v>100</v>
      </c>
      <c r="B85" s="47">
        <v>768</v>
      </c>
      <c r="C85" s="47">
        <v>235</v>
      </c>
      <c r="D85" s="47">
        <v>740</v>
      </c>
      <c r="E85" s="47">
        <v>1878</v>
      </c>
      <c r="F85" s="47">
        <v>290</v>
      </c>
      <c r="G85" s="47">
        <f>30063
+408</f>
        <v>30471</v>
      </c>
      <c r="H85" s="47">
        <f>351+30071</f>
        <v>30422</v>
      </c>
      <c r="I85" s="52">
        <f>17852+9633</f>
        <v>27485</v>
      </c>
      <c r="J85" s="52">
        <f>26595+1679</f>
        <v>28274</v>
      </c>
      <c r="K85" s="64">
        <f t="shared" ref="K85:P85" si="33">K216</f>
        <v>197763.87983986328</v>
      </c>
      <c r="L85" s="64">
        <f t="shared" si="33"/>
        <v>362011.30896618334</v>
      </c>
      <c r="M85" s="64">
        <f t="shared" si="33"/>
        <v>563099.70438532892</v>
      </c>
      <c r="N85" s="64">
        <f t="shared" si="33"/>
        <v>809730.71412859845</v>
      </c>
      <c r="O85" s="64">
        <f t="shared" si="33"/>
        <v>1110916.6884033633</v>
      </c>
      <c r="P85" s="64">
        <f t="shared" si="33"/>
        <v>1477528.3017370703</v>
      </c>
    </row>
    <row r="86" spans="1:26" ht="15.75" customHeight="1">
      <c r="A86" s="61" t="s">
        <v>101</v>
      </c>
      <c r="B86" s="52">
        <v>15957</v>
      </c>
      <c r="C86" s="47">
        <v>25</v>
      </c>
      <c r="D86" s="47">
        <v>30</v>
      </c>
      <c r="E86" s="47">
        <v>161</v>
      </c>
      <c r="F86" s="47">
        <v>170</v>
      </c>
      <c r="G86" s="47">
        <v>230</v>
      </c>
      <c r="H86" s="47">
        <v>305</v>
      </c>
      <c r="I86" s="47">
        <v>297</v>
      </c>
      <c r="J86" s="47">
        <v>327</v>
      </c>
      <c r="K86" s="52">
        <f t="shared" ref="K86:P88" si="34">K158</f>
        <v>397.09160485583465</v>
      </c>
      <c r="L86" s="52">
        <f t="shared" si="34"/>
        <v>468.04740828947831</v>
      </c>
      <c r="M86" s="52">
        <f t="shared" si="34"/>
        <v>551.91215353911412</v>
      </c>
      <c r="N86" s="52">
        <f t="shared" si="34"/>
        <v>651.06253938090777</v>
      </c>
      <c r="O86" s="52">
        <f t="shared" si="34"/>
        <v>768.31623772471403</v>
      </c>
      <c r="P86" s="52">
        <f t="shared" si="34"/>
        <v>907.01411547668874</v>
      </c>
    </row>
    <row r="87" spans="1:26" ht="15.75" customHeight="1">
      <c r="A87" s="61" t="s">
        <v>102</v>
      </c>
      <c r="B87" s="52">
        <v>2699</v>
      </c>
      <c r="C87" s="52">
        <v>15408</v>
      </c>
      <c r="D87" s="52">
        <v>13140</v>
      </c>
      <c r="E87" s="52">
        <v>5638</v>
      </c>
      <c r="F87" s="52">
        <v>7974</v>
      </c>
      <c r="G87" s="47">
        <v>9581</v>
      </c>
      <c r="H87" s="52">
        <v>14608</v>
      </c>
      <c r="I87" s="52">
        <v>15602</v>
      </c>
      <c r="J87" s="52">
        <v>25077</v>
      </c>
      <c r="K87" s="52">
        <f t="shared" si="34"/>
        <v>34453.02770639753</v>
      </c>
      <c r="L87" s="52">
        <f t="shared" si="34"/>
        <v>40609.396241351969</v>
      </c>
      <c r="M87" s="52">
        <f t="shared" si="34"/>
        <v>47885.788782374533</v>
      </c>
      <c r="N87" s="52">
        <f t="shared" si="34"/>
        <v>56488.415855660365</v>
      </c>
      <c r="O87" s="52">
        <f t="shared" si="34"/>
        <v>66661.748326850167</v>
      </c>
      <c r="P87" s="52">
        <f t="shared" si="34"/>
        <v>78695.651251446601</v>
      </c>
    </row>
    <row r="88" spans="1:26" ht="15.75" customHeight="1">
      <c r="A88" s="61" t="s">
        <v>103</v>
      </c>
      <c r="C88" s="52">
        <v>4910</v>
      </c>
      <c r="D88" s="52">
        <v>4115</v>
      </c>
      <c r="E88" s="47">
        <v>4277</v>
      </c>
      <c r="F88" s="47">
        <v>5272</v>
      </c>
      <c r="K88" s="52">
        <f t="shared" si="34"/>
        <v>0</v>
      </c>
      <c r="L88" s="52">
        <f t="shared" si="34"/>
        <v>0</v>
      </c>
      <c r="M88" s="52">
        <f t="shared" si="34"/>
        <v>0</v>
      </c>
      <c r="N88" s="52">
        <f t="shared" si="34"/>
        <v>0</v>
      </c>
      <c r="O88" s="52">
        <f t="shared" si="34"/>
        <v>0</v>
      </c>
      <c r="P88" s="52">
        <f t="shared" si="34"/>
        <v>0</v>
      </c>
    </row>
    <row r="89" spans="1:26" ht="15.75" customHeight="1">
      <c r="A89" s="61" t="s">
        <v>104</v>
      </c>
      <c r="B89" s="52">
        <v>8748</v>
      </c>
      <c r="C89" s="52">
        <v>21788</v>
      </c>
      <c r="D89" s="52">
        <v>12173</v>
      </c>
      <c r="E89" s="52">
        <v>50455</v>
      </c>
      <c r="F89" s="52">
        <v>12188</v>
      </c>
      <c r="G89" s="52">
        <v>84157</v>
      </c>
      <c r="H89" s="52">
        <v>41001</v>
      </c>
      <c r="I89" s="47">
        <v>0</v>
      </c>
      <c r="J89" s="52">
        <v>39122</v>
      </c>
      <c r="K89" s="56"/>
      <c r="L89" s="56"/>
      <c r="M89" s="56"/>
      <c r="N89" s="56"/>
      <c r="O89" s="56"/>
      <c r="P89" s="56"/>
    </row>
    <row r="90" spans="1:26" ht="15.75" customHeight="1">
      <c r="A90" s="44" t="s">
        <v>92</v>
      </c>
      <c r="C90" s="47">
        <v>951</v>
      </c>
      <c r="D90" s="52">
        <v>2846</v>
      </c>
      <c r="E90" s="47">
        <v>4964</v>
      </c>
      <c r="F90" s="47">
        <v>5075</v>
      </c>
      <c r="G90" s="52">
        <v>13242</v>
      </c>
      <c r="H90" s="52">
        <v>25930</v>
      </c>
      <c r="I90" s="52">
        <v>26025</v>
      </c>
      <c r="J90" s="52">
        <v>34186</v>
      </c>
      <c r="K90" s="52">
        <f t="shared" ref="K90:P90" si="35">K161</f>
        <v>51679.541559596291</v>
      </c>
      <c r="L90" s="52">
        <f t="shared" si="35"/>
        <v>60914.094362027958</v>
      </c>
      <c r="M90" s="52">
        <f t="shared" si="35"/>
        <v>71828.683173561803</v>
      </c>
      <c r="N90" s="52">
        <f t="shared" si="35"/>
        <v>84732.623783490548</v>
      </c>
      <c r="O90" s="52">
        <f t="shared" si="35"/>
        <v>99992.622490275258</v>
      </c>
      <c r="P90" s="52">
        <f t="shared" si="35"/>
        <v>118043.4768771699</v>
      </c>
    </row>
    <row r="91" spans="1:26" ht="15.75" customHeight="1">
      <c r="A91" s="44" t="s">
        <v>105</v>
      </c>
      <c r="I91" s="47">
        <v>0</v>
      </c>
      <c r="J91" s="47">
        <v>203</v>
      </c>
      <c r="K91" s="56"/>
      <c r="L91" s="56"/>
      <c r="M91" s="56"/>
      <c r="N91" s="56"/>
      <c r="O91" s="56"/>
      <c r="P91" s="56"/>
    </row>
    <row r="92" spans="1:26" ht="15.75" customHeight="1">
      <c r="A92" s="49" t="s">
        <v>82</v>
      </c>
      <c r="B92" s="58">
        <f t="shared" ref="B92:P92" si="36">SUM(B68,B81)</f>
        <v>402699</v>
      </c>
      <c r="C92" s="58">
        <f t="shared" si="36"/>
        <v>519605</v>
      </c>
      <c r="D92" s="58">
        <f t="shared" si="36"/>
        <v>602484</v>
      </c>
      <c r="E92" s="58">
        <f t="shared" si="36"/>
        <v>639687</v>
      </c>
      <c r="F92" s="58">
        <f t="shared" si="36"/>
        <v>636277</v>
      </c>
      <c r="G92" s="58">
        <f t="shared" si="36"/>
        <v>713761</v>
      </c>
      <c r="H92" s="58">
        <f t="shared" si="36"/>
        <v>746555</v>
      </c>
      <c r="I92" s="58">
        <f t="shared" si="36"/>
        <v>1003854</v>
      </c>
      <c r="J92" s="58">
        <f t="shared" si="36"/>
        <v>1153508</v>
      </c>
      <c r="K92" s="59">
        <f t="shared" si="36"/>
        <v>1379207.7376831044</v>
      </c>
      <c r="L92" s="59">
        <f t="shared" si="36"/>
        <v>1621390.5438225847</v>
      </c>
      <c r="M92" s="59">
        <f t="shared" si="36"/>
        <v>1908082.2277331154</v>
      </c>
      <c r="N92" s="59">
        <f t="shared" si="36"/>
        <v>2248148.9900269415</v>
      </c>
      <c r="O92" s="59">
        <f t="shared" si="36"/>
        <v>2652234.0868684389</v>
      </c>
      <c r="P92" s="59">
        <f t="shared" si="36"/>
        <v>3132926.5345212892</v>
      </c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>
      <c r="A93" s="44" t="s">
        <v>106</v>
      </c>
      <c r="B93" s="52">
        <f t="shared" ref="B93:P93" si="37">B63-B92</f>
        <v>0</v>
      </c>
      <c r="C93" s="52">
        <f t="shared" si="37"/>
        <v>0</v>
      </c>
      <c r="D93" s="52">
        <f t="shared" si="37"/>
        <v>0</v>
      </c>
      <c r="E93" s="52">
        <f t="shared" si="37"/>
        <v>0</v>
      </c>
      <c r="F93" s="52">
        <f t="shared" si="37"/>
        <v>0</v>
      </c>
      <c r="G93" s="52">
        <f t="shared" si="37"/>
        <v>0</v>
      </c>
      <c r="H93" s="52">
        <f t="shared" si="37"/>
        <v>0</v>
      </c>
      <c r="I93" s="52">
        <f t="shared" si="37"/>
        <v>0</v>
      </c>
      <c r="J93" s="52">
        <f t="shared" si="37"/>
        <v>0</v>
      </c>
      <c r="K93" s="46">
        <f t="shared" si="37"/>
        <v>0</v>
      </c>
      <c r="L93" s="46">
        <f t="shared" si="37"/>
        <v>0</v>
      </c>
      <c r="M93" s="46">
        <f t="shared" si="37"/>
        <v>0</v>
      </c>
      <c r="N93" s="46">
        <f t="shared" si="37"/>
        <v>0</v>
      </c>
      <c r="O93" s="46">
        <f t="shared" si="37"/>
        <v>0</v>
      </c>
      <c r="P93" s="46">
        <f t="shared" si="37"/>
        <v>0</v>
      </c>
    </row>
    <row r="94" spans="1:26" ht="15.75" customHeight="1">
      <c r="A94" s="44"/>
    </row>
    <row r="95" spans="1:26" ht="15.75" customHeight="1">
      <c r="A95" s="44" t="s">
        <v>107</v>
      </c>
      <c r="B95" s="52">
        <v>1500000</v>
      </c>
      <c r="C95" s="52">
        <v>1550000</v>
      </c>
      <c r="D95" s="52">
        <v>1560000</v>
      </c>
      <c r="E95" s="52">
        <v>1580000</v>
      </c>
      <c r="F95" s="52">
        <v>2000000</v>
      </c>
      <c r="G95" s="52">
        <v>2250000</v>
      </c>
      <c r="H95" s="52">
        <f t="shared" ref="H95:J95" si="38">G95</f>
        <v>2250000</v>
      </c>
      <c r="I95" s="52">
        <f t="shared" si="38"/>
        <v>2250000</v>
      </c>
      <c r="J95" s="52">
        <f t="shared" si="38"/>
        <v>2250000</v>
      </c>
      <c r="K95" s="52">
        <v>2550000</v>
      </c>
      <c r="L95" s="52">
        <v>2850000</v>
      </c>
      <c r="M95" s="52">
        <v>3150000</v>
      </c>
      <c r="N95" s="52">
        <v>3450000</v>
      </c>
      <c r="O95" s="52">
        <v>3750000</v>
      </c>
      <c r="P95" s="52">
        <v>4050000</v>
      </c>
    </row>
    <row r="96" spans="1:26" ht="15.75" customHeight="1">
      <c r="A96" s="44" t="s">
        <v>108</v>
      </c>
      <c r="B96" s="52"/>
      <c r="C96" s="52">
        <f t="shared" ref="C96:P96" si="39">C95-B95</f>
        <v>50000</v>
      </c>
      <c r="D96" s="52">
        <f t="shared" si="39"/>
        <v>10000</v>
      </c>
      <c r="E96" s="52">
        <f t="shared" si="39"/>
        <v>20000</v>
      </c>
      <c r="F96" s="52">
        <f t="shared" si="39"/>
        <v>420000</v>
      </c>
      <c r="G96" s="52">
        <f t="shared" si="39"/>
        <v>250000</v>
      </c>
      <c r="H96" s="52">
        <f t="shared" si="39"/>
        <v>0</v>
      </c>
      <c r="I96" s="52">
        <f t="shared" si="39"/>
        <v>0</v>
      </c>
      <c r="J96" s="52">
        <f t="shared" si="39"/>
        <v>0</v>
      </c>
      <c r="K96" s="52">
        <f t="shared" si="39"/>
        <v>300000</v>
      </c>
      <c r="L96" s="52">
        <f t="shared" si="39"/>
        <v>300000</v>
      </c>
      <c r="M96" s="52">
        <f t="shared" si="39"/>
        <v>300000</v>
      </c>
      <c r="N96" s="52">
        <f t="shared" si="39"/>
        <v>300000</v>
      </c>
      <c r="O96" s="52">
        <f t="shared" si="39"/>
        <v>300000</v>
      </c>
      <c r="P96" s="52">
        <f t="shared" si="39"/>
        <v>300000</v>
      </c>
    </row>
    <row r="97" spans="1:26" ht="15.75" customHeight="1">
      <c r="A97" s="44"/>
    </row>
    <row r="98" spans="1:26" ht="15.75" customHeight="1">
      <c r="A98" s="44" t="s">
        <v>109</v>
      </c>
      <c r="B98" s="47">
        <v>1305351</v>
      </c>
      <c r="C98" s="52">
        <v>1444541</v>
      </c>
      <c r="D98" s="52">
        <v>1653500</v>
      </c>
      <c r="E98" s="52">
        <v>1753700</v>
      </c>
      <c r="F98" s="65">
        <v>1461126</v>
      </c>
      <c r="G98" s="65">
        <v>1361722</v>
      </c>
      <c r="H98" s="65">
        <v>1414277</v>
      </c>
      <c r="I98" s="65">
        <v>1706831</v>
      </c>
      <c r="J98" s="65">
        <v>1852256</v>
      </c>
      <c r="K98" s="52"/>
      <c r="L98" s="52"/>
      <c r="M98" s="52"/>
      <c r="N98" s="52"/>
      <c r="O98" s="52"/>
      <c r="P98" s="52"/>
    </row>
    <row r="99" spans="1:26" ht="15.75" customHeight="1">
      <c r="A99" s="44" t="s">
        <v>110</v>
      </c>
      <c r="B99" s="47">
        <v>123897</v>
      </c>
      <c r="C99" s="52">
        <v>124062</v>
      </c>
      <c r="D99" s="52">
        <v>126074</v>
      </c>
      <c r="E99" s="52">
        <v>108749</v>
      </c>
      <c r="F99" s="65">
        <v>102171</v>
      </c>
      <c r="G99" s="65">
        <v>96139</v>
      </c>
      <c r="H99" s="65">
        <v>238376</v>
      </c>
      <c r="I99" s="65">
        <v>259333</v>
      </c>
      <c r="J99" s="65">
        <v>283067</v>
      </c>
      <c r="K99" s="52"/>
      <c r="L99" s="52"/>
      <c r="M99" s="52"/>
      <c r="N99" s="52"/>
      <c r="O99" s="52"/>
      <c r="P99" s="52"/>
    </row>
    <row r="100" spans="1:26" ht="15.75" customHeight="1">
      <c r="A100" s="44" t="s">
        <v>82</v>
      </c>
      <c r="B100" s="47">
        <f t="shared" ref="B100:J100" si="40">SUM(B98:B99)</f>
        <v>1429248</v>
      </c>
      <c r="C100" s="52">
        <f t="shared" si="40"/>
        <v>1568603</v>
      </c>
      <c r="D100" s="52">
        <f t="shared" si="40"/>
        <v>1779574</v>
      </c>
      <c r="E100" s="52">
        <f t="shared" si="40"/>
        <v>1862449</v>
      </c>
      <c r="F100" s="52">
        <f t="shared" si="40"/>
        <v>1563297</v>
      </c>
      <c r="G100" s="52">
        <f t="shared" si="40"/>
        <v>1457861</v>
      </c>
      <c r="H100" s="52">
        <f t="shared" si="40"/>
        <v>1652653</v>
      </c>
      <c r="I100" s="52">
        <f t="shared" si="40"/>
        <v>1966164</v>
      </c>
      <c r="J100" s="52">
        <f t="shared" si="40"/>
        <v>2135323</v>
      </c>
      <c r="K100" s="66">
        <f t="shared" ref="K100:P100" si="41">K111*K118</f>
        <v>2357294.5147500006</v>
      </c>
      <c r="L100" s="66">
        <f t="shared" si="41"/>
        <v>2525924.1186112505</v>
      </c>
      <c r="M100" s="66">
        <f t="shared" si="41"/>
        <v>2707744.7814216195</v>
      </c>
      <c r="N100" s="66">
        <f t="shared" si="41"/>
        <v>2903807.2982566394</v>
      </c>
      <c r="O100" s="66">
        <f t="shared" si="41"/>
        <v>3115246.4604532812</v>
      </c>
      <c r="P100" s="66">
        <f t="shared" si="41"/>
        <v>3343287.7743006959</v>
      </c>
    </row>
    <row r="101" spans="1:26" ht="15.75" customHeight="1">
      <c r="A101" s="44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</row>
    <row r="102" spans="1:26" ht="15.75" customHeight="1">
      <c r="A102" s="44" t="s">
        <v>111</v>
      </c>
      <c r="B102" s="67">
        <f t="shared" ref="B102:P102" si="42">B100/B95</f>
        <v>0.95283200000000001</v>
      </c>
      <c r="C102" s="67">
        <f t="shared" si="42"/>
        <v>1.012001935483871</v>
      </c>
      <c r="D102" s="67">
        <f t="shared" si="42"/>
        <v>1.1407525641025642</v>
      </c>
      <c r="E102" s="67">
        <f t="shared" si="42"/>
        <v>1.1787651898734177</v>
      </c>
      <c r="F102" s="67">
        <f t="shared" si="42"/>
        <v>0.78164849999999997</v>
      </c>
      <c r="G102" s="67">
        <f t="shared" si="42"/>
        <v>0.64793822222222219</v>
      </c>
      <c r="H102" s="67">
        <f t="shared" si="42"/>
        <v>0.73451244444444441</v>
      </c>
      <c r="I102" s="67">
        <f t="shared" si="42"/>
        <v>0.87385066666666666</v>
      </c>
      <c r="J102" s="67">
        <f t="shared" si="42"/>
        <v>0.94903244444444446</v>
      </c>
      <c r="K102" s="67">
        <f t="shared" si="42"/>
        <v>0.92442922147058848</v>
      </c>
      <c r="L102" s="67">
        <f t="shared" si="42"/>
        <v>0.88628916442500016</v>
      </c>
      <c r="M102" s="67">
        <f t="shared" si="42"/>
        <v>0.8596015179116252</v>
      </c>
      <c r="N102" s="67">
        <f t="shared" si="42"/>
        <v>0.8416832748569969</v>
      </c>
      <c r="O102" s="67">
        <f t="shared" si="42"/>
        <v>0.83073238945420835</v>
      </c>
      <c r="P102" s="67">
        <f t="shared" si="42"/>
        <v>0.82550315414831998</v>
      </c>
    </row>
    <row r="103" spans="1:26" ht="15.75" customHeight="1">
      <c r="A103" s="44"/>
    </row>
    <row r="104" spans="1:26" ht="15.75" customHeight="1">
      <c r="A104" s="55" t="s">
        <v>112</v>
      </c>
      <c r="C104" s="17">
        <f t="shared" ref="C104:J106" si="43">(C98/B98)-1</f>
        <v>0.10663032395118255</v>
      </c>
      <c r="D104" s="17">
        <f t="shared" si="43"/>
        <v>0.14465425349643946</v>
      </c>
      <c r="E104" s="17">
        <f t="shared" si="43"/>
        <v>6.0598729966737208E-2</v>
      </c>
      <c r="F104" s="17">
        <f t="shared" si="43"/>
        <v>-0.16683241147288586</v>
      </c>
      <c r="G104" s="17">
        <f t="shared" si="43"/>
        <v>-6.8032462634981528E-2</v>
      </c>
      <c r="H104" s="17">
        <f t="shared" si="43"/>
        <v>3.8594514886298281E-2</v>
      </c>
      <c r="I104" s="17">
        <f t="shared" si="43"/>
        <v>0.20685763821373038</v>
      </c>
      <c r="J104" s="17">
        <f t="shared" si="43"/>
        <v>8.5201756940200823E-2</v>
      </c>
    </row>
    <row r="105" spans="1:26" ht="15.75" customHeight="1">
      <c r="A105" s="44" t="s">
        <v>113</v>
      </c>
      <c r="C105" s="17">
        <f t="shared" si="43"/>
        <v>1.331751374125334E-3</v>
      </c>
      <c r="D105" s="17">
        <f t="shared" si="43"/>
        <v>1.6217697602811443E-2</v>
      </c>
      <c r="E105" s="17">
        <f t="shared" si="43"/>
        <v>-0.13741929343084225</v>
      </c>
      <c r="F105" s="17">
        <f t="shared" si="43"/>
        <v>-6.0487912532529053E-2</v>
      </c>
      <c r="G105" s="17">
        <f t="shared" si="43"/>
        <v>-5.9038278963698065E-2</v>
      </c>
      <c r="H105" s="17">
        <f t="shared" si="43"/>
        <v>1.4794932337552917</v>
      </c>
      <c r="I105" s="17">
        <f t="shared" si="43"/>
        <v>8.7915729771453455E-2</v>
      </c>
      <c r="J105" s="17">
        <f t="shared" si="43"/>
        <v>9.1519397839842975E-2</v>
      </c>
    </row>
    <row r="106" spans="1:26" ht="15.75" customHeight="1">
      <c r="A106" s="44" t="s">
        <v>114</v>
      </c>
      <c r="C106" s="17">
        <f t="shared" si="43"/>
        <v>9.7502322899874594E-2</v>
      </c>
      <c r="D106" s="17">
        <f t="shared" si="43"/>
        <v>0.13449610895809849</v>
      </c>
      <c r="E106" s="17">
        <f t="shared" si="43"/>
        <v>4.6570134200657032E-2</v>
      </c>
      <c r="F106" s="17">
        <f t="shared" si="43"/>
        <v>-0.1606229217551729</v>
      </c>
      <c r="G106" s="17">
        <f t="shared" si="43"/>
        <v>-6.7444637839131016E-2</v>
      </c>
      <c r="H106" s="17">
        <f t="shared" si="43"/>
        <v>0.13361493311090711</v>
      </c>
      <c r="I106" s="17">
        <f t="shared" si="43"/>
        <v>0.18970164940855705</v>
      </c>
      <c r="J106" s="17">
        <f t="shared" si="43"/>
        <v>8.6035040820602982E-2</v>
      </c>
    </row>
    <row r="107" spans="1:26" ht="15.75" customHeight="1">
      <c r="A107" s="44"/>
    </row>
    <row r="108" spans="1:26" ht="15.75" customHeight="1">
      <c r="A108" s="55" t="s">
        <v>115</v>
      </c>
      <c r="K108" s="46"/>
      <c r="L108" s="46"/>
      <c r="M108" s="46"/>
      <c r="N108" s="46"/>
      <c r="O108" s="46"/>
      <c r="P108" s="46"/>
    </row>
    <row r="109" spans="1:26" ht="15.75" customHeight="1">
      <c r="A109" s="44" t="s">
        <v>116</v>
      </c>
      <c r="B109" s="65">
        <v>2789208</v>
      </c>
      <c r="C109" s="65">
        <v>3047582</v>
      </c>
      <c r="D109" s="65">
        <v>3288581</v>
      </c>
      <c r="E109" s="65">
        <v>3377389</v>
      </c>
      <c r="F109" s="65">
        <v>2773519</v>
      </c>
      <c r="G109" s="65">
        <v>2711457</v>
      </c>
      <c r="H109" s="65">
        <v>3069523</v>
      </c>
      <c r="I109" s="65">
        <v>3890114</v>
      </c>
      <c r="J109" s="65">
        <v>4218746</v>
      </c>
      <c r="K109" s="46">
        <f t="shared" ref="K109:P110" si="44">J109*(1+K112)</f>
        <v>4556245.6800000006</v>
      </c>
      <c r="L109" s="46">
        <f t="shared" si="44"/>
        <v>4920745.334400001</v>
      </c>
      <c r="M109" s="46">
        <f t="shared" si="44"/>
        <v>5314404.9611520013</v>
      </c>
      <c r="N109" s="46">
        <f t="shared" si="44"/>
        <v>5739557.3580441615</v>
      </c>
      <c r="O109" s="46">
        <f t="shared" si="44"/>
        <v>6198721.9466876946</v>
      </c>
      <c r="P109" s="46">
        <f t="shared" si="44"/>
        <v>6694619.7024227111</v>
      </c>
    </row>
    <row r="110" spans="1:26" ht="15.75" customHeight="1">
      <c r="A110" s="44" t="s">
        <v>110</v>
      </c>
      <c r="B110" s="65">
        <v>653053</v>
      </c>
      <c r="C110" s="65">
        <v>758727</v>
      </c>
      <c r="D110" s="65">
        <v>748366</v>
      </c>
      <c r="E110" s="65">
        <v>676192</v>
      </c>
      <c r="F110" s="65">
        <v>662118</v>
      </c>
      <c r="G110" s="65">
        <v>404397</v>
      </c>
      <c r="H110" s="65">
        <v>577875</v>
      </c>
      <c r="I110" s="65">
        <v>662891</v>
      </c>
      <c r="J110" s="65">
        <v>672105</v>
      </c>
      <c r="K110" s="46">
        <f t="shared" si="44"/>
        <v>682186.57499999995</v>
      </c>
      <c r="L110" s="46">
        <f t="shared" si="44"/>
        <v>692419.37362499989</v>
      </c>
      <c r="M110" s="46">
        <f t="shared" si="44"/>
        <v>702805.66422937484</v>
      </c>
      <c r="N110" s="46">
        <f t="shared" si="44"/>
        <v>713347.74919281539</v>
      </c>
      <c r="O110" s="46">
        <f t="shared" si="44"/>
        <v>724047.96543070755</v>
      </c>
      <c r="P110" s="46">
        <f t="shared" si="44"/>
        <v>734908.68491216807</v>
      </c>
    </row>
    <row r="111" spans="1:26" ht="15.75" customHeight="1">
      <c r="A111" s="44" t="s">
        <v>82</v>
      </c>
      <c r="B111" s="52">
        <f t="shared" ref="B111:P111" si="45">SUM(B109:B110)</f>
        <v>3442261</v>
      </c>
      <c r="C111" s="52">
        <f t="shared" si="45"/>
        <v>3806309</v>
      </c>
      <c r="D111" s="52">
        <f t="shared" si="45"/>
        <v>4036947</v>
      </c>
      <c r="E111" s="52">
        <f t="shared" si="45"/>
        <v>4053581</v>
      </c>
      <c r="F111" s="52">
        <f t="shared" si="45"/>
        <v>3435637</v>
      </c>
      <c r="G111" s="52">
        <f t="shared" si="45"/>
        <v>3115854</v>
      </c>
      <c r="H111" s="52">
        <f t="shared" si="45"/>
        <v>3647398</v>
      </c>
      <c r="I111" s="52">
        <f t="shared" si="45"/>
        <v>4553005</v>
      </c>
      <c r="J111" s="52">
        <f t="shared" si="45"/>
        <v>4890851</v>
      </c>
      <c r="K111" s="46">
        <f t="shared" si="45"/>
        <v>5238432.2550000008</v>
      </c>
      <c r="L111" s="46">
        <f t="shared" si="45"/>
        <v>5613164.708025001</v>
      </c>
      <c r="M111" s="46">
        <f t="shared" si="45"/>
        <v>6017210.6253813766</v>
      </c>
      <c r="N111" s="46">
        <f t="shared" si="45"/>
        <v>6452905.1072369767</v>
      </c>
      <c r="O111" s="46">
        <f t="shared" si="45"/>
        <v>6922769.9121184023</v>
      </c>
      <c r="P111" s="46">
        <f t="shared" si="45"/>
        <v>7429528.3873348795</v>
      </c>
    </row>
    <row r="112" spans="1:26" ht="15.75" customHeight="1">
      <c r="A112" s="68" t="s">
        <v>117</v>
      </c>
      <c r="B112" s="67"/>
      <c r="C112" s="67">
        <f t="shared" ref="C112:J113" si="46">C109/B109-1</f>
        <v>9.2633464409968669E-2</v>
      </c>
      <c r="D112" s="67">
        <f t="shared" si="46"/>
        <v>7.9078758176154063E-2</v>
      </c>
      <c r="E112" s="67">
        <f t="shared" si="46"/>
        <v>2.7004960498160147E-2</v>
      </c>
      <c r="F112" s="67">
        <f t="shared" si="46"/>
        <v>-0.17879788203254054</v>
      </c>
      <c r="G112" s="67">
        <f t="shared" si="46"/>
        <v>-2.2376626949373701E-2</v>
      </c>
      <c r="H112" s="67">
        <f t="shared" si="46"/>
        <v>0.13205667653958741</v>
      </c>
      <c r="I112" s="67">
        <f t="shared" si="46"/>
        <v>0.26733502241227702</v>
      </c>
      <c r="J112" s="67">
        <f t="shared" si="46"/>
        <v>8.4478758206057769E-2</v>
      </c>
      <c r="K112" s="67">
        <v>0.08</v>
      </c>
      <c r="L112" s="67">
        <v>0.08</v>
      </c>
      <c r="M112" s="67">
        <v>0.08</v>
      </c>
      <c r="N112" s="67">
        <v>0.08</v>
      </c>
      <c r="O112" s="67">
        <v>0.08</v>
      </c>
      <c r="P112" s="67">
        <v>0.08</v>
      </c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16" ht="15.75" customHeight="1">
      <c r="A113" s="44" t="s">
        <v>118</v>
      </c>
      <c r="C113" s="67">
        <f t="shared" si="46"/>
        <v>0.16181535036206873</v>
      </c>
      <c r="D113" s="67">
        <f t="shared" si="46"/>
        <v>-1.3655768148490788E-2</v>
      </c>
      <c r="E113" s="67">
        <f t="shared" si="46"/>
        <v>-9.6442115221696323E-2</v>
      </c>
      <c r="F113" s="67">
        <f t="shared" si="46"/>
        <v>-2.0813615067909685E-2</v>
      </c>
      <c r="G113" s="67">
        <f t="shared" si="46"/>
        <v>-0.38923726586499685</v>
      </c>
      <c r="H113" s="67">
        <f t="shared" si="46"/>
        <v>0.42897944346768146</v>
      </c>
      <c r="I113" s="67">
        <f t="shared" si="46"/>
        <v>0.14711832143629677</v>
      </c>
      <c r="J113" s="67">
        <f t="shared" si="46"/>
        <v>1.389972107028159E-2</v>
      </c>
      <c r="K113" s="17">
        <v>1.4999999999999999E-2</v>
      </c>
      <c r="L113" s="17">
        <v>1.4999999999999999E-2</v>
      </c>
      <c r="M113" s="17">
        <v>1.4999999999999999E-2</v>
      </c>
      <c r="N113" s="17">
        <v>1.4999999999999999E-2</v>
      </c>
      <c r="O113" s="17">
        <v>1.4999999999999999E-2</v>
      </c>
      <c r="P113" s="17">
        <v>1.4999999999999999E-2</v>
      </c>
    </row>
    <row r="114" spans="1:16" ht="15.75" customHeight="1">
      <c r="A114" s="44"/>
      <c r="C114" s="17"/>
    </row>
    <row r="115" spans="1:16" ht="15.75" customHeight="1">
      <c r="A115" s="55" t="s">
        <v>119</v>
      </c>
    </row>
    <row r="116" spans="1:16" ht="15.75" customHeight="1">
      <c r="A116" s="44" t="s">
        <v>109</v>
      </c>
      <c r="B116" s="67">
        <f t="shared" ref="B116:J118" si="47">B98/B109</f>
        <v>0.46800059371692609</v>
      </c>
      <c r="C116" s="67">
        <f t="shared" si="47"/>
        <v>0.4739957776361719</v>
      </c>
      <c r="D116" s="67">
        <f t="shared" si="47"/>
        <v>0.50280044797436951</v>
      </c>
      <c r="E116" s="67">
        <f t="shared" si="47"/>
        <v>0.51924726467694426</v>
      </c>
      <c r="F116" s="67">
        <f t="shared" si="47"/>
        <v>0.52681304869373524</v>
      </c>
      <c r="G116" s="67">
        <f t="shared" si="47"/>
        <v>0.50221043520144337</v>
      </c>
      <c r="H116" s="67">
        <f t="shared" si="47"/>
        <v>0.46074813578526697</v>
      </c>
      <c r="I116" s="67">
        <f t="shared" si="47"/>
        <v>0.43876117769299305</v>
      </c>
      <c r="J116" s="67">
        <f t="shared" si="47"/>
        <v>0.43905369036201752</v>
      </c>
    </row>
    <row r="117" spans="1:16" ht="15.75" customHeight="1">
      <c r="A117" s="44" t="s">
        <v>110</v>
      </c>
      <c r="B117" s="67">
        <f t="shared" si="47"/>
        <v>0.18971967053210076</v>
      </c>
      <c r="C117" s="67">
        <f t="shared" si="47"/>
        <v>0.16351335855979818</v>
      </c>
      <c r="D117" s="67">
        <f t="shared" si="47"/>
        <v>0.16846569726577637</v>
      </c>
      <c r="E117" s="67">
        <f t="shared" si="47"/>
        <v>0.16082562349155269</v>
      </c>
      <c r="F117" s="67">
        <f t="shared" si="47"/>
        <v>0.15430935271356466</v>
      </c>
      <c r="G117" s="67">
        <f t="shared" si="47"/>
        <v>0.23773420673249307</v>
      </c>
      <c r="H117" s="67">
        <f t="shared" si="47"/>
        <v>0.41250443434998918</v>
      </c>
      <c r="I117" s="67">
        <f t="shared" si="47"/>
        <v>0.39121514698494925</v>
      </c>
      <c r="J117" s="67">
        <f t="shared" si="47"/>
        <v>0.42116484775444313</v>
      </c>
    </row>
    <row r="118" spans="1:16" ht="15.75" customHeight="1">
      <c r="A118" s="44" t="s">
        <v>120</v>
      </c>
      <c r="B118" s="67">
        <f t="shared" si="47"/>
        <v>0.41520616827137746</v>
      </c>
      <c r="C118" s="67">
        <f t="shared" si="47"/>
        <v>0.41210605865157035</v>
      </c>
      <c r="D118" s="67">
        <f t="shared" si="47"/>
        <v>0.44082173979494899</v>
      </c>
      <c r="E118" s="67">
        <f t="shared" si="47"/>
        <v>0.45945769925406699</v>
      </c>
      <c r="F118" s="67">
        <f t="shared" si="47"/>
        <v>0.45502391550678956</v>
      </c>
      <c r="G118" s="67">
        <f t="shared" si="47"/>
        <v>0.46788488805958173</v>
      </c>
      <c r="H118" s="67">
        <f t="shared" si="47"/>
        <v>0.45310465158998275</v>
      </c>
      <c r="I118" s="67">
        <f t="shared" si="47"/>
        <v>0.43183875264797644</v>
      </c>
      <c r="J118" s="67">
        <f t="shared" si="47"/>
        <v>0.43659539004561781</v>
      </c>
      <c r="K118" s="69">
        <v>0.45</v>
      </c>
      <c r="L118" s="69">
        <v>0.45</v>
      </c>
      <c r="M118" s="69">
        <v>0.45</v>
      </c>
      <c r="N118" s="69">
        <v>0.45</v>
      </c>
      <c r="O118" s="69">
        <v>0.45</v>
      </c>
      <c r="P118" s="69">
        <v>0.45</v>
      </c>
    </row>
    <row r="119" spans="1:16" ht="15.75" customHeight="1">
      <c r="A119" s="44"/>
    </row>
    <row r="120" spans="1:16" ht="15.75" customHeight="1">
      <c r="A120" s="44"/>
    </row>
    <row r="121" spans="1:16" ht="15.75" customHeight="1">
      <c r="A121" s="44" t="s">
        <v>121</v>
      </c>
      <c r="B121" s="46">
        <f t="shared" ref="B121:J121" si="48">(B3/B100)*10^6</f>
        <v>399241.41926383664</v>
      </c>
      <c r="C121" s="46">
        <f t="shared" si="48"/>
        <v>434048.64073318744</v>
      </c>
      <c r="D121" s="46">
        <f t="shared" si="48"/>
        <v>448474.74732716929</v>
      </c>
      <c r="E121" s="46">
        <f t="shared" si="48"/>
        <v>462125.40585003939</v>
      </c>
      <c r="F121" s="46">
        <f t="shared" si="48"/>
        <v>483977.13294402789</v>
      </c>
      <c r="G121" s="46">
        <f t="shared" si="48"/>
        <v>482707.19910883135</v>
      </c>
      <c r="H121" s="46">
        <f t="shared" si="48"/>
        <v>534472.75380857324</v>
      </c>
      <c r="I121" s="46">
        <f t="shared" si="48"/>
        <v>602238.16528021055</v>
      </c>
      <c r="J121" s="46">
        <f t="shared" si="48"/>
        <v>664340.7109837716</v>
      </c>
      <c r="K121" s="46">
        <f t="shared" ref="K121:P121" si="49">J121*(1+K122)</f>
        <v>730774.78208214883</v>
      </c>
      <c r="L121" s="46">
        <f t="shared" si="49"/>
        <v>803852.2602903638</v>
      </c>
      <c r="M121" s="46">
        <f t="shared" si="49"/>
        <v>884237.48631940025</v>
      </c>
      <c r="N121" s="46">
        <f t="shared" si="49"/>
        <v>972661.23495134036</v>
      </c>
      <c r="O121" s="46">
        <f t="shared" si="49"/>
        <v>1069927.3584464744</v>
      </c>
      <c r="P121" s="46">
        <f t="shared" si="49"/>
        <v>1176920.0942911219</v>
      </c>
    </row>
    <row r="122" spans="1:16" ht="15.75" customHeight="1">
      <c r="A122" s="44" t="s">
        <v>122</v>
      </c>
      <c r="C122" s="17">
        <f t="shared" ref="C122:J122" si="50">(C121/B121)-1</f>
        <v>8.7183392779065949E-2</v>
      </c>
      <c r="D122" s="17">
        <f t="shared" si="50"/>
        <v>3.3236151988895735E-2</v>
      </c>
      <c r="E122" s="17">
        <f t="shared" si="50"/>
        <v>3.0437964688593055E-2</v>
      </c>
      <c r="F122" s="17">
        <f t="shared" si="50"/>
        <v>4.7285275419545858E-2</v>
      </c>
      <c r="G122" s="17">
        <f t="shared" si="50"/>
        <v>-2.6239542093063895E-3</v>
      </c>
      <c r="H122" s="17">
        <f t="shared" si="50"/>
        <v>0.10724007181850803</v>
      </c>
      <c r="I122" s="17">
        <f t="shared" si="50"/>
        <v>0.12678927221032521</v>
      </c>
      <c r="J122" s="17">
        <f t="shared" si="50"/>
        <v>0.10311957840577213</v>
      </c>
      <c r="K122" s="17">
        <v>0.1</v>
      </c>
      <c r="L122" s="17">
        <v>0.1</v>
      </c>
      <c r="M122" s="17">
        <v>0.1</v>
      </c>
      <c r="N122" s="17">
        <v>0.1</v>
      </c>
      <c r="O122" s="17">
        <v>0.1</v>
      </c>
      <c r="P122" s="17">
        <v>0.1</v>
      </c>
    </row>
    <row r="123" spans="1:16" ht="15.75" customHeight="1">
      <c r="A123" s="44"/>
    </row>
    <row r="124" spans="1:16" ht="15.75" customHeight="1">
      <c r="A124" s="55" t="s">
        <v>123</v>
      </c>
    </row>
    <row r="125" spans="1:16" ht="15.75" customHeight="1">
      <c r="A125" s="44"/>
    </row>
    <row r="126" spans="1:16" ht="15.75" customHeight="1">
      <c r="A126" s="44" t="s">
        <v>43</v>
      </c>
      <c r="B126" s="67">
        <f t="shared" ref="B126:J131" si="51">B9/B$3</f>
        <v>0.6344154990667964</v>
      </c>
      <c r="C126" s="67">
        <f t="shared" si="51"/>
        <v>0.62609825952853049</v>
      </c>
      <c r="D126" s="67">
        <f t="shared" si="51"/>
        <v>0.56313166118276792</v>
      </c>
      <c r="E126" s="67">
        <f t="shared" si="51"/>
        <v>0.52313796569011894</v>
      </c>
      <c r="F126" s="67">
        <f t="shared" si="51"/>
        <v>0.45776896642876025</v>
      </c>
      <c r="G126" s="67">
        <f t="shared" si="51"/>
        <v>0.47314841129994883</v>
      </c>
      <c r="H126" s="67">
        <f t="shared" si="51"/>
        <v>0.44990026016134987</v>
      </c>
      <c r="I126" s="67">
        <f t="shared" si="51"/>
        <v>0.6194769187373691</v>
      </c>
      <c r="J126" s="67">
        <f t="shared" si="51"/>
        <v>0.55629706284162639</v>
      </c>
      <c r="K126" s="17">
        <v>0.6</v>
      </c>
      <c r="L126" s="17">
        <v>0.6</v>
      </c>
      <c r="M126" s="17">
        <v>0.6</v>
      </c>
      <c r="N126" s="17">
        <v>0.6</v>
      </c>
      <c r="O126" s="17">
        <v>0.6</v>
      </c>
      <c r="P126" s="17">
        <v>0.6</v>
      </c>
    </row>
    <row r="127" spans="1:16" ht="15.75" customHeight="1">
      <c r="A127" s="44" t="s">
        <v>44</v>
      </c>
      <c r="B127" s="67">
        <f t="shared" si="51"/>
        <v>5.558038256968359E-2</v>
      </c>
      <c r="C127" s="67">
        <f t="shared" si="51"/>
        <v>6.5999853124770511E-2</v>
      </c>
      <c r="D127" s="67">
        <f t="shared" si="51"/>
        <v>0.12532483642277728</v>
      </c>
      <c r="E127" s="67">
        <f t="shared" si="51"/>
        <v>0.16638956180251777</v>
      </c>
      <c r="F127" s="67">
        <f t="shared" si="51"/>
        <v>0.2480465239228126</v>
      </c>
      <c r="G127" s="67">
        <f t="shared" si="51"/>
        <v>0.24518416415619848</v>
      </c>
      <c r="H127" s="67">
        <f t="shared" si="51"/>
        <v>0.29885157670457763</v>
      </c>
      <c r="I127" s="67">
        <f t="shared" si="51"/>
        <v>0.10737869046422639</v>
      </c>
      <c r="J127" s="67">
        <f t="shared" si="51"/>
        <v>0.14947461620124886</v>
      </c>
      <c r="K127" s="69">
        <v>0.1</v>
      </c>
      <c r="L127" s="69">
        <v>0.1</v>
      </c>
      <c r="M127" s="69">
        <v>0.1</v>
      </c>
      <c r="N127" s="69">
        <v>0.1</v>
      </c>
      <c r="O127" s="69">
        <v>0.1</v>
      </c>
      <c r="P127" s="69">
        <v>0.1</v>
      </c>
    </row>
    <row r="128" spans="1:16" ht="15.75" customHeight="1">
      <c r="A128" s="44" t="s">
        <v>45</v>
      </c>
      <c r="B128" s="67">
        <f t="shared" si="51"/>
        <v>1.1040719223995163E-4</v>
      </c>
      <c r="C128" s="67">
        <f t="shared" si="51"/>
        <v>-5.5709774546522728E-3</v>
      </c>
      <c r="D128" s="67">
        <f t="shared" si="51"/>
        <v>5.1121797682979696E-4</v>
      </c>
      <c r="E128" s="67">
        <f t="shared" si="51"/>
        <v>2.4585068869563196E-3</v>
      </c>
      <c r="F128" s="67">
        <f t="shared" si="51"/>
        <v>-3.154903515728258E-3</v>
      </c>
      <c r="G128" s="67">
        <f t="shared" si="51"/>
        <v>3.8879099641903028E-3</v>
      </c>
      <c r="H128" s="67">
        <f t="shared" si="51"/>
        <v>-1.0540044243279164E-3</v>
      </c>
      <c r="I128" s="67">
        <f t="shared" si="51"/>
        <v>-4.9024617029488245E-3</v>
      </c>
      <c r="J128" s="67">
        <f t="shared" si="51"/>
        <v>-2.6688622864240487E-3</v>
      </c>
      <c r="K128" s="67">
        <f t="shared" ref="K128:P128" si="52">J128</f>
        <v>-2.6688622864240487E-3</v>
      </c>
      <c r="L128" s="67">
        <f t="shared" si="52"/>
        <v>-2.6688622864240487E-3</v>
      </c>
      <c r="M128" s="67">
        <f t="shared" si="52"/>
        <v>-2.6688622864240487E-3</v>
      </c>
      <c r="N128" s="67">
        <f t="shared" si="52"/>
        <v>-2.6688622864240487E-3</v>
      </c>
      <c r="O128" s="67">
        <f t="shared" si="52"/>
        <v>-2.6688622864240487E-3</v>
      </c>
      <c r="P128" s="67">
        <f t="shared" si="52"/>
        <v>-2.6688622864240487E-3</v>
      </c>
    </row>
    <row r="129" spans="1:16" ht="15.75" customHeight="1">
      <c r="A129" s="44" t="s">
        <v>46</v>
      </c>
      <c r="B129" s="67">
        <f t="shared" si="51"/>
        <v>3.6104904357579105E-2</v>
      </c>
      <c r="C129" s="67">
        <f t="shared" si="51"/>
        <v>3.466696041712565E-2</v>
      </c>
      <c r="D129" s="67">
        <f t="shared" si="51"/>
        <v>3.5877979285648058E-2</v>
      </c>
      <c r="E129" s="67">
        <f t="shared" si="51"/>
        <v>3.8167273741264225E-2</v>
      </c>
      <c r="F129" s="67">
        <f t="shared" si="51"/>
        <v>4.5151995770552469E-2</v>
      </c>
      <c r="G129" s="67">
        <f t="shared" si="51"/>
        <v>4.8763712840334227E-2</v>
      </c>
      <c r="H129" s="67">
        <f t="shared" si="51"/>
        <v>4.5866740329990559E-2</v>
      </c>
      <c r="I129" s="67">
        <f t="shared" si="51"/>
        <v>4.4831555469601783E-2</v>
      </c>
      <c r="J129" s="67">
        <f t="shared" si="51"/>
        <v>4.4421824046829865E-2</v>
      </c>
      <c r="K129" s="17">
        <v>0.04</v>
      </c>
      <c r="L129" s="17">
        <v>0.04</v>
      </c>
      <c r="M129" s="17">
        <v>0.04</v>
      </c>
      <c r="N129" s="17">
        <v>0.04</v>
      </c>
      <c r="O129" s="17">
        <v>0.04</v>
      </c>
      <c r="P129" s="17">
        <v>0.04</v>
      </c>
    </row>
    <row r="130" spans="1:16" ht="15.75" customHeight="1">
      <c r="A130" s="44" t="s">
        <v>47</v>
      </c>
      <c r="B130" s="67">
        <f t="shared" si="51"/>
        <v>0.14220972109040245</v>
      </c>
      <c r="C130" s="67">
        <f t="shared" si="51"/>
        <v>0.12819270030109423</v>
      </c>
      <c r="D130" s="67">
        <f t="shared" si="51"/>
        <v>0.12524339238235094</v>
      </c>
      <c r="E130" s="67">
        <f t="shared" si="51"/>
        <v>0.14342297123802553</v>
      </c>
      <c r="F130" s="67">
        <f t="shared" si="51"/>
        <v>0.15714512291831881</v>
      </c>
      <c r="G130" s="67">
        <f t="shared" si="51"/>
        <v>0.15400301256181437</v>
      </c>
      <c r="H130" s="67">
        <f t="shared" si="51"/>
        <v>0.1434702671125713</v>
      </c>
      <c r="I130" s="67">
        <f t="shared" si="51"/>
        <v>0.1239516290445309</v>
      </c>
      <c r="J130" s="67">
        <f t="shared" si="51"/>
        <v>0.12371579506859667</v>
      </c>
      <c r="K130" s="67">
        <f t="shared" ref="K130:P131" si="53">J130</f>
        <v>0.12371579506859667</v>
      </c>
      <c r="L130" s="67">
        <f t="shared" si="53"/>
        <v>0.12371579506859667</v>
      </c>
      <c r="M130" s="67">
        <f t="shared" si="53"/>
        <v>0.12371579506859667</v>
      </c>
      <c r="N130" s="67">
        <f t="shared" si="53"/>
        <v>0.12371579506859667</v>
      </c>
      <c r="O130" s="67">
        <f t="shared" si="53"/>
        <v>0.12371579506859667</v>
      </c>
      <c r="P130" s="67">
        <f t="shared" si="53"/>
        <v>0.12371579506859667</v>
      </c>
    </row>
    <row r="131" spans="1:16" ht="15.75" customHeight="1">
      <c r="A131" s="44" t="s">
        <v>124</v>
      </c>
      <c r="B131" s="67">
        <f t="shared" si="51"/>
        <v>-1.0550020591817599E-3</v>
      </c>
      <c r="C131" s="67">
        <f t="shared" si="51"/>
        <v>-1.5216273775427774E-3</v>
      </c>
      <c r="D131" s="67">
        <f t="shared" si="51"/>
        <v>-1.2417083701919823E-3</v>
      </c>
      <c r="E131" s="67">
        <f t="shared" si="51"/>
        <v>-1.4186374806113736E-3</v>
      </c>
      <c r="F131" s="67">
        <f t="shared" si="51"/>
        <v>-1.6085117631509385E-3</v>
      </c>
      <c r="G131" s="67">
        <f t="shared" si="51"/>
        <v>-1.0345023588927413E-3</v>
      </c>
      <c r="H131" s="67">
        <f t="shared" si="51"/>
        <v>-1.635914493183501E-3</v>
      </c>
      <c r="I131" s="67">
        <f t="shared" si="51"/>
        <v>-1.3216800284435676E-3</v>
      </c>
      <c r="J131" s="67">
        <f t="shared" si="51"/>
        <v>-1.8377506552317738E-3</v>
      </c>
      <c r="K131" s="67">
        <f t="shared" si="53"/>
        <v>-1.8377506552317738E-3</v>
      </c>
      <c r="L131" s="67">
        <f t="shared" si="53"/>
        <v>-1.8377506552317738E-3</v>
      </c>
      <c r="M131" s="67">
        <f t="shared" si="53"/>
        <v>-1.8377506552317738E-3</v>
      </c>
      <c r="N131" s="67">
        <f t="shared" si="53"/>
        <v>-1.8377506552317738E-3</v>
      </c>
      <c r="O131" s="67">
        <f t="shared" si="53"/>
        <v>-1.8377506552317738E-3</v>
      </c>
      <c r="P131" s="67">
        <f t="shared" si="53"/>
        <v>-1.8377506552317738E-3</v>
      </c>
    </row>
    <row r="132" spans="1:16" ht="15.75" customHeight="1">
      <c r="A132" s="44"/>
    </row>
    <row r="133" spans="1:16" ht="15.75" customHeight="1">
      <c r="A133" s="44"/>
    </row>
    <row r="134" spans="1:16" ht="15.75" customHeight="1">
      <c r="A134" s="55" t="s">
        <v>125</v>
      </c>
    </row>
    <row r="135" spans="1:16" ht="15.75" customHeight="1">
      <c r="A135" s="44"/>
    </row>
    <row r="136" spans="1:16" ht="15.75" customHeight="1">
      <c r="A136" s="44" t="s">
        <v>43</v>
      </c>
    </row>
    <row r="137" spans="1:16" ht="15.75" customHeight="1">
      <c r="A137" s="44" t="s">
        <v>44</v>
      </c>
    </row>
    <row r="138" spans="1:16" ht="15.75" customHeight="1">
      <c r="A138" s="44" t="s">
        <v>45</v>
      </c>
    </row>
    <row r="139" spans="1:16" ht="15.75" customHeight="1">
      <c r="A139" s="44" t="s">
        <v>46</v>
      </c>
    </row>
    <row r="140" spans="1:16" ht="15.75" customHeight="1">
      <c r="A140" s="44" t="s">
        <v>47</v>
      </c>
    </row>
    <row r="141" spans="1:16" ht="15.75" customHeight="1">
      <c r="A141" s="44" t="s">
        <v>124</v>
      </c>
    </row>
    <row r="142" spans="1:16" ht="15.75" customHeight="1">
      <c r="A142" s="44"/>
    </row>
    <row r="143" spans="1:16" ht="15.75" customHeight="1">
      <c r="A143" s="44" t="s">
        <v>122</v>
      </c>
    </row>
    <row r="144" spans="1:16" ht="15.75" customHeight="1">
      <c r="A144" s="44" t="s">
        <v>43</v>
      </c>
    </row>
    <row r="145" spans="1:16" ht="15.75" customHeight="1">
      <c r="A145" s="44" t="s">
        <v>44</v>
      </c>
    </row>
    <row r="146" spans="1:16" ht="15.75" customHeight="1">
      <c r="A146" s="44" t="s">
        <v>45</v>
      </c>
    </row>
    <row r="147" spans="1:16" ht="15.75" customHeight="1">
      <c r="A147" s="44" t="s">
        <v>46</v>
      </c>
    </row>
    <row r="148" spans="1:16" ht="15.75" customHeight="1">
      <c r="A148" s="44" t="s">
        <v>47</v>
      </c>
    </row>
    <row r="149" spans="1:16" ht="15.75" customHeight="1">
      <c r="A149" s="44" t="s">
        <v>124</v>
      </c>
    </row>
    <row r="150" spans="1:16" ht="15.75" customHeight="1">
      <c r="A150" s="44"/>
    </row>
    <row r="151" spans="1:16" ht="15.75" customHeight="1">
      <c r="A151" s="44"/>
    </row>
    <row r="152" spans="1:16" ht="15.75" customHeight="1">
      <c r="A152" s="44"/>
    </row>
    <row r="153" spans="1:16" ht="15.75" customHeight="1">
      <c r="A153" s="55" t="s">
        <v>126</v>
      </c>
    </row>
    <row r="154" spans="1:16" ht="15.75" customHeight="1">
      <c r="A154" s="44"/>
      <c r="K154" s="52"/>
      <c r="L154" s="52"/>
      <c r="M154" s="52"/>
      <c r="N154" s="52"/>
      <c r="O154" s="52"/>
      <c r="P154" s="52"/>
    </row>
    <row r="155" spans="1:16" ht="15.75" customHeight="1">
      <c r="A155" s="44" t="s">
        <v>97</v>
      </c>
      <c r="B155" s="52">
        <f t="shared" ref="B155:P155" si="54">SUM(B156:B161)</f>
        <v>73275</v>
      </c>
      <c r="C155" s="52">
        <f t="shared" si="54"/>
        <v>87745</v>
      </c>
      <c r="D155" s="52">
        <f t="shared" si="54"/>
        <v>78560</v>
      </c>
      <c r="E155" s="52">
        <f t="shared" si="54"/>
        <v>121849</v>
      </c>
      <c r="F155" s="52">
        <f t="shared" si="54"/>
        <v>84116</v>
      </c>
      <c r="G155" s="52">
        <f t="shared" si="54"/>
        <v>150499</v>
      </c>
      <c r="H155" s="52">
        <f t="shared" si="54"/>
        <v>137512</v>
      </c>
      <c r="I155" s="52">
        <f t="shared" si="54"/>
        <v>129207</v>
      </c>
      <c r="J155" s="52">
        <f t="shared" si="54"/>
        <v>198064</v>
      </c>
      <c r="K155" s="52">
        <f t="shared" si="54"/>
        <v>207115.25784324101</v>
      </c>
      <c r="L155" s="52">
        <f t="shared" si="54"/>
        <v>244124.42485640128</v>
      </c>
      <c r="M155" s="52">
        <f t="shared" si="54"/>
        <v>287866.64484778629</v>
      </c>
      <c r="N155" s="52">
        <f t="shared" si="54"/>
        <v>339581.55767334311</v>
      </c>
      <c r="O155" s="52">
        <f t="shared" si="54"/>
        <v>400738.80619882571</v>
      </c>
      <c r="P155" s="52">
        <f t="shared" si="54"/>
        <v>473080.9216241563</v>
      </c>
    </row>
    <row r="156" spans="1:16" ht="15.75" customHeight="1">
      <c r="A156" s="61" t="s">
        <v>98</v>
      </c>
      <c r="B156" s="52">
        <f t="shared" ref="B156:J157" si="55">B83</f>
        <v>31998</v>
      </c>
      <c r="C156" s="52">
        <f t="shared" si="55"/>
        <v>32637</v>
      </c>
      <c r="D156" s="52">
        <f t="shared" si="55"/>
        <v>31602</v>
      </c>
      <c r="E156" s="52">
        <f t="shared" si="55"/>
        <v>33226</v>
      </c>
      <c r="F156" s="52">
        <f t="shared" si="55"/>
        <v>32139</v>
      </c>
      <c r="G156" s="52">
        <f t="shared" si="55"/>
        <v>30490</v>
      </c>
      <c r="H156" s="52">
        <f t="shared" si="55"/>
        <v>35323</v>
      </c>
      <c r="I156" s="52">
        <f t="shared" si="55"/>
        <v>54435</v>
      </c>
      <c r="J156" s="52">
        <f t="shared" si="55"/>
        <v>53181</v>
      </c>
      <c r="K156" s="52">
        <f t="shared" ref="K156:P161" si="56">K$171*K175</f>
        <v>68906.05541279506</v>
      </c>
      <c r="L156" s="52">
        <f t="shared" si="56"/>
        <v>81218.792482703939</v>
      </c>
      <c r="M156" s="52">
        <f t="shared" si="56"/>
        <v>95771.577564749066</v>
      </c>
      <c r="N156" s="52">
        <f t="shared" si="56"/>
        <v>112976.83171132073</v>
      </c>
      <c r="O156" s="52">
        <f t="shared" si="56"/>
        <v>133323.49665370033</v>
      </c>
      <c r="P156" s="52">
        <f t="shared" si="56"/>
        <v>157391.3025028932</v>
      </c>
    </row>
    <row r="157" spans="1:16" ht="15.75" customHeight="1">
      <c r="A157" s="61" t="s">
        <v>99</v>
      </c>
      <c r="B157" s="52">
        <f t="shared" si="55"/>
        <v>13873</v>
      </c>
      <c r="C157" s="52">
        <f t="shared" si="55"/>
        <v>12026</v>
      </c>
      <c r="D157" s="52">
        <f t="shared" si="55"/>
        <v>14654</v>
      </c>
      <c r="E157" s="52">
        <f t="shared" si="55"/>
        <v>23128</v>
      </c>
      <c r="F157" s="52">
        <f t="shared" si="55"/>
        <v>21298</v>
      </c>
      <c r="G157" s="52">
        <f t="shared" si="55"/>
        <v>12799</v>
      </c>
      <c r="H157" s="52">
        <f t="shared" si="55"/>
        <v>20345</v>
      </c>
      <c r="I157" s="52">
        <f t="shared" si="55"/>
        <v>32848</v>
      </c>
      <c r="J157" s="52">
        <f t="shared" si="55"/>
        <v>45968</v>
      </c>
      <c r="K157" s="52">
        <f t="shared" si="56"/>
        <v>51679.541559596291</v>
      </c>
      <c r="L157" s="52">
        <f t="shared" si="56"/>
        <v>60914.094362027958</v>
      </c>
      <c r="M157" s="52">
        <f t="shared" si="56"/>
        <v>71828.683173561803</v>
      </c>
      <c r="N157" s="52">
        <f t="shared" si="56"/>
        <v>84732.623783490548</v>
      </c>
      <c r="O157" s="52">
        <f t="shared" si="56"/>
        <v>99992.622490275258</v>
      </c>
      <c r="P157" s="52">
        <f t="shared" si="56"/>
        <v>118043.4768771699</v>
      </c>
    </row>
    <row r="158" spans="1:16" ht="15.75" customHeight="1">
      <c r="A158" s="61" t="s">
        <v>101</v>
      </c>
      <c r="B158" s="52">
        <f t="shared" ref="B158:J160" si="57">B86</f>
        <v>15957</v>
      </c>
      <c r="C158" s="47">
        <f t="shared" si="57"/>
        <v>25</v>
      </c>
      <c r="D158" s="47">
        <f t="shared" si="57"/>
        <v>30</v>
      </c>
      <c r="E158" s="47">
        <f t="shared" si="57"/>
        <v>161</v>
      </c>
      <c r="F158" s="47">
        <f t="shared" si="57"/>
        <v>170</v>
      </c>
      <c r="G158" s="47">
        <f t="shared" si="57"/>
        <v>230</v>
      </c>
      <c r="H158" s="47">
        <f t="shared" si="57"/>
        <v>305</v>
      </c>
      <c r="I158" s="47">
        <f t="shared" si="57"/>
        <v>297</v>
      </c>
      <c r="J158" s="47">
        <f t="shared" si="57"/>
        <v>327</v>
      </c>
      <c r="K158" s="52">
        <f t="shared" si="56"/>
        <v>397.09160485583465</v>
      </c>
      <c r="L158" s="52">
        <f t="shared" si="56"/>
        <v>468.04740828947831</v>
      </c>
      <c r="M158" s="52">
        <f t="shared" si="56"/>
        <v>551.91215353911412</v>
      </c>
      <c r="N158" s="52">
        <f t="shared" si="56"/>
        <v>651.06253938090777</v>
      </c>
      <c r="O158" s="52">
        <f t="shared" si="56"/>
        <v>768.31623772471403</v>
      </c>
      <c r="P158" s="52">
        <f t="shared" si="56"/>
        <v>907.01411547668874</v>
      </c>
    </row>
    <row r="159" spans="1:16" ht="15.75" customHeight="1">
      <c r="A159" s="61" t="s">
        <v>102</v>
      </c>
      <c r="B159" s="52">
        <f t="shared" si="57"/>
        <v>2699</v>
      </c>
      <c r="C159" s="52">
        <f t="shared" si="57"/>
        <v>15408</v>
      </c>
      <c r="D159" s="52">
        <f t="shared" si="57"/>
        <v>13140</v>
      </c>
      <c r="E159" s="52">
        <f t="shared" si="57"/>
        <v>5638</v>
      </c>
      <c r="F159" s="52">
        <f t="shared" si="57"/>
        <v>7974</v>
      </c>
      <c r="G159" s="47">
        <f t="shared" si="57"/>
        <v>9581</v>
      </c>
      <c r="H159" s="52">
        <f t="shared" si="57"/>
        <v>14608</v>
      </c>
      <c r="I159" s="52">
        <f t="shared" si="57"/>
        <v>15602</v>
      </c>
      <c r="J159" s="52">
        <f t="shared" si="57"/>
        <v>25077</v>
      </c>
      <c r="K159" s="52">
        <f t="shared" si="56"/>
        <v>34453.02770639753</v>
      </c>
      <c r="L159" s="52">
        <f t="shared" si="56"/>
        <v>40609.396241351969</v>
      </c>
      <c r="M159" s="52">
        <f t="shared" si="56"/>
        <v>47885.788782374533</v>
      </c>
      <c r="N159" s="52">
        <f t="shared" si="56"/>
        <v>56488.415855660365</v>
      </c>
      <c r="O159" s="52">
        <f t="shared" si="56"/>
        <v>66661.748326850167</v>
      </c>
      <c r="P159" s="52">
        <f t="shared" si="56"/>
        <v>78695.651251446601</v>
      </c>
    </row>
    <row r="160" spans="1:16" ht="15.75" customHeight="1">
      <c r="A160" s="61" t="s">
        <v>103</v>
      </c>
      <c r="B160" s="47">
        <f t="shared" si="57"/>
        <v>0</v>
      </c>
      <c r="C160" s="52">
        <f t="shared" si="57"/>
        <v>4910</v>
      </c>
      <c r="D160" s="52">
        <f t="shared" si="57"/>
        <v>4115</v>
      </c>
      <c r="E160" s="47">
        <f t="shared" si="57"/>
        <v>4277</v>
      </c>
      <c r="F160" s="47">
        <f t="shared" si="57"/>
        <v>5272</v>
      </c>
      <c r="G160" s="47">
        <f t="shared" si="57"/>
        <v>0</v>
      </c>
      <c r="H160" s="47">
        <f t="shared" si="57"/>
        <v>0</v>
      </c>
      <c r="I160" s="47">
        <f t="shared" si="57"/>
        <v>0</v>
      </c>
      <c r="J160" s="47">
        <f t="shared" si="57"/>
        <v>0</v>
      </c>
      <c r="K160" s="52">
        <f t="shared" si="56"/>
        <v>0</v>
      </c>
      <c r="L160" s="52">
        <f t="shared" si="56"/>
        <v>0</v>
      </c>
      <c r="M160" s="52">
        <f t="shared" si="56"/>
        <v>0</v>
      </c>
      <c r="N160" s="52">
        <f t="shared" si="56"/>
        <v>0</v>
      </c>
      <c r="O160" s="52">
        <f t="shared" si="56"/>
        <v>0</v>
      </c>
      <c r="P160" s="52">
        <f t="shared" si="56"/>
        <v>0</v>
      </c>
    </row>
    <row r="161" spans="1:16" ht="15.75" customHeight="1">
      <c r="A161" s="44" t="s">
        <v>92</v>
      </c>
      <c r="B161" s="52">
        <f t="shared" ref="B161:J161" si="58">SUM(B89:B91)</f>
        <v>8748</v>
      </c>
      <c r="C161" s="52">
        <f t="shared" si="58"/>
        <v>22739</v>
      </c>
      <c r="D161" s="52">
        <f t="shared" si="58"/>
        <v>15019</v>
      </c>
      <c r="E161" s="52">
        <f t="shared" si="58"/>
        <v>55419</v>
      </c>
      <c r="F161" s="52">
        <f t="shared" si="58"/>
        <v>17263</v>
      </c>
      <c r="G161" s="52">
        <f t="shared" si="58"/>
        <v>97399</v>
      </c>
      <c r="H161" s="52">
        <f t="shared" si="58"/>
        <v>66931</v>
      </c>
      <c r="I161" s="47">
        <f t="shared" si="58"/>
        <v>26025</v>
      </c>
      <c r="J161" s="52">
        <f t="shared" si="58"/>
        <v>73511</v>
      </c>
      <c r="K161" s="52">
        <f t="shared" si="56"/>
        <v>51679.541559596291</v>
      </c>
      <c r="L161" s="52">
        <f t="shared" si="56"/>
        <v>60914.094362027958</v>
      </c>
      <c r="M161" s="52">
        <f t="shared" si="56"/>
        <v>71828.683173561803</v>
      </c>
      <c r="N161" s="52">
        <f t="shared" si="56"/>
        <v>84732.623783490548</v>
      </c>
      <c r="O161" s="52">
        <f t="shared" si="56"/>
        <v>99992.622490275258</v>
      </c>
      <c r="P161" s="52">
        <f t="shared" si="56"/>
        <v>118043.4768771699</v>
      </c>
    </row>
    <row r="162" spans="1:16" ht="15.75" customHeight="1">
      <c r="A162" s="44"/>
      <c r="K162" s="52"/>
      <c r="L162" s="52"/>
      <c r="M162" s="52"/>
      <c r="N162" s="52"/>
      <c r="O162" s="52"/>
      <c r="P162" s="52"/>
    </row>
    <row r="163" spans="1:16" ht="15.75" customHeight="1">
      <c r="A163" s="44" t="s">
        <v>74</v>
      </c>
      <c r="B163" s="47">
        <f t="shared" ref="B163:P163" si="59">SUM(B164:B169)</f>
        <v>114601</v>
      </c>
      <c r="C163" s="52">
        <f t="shared" si="59"/>
        <v>132368</v>
      </c>
      <c r="D163" s="52">
        <f t="shared" si="59"/>
        <v>154485</v>
      </c>
      <c r="E163" s="52">
        <f t="shared" si="59"/>
        <v>141605</v>
      </c>
      <c r="F163" s="52">
        <f t="shared" si="59"/>
        <v>113054</v>
      </c>
      <c r="G163" s="52">
        <f t="shared" si="59"/>
        <v>162139</v>
      </c>
      <c r="H163" s="52">
        <f t="shared" si="59"/>
        <v>170235</v>
      </c>
      <c r="I163" s="52">
        <f t="shared" si="59"/>
        <v>227667</v>
      </c>
      <c r="J163" s="52">
        <f t="shared" si="59"/>
        <v>259518</v>
      </c>
      <c r="K163" s="52">
        <f t="shared" si="59"/>
        <v>329026.41459609644</v>
      </c>
      <c r="L163" s="52">
        <f t="shared" si="59"/>
        <v>387819.73410491133</v>
      </c>
      <c r="M163" s="52">
        <f t="shared" si="59"/>
        <v>457309.28287167684</v>
      </c>
      <c r="N163" s="52">
        <f t="shared" si="59"/>
        <v>539464.37142155645</v>
      </c>
      <c r="O163" s="52">
        <f t="shared" si="59"/>
        <v>636619.6965214191</v>
      </c>
      <c r="P163" s="52">
        <f t="shared" si="59"/>
        <v>751543.469451315</v>
      </c>
    </row>
    <row r="164" spans="1:16" ht="15.75" customHeight="1">
      <c r="A164" s="44" t="s">
        <v>75</v>
      </c>
      <c r="B164" s="47">
        <f t="shared" ref="B164:J165" si="60">B56</f>
        <v>0</v>
      </c>
      <c r="C164" s="52">
        <f t="shared" si="60"/>
        <v>8036</v>
      </c>
      <c r="D164" s="52">
        <f t="shared" si="60"/>
        <v>8541</v>
      </c>
      <c r="E164" s="52">
        <f t="shared" si="60"/>
        <v>6729</v>
      </c>
      <c r="F164" s="52">
        <f t="shared" si="60"/>
        <v>6962</v>
      </c>
      <c r="G164" s="52">
        <f t="shared" si="60"/>
        <v>8547</v>
      </c>
      <c r="H164" s="52">
        <f t="shared" si="60"/>
        <v>11113</v>
      </c>
      <c r="I164" s="52">
        <f t="shared" si="60"/>
        <v>11584</v>
      </c>
      <c r="J164" s="52">
        <f t="shared" si="60"/>
        <v>12030</v>
      </c>
      <c r="K164" s="52">
        <f t="shared" ref="K164:P169" si="61">K$171*K183</f>
        <v>17226.513853198765</v>
      </c>
      <c r="L164" s="52">
        <f t="shared" si="61"/>
        <v>20304.698120675985</v>
      </c>
      <c r="M164" s="52">
        <f t="shared" si="61"/>
        <v>23942.894391187267</v>
      </c>
      <c r="N164" s="52">
        <f t="shared" si="61"/>
        <v>28244.207927830183</v>
      </c>
      <c r="O164" s="52">
        <f t="shared" si="61"/>
        <v>33330.874163425084</v>
      </c>
      <c r="P164" s="52">
        <f t="shared" si="61"/>
        <v>39347.825625723301</v>
      </c>
    </row>
    <row r="165" spans="1:16" ht="15.75" customHeight="1">
      <c r="A165" s="44" t="s">
        <v>127</v>
      </c>
      <c r="B165" s="47">
        <f t="shared" si="60"/>
        <v>907</v>
      </c>
      <c r="C165" s="52">
        <f t="shared" si="60"/>
        <v>4836</v>
      </c>
      <c r="D165" s="52">
        <f t="shared" si="60"/>
        <v>1108</v>
      </c>
      <c r="E165" s="47">
        <f t="shared" si="60"/>
        <v>1496</v>
      </c>
      <c r="F165" s="47">
        <f t="shared" si="60"/>
        <v>1166</v>
      </c>
      <c r="G165" s="47">
        <f t="shared" si="60"/>
        <v>4962</v>
      </c>
      <c r="H165" s="47">
        <f t="shared" si="60"/>
        <v>3899</v>
      </c>
      <c r="I165" s="52">
        <f t="shared" si="60"/>
        <v>12226</v>
      </c>
      <c r="J165" s="47">
        <f t="shared" si="60"/>
        <v>509</v>
      </c>
      <c r="K165" s="52">
        <f t="shared" si="61"/>
        <v>1722.6513853198765</v>
      </c>
      <c r="L165" s="52">
        <f t="shared" si="61"/>
        <v>2030.4698120675987</v>
      </c>
      <c r="M165" s="52">
        <f t="shared" si="61"/>
        <v>2394.2894391187265</v>
      </c>
      <c r="N165" s="52">
        <f t="shared" si="61"/>
        <v>2824.4207927830184</v>
      </c>
      <c r="O165" s="52">
        <f t="shared" si="61"/>
        <v>3333.0874163425087</v>
      </c>
      <c r="P165" s="52">
        <f t="shared" si="61"/>
        <v>3934.7825625723303</v>
      </c>
    </row>
    <row r="166" spans="1:16" ht="15.75" customHeight="1">
      <c r="A166" s="44" t="s">
        <v>78</v>
      </c>
      <c r="B166" s="52">
        <f t="shared" ref="B166:J166" si="62">B58+B59</f>
        <v>71271</v>
      </c>
      <c r="C166" s="52">
        <f t="shared" si="62"/>
        <v>83692</v>
      </c>
      <c r="D166" s="52">
        <f t="shared" si="62"/>
        <v>104993</v>
      </c>
      <c r="E166" s="52">
        <f t="shared" si="62"/>
        <v>96377</v>
      </c>
      <c r="F166" s="52">
        <f t="shared" si="62"/>
        <v>74988</v>
      </c>
      <c r="G166" s="52">
        <f t="shared" si="62"/>
        <v>101681</v>
      </c>
      <c r="H166" s="52">
        <f t="shared" si="62"/>
        <v>97652</v>
      </c>
      <c r="I166" s="52">
        <f t="shared" si="62"/>
        <v>136755</v>
      </c>
      <c r="J166" s="52">
        <f t="shared" si="62"/>
        <v>169884</v>
      </c>
      <c r="K166" s="52">
        <f t="shared" si="61"/>
        <v>206718.16623838517</v>
      </c>
      <c r="L166" s="52">
        <f t="shared" si="61"/>
        <v>243656.37744811183</v>
      </c>
      <c r="M166" s="52">
        <f t="shared" si="61"/>
        <v>287314.73269424721</v>
      </c>
      <c r="N166" s="52">
        <f t="shared" si="61"/>
        <v>338930.49513396219</v>
      </c>
      <c r="O166" s="52">
        <f t="shared" si="61"/>
        <v>399970.48996110103</v>
      </c>
      <c r="P166" s="52">
        <f t="shared" si="61"/>
        <v>472173.90750867961</v>
      </c>
    </row>
    <row r="167" spans="1:16" ht="15.75" customHeight="1">
      <c r="A167" s="44" t="s">
        <v>79</v>
      </c>
      <c r="B167" s="52">
        <f t="shared" ref="B167:J169" si="63">B60</f>
        <v>24078</v>
      </c>
      <c r="C167" s="52">
        <f t="shared" si="63"/>
        <v>18278</v>
      </c>
      <c r="D167" s="52">
        <f t="shared" si="63"/>
        <v>20896</v>
      </c>
      <c r="E167" s="52">
        <f t="shared" si="63"/>
        <v>16329</v>
      </c>
      <c r="F167" s="52">
        <f t="shared" si="63"/>
        <v>14091</v>
      </c>
      <c r="G167" s="52">
        <f t="shared" si="63"/>
        <v>26801</v>
      </c>
      <c r="H167" s="52">
        <f t="shared" si="63"/>
        <v>28686</v>
      </c>
      <c r="I167" s="52">
        <f t="shared" si="63"/>
        <v>33372</v>
      </c>
      <c r="J167" s="52">
        <f t="shared" si="63"/>
        <v>41739</v>
      </c>
      <c r="K167" s="52">
        <f t="shared" si="61"/>
        <v>51679.541559596291</v>
      </c>
      <c r="L167" s="52">
        <f t="shared" si="61"/>
        <v>60914.094362027958</v>
      </c>
      <c r="M167" s="52">
        <f t="shared" si="61"/>
        <v>71828.683173561803</v>
      </c>
      <c r="N167" s="52">
        <f t="shared" si="61"/>
        <v>84732.623783490548</v>
      </c>
      <c r="O167" s="52">
        <f t="shared" si="61"/>
        <v>99992.622490275258</v>
      </c>
      <c r="P167" s="52">
        <f t="shared" si="61"/>
        <v>118043.4768771699</v>
      </c>
    </row>
    <row r="168" spans="1:16" ht="15.75" customHeight="1">
      <c r="A168" s="44" t="s">
        <v>80</v>
      </c>
      <c r="B168" s="52">
        <f t="shared" si="63"/>
        <v>18345</v>
      </c>
      <c r="C168" s="52">
        <f t="shared" si="63"/>
        <v>4498</v>
      </c>
      <c r="D168" s="52">
        <f t="shared" si="63"/>
        <v>5609</v>
      </c>
      <c r="E168" s="52">
        <f t="shared" si="63"/>
        <v>6254</v>
      </c>
      <c r="F168" s="52">
        <f t="shared" si="63"/>
        <v>6807</v>
      </c>
      <c r="G168" s="47">
        <f t="shared" si="63"/>
        <v>7428</v>
      </c>
      <c r="H168" s="47">
        <f t="shared" si="63"/>
        <v>8613</v>
      </c>
      <c r="I168" s="52">
        <f t="shared" si="63"/>
        <v>10830</v>
      </c>
      <c r="J168" s="52">
        <f t="shared" si="63"/>
        <v>13119</v>
      </c>
      <c r="K168" s="52">
        <f t="shared" si="61"/>
        <v>17226.513853198765</v>
      </c>
      <c r="L168" s="52">
        <f t="shared" si="61"/>
        <v>20304.698120675985</v>
      </c>
      <c r="M168" s="52">
        <f t="shared" si="61"/>
        <v>23942.894391187267</v>
      </c>
      <c r="N168" s="52">
        <f t="shared" si="61"/>
        <v>28244.207927830183</v>
      </c>
      <c r="O168" s="52">
        <f t="shared" si="61"/>
        <v>33330.874163425084</v>
      </c>
      <c r="P168" s="52">
        <f t="shared" si="61"/>
        <v>39347.825625723301</v>
      </c>
    </row>
    <row r="169" spans="1:16" ht="15.75" customHeight="1">
      <c r="A169" s="44" t="s">
        <v>81</v>
      </c>
      <c r="B169" s="47">
        <f t="shared" si="63"/>
        <v>0</v>
      </c>
      <c r="C169" s="52">
        <f t="shared" si="63"/>
        <v>13028</v>
      </c>
      <c r="D169" s="52">
        <f t="shared" si="63"/>
        <v>13338</v>
      </c>
      <c r="E169" s="52">
        <f t="shared" si="63"/>
        <v>14420</v>
      </c>
      <c r="F169" s="52">
        <f t="shared" si="63"/>
        <v>9040</v>
      </c>
      <c r="G169" s="52">
        <f t="shared" si="63"/>
        <v>12720</v>
      </c>
      <c r="H169" s="52">
        <f t="shared" si="63"/>
        <v>20272</v>
      </c>
      <c r="I169" s="52">
        <f t="shared" si="63"/>
        <v>22900</v>
      </c>
      <c r="J169" s="52">
        <f t="shared" si="63"/>
        <v>22237</v>
      </c>
      <c r="K169" s="52">
        <f t="shared" si="61"/>
        <v>34453.02770639753</v>
      </c>
      <c r="L169" s="52">
        <f t="shared" si="61"/>
        <v>40609.396241351969</v>
      </c>
      <c r="M169" s="52">
        <f t="shared" si="61"/>
        <v>47885.788782374533</v>
      </c>
      <c r="N169" s="52">
        <f t="shared" si="61"/>
        <v>56488.415855660365</v>
      </c>
      <c r="O169" s="52">
        <f t="shared" si="61"/>
        <v>66661.748326850167</v>
      </c>
      <c r="P169" s="52">
        <f t="shared" si="61"/>
        <v>78695.651251446601</v>
      </c>
    </row>
    <row r="170" spans="1:16" ht="15.75" customHeight="1">
      <c r="A170" s="44"/>
      <c r="K170" s="52"/>
      <c r="L170" s="52"/>
      <c r="M170" s="52"/>
      <c r="N170" s="52"/>
      <c r="O170" s="52"/>
      <c r="P170" s="52"/>
    </row>
    <row r="171" spans="1:16" ht="15.75" customHeight="1">
      <c r="A171" s="44" t="s">
        <v>128</v>
      </c>
      <c r="B171" s="52">
        <f t="shared" ref="B171:P171" si="64">B3</f>
        <v>570615</v>
      </c>
      <c r="C171" s="52">
        <f t="shared" si="64"/>
        <v>680850</v>
      </c>
      <c r="D171" s="52">
        <f t="shared" si="64"/>
        <v>798094</v>
      </c>
      <c r="E171" s="52">
        <f t="shared" si="64"/>
        <v>860685</v>
      </c>
      <c r="F171" s="52">
        <f t="shared" si="64"/>
        <v>756600</v>
      </c>
      <c r="G171" s="52">
        <f t="shared" si="64"/>
        <v>703720</v>
      </c>
      <c r="H171" s="52">
        <f t="shared" si="64"/>
        <v>883298</v>
      </c>
      <c r="I171" s="52">
        <f t="shared" si="64"/>
        <v>1184099</v>
      </c>
      <c r="J171" s="52">
        <f t="shared" si="64"/>
        <v>1418582</v>
      </c>
      <c r="K171" s="52">
        <f t="shared" si="64"/>
        <v>1722651.3853198765</v>
      </c>
      <c r="L171" s="52">
        <f t="shared" si="64"/>
        <v>2030469.8120675986</v>
      </c>
      <c r="M171" s="52">
        <f t="shared" si="64"/>
        <v>2394289.4391187266</v>
      </c>
      <c r="N171" s="52">
        <f t="shared" si="64"/>
        <v>2824420.7927830182</v>
      </c>
      <c r="O171" s="52">
        <f t="shared" si="64"/>
        <v>3333087.4163425085</v>
      </c>
      <c r="P171" s="52">
        <f t="shared" si="64"/>
        <v>3934782.5625723302</v>
      </c>
    </row>
    <row r="172" spans="1:16" ht="15.75" customHeight="1">
      <c r="A172" s="44"/>
    </row>
    <row r="173" spans="1:16" ht="15.75" customHeight="1">
      <c r="A173" s="55" t="s">
        <v>129</v>
      </c>
    </row>
    <row r="174" spans="1:16" ht="15.75" customHeight="1">
      <c r="A174" s="44" t="s">
        <v>97</v>
      </c>
      <c r="B174" s="67">
        <f t="shared" ref="B174:J180" si="65">B155/B$171</f>
        <v>0.12841407954575326</v>
      </c>
      <c r="C174" s="67">
        <f t="shared" si="65"/>
        <v>0.12887567011823456</v>
      </c>
      <c r="D174" s="67">
        <f t="shared" si="65"/>
        <v>9.8434520244482474E-2</v>
      </c>
      <c r="E174" s="67">
        <f t="shared" si="65"/>
        <v>0.14157211988125737</v>
      </c>
      <c r="F174" s="67">
        <f t="shared" si="65"/>
        <v>0.11117631509384086</v>
      </c>
      <c r="G174" s="67">
        <f t="shared" si="65"/>
        <v>0.213862047405218</v>
      </c>
      <c r="H174" s="67">
        <f t="shared" si="65"/>
        <v>0.15568018947172982</v>
      </c>
      <c r="I174" s="67">
        <f t="shared" si="65"/>
        <v>0.10911840986268885</v>
      </c>
      <c r="J174" s="67">
        <f t="shared" si="65"/>
        <v>0.13962111460599388</v>
      </c>
    </row>
    <row r="175" spans="1:16" ht="15.75" customHeight="1">
      <c r="A175" s="61" t="s">
        <v>98</v>
      </c>
      <c r="B175" s="67">
        <f t="shared" si="65"/>
        <v>5.6076338687205907E-2</v>
      </c>
      <c r="C175" s="67">
        <f t="shared" si="65"/>
        <v>4.7935668649482267E-2</v>
      </c>
      <c r="D175" s="67">
        <f t="shared" si="65"/>
        <v>3.9596839470037365E-2</v>
      </c>
      <c r="E175" s="67">
        <f t="shared" si="65"/>
        <v>3.8604135078454949E-2</v>
      </c>
      <c r="F175" s="67">
        <f t="shared" si="65"/>
        <v>4.2478191911181601E-2</v>
      </c>
      <c r="G175" s="67">
        <f t="shared" si="65"/>
        <v>4.3326891377252319E-2</v>
      </c>
      <c r="H175" s="67">
        <f t="shared" si="65"/>
        <v>3.9989901482851767E-2</v>
      </c>
      <c r="I175" s="67">
        <f t="shared" si="65"/>
        <v>4.5971662842380578E-2</v>
      </c>
      <c r="J175" s="67">
        <f t="shared" si="65"/>
        <v>3.7488844494008806E-2</v>
      </c>
      <c r="K175" s="17">
        <v>0.04</v>
      </c>
      <c r="L175" s="17">
        <v>0.04</v>
      </c>
      <c r="M175" s="17">
        <v>0.04</v>
      </c>
      <c r="N175" s="17">
        <v>0.04</v>
      </c>
      <c r="O175" s="17">
        <v>0.04</v>
      </c>
      <c r="P175" s="17">
        <v>0.04</v>
      </c>
    </row>
    <row r="176" spans="1:16" ht="15.75" customHeight="1">
      <c r="A176" s="61" t="s">
        <v>99</v>
      </c>
      <c r="B176" s="67">
        <f t="shared" si="65"/>
        <v>2.4312364729283317E-2</v>
      </c>
      <c r="C176" s="67">
        <f t="shared" si="65"/>
        <v>1.7663215098773593E-2</v>
      </c>
      <c r="D176" s="67">
        <f t="shared" si="65"/>
        <v>1.8361245667803543E-2</v>
      </c>
      <c r="E176" s="67">
        <f t="shared" si="65"/>
        <v>2.6871619698263592E-2</v>
      </c>
      <c r="F176" s="67">
        <f t="shared" si="65"/>
        <v>2.8149616706317736E-2</v>
      </c>
      <c r="G176" s="67">
        <f t="shared" si="65"/>
        <v>1.8187631444324448E-2</v>
      </c>
      <c r="H176" s="67">
        <f t="shared" si="65"/>
        <v>2.3032996791569775E-2</v>
      </c>
      <c r="I176" s="67">
        <f t="shared" si="65"/>
        <v>2.7740923689657707E-2</v>
      </c>
      <c r="J176" s="67">
        <f t="shared" si="65"/>
        <v>3.2404189535747668E-2</v>
      </c>
      <c r="K176" s="17">
        <v>0.03</v>
      </c>
      <c r="L176" s="17">
        <v>0.03</v>
      </c>
      <c r="M176" s="17">
        <v>0.03</v>
      </c>
      <c r="N176" s="17">
        <v>0.03</v>
      </c>
      <c r="O176" s="17">
        <v>0.03</v>
      </c>
      <c r="P176" s="17">
        <v>0.03</v>
      </c>
    </row>
    <row r="177" spans="1:16" ht="15.75" customHeight="1">
      <c r="A177" s="61" t="s">
        <v>101</v>
      </c>
      <c r="B177" s="67">
        <f t="shared" si="65"/>
        <v>2.796456454877632E-2</v>
      </c>
      <c r="C177" s="67">
        <f t="shared" si="65"/>
        <v>3.6718807373136523E-5</v>
      </c>
      <c r="D177" s="67">
        <f t="shared" si="65"/>
        <v>3.7589557119838017E-5</v>
      </c>
      <c r="E177" s="67">
        <f t="shared" si="65"/>
        <v>1.8706030661624172E-4</v>
      </c>
      <c r="F177" s="67">
        <f t="shared" si="65"/>
        <v>2.2468939994713189E-4</v>
      </c>
      <c r="G177" s="67">
        <f t="shared" si="65"/>
        <v>3.268345364633661E-4</v>
      </c>
      <c r="H177" s="67">
        <f t="shared" si="65"/>
        <v>3.4529683074115418E-4</v>
      </c>
      <c r="I177" s="67">
        <f t="shared" si="65"/>
        <v>2.5082362201133519E-4</v>
      </c>
      <c r="J177" s="67">
        <f t="shared" si="65"/>
        <v>2.3051187735358266E-4</v>
      </c>
      <c r="K177" s="67">
        <f t="shared" ref="K177:P177" si="66">J177</f>
        <v>2.3051187735358266E-4</v>
      </c>
      <c r="L177" s="67">
        <f t="shared" si="66"/>
        <v>2.3051187735358266E-4</v>
      </c>
      <c r="M177" s="67">
        <f t="shared" si="66"/>
        <v>2.3051187735358266E-4</v>
      </c>
      <c r="N177" s="67">
        <f t="shared" si="66"/>
        <v>2.3051187735358266E-4</v>
      </c>
      <c r="O177" s="67">
        <f t="shared" si="66"/>
        <v>2.3051187735358266E-4</v>
      </c>
      <c r="P177" s="67">
        <f t="shared" si="66"/>
        <v>2.3051187735358266E-4</v>
      </c>
    </row>
    <row r="178" spans="1:16" ht="15.75" customHeight="1">
      <c r="A178" s="61" t="s">
        <v>102</v>
      </c>
      <c r="B178" s="67">
        <f t="shared" si="65"/>
        <v>4.7299843151687214E-3</v>
      </c>
      <c r="C178" s="67">
        <f t="shared" si="65"/>
        <v>2.26305353602115E-2</v>
      </c>
      <c r="D178" s="67">
        <f t="shared" si="65"/>
        <v>1.6464226018489049E-2</v>
      </c>
      <c r="E178" s="67">
        <f t="shared" si="65"/>
        <v>6.5505963273439181E-3</v>
      </c>
      <c r="F178" s="67">
        <f t="shared" si="65"/>
        <v>1.0539254559873116E-2</v>
      </c>
      <c r="G178" s="67">
        <f t="shared" si="65"/>
        <v>1.361478997328483E-2</v>
      </c>
      <c r="H178" s="67">
        <f t="shared" si="65"/>
        <v>1.6538020011366492E-2</v>
      </c>
      <c r="I178" s="67">
        <f t="shared" si="65"/>
        <v>1.3176263133403542E-2</v>
      </c>
      <c r="J178" s="67">
        <f t="shared" si="65"/>
        <v>1.7677511768794472E-2</v>
      </c>
      <c r="K178" s="17">
        <v>0.02</v>
      </c>
      <c r="L178" s="17">
        <v>0.02</v>
      </c>
      <c r="M178" s="17">
        <v>0.02</v>
      </c>
      <c r="N178" s="17">
        <v>0.02</v>
      </c>
      <c r="O178" s="17">
        <v>0.02</v>
      </c>
      <c r="P178" s="17">
        <v>0.02</v>
      </c>
    </row>
    <row r="179" spans="1:16" ht="15.75" customHeight="1">
      <c r="A179" s="61" t="s">
        <v>103</v>
      </c>
      <c r="B179" s="67">
        <f t="shared" si="65"/>
        <v>0</v>
      </c>
      <c r="C179" s="67">
        <f t="shared" si="65"/>
        <v>7.2115737680840128E-3</v>
      </c>
      <c r="D179" s="67">
        <f t="shared" si="65"/>
        <v>5.1560342516044477E-3</v>
      </c>
      <c r="E179" s="67">
        <f t="shared" si="65"/>
        <v>4.9692977105445079E-3</v>
      </c>
      <c r="F179" s="67">
        <f t="shared" si="65"/>
        <v>6.9680148030663493E-3</v>
      </c>
      <c r="G179" s="67">
        <f t="shared" si="65"/>
        <v>0</v>
      </c>
      <c r="H179" s="67">
        <f t="shared" si="65"/>
        <v>0</v>
      </c>
      <c r="I179" s="67">
        <f t="shared" si="65"/>
        <v>0</v>
      </c>
      <c r="J179" s="67">
        <f t="shared" si="65"/>
        <v>0</v>
      </c>
      <c r="K179" s="17">
        <f t="shared" ref="K179:P179" si="67">J179</f>
        <v>0</v>
      </c>
      <c r="L179" s="17">
        <f t="shared" si="67"/>
        <v>0</v>
      </c>
      <c r="M179" s="17">
        <f t="shared" si="67"/>
        <v>0</v>
      </c>
      <c r="N179" s="17">
        <f t="shared" si="67"/>
        <v>0</v>
      </c>
      <c r="O179" s="17">
        <f t="shared" si="67"/>
        <v>0</v>
      </c>
      <c r="P179" s="17">
        <f t="shared" si="67"/>
        <v>0</v>
      </c>
    </row>
    <row r="180" spans="1:16" ht="15.75" customHeight="1">
      <c r="A180" s="44" t="s">
        <v>92</v>
      </c>
      <c r="B180" s="67">
        <f t="shared" si="65"/>
        <v>1.5330827265318998E-2</v>
      </c>
      <c r="C180" s="67">
        <f t="shared" si="65"/>
        <v>3.3397958434310052E-2</v>
      </c>
      <c r="D180" s="67">
        <f t="shared" si="65"/>
        <v>1.8818585279428236E-2</v>
      </c>
      <c r="E180" s="67">
        <f t="shared" si="65"/>
        <v>6.4389410760034155E-2</v>
      </c>
      <c r="F180" s="67">
        <f t="shared" si="65"/>
        <v>2.281654771345493E-2</v>
      </c>
      <c r="G180" s="67">
        <f t="shared" si="65"/>
        <v>0.13840590007389303</v>
      </c>
      <c r="H180" s="67">
        <f t="shared" si="65"/>
        <v>7.5773974355200627E-2</v>
      </c>
      <c r="I180" s="67">
        <f t="shared" si="65"/>
        <v>2.1978736575235684E-2</v>
      </c>
      <c r="J180" s="67">
        <f t="shared" si="65"/>
        <v>5.1820056930089342E-2</v>
      </c>
      <c r="K180" s="17">
        <v>0.03</v>
      </c>
      <c r="L180" s="17">
        <v>0.03</v>
      </c>
      <c r="M180" s="17">
        <v>0.03</v>
      </c>
      <c r="N180" s="17">
        <v>0.03</v>
      </c>
      <c r="O180" s="17">
        <v>0.03</v>
      </c>
      <c r="P180" s="17">
        <v>0.03</v>
      </c>
    </row>
    <row r="181" spans="1:16" ht="15.75" customHeight="1">
      <c r="A181" s="44"/>
      <c r="B181" s="67"/>
      <c r="C181" s="67"/>
      <c r="D181" s="67"/>
      <c r="E181" s="67"/>
      <c r="F181" s="67"/>
      <c r="G181" s="67"/>
      <c r="H181" s="67"/>
      <c r="I181" s="67"/>
      <c r="J181" s="67"/>
      <c r="K181" s="17"/>
    </row>
    <row r="182" spans="1:16" ht="15.75" customHeight="1">
      <c r="A182" s="44" t="s">
        <v>74</v>
      </c>
      <c r="B182" s="67">
        <f t="shared" ref="B182:J188" si="68">B163/B$171</f>
        <v>0.20083769266493171</v>
      </c>
      <c r="C182" s="67">
        <f t="shared" si="68"/>
        <v>0.19441580377469339</v>
      </c>
      <c r="D182" s="67">
        <f t="shared" si="68"/>
        <v>0.19356742438860586</v>
      </c>
      <c r="E182" s="67">
        <f t="shared" si="68"/>
        <v>0.16452592992790627</v>
      </c>
      <c r="F182" s="67">
        <f t="shared" si="68"/>
        <v>0.14942373777425325</v>
      </c>
      <c r="G182" s="67">
        <f t="shared" si="68"/>
        <v>0.23040271698971182</v>
      </c>
      <c r="H182" s="67">
        <f t="shared" si="68"/>
        <v>0.19272657698760781</v>
      </c>
      <c r="I182" s="67">
        <f t="shared" si="68"/>
        <v>0.19227024091735573</v>
      </c>
      <c r="J182" s="67">
        <f t="shared" si="68"/>
        <v>0.18294183910411946</v>
      </c>
      <c r="K182" s="17"/>
    </row>
    <row r="183" spans="1:16" ht="15.75" customHeight="1">
      <c r="A183" s="44" t="s">
        <v>75</v>
      </c>
      <c r="B183" s="67">
        <f t="shared" si="68"/>
        <v>0</v>
      </c>
      <c r="C183" s="67">
        <f t="shared" si="68"/>
        <v>1.1802893442021003E-2</v>
      </c>
      <c r="D183" s="67">
        <f t="shared" si="68"/>
        <v>1.0701746912017883E-2</v>
      </c>
      <c r="E183" s="67">
        <f t="shared" si="68"/>
        <v>7.818191324352115E-3</v>
      </c>
      <c r="F183" s="67">
        <f t="shared" si="68"/>
        <v>9.2016917790113673E-3</v>
      </c>
      <c r="G183" s="67">
        <f t="shared" si="68"/>
        <v>1.2145455578923435E-2</v>
      </c>
      <c r="H183" s="67">
        <f t="shared" si="68"/>
        <v>1.2581257967299824E-2</v>
      </c>
      <c r="I183" s="67">
        <f t="shared" si="68"/>
        <v>9.7829657824219096E-3</v>
      </c>
      <c r="J183" s="67">
        <f t="shared" si="68"/>
        <v>8.4802993411730865E-3</v>
      </c>
      <c r="K183" s="17">
        <v>0.01</v>
      </c>
      <c r="L183" s="17">
        <v>0.01</v>
      </c>
      <c r="M183" s="17">
        <v>0.01</v>
      </c>
      <c r="N183" s="17">
        <v>0.01</v>
      </c>
      <c r="O183" s="17">
        <v>0.01</v>
      </c>
      <c r="P183" s="17">
        <v>0.01</v>
      </c>
    </row>
    <row r="184" spans="1:16" ht="15.75" customHeight="1">
      <c r="A184" s="44" t="s">
        <v>127</v>
      </c>
      <c r="B184" s="67">
        <f t="shared" si="68"/>
        <v>1.5895130692323196E-3</v>
      </c>
      <c r="C184" s="67">
        <f t="shared" si="68"/>
        <v>7.1028860982595282E-3</v>
      </c>
      <c r="D184" s="67">
        <f t="shared" si="68"/>
        <v>1.3883076429593506E-3</v>
      </c>
      <c r="E184" s="67">
        <f t="shared" si="68"/>
        <v>1.7381504266950163E-3</v>
      </c>
      <c r="F184" s="67">
        <f t="shared" si="68"/>
        <v>1.5411049431667987E-3</v>
      </c>
      <c r="G184" s="67">
        <f t="shared" si="68"/>
        <v>7.051099869266185E-3</v>
      </c>
      <c r="H184" s="67">
        <f t="shared" si="68"/>
        <v>4.4141388297041315E-3</v>
      </c>
      <c r="I184" s="67">
        <f t="shared" si="68"/>
        <v>1.0325150177476714E-2</v>
      </c>
      <c r="J184" s="67">
        <f t="shared" si="68"/>
        <v>3.5880900786842073E-4</v>
      </c>
      <c r="K184" s="17">
        <v>1E-3</v>
      </c>
      <c r="L184" s="17">
        <v>1E-3</v>
      </c>
      <c r="M184" s="17">
        <v>1E-3</v>
      </c>
      <c r="N184" s="17">
        <v>1E-3</v>
      </c>
      <c r="O184" s="17">
        <v>1E-3</v>
      </c>
      <c r="P184" s="17">
        <v>1E-3</v>
      </c>
    </row>
    <row r="185" spans="1:16" ht="15.75" customHeight="1">
      <c r="A185" s="44" t="s">
        <v>78</v>
      </c>
      <c r="B185" s="67">
        <f t="shared" si="68"/>
        <v>0.12490207933545386</v>
      </c>
      <c r="C185" s="67">
        <f t="shared" si="68"/>
        <v>0.12292281706690167</v>
      </c>
      <c r="D185" s="67">
        <f t="shared" si="68"/>
        <v>0.13155467902277176</v>
      </c>
      <c r="E185" s="67">
        <f t="shared" si="68"/>
        <v>0.11197708801710266</v>
      </c>
      <c r="F185" s="67">
        <f t="shared" si="68"/>
        <v>9.9111816019032517E-2</v>
      </c>
      <c r="G185" s="67">
        <f t="shared" si="68"/>
        <v>0.14449070653100665</v>
      </c>
      <c r="H185" s="67">
        <f t="shared" si="68"/>
        <v>0.11055385611650881</v>
      </c>
      <c r="I185" s="67">
        <f t="shared" si="68"/>
        <v>0.11549287686249207</v>
      </c>
      <c r="J185" s="67">
        <f t="shared" si="68"/>
        <v>0.11975620725485027</v>
      </c>
      <c r="K185" s="17">
        <v>0.12</v>
      </c>
      <c r="L185" s="17">
        <v>0.12</v>
      </c>
      <c r="M185" s="17">
        <v>0.12</v>
      </c>
      <c r="N185" s="17">
        <v>0.12</v>
      </c>
      <c r="O185" s="17">
        <v>0.12</v>
      </c>
      <c r="P185" s="17">
        <v>0.12</v>
      </c>
    </row>
    <row r="186" spans="1:16" ht="15.75" customHeight="1">
      <c r="A186" s="44" t="s">
        <v>79</v>
      </c>
      <c r="B186" s="67">
        <f t="shared" si="68"/>
        <v>4.2196577377040564E-2</v>
      </c>
      <c r="C186" s="67">
        <f t="shared" si="68"/>
        <v>2.6845854446647572E-2</v>
      </c>
      <c r="D186" s="67">
        <f t="shared" si="68"/>
        <v>2.6182379519204504E-2</v>
      </c>
      <c r="E186" s="67">
        <f t="shared" si="68"/>
        <v>1.8972097805817458E-2</v>
      </c>
      <c r="F186" s="67">
        <f t="shared" si="68"/>
        <v>1.8624107850911974E-2</v>
      </c>
      <c r="G186" s="67">
        <f t="shared" si="68"/>
        <v>3.8084749616324673E-2</v>
      </c>
      <c r="H186" s="67">
        <f t="shared" si="68"/>
        <v>3.2476016021772948E-2</v>
      </c>
      <c r="I186" s="67">
        <f t="shared" si="68"/>
        <v>2.8183454255091847E-2</v>
      </c>
      <c r="J186" s="67">
        <f t="shared" si="68"/>
        <v>2.9423043574499042E-2</v>
      </c>
      <c r="K186" s="17">
        <v>0.03</v>
      </c>
      <c r="L186" s="17">
        <v>0.03</v>
      </c>
      <c r="M186" s="17">
        <v>0.03</v>
      </c>
      <c r="N186" s="17">
        <v>0.03</v>
      </c>
      <c r="O186" s="17">
        <v>0.03</v>
      </c>
      <c r="P186" s="17">
        <v>0.03</v>
      </c>
    </row>
    <row r="187" spans="1:16" ht="15.75" customHeight="1">
      <c r="A187" s="44" t="s">
        <v>80</v>
      </c>
      <c r="B187" s="67">
        <f t="shared" si="68"/>
        <v>3.214952288320496E-2</v>
      </c>
      <c r="C187" s="67">
        <f t="shared" si="68"/>
        <v>6.6064478225747224E-3</v>
      </c>
      <c r="D187" s="67">
        <f t="shared" si="68"/>
        <v>7.0279941961723805E-3</v>
      </c>
      <c r="E187" s="67">
        <f t="shared" si="68"/>
        <v>7.2663053265712776E-3</v>
      </c>
      <c r="F187" s="67">
        <f t="shared" si="68"/>
        <v>8.9968279143536872E-3</v>
      </c>
      <c r="G187" s="67">
        <f t="shared" si="68"/>
        <v>1.0555334508042972E-2</v>
      </c>
      <c r="H187" s="67">
        <f t="shared" si="68"/>
        <v>9.750956075978888E-3</v>
      </c>
      <c r="I187" s="67">
        <f t="shared" si="68"/>
        <v>9.1461947016254555E-3</v>
      </c>
      <c r="J187" s="67">
        <f t="shared" si="68"/>
        <v>9.2479673363964864E-3</v>
      </c>
      <c r="K187" s="17">
        <v>0.01</v>
      </c>
      <c r="L187" s="17">
        <v>0.01</v>
      </c>
      <c r="M187" s="17">
        <v>0.01</v>
      </c>
      <c r="N187" s="17">
        <v>0.01</v>
      </c>
      <c r="O187" s="17">
        <v>0.01</v>
      </c>
      <c r="P187" s="17">
        <v>0.01</v>
      </c>
    </row>
    <row r="188" spans="1:16" ht="15.75" customHeight="1">
      <c r="A188" s="44" t="s">
        <v>81</v>
      </c>
      <c r="B188" s="67">
        <f t="shared" si="68"/>
        <v>0</v>
      </c>
      <c r="C188" s="67">
        <f t="shared" si="68"/>
        <v>1.9134904898288903E-2</v>
      </c>
      <c r="D188" s="67">
        <f t="shared" si="68"/>
        <v>1.6712317095479982E-2</v>
      </c>
      <c r="E188" s="67">
        <f t="shared" si="68"/>
        <v>1.6754097027367736E-2</v>
      </c>
      <c r="F188" s="67">
        <f t="shared" si="68"/>
        <v>1.1948189267776896E-2</v>
      </c>
      <c r="G188" s="67">
        <f t="shared" si="68"/>
        <v>1.8075370886147898E-2</v>
      </c>
      <c r="H188" s="67">
        <f t="shared" si="68"/>
        <v>2.2950351976343205E-2</v>
      </c>
      <c r="I188" s="67">
        <f t="shared" si="68"/>
        <v>1.9339599138247732E-2</v>
      </c>
      <c r="J188" s="67">
        <f t="shared" si="68"/>
        <v>1.5675512589332165E-2</v>
      </c>
      <c r="K188" s="17">
        <v>0.02</v>
      </c>
      <c r="L188" s="17">
        <v>0.02</v>
      </c>
      <c r="M188" s="17">
        <v>0.02</v>
      </c>
      <c r="N188" s="17">
        <v>0.02</v>
      </c>
      <c r="O188" s="17">
        <v>0.02</v>
      </c>
      <c r="P188" s="17">
        <v>0.02</v>
      </c>
    </row>
    <row r="189" spans="1:16" ht="15.75" customHeight="1">
      <c r="A189" s="44"/>
    </row>
    <row r="190" spans="1:16" ht="15.75" customHeight="1">
      <c r="A190" s="44" t="s">
        <v>130</v>
      </c>
      <c r="B190" s="52">
        <f t="shared" ref="B190:P190" si="69">B155-B163</f>
        <v>-41326</v>
      </c>
      <c r="C190" s="52">
        <f t="shared" si="69"/>
        <v>-44623</v>
      </c>
      <c r="D190" s="52">
        <f t="shared" si="69"/>
        <v>-75925</v>
      </c>
      <c r="E190" s="52">
        <f t="shared" si="69"/>
        <v>-19756</v>
      </c>
      <c r="F190" s="52">
        <f t="shared" si="69"/>
        <v>-28938</v>
      </c>
      <c r="G190" s="52">
        <f t="shared" si="69"/>
        <v>-11640</v>
      </c>
      <c r="H190" s="52">
        <f t="shared" si="69"/>
        <v>-32723</v>
      </c>
      <c r="I190" s="52">
        <f t="shared" si="69"/>
        <v>-98460</v>
      </c>
      <c r="J190" s="52">
        <f t="shared" si="69"/>
        <v>-61454</v>
      </c>
      <c r="K190" s="52">
        <f t="shared" si="69"/>
        <v>-121911.15675285543</v>
      </c>
      <c r="L190" s="52">
        <f t="shared" si="69"/>
        <v>-143695.30924851005</v>
      </c>
      <c r="M190" s="52">
        <f t="shared" si="69"/>
        <v>-169442.63802389055</v>
      </c>
      <c r="N190" s="52">
        <f t="shared" si="69"/>
        <v>-199882.81374821335</v>
      </c>
      <c r="O190" s="52">
        <f t="shared" si="69"/>
        <v>-235880.89032259339</v>
      </c>
      <c r="P190" s="52">
        <f t="shared" si="69"/>
        <v>-278462.54782715871</v>
      </c>
    </row>
    <row r="191" spans="1:16" ht="15.75" customHeight="1">
      <c r="A191" s="44" t="s">
        <v>131</v>
      </c>
      <c r="C191" s="52">
        <f t="shared" ref="C191:P191" si="70">C190-B190</f>
        <v>-3297</v>
      </c>
      <c r="D191" s="52">
        <f t="shared" si="70"/>
        <v>-31302</v>
      </c>
      <c r="E191" s="52">
        <f t="shared" si="70"/>
        <v>56169</v>
      </c>
      <c r="F191" s="52">
        <f t="shared" si="70"/>
        <v>-9182</v>
      </c>
      <c r="G191" s="52">
        <f t="shared" si="70"/>
        <v>17298</v>
      </c>
      <c r="H191" s="52">
        <f t="shared" si="70"/>
        <v>-21083</v>
      </c>
      <c r="I191" s="52">
        <f t="shared" si="70"/>
        <v>-65737</v>
      </c>
      <c r="J191" s="52">
        <f t="shared" si="70"/>
        <v>37006</v>
      </c>
      <c r="K191" s="52">
        <f t="shared" si="70"/>
        <v>-60457.15675285543</v>
      </c>
      <c r="L191" s="52">
        <f t="shared" si="70"/>
        <v>-21784.15249565462</v>
      </c>
      <c r="M191" s="52">
        <f t="shared" si="70"/>
        <v>-25747.328775380505</v>
      </c>
      <c r="N191" s="52">
        <f t="shared" si="70"/>
        <v>-30440.175724322791</v>
      </c>
      <c r="O191" s="52">
        <f t="shared" si="70"/>
        <v>-35998.076574380044</v>
      </c>
      <c r="P191" s="52">
        <f t="shared" si="70"/>
        <v>-42581.657504565315</v>
      </c>
    </row>
    <row r="192" spans="1:16" ht="15.75" customHeight="1">
      <c r="A192" s="55"/>
    </row>
    <row r="193" spans="1:16" ht="15.75" customHeight="1">
      <c r="A193" s="55" t="s">
        <v>132</v>
      </c>
    </row>
    <row r="194" spans="1:16" ht="15.75" customHeight="1">
      <c r="A194" s="44" t="s">
        <v>133</v>
      </c>
      <c r="B194" s="52">
        <f t="shared" ref="B194:P194" si="71">SUM(B69,B71,B73)</f>
        <v>136385</v>
      </c>
      <c r="C194" s="52">
        <f t="shared" si="71"/>
        <v>141900</v>
      </c>
      <c r="D194" s="52">
        <f t="shared" si="71"/>
        <v>152092</v>
      </c>
      <c r="E194" s="52">
        <f t="shared" si="71"/>
        <v>165931</v>
      </c>
      <c r="F194" s="52">
        <f t="shared" si="71"/>
        <v>167529</v>
      </c>
      <c r="G194" s="52">
        <f t="shared" si="71"/>
        <v>159638</v>
      </c>
      <c r="H194" s="52">
        <f t="shared" si="71"/>
        <v>160435</v>
      </c>
      <c r="I194" s="52">
        <f t="shared" si="71"/>
        <v>314476</v>
      </c>
      <c r="J194" s="52">
        <f t="shared" si="71"/>
        <v>349154</v>
      </c>
      <c r="K194" s="52">
        <f t="shared" si="71"/>
        <v>403154.6</v>
      </c>
      <c r="L194" s="52">
        <f t="shared" si="71"/>
        <v>444080.81</v>
      </c>
      <c r="M194" s="52">
        <f t="shared" si="71"/>
        <v>485941.87849999999</v>
      </c>
      <c r="N194" s="52">
        <f t="shared" si="71"/>
        <v>527662.71822499996</v>
      </c>
      <c r="O194" s="52">
        <f t="shared" si="71"/>
        <v>569404.59226625005</v>
      </c>
      <c r="P194" s="52">
        <f t="shared" si="71"/>
        <v>611143.31116006244</v>
      </c>
    </row>
    <row r="195" spans="1:16" ht="15.75" customHeight="1">
      <c r="A195" s="44" t="s">
        <v>134</v>
      </c>
      <c r="B195" s="52">
        <f t="shared" ref="B195:P195" si="72">SUM(B70,B72)</f>
        <v>3508</v>
      </c>
      <c r="C195" s="52">
        <f t="shared" si="72"/>
        <v>3730</v>
      </c>
      <c r="D195" s="52">
        <f t="shared" si="72"/>
        <v>3117</v>
      </c>
      <c r="E195" s="52">
        <f t="shared" si="72"/>
        <v>4511</v>
      </c>
      <c r="F195" s="52">
        <f t="shared" si="72"/>
        <v>4067</v>
      </c>
      <c r="G195" s="52">
        <f t="shared" si="72"/>
        <v>5217</v>
      </c>
      <c r="H195" s="52">
        <f t="shared" si="72"/>
        <v>6402</v>
      </c>
      <c r="I195" s="52">
        <f t="shared" si="72"/>
        <v>6368</v>
      </c>
      <c r="J195" s="52">
        <f t="shared" si="72"/>
        <v>6842</v>
      </c>
      <c r="K195" s="47">
        <f t="shared" si="72"/>
        <v>0</v>
      </c>
      <c r="L195" s="47">
        <f t="shared" si="72"/>
        <v>0</v>
      </c>
      <c r="M195" s="47">
        <f t="shared" si="72"/>
        <v>0</v>
      </c>
      <c r="N195" s="47">
        <f t="shared" si="72"/>
        <v>0</v>
      </c>
      <c r="O195" s="47">
        <f t="shared" si="72"/>
        <v>0</v>
      </c>
      <c r="P195" s="47">
        <f t="shared" si="72"/>
        <v>0</v>
      </c>
    </row>
    <row r="196" spans="1:16" ht="15.75" customHeight="1">
      <c r="A196" s="44" t="s">
        <v>82</v>
      </c>
      <c r="B196" s="52">
        <f t="shared" ref="B196:J196" si="73">SUM(B194:B195)</f>
        <v>139893</v>
      </c>
      <c r="C196" s="52">
        <f t="shared" si="73"/>
        <v>145630</v>
      </c>
      <c r="D196" s="52">
        <f t="shared" si="73"/>
        <v>155209</v>
      </c>
      <c r="E196" s="52">
        <f t="shared" si="73"/>
        <v>170442</v>
      </c>
      <c r="F196" s="52">
        <f t="shared" si="73"/>
        <v>171596</v>
      </c>
      <c r="G196" s="52">
        <f t="shared" si="73"/>
        <v>164855</v>
      </c>
      <c r="H196" s="52">
        <f t="shared" si="73"/>
        <v>166837</v>
      </c>
      <c r="I196" s="52">
        <f t="shared" si="73"/>
        <v>320844</v>
      </c>
      <c r="J196" s="52">
        <f t="shared" si="73"/>
        <v>355996</v>
      </c>
      <c r="K196" s="47">
        <f t="shared" ref="K196:P196" si="74">K198*K95/10^6</f>
        <v>408000</v>
      </c>
      <c r="L196" s="47">
        <f t="shared" si="74"/>
        <v>456000</v>
      </c>
      <c r="M196" s="47">
        <f t="shared" si="74"/>
        <v>504000</v>
      </c>
      <c r="N196" s="47">
        <f t="shared" si="74"/>
        <v>552000</v>
      </c>
      <c r="O196" s="47">
        <f t="shared" si="74"/>
        <v>600000</v>
      </c>
      <c r="P196" s="47">
        <f t="shared" si="74"/>
        <v>648000</v>
      </c>
    </row>
    <row r="197" spans="1:16" ht="15.75" customHeight="1">
      <c r="A197" s="44"/>
    </row>
    <row r="198" spans="1:16" ht="15.75" customHeight="1">
      <c r="A198" s="44" t="s">
        <v>135</v>
      </c>
      <c r="B198" s="46">
        <f t="shared" ref="B198:J198" si="75">(B196/B95)*10^6</f>
        <v>93262</v>
      </c>
      <c r="C198" s="46">
        <f t="shared" si="75"/>
        <v>93954.838709677409</v>
      </c>
      <c r="D198" s="46">
        <f t="shared" si="75"/>
        <v>99492.948717948719</v>
      </c>
      <c r="E198" s="46">
        <f t="shared" si="75"/>
        <v>107874.6835443038</v>
      </c>
      <c r="F198" s="46">
        <f t="shared" si="75"/>
        <v>85798</v>
      </c>
      <c r="G198" s="46">
        <f t="shared" si="75"/>
        <v>73268.888888888891</v>
      </c>
      <c r="H198" s="46">
        <f t="shared" si="75"/>
        <v>74149.777777777766</v>
      </c>
      <c r="I198" s="46">
        <f t="shared" si="75"/>
        <v>142597.33333333331</v>
      </c>
      <c r="J198" s="46">
        <f t="shared" si="75"/>
        <v>158220.44444444444</v>
      </c>
      <c r="K198" s="46">
        <v>160000</v>
      </c>
      <c r="L198" s="46">
        <v>160000</v>
      </c>
      <c r="M198" s="46">
        <v>160000</v>
      </c>
      <c r="N198" s="46">
        <v>160000</v>
      </c>
      <c r="O198" s="46">
        <v>160000</v>
      </c>
      <c r="P198" s="46">
        <v>160000</v>
      </c>
    </row>
    <row r="199" spans="1:16" ht="15.75" customHeight="1">
      <c r="A199" s="44"/>
    </row>
    <row r="200" spans="1:16" ht="15.75" customHeight="1">
      <c r="A200" s="44" t="s">
        <v>136</v>
      </c>
      <c r="K200" s="47">
        <f t="shared" ref="K200:P200" si="76">(K198*K96)/10^6</f>
        <v>48000</v>
      </c>
      <c r="L200" s="47">
        <f t="shared" si="76"/>
        <v>48000</v>
      </c>
      <c r="M200" s="47">
        <f t="shared" si="76"/>
        <v>48000</v>
      </c>
      <c r="N200" s="47">
        <f t="shared" si="76"/>
        <v>48000</v>
      </c>
      <c r="O200" s="47">
        <f t="shared" si="76"/>
        <v>48000</v>
      </c>
      <c r="P200" s="47">
        <f t="shared" si="76"/>
        <v>48000</v>
      </c>
    </row>
    <row r="201" spans="1:16" ht="15.75" customHeight="1">
      <c r="A201" s="44" t="s">
        <v>137</v>
      </c>
      <c r="K201" s="52">
        <f t="shared" ref="K201:P201" si="77">J204</f>
        <v>52558</v>
      </c>
      <c r="L201" s="46">
        <f t="shared" si="77"/>
        <v>53399.4</v>
      </c>
      <c r="M201" s="46">
        <f t="shared" si="77"/>
        <v>60473.189999999995</v>
      </c>
      <c r="N201" s="46">
        <f t="shared" si="77"/>
        <v>66612.121499999994</v>
      </c>
      <c r="O201" s="46">
        <f t="shared" si="77"/>
        <v>72891.281774999996</v>
      </c>
      <c r="P201" s="46">
        <f t="shared" si="77"/>
        <v>79149.407733749991</v>
      </c>
    </row>
    <row r="202" spans="1:16" ht="15.75" customHeight="1">
      <c r="A202" s="44" t="s">
        <v>138</v>
      </c>
      <c r="K202" s="47">
        <f t="shared" ref="K202:P202" si="78">SUM(K200:K201)</f>
        <v>100558</v>
      </c>
      <c r="L202" s="46">
        <f t="shared" si="78"/>
        <v>101399.4</v>
      </c>
      <c r="M202" s="46">
        <f t="shared" si="78"/>
        <v>108473.19</v>
      </c>
      <c r="N202" s="46">
        <f t="shared" si="78"/>
        <v>114612.12149999999</v>
      </c>
      <c r="O202" s="46">
        <f t="shared" si="78"/>
        <v>120891.281775</v>
      </c>
      <c r="P202" s="46">
        <f t="shared" si="78"/>
        <v>127149.40773374999</v>
      </c>
    </row>
    <row r="203" spans="1:16" ht="15.75" customHeight="1">
      <c r="A203" s="44"/>
    </row>
    <row r="204" spans="1:16" ht="15.75" customHeight="1">
      <c r="A204" s="44" t="s">
        <v>139</v>
      </c>
      <c r="B204" s="52">
        <f t="shared" ref="B204:J204" si="79">B20</f>
        <v>28670</v>
      </c>
      <c r="C204" s="52">
        <f t="shared" si="79"/>
        <v>26039</v>
      </c>
      <c r="D204" s="52">
        <f t="shared" si="79"/>
        <v>27598</v>
      </c>
      <c r="E204" s="52">
        <f t="shared" si="79"/>
        <v>30208</v>
      </c>
      <c r="F204" s="52">
        <f t="shared" si="79"/>
        <v>35284</v>
      </c>
      <c r="G204" s="52">
        <f t="shared" si="79"/>
        <v>30341</v>
      </c>
      <c r="H204" s="52">
        <f t="shared" si="79"/>
        <v>27890</v>
      </c>
      <c r="I204" s="52">
        <f t="shared" si="79"/>
        <v>48460</v>
      </c>
      <c r="J204" s="52">
        <f t="shared" si="79"/>
        <v>52558</v>
      </c>
      <c r="K204" s="46">
        <f t="shared" ref="K204:P204" si="80">SUM(J69:J73)*K205</f>
        <v>53399.4</v>
      </c>
      <c r="L204" s="46">
        <f t="shared" si="80"/>
        <v>60473.189999999995</v>
      </c>
      <c r="M204" s="46">
        <f t="shared" si="80"/>
        <v>66612.121499999994</v>
      </c>
      <c r="N204" s="46">
        <f t="shared" si="80"/>
        <v>72891.281774999996</v>
      </c>
      <c r="O204" s="46">
        <f t="shared" si="80"/>
        <v>79149.407733749991</v>
      </c>
      <c r="P204" s="46">
        <f t="shared" si="80"/>
        <v>85410.688839937502</v>
      </c>
    </row>
    <row r="205" spans="1:16" ht="15.75" customHeight="1">
      <c r="A205" s="44" t="s">
        <v>140</v>
      </c>
      <c r="B205" s="17">
        <f t="shared" ref="B205:J205" si="81">B204/B196</f>
        <v>0.20494234879515058</v>
      </c>
      <c r="C205" s="17">
        <f t="shared" si="81"/>
        <v>0.17880244455126004</v>
      </c>
      <c r="D205" s="17">
        <f t="shared" si="81"/>
        <v>0.17781185369405125</v>
      </c>
      <c r="E205" s="17">
        <f t="shared" si="81"/>
        <v>0.1772333110383591</v>
      </c>
      <c r="F205" s="17">
        <f t="shared" si="81"/>
        <v>0.2056225086831861</v>
      </c>
      <c r="G205" s="17">
        <f t="shared" si="81"/>
        <v>0.1840465863941039</v>
      </c>
      <c r="H205" s="17">
        <f t="shared" si="81"/>
        <v>0.16716915312550573</v>
      </c>
      <c r="I205" s="17">
        <f t="shared" si="81"/>
        <v>0.15103913428332771</v>
      </c>
      <c r="J205" s="17">
        <f t="shared" si="81"/>
        <v>0.14763649029764381</v>
      </c>
      <c r="K205" s="17">
        <v>0.15</v>
      </c>
      <c r="L205" s="17">
        <v>0.15</v>
      </c>
      <c r="M205" s="17">
        <v>0.15</v>
      </c>
      <c r="N205" s="17">
        <v>0.15</v>
      </c>
      <c r="O205" s="17">
        <v>0.15</v>
      </c>
      <c r="P205" s="17">
        <v>0.15</v>
      </c>
    </row>
    <row r="206" spans="1:16" ht="15.75" customHeight="1">
      <c r="A206" s="44"/>
    </row>
    <row r="207" spans="1:16" ht="15.75" customHeight="1">
      <c r="A207" s="55" t="s">
        <v>141</v>
      </c>
    </row>
    <row r="208" spans="1:16" ht="15.75" customHeight="1">
      <c r="A208" s="44" t="s">
        <v>142</v>
      </c>
      <c r="B208" s="52">
        <f t="shared" ref="B208:P208" si="82">B36</f>
        <v>46988</v>
      </c>
      <c r="C208" s="52">
        <f t="shared" si="82"/>
        <v>77326</v>
      </c>
      <c r="D208" s="52">
        <f t="shared" si="82"/>
        <v>82118</v>
      </c>
      <c r="E208" s="52">
        <f t="shared" si="82"/>
        <v>74103</v>
      </c>
      <c r="F208" s="52">
        <f t="shared" si="82"/>
        <v>52359</v>
      </c>
      <c r="G208" s="52">
        <f t="shared" si="82"/>
        <v>49027</v>
      </c>
      <c r="H208" s="52">
        <f t="shared" si="82"/>
        <v>41924</v>
      </c>
      <c r="I208" s="52">
        <f t="shared" si="82"/>
        <v>83223</v>
      </c>
      <c r="J208" s="52">
        <f t="shared" si="82"/>
        <v>137551</v>
      </c>
      <c r="K208" s="52">
        <f t="shared" si="82"/>
        <v>156191.32308700786</v>
      </c>
      <c r="L208" s="52">
        <f t="shared" si="82"/>
        <v>183389.48663066543</v>
      </c>
      <c r="M208" s="52">
        <f t="shared" si="82"/>
        <v>217202.1351437651</v>
      </c>
      <c r="N208" s="52">
        <f t="shared" si="82"/>
        <v>257911.67374394677</v>
      </c>
      <c r="O208" s="52">
        <f t="shared" si="82"/>
        <v>306929.77174163488</v>
      </c>
      <c r="P208" s="52">
        <f t="shared" si="82"/>
        <v>365768.67472295422</v>
      </c>
    </row>
    <row r="209" spans="1:16" ht="15.75" customHeight="1">
      <c r="A209" s="44" t="s">
        <v>143</v>
      </c>
      <c r="B209" s="52">
        <f t="shared" ref="B209:P209" si="83">B20</f>
        <v>28670</v>
      </c>
      <c r="C209" s="52">
        <f t="shared" si="83"/>
        <v>26039</v>
      </c>
      <c r="D209" s="52">
        <f t="shared" si="83"/>
        <v>27598</v>
      </c>
      <c r="E209" s="52">
        <f t="shared" si="83"/>
        <v>30208</v>
      </c>
      <c r="F209" s="52">
        <f t="shared" si="83"/>
        <v>35284</v>
      </c>
      <c r="G209" s="52">
        <f t="shared" si="83"/>
        <v>30341</v>
      </c>
      <c r="H209" s="52">
        <f t="shared" si="83"/>
        <v>27890</v>
      </c>
      <c r="I209" s="52">
        <f t="shared" si="83"/>
        <v>48460</v>
      </c>
      <c r="J209" s="52">
        <f t="shared" si="83"/>
        <v>52558</v>
      </c>
      <c r="K209" s="46">
        <f t="shared" si="83"/>
        <v>53399.4</v>
      </c>
      <c r="L209" s="46">
        <f t="shared" si="83"/>
        <v>60473.189999999995</v>
      </c>
      <c r="M209" s="46">
        <f t="shared" si="83"/>
        <v>66612.121499999994</v>
      </c>
      <c r="N209" s="46">
        <f t="shared" si="83"/>
        <v>72891.281774999996</v>
      </c>
      <c r="O209" s="46">
        <f t="shared" si="83"/>
        <v>79149.407733749991</v>
      </c>
      <c r="P209" s="46">
        <f t="shared" si="83"/>
        <v>85410.688839937502</v>
      </c>
    </row>
    <row r="210" spans="1:16" ht="15.75" customHeight="1">
      <c r="A210" s="44" t="s">
        <v>144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0</v>
      </c>
      <c r="N210" s="47">
        <v>0</v>
      </c>
      <c r="O210" s="47">
        <v>0</v>
      </c>
      <c r="P210" s="47">
        <v>0</v>
      </c>
    </row>
    <row r="211" spans="1:16" ht="15.75" customHeight="1">
      <c r="A211" s="44" t="s">
        <v>145</v>
      </c>
      <c r="B211" s="47">
        <f t="shared" ref="B211:P211" si="84">B191</f>
        <v>0</v>
      </c>
      <c r="C211" s="52">
        <f t="shared" si="84"/>
        <v>-3297</v>
      </c>
      <c r="D211" s="52">
        <f t="shared" si="84"/>
        <v>-31302</v>
      </c>
      <c r="E211" s="52">
        <f t="shared" si="84"/>
        <v>56169</v>
      </c>
      <c r="F211" s="52">
        <f t="shared" si="84"/>
        <v>-9182</v>
      </c>
      <c r="G211" s="52">
        <f t="shared" si="84"/>
        <v>17298</v>
      </c>
      <c r="H211" s="52">
        <f t="shared" si="84"/>
        <v>-21083</v>
      </c>
      <c r="I211" s="52">
        <f t="shared" si="84"/>
        <v>-65737</v>
      </c>
      <c r="J211" s="52">
        <f t="shared" si="84"/>
        <v>37006</v>
      </c>
      <c r="K211" s="52">
        <f t="shared" si="84"/>
        <v>-60457.15675285543</v>
      </c>
      <c r="L211" s="52">
        <f t="shared" si="84"/>
        <v>-21784.15249565462</v>
      </c>
      <c r="M211" s="52">
        <f t="shared" si="84"/>
        <v>-25747.328775380505</v>
      </c>
      <c r="N211" s="52">
        <f t="shared" si="84"/>
        <v>-30440.175724322791</v>
      </c>
      <c r="O211" s="52">
        <f t="shared" si="84"/>
        <v>-35998.076574380044</v>
      </c>
      <c r="P211" s="52">
        <f t="shared" si="84"/>
        <v>-42581.657504565315</v>
      </c>
    </row>
    <row r="212" spans="1:16" ht="15.75" customHeight="1">
      <c r="A212" s="44" t="s">
        <v>146</v>
      </c>
      <c r="B212" s="47">
        <f t="shared" ref="B212:P212" si="85">B202</f>
        <v>0</v>
      </c>
      <c r="C212" s="47">
        <f t="shared" si="85"/>
        <v>0</v>
      </c>
      <c r="D212" s="47">
        <f t="shared" si="85"/>
        <v>0</v>
      </c>
      <c r="E212" s="47">
        <f t="shared" si="85"/>
        <v>0</v>
      </c>
      <c r="F212" s="47">
        <f t="shared" si="85"/>
        <v>0</v>
      </c>
      <c r="G212" s="47">
        <f t="shared" si="85"/>
        <v>0</v>
      </c>
      <c r="H212" s="47">
        <f t="shared" si="85"/>
        <v>0</v>
      </c>
      <c r="I212" s="47">
        <f t="shared" si="85"/>
        <v>0</v>
      </c>
      <c r="J212" s="47">
        <f t="shared" si="85"/>
        <v>0</v>
      </c>
      <c r="K212" s="47">
        <f t="shared" si="85"/>
        <v>100558</v>
      </c>
      <c r="L212" s="46">
        <f t="shared" si="85"/>
        <v>101399.4</v>
      </c>
      <c r="M212" s="46">
        <f t="shared" si="85"/>
        <v>108473.19</v>
      </c>
      <c r="N212" s="46">
        <f t="shared" si="85"/>
        <v>114612.12149999999</v>
      </c>
      <c r="O212" s="46">
        <f t="shared" si="85"/>
        <v>120891.281775</v>
      </c>
      <c r="P212" s="46">
        <f t="shared" si="85"/>
        <v>127149.40773374999</v>
      </c>
    </row>
    <row r="213" spans="1:16" ht="15.75" customHeight="1">
      <c r="A213" s="44"/>
    </row>
    <row r="214" spans="1:16" ht="15.75" customHeight="1">
      <c r="A214" s="44" t="s">
        <v>147</v>
      </c>
      <c r="K214" s="52">
        <f t="shared" ref="K214:P214" si="86">J216</f>
        <v>28274</v>
      </c>
      <c r="L214" s="52">
        <f t="shared" si="86"/>
        <v>197763.87983986328</v>
      </c>
      <c r="M214" s="52">
        <f t="shared" si="86"/>
        <v>362011.30896618334</v>
      </c>
      <c r="N214" s="52">
        <f t="shared" si="86"/>
        <v>563099.70438532892</v>
      </c>
      <c r="O214" s="52">
        <f t="shared" si="86"/>
        <v>809730.71412859845</v>
      </c>
      <c r="P214" s="52">
        <f t="shared" si="86"/>
        <v>1110916.6884033633</v>
      </c>
    </row>
    <row r="215" spans="1:16" ht="15.75" customHeight="1">
      <c r="A215" s="55" t="s">
        <v>148</v>
      </c>
      <c r="K215" s="52">
        <f t="shared" ref="K215:P215" si="87">SUM(K208:K210)-SUM(K211:K212)</f>
        <v>169489.87983986328</v>
      </c>
      <c r="L215" s="52">
        <f t="shared" si="87"/>
        <v>164247.42912632006</v>
      </c>
      <c r="M215" s="52">
        <f t="shared" si="87"/>
        <v>201088.39541914559</v>
      </c>
      <c r="N215" s="52">
        <f t="shared" si="87"/>
        <v>246631.00974326953</v>
      </c>
      <c r="O215" s="52">
        <f t="shared" si="87"/>
        <v>301185.97427476494</v>
      </c>
      <c r="P215" s="52">
        <f t="shared" si="87"/>
        <v>366611.61333370704</v>
      </c>
    </row>
    <row r="216" spans="1:16" ht="15.75" customHeight="1">
      <c r="A216" s="70" t="s">
        <v>149</v>
      </c>
      <c r="B216" s="47">
        <f t="shared" ref="B216:J216" si="88">B85</f>
        <v>768</v>
      </c>
      <c r="C216" s="47">
        <f t="shared" si="88"/>
        <v>235</v>
      </c>
      <c r="D216" s="47">
        <f t="shared" si="88"/>
        <v>740</v>
      </c>
      <c r="E216" s="47">
        <f t="shared" si="88"/>
        <v>1878</v>
      </c>
      <c r="F216" s="47">
        <f t="shared" si="88"/>
        <v>290</v>
      </c>
      <c r="G216" s="47">
        <f t="shared" si="88"/>
        <v>30471</v>
      </c>
      <c r="H216" s="47">
        <f t="shared" si="88"/>
        <v>30422</v>
      </c>
      <c r="I216" s="52">
        <f t="shared" si="88"/>
        <v>27485</v>
      </c>
      <c r="J216" s="52">
        <f t="shared" si="88"/>
        <v>28274</v>
      </c>
      <c r="K216" s="52">
        <f t="shared" ref="K216:P216" si="89">SUM(K214:K215)</f>
        <v>197763.87983986328</v>
      </c>
      <c r="L216" s="52">
        <f t="shared" si="89"/>
        <v>362011.30896618334</v>
      </c>
      <c r="M216" s="52">
        <f t="shared" si="89"/>
        <v>563099.70438532892</v>
      </c>
      <c r="N216" s="52">
        <f t="shared" si="89"/>
        <v>809730.71412859845</v>
      </c>
      <c r="O216" s="52">
        <f t="shared" si="89"/>
        <v>1110916.6884033633</v>
      </c>
      <c r="P216" s="52">
        <f t="shared" si="89"/>
        <v>1477528.3017370703</v>
      </c>
    </row>
    <row r="217" spans="1:16" ht="15.75" customHeight="1">
      <c r="A217" s="44" t="s">
        <v>150</v>
      </c>
    </row>
    <row r="218" spans="1:16" ht="15.75" customHeight="1">
      <c r="A218" s="44"/>
    </row>
    <row r="219" spans="1:16" ht="15.75" customHeight="1">
      <c r="A219" s="71" t="s">
        <v>151</v>
      </c>
    </row>
    <row r="220" spans="1:16" ht="15.75" customHeight="1">
      <c r="A220" s="71" t="s">
        <v>152</v>
      </c>
    </row>
    <row r="221" spans="1:16" ht="15.75" customHeight="1">
      <c r="A221" s="71" t="s">
        <v>153</v>
      </c>
    </row>
    <row r="222" spans="1:16" ht="15.75" customHeight="1">
      <c r="A222" s="71" t="s">
        <v>154</v>
      </c>
    </row>
    <row r="223" spans="1:16" ht="15.75" customHeight="1">
      <c r="A223" s="71" t="s">
        <v>155</v>
      </c>
    </row>
    <row r="224" spans="1:16" ht="15.75" customHeight="1">
      <c r="A224" s="71" t="s">
        <v>156</v>
      </c>
    </row>
    <row r="225" spans="1:1" ht="15.75" customHeight="1">
      <c r="A225" s="71" t="s">
        <v>157</v>
      </c>
    </row>
    <row r="226" spans="1:1" ht="15.75" customHeight="1">
      <c r="A226" s="71" t="s">
        <v>158</v>
      </c>
    </row>
    <row r="227" spans="1:1" ht="15.75" customHeight="1">
      <c r="A227" s="71" t="s">
        <v>159</v>
      </c>
    </row>
    <row r="228" spans="1:1" ht="15.75" customHeight="1">
      <c r="A228" s="71" t="s">
        <v>160</v>
      </c>
    </row>
    <row r="229" spans="1:1" ht="15.75" customHeight="1">
      <c r="A229" s="71" t="s">
        <v>161</v>
      </c>
    </row>
    <row r="230" spans="1:1" ht="15.75" customHeight="1">
      <c r="A230" s="71" t="s">
        <v>162</v>
      </c>
    </row>
    <row r="231" spans="1:1" ht="15.75" customHeight="1">
      <c r="A231" s="44"/>
    </row>
    <row r="232" spans="1:1" ht="15.75" customHeight="1">
      <c r="A232" s="44"/>
    </row>
    <row r="233" spans="1:1" ht="15.75" customHeight="1">
      <c r="A233" s="44"/>
    </row>
    <row r="234" spans="1:1" ht="15.75" customHeight="1">
      <c r="A234" s="44"/>
    </row>
    <row r="235" spans="1:1" ht="15.75" customHeight="1">
      <c r="A235" s="44"/>
    </row>
    <row r="236" spans="1:1" ht="15.75" customHeight="1">
      <c r="A236" s="44"/>
    </row>
    <row r="237" spans="1:1" ht="15.75" customHeight="1">
      <c r="A237" s="44"/>
    </row>
    <row r="238" spans="1:1" ht="15.75" customHeight="1">
      <c r="A238" s="44"/>
    </row>
    <row r="239" spans="1:1" ht="15.75" customHeight="1">
      <c r="A239" s="44"/>
    </row>
    <row r="240" spans="1:1" ht="15.75" customHeight="1">
      <c r="A240" s="44"/>
    </row>
    <row r="241" spans="1:1" ht="15.75" customHeight="1">
      <c r="A241" s="44"/>
    </row>
    <row r="242" spans="1:1" ht="15.75" customHeight="1">
      <c r="A242" s="44"/>
    </row>
    <row r="243" spans="1:1" ht="15.75" customHeight="1">
      <c r="A243" s="44"/>
    </row>
    <row r="244" spans="1:1" ht="15.75" customHeight="1">
      <c r="A244" s="44"/>
    </row>
    <row r="245" spans="1:1" ht="15.75" customHeight="1">
      <c r="A245" s="44"/>
    </row>
    <row r="246" spans="1:1" ht="15.75" customHeight="1">
      <c r="A246" s="44"/>
    </row>
    <row r="247" spans="1:1" ht="15.75" customHeight="1">
      <c r="A247" s="44"/>
    </row>
    <row r="248" spans="1:1" ht="15.75" customHeight="1">
      <c r="A248" s="44"/>
    </row>
    <row r="249" spans="1:1" ht="15.75" customHeight="1">
      <c r="A249" s="44"/>
    </row>
    <row r="250" spans="1:1" ht="15.75" customHeight="1">
      <c r="A250" s="44"/>
    </row>
    <row r="251" spans="1:1" ht="15.75" customHeight="1">
      <c r="A251" s="44"/>
    </row>
    <row r="252" spans="1:1" ht="15.75" customHeight="1">
      <c r="A252" s="44"/>
    </row>
    <row r="253" spans="1:1" ht="15.75" customHeight="1">
      <c r="A253" s="44"/>
    </row>
    <row r="254" spans="1:1" ht="15.75" customHeight="1">
      <c r="A254" s="44"/>
    </row>
    <row r="255" spans="1:1" ht="15.75" customHeight="1">
      <c r="A255" s="44"/>
    </row>
    <row r="256" spans="1:1" ht="15.75" customHeight="1">
      <c r="A256" s="44"/>
    </row>
    <row r="257" spans="1:1" ht="15.75" customHeight="1">
      <c r="A257" s="44"/>
    </row>
    <row r="258" spans="1:1" ht="15.75" customHeight="1">
      <c r="A258" s="44"/>
    </row>
    <row r="259" spans="1:1" ht="15.75" customHeight="1">
      <c r="A259" s="44"/>
    </row>
    <row r="260" spans="1:1" ht="15.75" customHeight="1">
      <c r="A260" s="44"/>
    </row>
    <row r="261" spans="1:1" ht="15.75" customHeight="1">
      <c r="A261" s="44"/>
    </row>
    <row r="262" spans="1:1" ht="15.75" customHeight="1">
      <c r="A262" s="44"/>
    </row>
    <row r="263" spans="1:1" ht="15.75" customHeight="1">
      <c r="A263" s="44"/>
    </row>
    <row r="264" spans="1:1" ht="15.75" customHeight="1">
      <c r="A264" s="44"/>
    </row>
    <row r="265" spans="1:1" ht="15.75" customHeight="1">
      <c r="A265" s="44"/>
    </row>
    <row r="266" spans="1:1" ht="15.75" customHeight="1">
      <c r="A266" s="44"/>
    </row>
    <row r="267" spans="1:1" ht="15.75" customHeight="1">
      <c r="A267" s="44"/>
    </row>
    <row r="268" spans="1:1" ht="15.75" customHeight="1">
      <c r="A268" s="44"/>
    </row>
    <row r="269" spans="1:1" ht="15.75" customHeight="1">
      <c r="A269" s="44"/>
    </row>
    <row r="270" spans="1:1" ht="15.75" customHeight="1">
      <c r="A270" s="44"/>
    </row>
    <row r="271" spans="1:1" ht="15.75" customHeight="1">
      <c r="A271" s="44"/>
    </row>
    <row r="272" spans="1:1" ht="15.75" customHeight="1">
      <c r="A272" s="44"/>
    </row>
    <row r="273" spans="1:1" ht="15.75" customHeight="1">
      <c r="A273" s="44"/>
    </row>
    <row r="274" spans="1:1" ht="15.75" customHeight="1">
      <c r="A274" s="44"/>
    </row>
    <row r="275" spans="1:1" ht="15.75" customHeight="1">
      <c r="A275" s="44"/>
    </row>
    <row r="276" spans="1:1" ht="15.75" customHeight="1">
      <c r="A276" s="44"/>
    </row>
    <row r="277" spans="1:1" ht="15.75" customHeight="1">
      <c r="A277" s="44"/>
    </row>
    <row r="278" spans="1:1" ht="15.75" customHeight="1">
      <c r="A278" s="44"/>
    </row>
    <row r="279" spans="1:1" ht="15.75" customHeight="1">
      <c r="A279" s="44"/>
    </row>
    <row r="280" spans="1:1" ht="15.75" customHeight="1">
      <c r="A280" s="44"/>
    </row>
    <row r="281" spans="1:1" ht="15.75" customHeight="1">
      <c r="A281" s="44"/>
    </row>
    <row r="282" spans="1:1" ht="15.75" customHeight="1">
      <c r="A282" s="44"/>
    </row>
    <row r="283" spans="1:1" ht="15.75" customHeight="1">
      <c r="A283" s="44"/>
    </row>
    <row r="284" spans="1:1" ht="15.75" customHeight="1">
      <c r="A284" s="44"/>
    </row>
    <row r="285" spans="1:1" ht="15.75" customHeight="1">
      <c r="A285" s="44"/>
    </row>
    <row r="286" spans="1:1" ht="15.75" customHeight="1">
      <c r="A286" s="44"/>
    </row>
    <row r="287" spans="1:1" ht="15.75" customHeight="1">
      <c r="A287" s="44"/>
    </row>
    <row r="288" spans="1:1" ht="15.75" customHeight="1">
      <c r="A288" s="44"/>
    </row>
    <row r="289" spans="1:1" ht="15.75" customHeight="1">
      <c r="A289" s="44"/>
    </row>
    <row r="290" spans="1:1" ht="15.75" customHeight="1">
      <c r="A290" s="44"/>
    </row>
    <row r="291" spans="1:1" ht="15.75" customHeight="1">
      <c r="A291" s="44"/>
    </row>
    <row r="292" spans="1:1" ht="15.75" customHeight="1">
      <c r="A292" s="44"/>
    </row>
    <row r="293" spans="1:1" ht="15.75" customHeight="1">
      <c r="A293" s="44"/>
    </row>
    <row r="294" spans="1:1" ht="15.75" customHeight="1">
      <c r="A294" s="44"/>
    </row>
    <row r="295" spans="1:1" ht="15.75" customHeight="1">
      <c r="A295" s="44"/>
    </row>
    <row r="296" spans="1:1" ht="15.75" customHeight="1">
      <c r="A296" s="44"/>
    </row>
    <row r="297" spans="1:1" ht="15.75" customHeight="1">
      <c r="A297" s="44"/>
    </row>
    <row r="298" spans="1:1" ht="15.75" customHeight="1">
      <c r="A298" s="44"/>
    </row>
    <row r="299" spans="1:1" ht="15.75" customHeight="1">
      <c r="A299" s="44"/>
    </row>
    <row r="300" spans="1:1" ht="15.75" customHeight="1">
      <c r="A300" s="44"/>
    </row>
    <row r="301" spans="1:1" ht="15.75" customHeight="1">
      <c r="A301" s="44"/>
    </row>
    <row r="302" spans="1:1" ht="15.75" customHeight="1">
      <c r="A302" s="44"/>
    </row>
    <row r="303" spans="1:1" ht="15.75" customHeight="1">
      <c r="A303" s="44"/>
    </row>
    <row r="304" spans="1:1" ht="15.75" customHeight="1">
      <c r="A304" s="44"/>
    </row>
    <row r="305" spans="1:1" ht="15.75" customHeight="1">
      <c r="A305" s="44"/>
    </row>
    <row r="306" spans="1:1" ht="15.75" customHeight="1">
      <c r="A306" s="44"/>
    </row>
    <row r="307" spans="1:1" ht="15.75" customHeight="1">
      <c r="A307" s="44"/>
    </row>
    <row r="308" spans="1:1" ht="15.75" customHeight="1">
      <c r="A308" s="44"/>
    </row>
    <row r="309" spans="1:1" ht="15.75" customHeight="1">
      <c r="A309" s="44"/>
    </row>
    <row r="310" spans="1:1" ht="15.75" customHeight="1">
      <c r="A310" s="44"/>
    </row>
    <row r="311" spans="1:1" ht="15.75" customHeight="1">
      <c r="A311" s="44"/>
    </row>
    <row r="312" spans="1:1" ht="15.75" customHeight="1">
      <c r="A312" s="44"/>
    </row>
    <row r="313" spans="1:1" ht="15.75" customHeight="1">
      <c r="A313" s="44"/>
    </row>
    <row r="314" spans="1:1" ht="15.75" customHeight="1">
      <c r="A314" s="44"/>
    </row>
    <row r="315" spans="1:1" ht="15.75" customHeight="1">
      <c r="A315" s="44"/>
    </row>
    <row r="316" spans="1:1" ht="15.75" customHeight="1">
      <c r="A316" s="44"/>
    </row>
    <row r="317" spans="1:1" ht="15.75" customHeight="1">
      <c r="A317" s="44"/>
    </row>
    <row r="318" spans="1:1" ht="15.75" customHeight="1">
      <c r="A318" s="44"/>
    </row>
    <row r="319" spans="1:1" ht="15.75" customHeight="1">
      <c r="A319" s="44"/>
    </row>
    <row r="320" spans="1:1" ht="15.75" customHeight="1">
      <c r="A320" s="44"/>
    </row>
    <row r="321" spans="1:1" ht="15.75" customHeight="1">
      <c r="A321" s="44"/>
    </row>
    <row r="322" spans="1:1" ht="15.75" customHeight="1">
      <c r="A322" s="44"/>
    </row>
    <row r="323" spans="1:1" ht="15.75" customHeight="1">
      <c r="A323" s="44"/>
    </row>
    <row r="324" spans="1:1" ht="15.75" customHeight="1">
      <c r="A324" s="44"/>
    </row>
    <row r="325" spans="1:1" ht="15.75" customHeight="1">
      <c r="A325" s="44"/>
    </row>
    <row r="326" spans="1:1" ht="15.75" customHeight="1">
      <c r="A326" s="44"/>
    </row>
    <row r="327" spans="1:1" ht="15.75" customHeight="1">
      <c r="A327" s="44"/>
    </row>
    <row r="328" spans="1:1" ht="15.75" customHeight="1">
      <c r="A328" s="44"/>
    </row>
    <row r="329" spans="1:1" ht="15.75" customHeight="1">
      <c r="A329" s="44"/>
    </row>
    <row r="330" spans="1:1" ht="15.75" customHeight="1">
      <c r="A330" s="44"/>
    </row>
    <row r="331" spans="1:1" ht="15.75" customHeight="1">
      <c r="A331" s="44"/>
    </row>
    <row r="332" spans="1:1" ht="15.75" customHeight="1">
      <c r="A332" s="44"/>
    </row>
    <row r="333" spans="1:1" ht="15.75" customHeight="1">
      <c r="A333" s="44"/>
    </row>
    <row r="334" spans="1:1" ht="15.75" customHeight="1">
      <c r="A334" s="44"/>
    </row>
    <row r="335" spans="1:1" ht="15.75" customHeight="1">
      <c r="A335" s="44"/>
    </row>
    <row r="336" spans="1:1" ht="15.75" customHeight="1">
      <c r="A336" s="44"/>
    </row>
    <row r="337" spans="1:1" ht="15.75" customHeight="1">
      <c r="A337" s="44"/>
    </row>
    <row r="338" spans="1:1" ht="15.75" customHeight="1">
      <c r="A338" s="44"/>
    </row>
    <row r="339" spans="1:1" ht="15.75" customHeight="1">
      <c r="A339" s="44"/>
    </row>
    <row r="340" spans="1:1" ht="15.75" customHeight="1">
      <c r="A340" s="44"/>
    </row>
    <row r="341" spans="1:1" ht="15.75" customHeight="1">
      <c r="A341" s="44"/>
    </row>
    <row r="342" spans="1:1" ht="15.75" customHeight="1">
      <c r="A342" s="44"/>
    </row>
    <row r="343" spans="1:1" ht="15.75" customHeight="1">
      <c r="A343" s="44"/>
    </row>
    <row r="344" spans="1:1" ht="15.75" customHeight="1">
      <c r="A344" s="44"/>
    </row>
    <row r="345" spans="1:1" ht="15.75" customHeight="1">
      <c r="A345" s="44"/>
    </row>
    <row r="346" spans="1:1" ht="15.75" customHeight="1">
      <c r="A346" s="44"/>
    </row>
    <row r="347" spans="1:1" ht="15.75" customHeight="1">
      <c r="A347" s="44"/>
    </row>
    <row r="348" spans="1:1" ht="15.75" customHeight="1">
      <c r="A348" s="44"/>
    </row>
    <row r="349" spans="1:1" ht="15.75" customHeight="1">
      <c r="A349" s="44"/>
    </row>
    <row r="350" spans="1:1" ht="15.75" customHeight="1">
      <c r="A350" s="44"/>
    </row>
    <row r="351" spans="1:1" ht="15.75" customHeight="1">
      <c r="A351" s="44"/>
    </row>
    <row r="352" spans="1:1" ht="15.75" customHeight="1">
      <c r="A352" s="44"/>
    </row>
    <row r="353" spans="1:1" ht="15.75" customHeight="1">
      <c r="A353" s="44"/>
    </row>
    <row r="354" spans="1:1" ht="15.75" customHeight="1">
      <c r="A354" s="44"/>
    </row>
    <row r="355" spans="1:1" ht="15.75" customHeight="1">
      <c r="A355" s="44"/>
    </row>
    <row r="356" spans="1:1" ht="15.75" customHeight="1">
      <c r="A356" s="44"/>
    </row>
    <row r="357" spans="1:1" ht="15.75" customHeight="1">
      <c r="A357" s="44"/>
    </row>
    <row r="358" spans="1:1" ht="15.75" customHeight="1">
      <c r="A358" s="44"/>
    </row>
    <row r="359" spans="1:1" ht="15.75" customHeight="1">
      <c r="A359" s="44"/>
    </row>
    <row r="360" spans="1:1" ht="15.75" customHeight="1">
      <c r="A360" s="44"/>
    </row>
    <row r="361" spans="1:1" ht="15.75" customHeight="1">
      <c r="A361" s="44"/>
    </row>
    <row r="362" spans="1:1" ht="15.75" customHeight="1">
      <c r="A362" s="44"/>
    </row>
    <row r="363" spans="1:1" ht="15.75" customHeight="1">
      <c r="A363" s="44"/>
    </row>
    <row r="364" spans="1:1" ht="15.75" customHeight="1">
      <c r="A364" s="44"/>
    </row>
    <row r="365" spans="1:1" ht="15.75" customHeight="1">
      <c r="A365" s="44"/>
    </row>
    <row r="366" spans="1:1" ht="15.75" customHeight="1">
      <c r="A366" s="44"/>
    </row>
    <row r="367" spans="1:1" ht="15.75" customHeight="1">
      <c r="A367" s="44"/>
    </row>
    <row r="368" spans="1:1" ht="15.75" customHeight="1">
      <c r="A368" s="44"/>
    </row>
    <row r="369" spans="1:1" ht="15.75" customHeight="1">
      <c r="A369" s="44"/>
    </row>
    <row r="370" spans="1:1" ht="15.75" customHeight="1">
      <c r="A370" s="44"/>
    </row>
    <row r="371" spans="1:1" ht="15.75" customHeight="1">
      <c r="A371" s="44"/>
    </row>
    <row r="372" spans="1:1" ht="15.75" customHeight="1">
      <c r="A372" s="44"/>
    </row>
    <row r="373" spans="1:1" ht="15.75" customHeight="1">
      <c r="A373" s="44"/>
    </row>
    <row r="374" spans="1:1" ht="15.75" customHeight="1">
      <c r="A374" s="44"/>
    </row>
    <row r="375" spans="1:1" ht="15.75" customHeight="1">
      <c r="A375" s="44"/>
    </row>
    <row r="376" spans="1:1" ht="15.75" customHeight="1">
      <c r="A376" s="44"/>
    </row>
    <row r="377" spans="1:1" ht="15.75" customHeight="1">
      <c r="A377" s="44"/>
    </row>
    <row r="378" spans="1:1" ht="15.75" customHeight="1">
      <c r="A378" s="44"/>
    </row>
    <row r="379" spans="1:1" ht="15.75" customHeight="1">
      <c r="A379" s="44"/>
    </row>
    <row r="380" spans="1:1" ht="15.75" customHeight="1">
      <c r="A380" s="44"/>
    </row>
    <row r="381" spans="1:1" ht="15.75" customHeight="1">
      <c r="A381" s="44"/>
    </row>
    <row r="382" spans="1:1" ht="15.75" customHeight="1">
      <c r="A382" s="44"/>
    </row>
    <row r="383" spans="1:1" ht="15.75" customHeight="1">
      <c r="A383" s="44"/>
    </row>
    <row r="384" spans="1:1" ht="15.75" customHeight="1">
      <c r="A384" s="44"/>
    </row>
    <row r="385" spans="1:1" ht="15.75" customHeight="1">
      <c r="A385" s="44"/>
    </row>
    <row r="386" spans="1:1" ht="15.75" customHeight="1">
      <c r="A386" s="44"/>
    </row>
    <row r="387" spans="1:1" ht="15.75" customHeight="1">
      <c r="A387" s="44"/>
    </row>
    <row r="388" spans="1:1" ht="15.75" customHeight="1">
      <c r="A388" s="44"/>
    </row>
    <row r="389" spans="1:1" ht="15.75" customHeight="1">
      <c r="A389" s="44"/>
    </row>
    <row r="390" spans="1:1" ht="15.75" customHeight="1">
      <c r="A390" s="44"/>
    </row>
    <row r="391" spans="1:1" ht="15.75" customHeight="1">
      <c r="A391" s="44"/>
    </row>
    <row r="392" spans="1:1" ht="15.75" customHeight="1">
      <c r="A392" s="44"/>
    </row>
    <row r="393" spans="1:1" ht="15.75" customHeight="1">
      <c r="A393" s="44"/>
    </row>
    <row r="394" spans="1:1" ht="15.75" customHeight="1">
      <c r="A394" s="44"/>
    </row>
    <row r="395" spans="1:1" ht="15.75" customHeight="1">
      <c r="A395" s="44"/>
    </row>
    <row r="396" spans="1:1" ht="15.75" customHeight="1">
      <c r="A396" s="44"/>
    </row>
    <row r="397" spans="1:1" ht="15.75" customHeight="1">
      <c r="A397" s="44"/>
    </row>
    <row r="398" spans="1:1" ht="15.75" customHeight="1">
      <c r="A398" s="44"/>
    </row>
    <row r="399" spans="1:1" ht="15.75" customHeight="1">
      <c r="A399" s="44"/>
    </row>
    <row r="400" spans="1:1" ht="15.75" customHeight="1">
      <c r="A400" s="44"/>
    </row>
    <row r="401" spans="1:1" ht="15.75" customHeight="1">
      <c r="A401" s="44"/>
    </row>
    <row r="402" spans="1:1" ht="15.75" customHeight="1">
      <c r="A402" s="44"/>
    </row>
    <row r="403" spans="1:1" ht="15.75" customHeight="1">
      <c r="A403" s="44"/>
    </row>
    <row r="404" spans="1:1" ht="15.75" customHeight="1">
      <c r="A404" s="44"/>
    </row>
    <row r="405" spans="1:1" ht="15.75" customHeight="1">
      <c r="A405" s="44"/>
    </row>
    <row r="406" spans="1:1" ht="15.75" customHeight="1"/>
    <row r="407" spans="1:1" ht="15.75" customHeight="1"/>
    <row r="408" spans="1:1" ht="15.75" customHeight="1"/>
    <row r="409" spans="1:1" ht="15.75" customHeight="1"/>
    <row r="410" spans="1:1" ht="15.75" customHeight="1"/>
    <row r="411" spans="1:1" ht="15.75" customHeight="1"/>
    <row r="412" spans="1:1" ht="15.75" customHeight="1"/>
    <row r="413" spans="1:1" ht="15.75" customHeight="1"/>
    <row r="414" spans="1:1" ht="15.75" customHeight="1"/>
    <row r="415" spans="1:1" ht="15.75" customHeight="1"/>
    <row r="416" spans="1: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  <row r="1001" s="3" customFormat="1" ht="15.75" customHeight="1"/>
    <row r="1002" s="3" customFormat="1" ht="15.75" customHeight="1"/>
    <row r="1003" s="3" customFormat="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VALUATION</vt:lpstr>
      <vt:lpstr>3SM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DHARAN E</dc:creator>
  <cp:lastModifiedBy>BHARANI DHARAN E</cp:lastModifiedBy>
  <dcterms:created xsi:type="dcterms:W3CDTF">2025-08-07T09:04:58Z</dcterms:created>
  <dcterms:modified xsi:type="dcterms:W3CDTF">2025-08-07T09:07:24Z</dcterms:modified>
</cp:coreProperties>
</file>