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0" documentId="13_ncr:1_{47816025-4218-4AF6-9B83-CAF14279B4EB}" xr6:coauthVersionLast="47" xr6:coauthVersionMax="47" xr10:uidLastSave="{00000000-0000-0000-0000-000000000000}"/>
  <bookViews>
    <workbookView xWindow="-108" yWindow="-108" windowWidth="23256" windowHeight="12456" tabRatio="924" firstSheet="2" activeTab="2" xr2:uid="{01B1E72B-5336-4561-ACF1-819786852B9B}"/>
  </bookViews>
  <sheets>
    <sheet name="TAB at Supplier level" sheetId="2" state="hidden" r:id="rId1"/>
    <sheet name="TAB at Part Number level" sheetId="3" state="hidden" r:id="rId2"/>
    <sheet name="Simulator - rules and formula" sheetId="5" r:id="rId3"/>
    <sheet name="Spend &amp; NMI Change calculation" sheetId="8" r:id="rId4"/>
    <sheet name="Simulator - Calculations" sheetId="4" r:id="rId5"/>
    <sheet name="Simulator - masks_1" sheetId="6" r:id="rId6"/>
  </sheets>
  <definedNames>
    <definedName name="_xlnm._FilterDatabase" localSheetId="4" hidden="1">'Simulator - Calculations'!$A$10:$O$16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8" l="1"/>
  <c r="I40" i="8"/>
  <c r="AC45" i="8"/>
  <c r="AB45" i="8"/>
  <c r="AA45" i="8"/>
  <c r="Z45" i="8"/>
  <c r="Y45" i="8"/>
  <c r="X45" i="8"/>
  <c r="W45" i="8"/>
  <c r="V45" i="8"/>
  <c r="AB40" i="8"/>
  <c r="AC40" i="8"/>
  <c r="W40" i="8"/>
  <c r="X40" i="8"/>
  <c r="Y40" i="8"/>
  <c r="Z40" i="8"/>
  <c r="AA40" i="8"/>
  <c r="V40" i="8"/>
  <c r="AB37" i="8"/>
  <c r="AC37" i="8"/>
  <c r="AD37" i="8"/>
  <c r="AD40" i="8" s="1"/>
  <c r="AE37" i="8"/>
  <c r="AE40" i="8" s="1"/>
  <c r="AE45" i="8" s="1"/>
  <c r="AF37" i="8"/>
  <c r="AG37" i="8"/>
  <c r="AA37" i="8"/>
  <c r="AG40" i="8"/>
  <c r="AG45" i="8" s="1"/>
  <c r="AC26" i="8"/>
  <c r="AB26" i="8"/>
  <c r="AA26" i="8"/>
  <c r="AB23" i="8"/>
  <c r="AC23" i="8"/>
  <c r="AD23" i="8"/>
  <c r="AD26" i="8" s="1"/>
  <c r="AE23" i="8"/>
  <c r="AF23" i="8"/>
  <c r="AG23" i="8"/>
  <c r="AG26" i="8" s="1"/>
  <c r="AA23" i="8"/>
  <c r="AF26" i="8"/>
  <c r="AE26" i="8"/>
  <c r="AC12" i="8"/>
  <c r="AB12" i="8"/>
  <c r="AA12" i="8"/>
  <c r="AB9" i="8"/>
  <c r="AC9" i="8"/>
  <c r="AD9" i="8"/>
  <c r="AE9" i="8"/>
  <c r="AF9" i="8"/>
  <c r="AG9" i="8"/>
  <c r="AA9" i="8"/>
  <c r="AF40" i="8"/>
  <c r="AF45" i="8" s="1"/>
  <c r="AE12" i="8"/>
  <c r="AD12" i="8"/>
  <c r="AG12" i="8"/>
  <c r="AF12" i="8"/>
  <c r="P50" i="5"/>
  <c r="O50" i="5"/>
  <c r="P44" i="5"/>
  <c r="O44" i="5"/>
  <c r="M51" i="5"/>
  <c r="L51" i="5"/>
  <c r="M50" i="5"/>
  <c r="L50" i="5"/>
  <c r="M47" i="5"/>
  <c r="L47" i="5"/>
  <c r="M45" i="5"/>
  <c r="L45" i="5"/>
  <c r="Y23" i="6"/>
  <c r="AA23" i="6"/>
  <c r="Z23" i="6"/>
  <c r="V38" i="6"/>
  <c r="U38" i="6"/>
  <c r="S38" i="6"/>
  <c r="T38" i="6"/>
  <c r="R38" i="6"/>
  <c r="Q38" i="6"/>
  <c r="Q34" i="6"/>
  <c r="W29" i="6"/>
  <c r="W26" i="6"/>
  <c r="X26" i="6"/>
  <c r="X29" i="6" s="1"/>
  <c r="R26" i="6"/>
  <c r="R29" i="6" s="1"/>
  <c r="Q26" i="6"/>
  <c r="Q29" i="6" s="1"/>
  <c r="S23" i="6"/>
  <c r="P23" i="6"/>
  <c r="O23" i="6"/>
  <c r="U23" i="6" s="1"/>
  <c r="N23" i="6"/>
  <c r="T23" i="6" s="1"/>
  <c r="L23" i="6"/>
  <c r="R23" i="6" s="1"/>
  <c r="X23" i="6" s="1"/>
  <c r="K23" i="6"/>
  <c r="Q23" i="6" s="1"/>
  <c r="S18" i="6"/>
  <c r="O18" i="6"/>
  <c r="U18" i="6" s="1"/>
  <c r="N18" i="6"/>
  <c r="T18" i="6" s="1"/>
  <c r="L18" i="6"/>
  <c r="R18" i="6" s="1"/>
  <c r="K18" i="6"/>
  <c r="Q18" i="6" s="1"/>
  <c r="L45" i="8"/>
  <c r="M45" i="8"/>
  <c r="N45" i="8"/>
  <c r="K45" i="8"/>
  <c r="L40" i="8"/>
  <c r="M40" i="8"/>
  <c r="N40" i="8"/>
  <c r="K40" i="8"/>
  <c r="L26" i="8"/>
  <c r="N37" i="8"/>
  <c r="M37" i="8"/>
  <c r="L37" i="8"/>
  <c r="K37" i="8"/>
  <c r="J37" i="8"/>
  <c r="I37" i="8"/>
  <c r="H37" i="8"/>
  <c r="O37" i="8" s="1"/>
  <c r="N23" i="8"/>
  <c r="N26" i="8" s="1"/>
  <c r="M23" i="8"/>
  <c r="M26" i="8" s="1"/>
  <c r="L23" i="8"/>
  <c r="K23" i="8"/>
  <c r="K26" i="8" s="1"/>
  <c r="J23" i="8"/>
  <c r="I23" i="8"/>
  <c r="H23" i="8"/>
  <c r="I9" i="8"/>
  <c r="J9" i="8"/>
  <c r="K9" i="8"/>
  <c r="K12" i="8" s="1"/>
  <c r="L9" i="8"/>
  <c r="L12" i="8" s="1"/>
  <c r="M9" i="8"/>
  <c r="M12" i="8" s="1"/>
  <c r="N9" i="8"/>
  <c r="N12" i="8" s="1"/>
  <c r="H9" i="8"/>
  <c r="AH37" i="8" l="1"/>
  <c r="AH26" i="8"/>
  <c r="AH23" i="8"/>
  <c r="AH9" i="8"/>
  <c r="AH12" i="8"/>
  <c r="AD45" i="8"/>
  <c r="AH45" i="8" s="1"/>
  <c r="AH40" i="8"/>
  <c r="M53" i="5"/>
  <c r="L53" i="5"/>
  <c r="W38" i="6"/>
  <c r="X38" i="6" s="1"/>
  <c r="V26" i="6"/>
  <c r="V29" i="6" s="1"/>
  <c r="U26" i="6"/>
  <c r="U29" i="6" s="1"/>
  <c r="T26" i="6"/>
  <c r="T29" i="6" s="1"/>
  <c r="S26" i="6"/>
  <c r="S29" i="6" s="1"/>
  <c r="Y29" i="6" s="1"/>
  <c r="W23" i="6" s="1"/>
  <c r="V23" i="6" s="1"/>
  <c r="Q32" i="6"/>
  <c r="Q33" i="6" s="1"/>
  <c r="Q35" i="6" s="1"/>
  <c r="Y26" i="6"/>
  <c r="O40" i="8"/>
  <c r="O26" i="8"/>
  <c r="O45" i="8"/>
  <c r="O23" i="8"/>
  <c r="O9" i="8"/>
  <c r="O12" i="8"/>
  <c r="Y38" i="6" l="1"/>
  <c r="N69" i="4" l="1"/>
  <c r="M69" i="4"/>
  <c r="L69" i="4"/>
  <c r="K69" i="4"/>
  <c r="M64" i="4"/>
  <c r="H64" i="4"/>
  <c r="G64" i="4"/>
  <c r="E64" i="4"/>
  <c r="B64" i="4"/>
  <c r="J64" i="4" s="1"/>
  <c r="M63" i="4"/>
  <c r="H63" i="4"/>
  <c r="G63" i="4"/>
  <c r="E63" i="4"/>
  <c r="B63" i="4"/>
  <c r="D63" i="4" s="1"/>
  <c r="F63" i="4" s="1"/>
  <c r="M62" i="4"/>
  <c r="H62" i="4"/>
  <c r="G62" i="4"/>
  <c r="E62" i="4"/>
  <c r="B62" i="4"/>
  <c r="D62" i="4" s="1"/>
  <c r="F62" i="4" s="1"/>
  <c r="M61" i="4"/>
  <c r="H61" i="4"/>
  <c r="G61" i="4"/>
  <c r="E61" i="4"/>
  <c r="B61" i="4"/>
  <c r="D61" i="4" s="1"/>
  <c r="F61" i="4" s="1"/>
  <c r="M60" i="4"/>
  <c r="H60" i="4"/>
  <c r="G60" i="4"/>
  <c r="E60" i="4"/>
  <c r="B60" i="4"/>
  <c r="J60" i="4" s="1"/>
  <c r="M59" i="4"/>
  <c r="H59" i="4"/>
  <c r="G59" i="4"/>
  <c r="E59" i="4"/>
  <c r="B59" i="4"/>
  <c r="D59" i="4" s="1"/>
  <c r="F59" i="4" s="1"/>
  <c r="M58" i="4"/>
  <c r="H58" i="4"/>
  <c r="G58" i="4"/>
  <c r="E58" i="4"/>
  <c r="B58" i="4"/>
  <c r="J58" i="4" s="1"/>
  <c r="M68" i="4"/>
  <c r="M67" i="4"/>
  <c r="M66" i="4"/>
  <c r="M65" i="4"/>
  <c r="F65" i="4"/>
  <c r="P18" i="6"/>
  <c r="E68" i="4"/>
  <c r="E67" i="4"/>
  <c r="E66" i="4"/>
  <c r="E65" i="4"/>
  <c r="B68" i="4"/>
  <c r="J68" i="4" s="1"/>
  <c r="B67" i="4"/>
  <c r="D67" i="4" s="1"/>
  <c r="F67" i="4" s="1"/>
  <c r="B66" i="4"/>
  <c r="D66" i="4" s="1"/>
  <c r="F66" i="4" s="1"/>
  <c r="B65" i="4"/>
  <c r="D65" i="4" s="1"/>
  <c r="L11" i="4"/>
  <c r="K11" i="4"/>
  <c r="P41" i="2"/>
  <c r="G29" i="4"/>
  <c r="H29" i="4" s="1"/>
  <c r="H68" i="4" s="1"/>
  <c r="P46" i="2"/>
  <c r="P45" i="2"/>
  <c r="P43" i="2"/>
  <c r="P40" i="2"/>
  <c r="P37" i="2"/>
  <c r="P36" i="2"/>
  <c r="P35" i="2"/>
  <c r="R32" i="3"/>
  <c r="R30" i="3"/>
  <c r="R31" i="3"/>
  <c r="R29" i="3"/>
  <c r="R28" i="3"/>
  <c r="T13" i="3"/>
  <c r="S14" i="3"/>
  <c r="S13" i="3"/>
  <c r="Q14" i="3"/>
  <c r="Q13" i="3"/>
  <c r="Q24" i="3"/>
  <c r="Q23" i="3"/>
  <c r="V23" i="3"/>
  <c r="W23" i="3"/>
  <c r="R31" i="2"/>
  <c r="R30" i="2"/>
  <c r="P30" i="2" s="1"/>
  <c r="T23" i="3"/>
  <c r="S24" i="3"/>
  <c r="S23" i="3"/>
  <c r="T24" i="3"/>
  <c r="W24" i="3"/>
  <c r="U24" i="3"/>
  <c r="O24" i="3"/>
  <c r="U23" i="3"/>
  <c r="O23" i="3"/>
  <c r="T14" i="3"/>
  <c r="O14" i="3"/>
  <c r="O13" i="3"/>
  <c r="U14" i="3"/>
  <c r="U13" i="3"/>
  <c r="P31" i="2"/>
  <c r="Q31" i="2"/>
  <c r="O31" i="2"/>
  <c r="Q30" i="2"/>
  <c r="O30" i="2"/>
  <c r="O20" i="2"/>
  <c r="O19" i="2"/>
  <c r="Q20" i="2"/>
  <c r="P20" i="2"/>
  <c r="Q19" i="2"/>
  <c r="P19" i="2"/>
  <c r="Q14" i="2"/>
  <c r="Q13" i="2"/>
  <c r="P14" i="2"/>
  <c r="P13" i="2"/>
  <c r="O14" i="2"/>
  <c r="O13" i="2"/>
  <c r="D58" i="4" l="1"/>
  <c r="F58" i="4" s="1"/>
  <c r="D60" i="4"/>
  <c r="F60" i="4" s="1"/>
  <c r="D64" i="4"/>
  <c r="F64" i="4" s="1"/>
  <c r="I58" i="4"/>
  <c r="K58" i="4" s="1"/>
  <c r="N58" i="4" s="1"/>
  <c r="I59" i="4"/>
  <c r="I60" i="4"/>
  <c r="K60" i="4" s="1"/>
  <c r="N60" i="4" s="1"/>
  <c r="I61" i="4"/>
  <c r="I62" i="4"/>
  <c r="I63" i="4"/>
  <c r="I64" i="4"/>
  <c r="K64" i="4" s="1"/>
  <c r="N64" i="4" s="1"/>
  <c r="J59" i="4"/>
  <c r="J61" i="4"/>
  <c r="J62" i="4"/>
  <c r="J63" i="4"/>
  <c r="J67" i="4"/>
  <c r="I68" i="4"/>
  <c r="K68" i="4" s="1"/>
  <c r="D68" i="4"/>
  <c r="F68" i="4" s="1"/>
  <c r="G67" i="4"/>
  <c r="G68" i="4"/>
  <c r="I29" i="4"/>
  <c r="B29" i="4"/>
  <c r="H66" i="4"/>
  <c r="I66" i="4" s="1"/>
  <c r="G65" i="4"/>
  <c r="J65" i="4"/>
  <c r="H65" i="4"/>
  <c r="I65" i="4" s="1"/>
  <c r="H67" i="4"/>
  <c r="I67" i="4" s="1"/>
  <c r="G66" i="4"/>
  <c r="J66" i="4"/>
  <c r="L64" i="4" l="1"/>
  <c r="K63" i="4"/>
  <c r="L60" i="4"/>
  <c r="L58" i="4"/>
  <c r="K61" i="4"/>
  <c r="K62" i="4"/>
  <c r="K59" i="4"/>
  <c r="N68" i="4"/>
  <c r="L68" i="4"/>
  <c r="K67" i="4"/>
  <c r="N67" i="4" s="1"/>
  <c r="J29" i="4"/>
  <c r="K29" i="4" s="1"/>
  <c r="C29" i="4"/>
  <c r="D29" i="4" s="1"/>
  <c r="F29" i="4" s="1"/>
  <c r="K66" i="4"/>
  <c r="N66" i="4" s="1"/>
  <c r="K65" i="4"/>
  <c r="L61" i="4" l="1"/>
  <c r="N61" i="4"/>
  <c r="L59" i="4"/>
  <c r="N59" i="4"/>
  <c r="N62" i="4"/>
  <c r="L62" i="4"/>
  <c r="L63" i="4"/>
  <c r="N63" i="4"/>
  <c r="L67" i="4"/>
  <c r="L66" i="4"/>
  <c r="L65" i="4"/>
  <c r="N65" i="4"/>
  <c r="L29" i="4"/>
  <c r="M29" i="4"/>
</calcChain>
</file>

<file path=xl/sharedStrings.xml><?xml version="1.0" encoding="utf-8"?>
<sst xmlns="http://schemas.openxmlformats.org/spreadsheetml/2006/main" count="963" uniqueCount="258">
  <si>
    <t>Filters</t>
  </si>
  <si>
    <t>Mask</t>
  </si>
  <si>
    <t>BL</t>
  </si>
  <si>
    <t>Supplier GUID</t>
  </si>
  <si>
    <t>G05164255</t>
  </si>
  <si>
    <t>LPGU</t>
  </si>
  <si>
    <t>Supplier Name</t>
  </si>
  <si>
    <t>Spend change (%)</t>
  </si>
  <si>
    <t>Price change (%)</t>
  </si>
  <si>
    <t>Factory</t>
  </si>
  <si>
    <t>Local Part Number code</t>
  </si>
  <si>
    <t>Month spend change</t>
  </si>
  <si>
    <t>Month Price change</t>
  </si>
  <si>
    <t>September 2024</t>
  </si>
  <si>
    <t>Category</t>
  </si>
  <si>
    <t>MDF</t>
  </si>
  <si>
    <t>Actual values from SCMIS</t>
  </si>
  <si>
    <t>Calculated by the system</t>
  </si>
  <si>
    <t>GUID</t>
  </si>
  <si>
    <t>Supplier ERP Code</t>
  </si>
  <si>
    <t>Global/Regional/Local</t>
  </si>
  <si>
    <t>Material Type</t>
  </si>
  <si>
    <t>Business Line</t>
  </si>
  <si>
    <t>Region</t>
  </si>
  <si>
    <t>PMU-SIU</t>
  </si>
  <si>
    <t>YTD Invoiced spend</t>
  </si>
  <si>
    <t>YTD NMI Price</t>
  </si>
  <si>
    <t>YTD Quantity</t>
  </si>
  <si>
    <t>YE Invoiced spend</t>
  </si>
  <si>
    <t>YE NMI Price</t>
  </si>
  <si>
    <t>YE Quantity</t>
  </si>
  <si>
    <t>1100055722</t>
  </si>
  <si>
    <t>Vega Automation (2000) Co Ltd</t>
  </si>
  <si>
    <t>Regional</t>
  </si>
  <si>
    <t>D</t>
  </si>
  <si>
    <t>4EB - Gas and Liquid Measuring Equipment - Direct</t>
  </si>
  <si>
    <t>Measurement Equipments / Trading Goods</t>
  </si>
  <si>
    <t>Analy.</t>
  </si>
  <si>
    <t>SAMEA</t>
  </si>
  <si>
    <t>IAMA-4372-THATC</t>
  </si>
  <si>
    <t>Sales</t>
  </si>
  <si>
    <t>3CF - Fixing Elements for Electrical Installation</t>
  </si>
  <si>
    <t>El. Components</t>
  </si>
  <si>
    <t>IAMA-3178-MYMAS</t>
  </si>
  <si>
    <t>Service</t>
  </si>
  <si>
    <t>Example of reducing 5% teh spend from August</t>
  </si>
  <si>
    <t>Examle if I recongnize a total increase of 16% i teh priod Sept- Dec. 2024</t>
  </si>
  <si>
    <t>months</t>
  </si>
  <si>
    <t>Spend / month</t>
  </si>
  <si>
    <t>spend impcated</t>
  </si>
  <si>
    <t>NMI add</t>
  </si>
  <si>
    <t>Avg price</t>
  </si>
  <si>
    <t>Avg LCP</t>
  </si>
  <si>
    <t>New price</t>
  </si>
  <si>
    <t>Delta new</t>
  </si>
  <si>
    <t>Cyient</t>
  </si>
  <si>
    <t>Bartlesville</t>
  </si>
  <si>
    <t>Part Number</t>
  </si>
  <si>
    <t>Part Number desc</t>
  </si>
  <si>
    <t>LCP</t>
  </si>
  <si>
    <t>AVG last price</t>
  </si>
  <si>
    <t>IAMA-3127-USTOT</t>
  </si>
  <si>
    <t>This is what he Customer see if he/she doesn't do anything.</t>
  </si>
  <si>
    <t>Instr</t>
  </si>
  <si>
    <t>It is a linear progression using the Quantoties and eth LCL and eth AVG price</t>
  </si>
  <si>
    <t>New price increase of 16% from september</t>
  </si>
  <si>
    <t>The spend value increases or decrease fro  the month I selected of eth ABS(of eth NMI values calculate new)</t>
  </si>
  <si>
    <t>New NMI / unit</t>
  </si>
  <si>
    <t>Volumes new price</t>
  </si>
  <si>
    <t>NMI to add</t>
  </si>
  <si>
    <t>New spend</t>
  </si>
  <si>
    <t>Rules for the simulation</t>
  </si>
  <si>
    <t>General rules</t>
  </si>
  <si>
    <t>The simulator calculates the NMI  for the REPETITIVE SPEND AND QUANTITIES only</t>
  </si>
  <si>
    <t>The simulator doesn't calculate the NMI for the Non Repetitive spend, quantities BUT the simulator should be able to calculate the final NON Repetive Spend at Year End as linear extrapolation</t>
  </si>
  <si>
    <t>Everytime we try to calculate the Average Price YTD and the LCP</t>
  </si>
  <si>
    <t>in case of the simulation at the part number level, the LCP Is already available from 4.70</t>
  </si>
  <si>
    <t>In case of the simulation at supplier level we calculate it as</t>
  </si>
  <si>
    <t xml:space="preserve">AVG YTD  LCP = </t>
  </si>
  <si>
    <t>AVG Price YTD + (YTD NMI / YTD QTY)</t>
  </si>
  <si>
    <t xml:space="preserve">the AVG Price is always = </t>
  </si>
  <si>
    <t>YTD Spend / YTD QTY</t>
  </si>
  <si>
    <t>Repetitive spend</t>
  </si>
  <si>
    <t>Delta NMI impact calculated as</t>
  </si>
  <si>
    <t>It is the NMI that we  have in the specific declared period because of the increase or decrease of prices</t>
  </si>
  <si>
    <t xml:space="preserve">Delta NMI impact YE = </t>
  </si>
  <si>
    <t>(AVG Price YTD - AVG New Price) x Volumes impacted in the period</t>
  </si>
  <si>
    <t>where</t>
  </si>
  <si>
    <t xml:space="preserve">AVG New Price = </t>
  </si>
  <si>
    <t>AVG Price YTD * (   1    -       X%    )</t>
  </si>
  <si>
    <t>X% is the increase or decrease; we use &gt;0 in it is a reduction and &lt;0 if it is a cost increasse</t>
  </si>
  <si>
    <t>Total NMI New YE calculated  as</t>
  </si>
  <si>
    <t>It is the NMI recalculated unti Year End considering also the effect of a price increase / reduction starting from a specific month</t>
  </si>
  <si>
    <t xml:space="preserve">Total NMI New YE = </t>
  </si>
  <si>
    <t>NMI YE - Linear extrapolation</t>
  </si>
  <si>
    <t>+</t>
  </si>
  <si>
    <t>Delta NMI Impact YE</t>
  </si>
  <si>
    <t>Total new Spend YE calculated as</t>
  </si>
  <si>
    <t>In case we have a Y% variation of the spend starting from a specific month, it is the linear extrapolation and the additional effect of the Y% variation</t>
  </si>
  <si>
    <r>
      <t xml:space="preserve">New Spend due to Y% volumes variation  | </t>
    </r>
    <r>
      <rPr>
        <vertAlign val="subscript"/>
        <sz val="9.5"/>
        <color theme="1"/>
        <rFont val="ABBvoice"/>
        <family val="2"/>
      </rPr>
      <t>spoth month</t>
    </r>
    <r>
      <rPr>
        <sz val="9.5"/>
        <color theme="1"/>
        <rFont val="ABBvoice"/>
        <family val="2"/>
      </rPr>
      <t xml:space="preserve"> =</t>
    </r>
  </si>
  <si>
    <r>
      <t>Estrapolated spend|</t>
    </r>
    <r>
      <rPr>
        <vertAlign val="subscript"/>
        <sz val="9.5"/>
        <color theme="1"/>
        <rFont val="ABBvoice"/>
        <family val="2"/>
      </rPr>
      <t xml:space="preserve"> spoth month</t>
    </r>
    <r>
      <rPr>
        <sz val="9.5"/>
        <color theme="1"/>
        <rFont val="ABBvoice"/>
        <family val="2"/>
      </rPr>
      <t xml:space="preserve"> * (1 + Y%)</t>
    </r>
  </si>
  <si>
    <t>see "Spend change calculation" TAB</t>
  </si>
  <si>
    <t>In case we have a X% variation of the NMI from a specific month</t>
  </si>
  <si>
    <t>it is the projection of the spend at year end considering the linear extrapolation and the additional effect of the price increase / decrease in a specified period</t>
  </si>
  <si>
    <r>
      <t xml:space="preserve">New Spend due to X% volumes variation  | </t>
    </r>
    <r>
      <rPr>
        <vertAlign val="subscript"/>
        <sz val="9.5"/>
        <color theme="1"/>
        <rFont val="ABBvoice"/>
        <family val="2"/>
      </rPr>
      <t>spoth month</t>
    </r>
    <r>
      <rPr>
        <sz val="9.5"/>
        <color theme="1"/>
        <rFont val="ABBvoice"/>
        <family val="2"/>
      </rPr>
      <t xml:space="preserve"> =</t>
    </r>
  </si>
  <si>
    <r>
      <t>Estrapolated spend|</t>
    </r>
    <r>
      <rPr>
        <vertAlign val="subscript"/>
        <sz val="9.5"/>
        <color theme="1"/>
        <rFont val="ABBvoice"/>
        <family val="2"/>
      </rPr>
      <t xml:space="preserve"> spoth month</t>
    </r>
    <r>
      <rPr>
        <sz val="9.5"/>
        <color theme="1"/>
        <rFont val="ABBvoice"/>
        <family val="2"/>
      </rPr>
      <t xml:space="preserve"> * (1 + X%)</t>
    </r>
  </si>
  <si>
    <t>Aug</t>
  </si>
  <si>
    <t>Spot Aug</t>
  </si>
  <si>
    <t>Always assumed that the sign cost increase is Negative and Cost decrease is Positive</t>
  </si>
  <si>
    <t>+10% price</t>
  </si>
  <si>
    <t>New spot Aug</t>
  </si>
  <si>
    <t>In case we have both then we proceed with 1. first and then apply 2. on the result of 1.</t>
  </si>
  <si>
    <t>Sep</t>
  </si>
  <si>
    <t>Spot Sep</t>
  </si>
  <si>
    <t>New spot Sep</t>
  </si>
  <si>
    <t>How to calculate the spend variation -  case of volumes changes estimated</t>
  </si>
  <si>
    <t>How to calculate the NMI variation -  case of volumes changes estimated</t>
  </si>
  <si>
    <t>Actual YTD</t>
  </si>
  <si>
    <t>Jan</t>
  </si>
  <si>
    <t>Feb</t>
  </si>
  <si>
    <t>Mar</t>
  </si>
  <si>
    <t>Apr</t>
  </si>
  <si>
    <t>May</t>
  </si>
  <si>
    <t>Jun</t>
  </si>
  <si>
    <t>Jul</t>
  </si>
  <si>
    <t>Oct</t>
  </si>
  <si>
    <t>Nov</t>
  </si>
  <si>
    <t>Dec</t>
  </si>
  <si>
    <t>Linear estrapolation YE</t>
  </si>
  <si>
    <t>Total</t>
  </si>
  <si>
    <t>Increase volume from September by 10%</t>
  </si>
  <si>
    <t>The increase of 10% is applied on the spot month spend values in each month</t>
  </si>
  <si>
    <t>The increase of 10% is applied on the spot month NMI values in each month</t>
  </si>
  <si>
    <t>How to calculate the spend variation -  case of NMI change estimated</t>
  </si>
  <si>
    <t>How to calculate the NMI variation -  case of NMI change estimated</t>
  </si>
  <si>
    <t>Increase NMI from September by 6% cost increase</t>
  </si>
  <si>
    <t>In this case it is a cost increase from September, therefore the spend will be higher from September</t>
  </si>
  <si>
    <t>In this case it is a cost increase from September</t>
  </si>
  <si>
    <t>How to calculate the spend variation -  case of volumes changes estimated AND case of NMI change estimated</t>
  </si>
  <si>
    <t>How to calculate the NMI variation -  case of volumes changes estimated AND case of NMI change estimated</t>
  </si>
  <si>
    <t>Increase volume from July  of 10%</t>
  </si>
  <si>
    <t>Increase volume from July of 10%</t>
  </si>
  <si>
    <t>The increase of 10% of volumes is applied FIRST, on the spot month spend values in each month</t>
  </si>
  <si>
    <t>Final values</t>
  </si>
  <si>
    <t>In this case it is a cost increase from September is applied AFTER, therefore the spend will be higher from September</t>
  </si>
  <si>
    <t>NMI Simulator v1</t>
  </si>
  <si>
    <t>Calculation at Supplier - LPGU level</t>
  </si>
  <si>
    <t>1. Extraction from SCMIS  - PAMA Dashboard</t>
  </si>
  <si>
    <t>Supplier:</t>
  </si>
  <si>
    <t>PMU</t>
  </si>
  <si>
    <t>Period</t>
  </si>
  <si>
    <t>May YTD 2024 data</t>
  </si>
  <si>
    <t>ERP Supplier Code</t>
  </si>
  <si>
    <t>Invoice Qty</t>
  </si>
  <si>
    <t>Invoice QTY Rep</t>
  </si>
  <si>
    <t>Invoice QTY Non Rep</t>
  </si>
  <si>
    <t>Spend Act</t>
  </si>
  <si>
    <t>Spend Act Rep</t>
  </si>
  <si>
    <t>Spend non  Rep</t>
  </si>
  <si>
    <t>NMI Total Act</t>
  </si>
  <si>
    <t>NMI Rep Act</t>
  </si>
  <si>
    <t>NMI Non-Rep Act</t>
  </si>
  <si>
    <t>G12937378</t>
  </si>
  <si>
    <t>CYIENT DLM PVT LTD</t>
  </si>
  <si>
    <t>0002025107</t>
  </si>
  <si>
    <t>Instr.</t>
  </si>
  <si>
    <t>IAMA-3127-USABB</t>
  </si>
  <si>
    <t>G02190099</t>
  </si>
  <si>
    <t>CYIENT DLM PRIVATE LTD</t>
  </si>
  <si>
    <t>0002727866</t>
  </si>
  <si>
    <t>Global</t>
  </si>
  <si>
    <t>IAMA-4498-USABB</t>
  </si>
  <si>
    <t>2. Let's assume the following scenario to simulate</t>
  </si>
  <si>
    <t>Increase price</t>
  </si>
  <si>
    <t>(negative is an increase)</t>
  </si>
  <si>
    <t>from</t>
  </si>
  <si>
    <t>3. I created the calculation table below at LPGU level - to keep it simple I do the calculation for the first LPGU line in GREY</t>
  </si>
  <si>
    <t>Warning: because the LPGU is defined only for the Repetitve spend, I do here the simulation only for the repetitive</t>
  </si>
  <si>
    <t>The simulator starts always from the first day of the month of the price variation</t>
  </si>
  <si>
    <t>AVG price YTD</t>
  </si>
  <si>
    <t>AVG LCP YTD</t>
  </si>
  <si>
    <t>AVG Unit NMI YTD</t>
  </si>
  <si>
    <t>YTD month</t>
  </si>
  <si>
    <t>NMI Rep YE - Linear extrapolation</t>
  </si>
  <si>
    <t>Start month</t>
  </si>
  <si>
    <t>Months impacted</t>
  </si>
  <si>
    <t>Volumes impacted</t>
  </si>
  <si>
    <t>Delta AVG price</t>
  </si>
  <si>
    <t>Delta NMI Rep impact YE</t>
  </si>
  <si>
    <t>Total new NMI YE</t>
  </si>
  <si>
    <t>Total new Spend YE</t>
  </si>
  <si>
    <t>Calculation at Supplier - LPGU - Part Number level</t>
  </si>
  <si>
    <t>4. Let's repeat the exercise for the same supplier, same LPGU AND at part number level</t>
  </si>
  <si>
    <t>Again I focus on the Repetitive Spend and Quantities because SCMIS calculates the LCP for the Repetitive only</t>
  </si>
  <si>
    <t>This is the extraction from SCMIS and I focus only on the Part Number with Repetoev spend and Quantities and I consider only those values</t>
  </si>
  <si>
    <t>Local Partnumber</t>
  </si>
  <si>
    <t>Local Partnumber Description</t>
  </si>
  <si>
    <t>Purchase Text</t>
  </si>
  <si>
    <t>Spend Rep Act</t>
  </si>
  <si>
    <t>Spend Non-Rep Act</t>
  </si>
  <si>
    <t>1HB - Glass and Glass Fiber Raw Materials</t>
  </si>
  <si>
    <t>na</t>
  </si>
  <si>
    <t>(not assigned)</t>
  </si>
  <si>
    <t>2024年年会二、三、四等和阳光普照奖费用（京东卡）</t>
  </si>
  <si>
    <t>1HD - Raw Materials, Other and Parts of Other Materials</t>
  </si>
  <si>
    <t>NRE CHARGE</t>
  </si>
  <si>
    <t>NRE Charge - 2105945 versions</t>
  </si>
  <si>
    <t>NRE Charge 2105979-003</t>
  </si>
  <si>
    <t>NRE Charge 2105980-003</t>
  </si>
  <si>
    <t>3AD - Electrical Connectors, Other</t>
  </si>
  <si>
    <t>SCRAP NON UL COMPL, 1802814-001</t>
  </si>
  <si>
    <t>3QA - PCBAs with ABB Intellectual Properties</t>
  </si>
  <si>
    <t>2108103-003</t>
  </si>
  <si>
    <t>TFIO,8/PULSE INPUT,V2</t>
  </si>
  <si>
    <t>2105945-003</t>
  </si>
  <si>
    <t>G5 UFLO PCBA CM ASSY,V2.3</t>
  </si>
  <si>
    <t>NA</t>
  </si>
  <si>
    <t>2105945-009</t>
  </si>
  <si>
    <t>G5 UFLO PCBA CM ASSY,V2.9</t>
  </si>
  <si>
    <t>2104742-003</t>
  </si>
  <si>
    <t>PCBA,RAW SENSOR BUFFERED SW.RTD</t>
  </si>
  <si>
    <t>2105945-002</t>
  </si>
  <si>
    <t>G5 UFLO PCBA CM ASSY</t>
  </si>
  <si>
    <t>Simulator at part number level</t>
  </si>
  <si>
    <t xml:space="preserve"> LCP YTD</t>
  </si>
  <si>
    <t>AVG Unit NMI</t>
  </si>
  <si>
    <t>NMI Rep Linear extrapolation</t>
  </si>
  <si>
    <t>Months to count</t>
  </si>
  <si>
    <t>Volumes to count</t>
  </si>
  <si>
    <t>Delta NMI impact YE</t>
  </si>
  <si>
    <t>Total new NMI Rep YE</t>
  </si>
  <si>
    <t>Total new NMI Non Rep YE</t>
  </si>
  <si>
    <t>Illustrative only</t>
  </si>
  <si>
    <t>Filters box</t>
  </si>
  <si>
    <t>Inputs parameters</t>
  </si>
  <si>
    <t>it is a price increase</t>
  </si>
  <si>
    <t>Start date spend change</t>
  </si>
  <si>
    <t>Start date Price change</t>
  </si>
  <si>
    <t>YTD values</t>
  </si>
  <si>
    <t>YE estrapolated</t>
  </si>
  <si>
    <t>Spend YE</t>
  </si>
  <si>
    <t>Spend Rep YE</t>
  </si>
  <si>
    <t>Spen Non Rep YE</t>
  </si>
  <si>
    <t>NMI YE</t>
  </si>
  <si>
    <t>NMI Rep YE</t>
  </si>
  <si>
    <t>NMI Non Rep YE</t>
  </si>
  <si>
    <t>Launch simulation</t>
  </si>
  <si>
    <t>YE  simulation</t>
  </si>
  <si>
    <t>CALCULATION</t>
  </si>
  <si>
    <t>YTD may</t>
  </si>
  <si>
    <t>Rep. Spend extrapolation</t>
  </si>
  <si>
    <t>Rep. Spend variation</t>
  </si>
  <si>
    <t>AVG Price YTD</t>
  </si>
  <si>
    <t>AVG New Price</t>
  </si>
  <si>
    <t>Monthly Volumes impacted</t>
  </si>
  <si>
    <r>
      <t>Delta NMI Impact|</t>
    </r>
    <r>
      <rPr>
        <vertAlign val="subscript"/>
        <sz val="9.5"/>
        <color theme="1"/>
        <rFont val="ABBvoice"/>
        <family val="2"/>
      </rPr>
      <t>monthly</t>
    </r>
  </si>
  <si>
    <t>NMI Rep. Variation</t>
  </si>
  <si>
    <t>External/Internal/Total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</si>
</sst>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_-* #,##0_-;\-* #,##0_-;_-* &quot;-&quot;??_-;_-@_-"/>
    <numFmt numFmtId="167" formatCode="_-* #,##0.00\ _€_-;\-* #,##0.00\ _€_-;_-* &quot;-&quot;??\ _€_-;_-@_-"/>
  </numFmts>
  <fonts count="54" x14ac:knownFonts="1">
    <font>
      <sz val="9.5"/>
      <color theme="1"/>
      <name val="ABBvoice"/>
      <family val="2"/>
      <charset val="238"/>
    </font>
    <font>
      <sz val="6"/>
      <color theme="1"/>
      <name val="ABBvoice"/>
      <family val="2"/>
      <charset val="238"/>
    </font>
    <font>
      <sz val="8"/>
      <color theme="1"/>
      <name val="ABBvoice"/>
      <family val="2"/>
      <charset val="238"/>
    </font>
    <font>
      <b/>
      <sz val="8"/>
      <color theme="1"/>
      <name val="ABBvoice"/>
      <family val="2"/>
      <charset val="238"/>
    </font>
    <font>
      <sz val="9.5"/>
      <color theme="1"/>
      <name val="ABBvoice"/>
      <family val="2"/>
      <charset val="238"/>
    </font>
    <font>
      <sz val="11"/>
      <color theme="1"/>
      <name val="ABBvoice"/>
      <family val="2"/>
      <scheme val="minor"/>
    </font>
    <font>
      <sz val="18"/>
      <color theme="3"/>
      <name val="ABBvoice Medium"/>
      <family val="2"/>
      <scheme val="major"/>
    </font>
    <font>
      <b/>
      <sz val="15"/>
      <color theme="3"/>
      <name val="ABBvoice"/>
      <family val="2"/>
      <scheme val="minor"/>
    </font>
    <font>
      <b/>
      <sz val="13"/>
      <color theme="3"/>
      <name val="ABBvoice"/>
      <family val="2"/>
      <scheme val="minor"/>
    </font>
    <font>
      <b/>
      <sz val="11"/>
      <color theme="3"/>
      <name val="ABBvoice"/>
      <family val="2"/>
      <scheme val="minor"/>
    </font>
    <font>
      <sz val="11"/>
      <color rgb="FF006100"/>
      <name val="ABBvoice"/>
      <family val="2"/>
      <scheme val="minor"/>
    </font>
    <font>
      <sz val="11"/>
      <color rgb="FF9C0006"/>
      <name val="ABBvoice"/>
      <family val="2"/>
      <scheme val="minor"/>
    </font>
    <font>
      <sz val="11"/>
      <color rgb="FF9C5700"/>
      <name val="ABBvoice"/>
      <family val="2"/>
      <scheme val="minor"/>
    </font>
    <font>
      <sz val="11"/>
      <color rgb="FF3F3F76"/>
      <name val="ABBvoice"/>
      <family val="2"/>
      <scheme val="minor"/>
    </font>
    <font>
      <b/>
      <sz val="11"/>
      <color rgb="FF3F3F3F"/>
      <name val="ABBvoice"/>
      <family val="2"/>
      <scheme val="minor"/>
    </font>
    <font>
      <b/>
      <sz val="11"/>
      <color rgb="FFFA7D00"/>
      <name val="ABBvoice"/>
      <family val="2"/>
      <scheme val="minor"/>
    </font>
    <font>
      <sz val="11"/>
      <color rgb="FFFA7D00"/>
      <name val="ABBvoice"/>
      <family val="2"/>
      <scheme val="minor"/>
    </font>
    <font>
      <b/>
      <sz val="11"/>
      <color theme="0"/>
      <name val="ABBvoice"/>
      <family val="2"/>
      <scheme val="minor"/>
    </font>
    <font>
      <sz val="11"/>
      <color rgb="FFFF0000"/>
      <name val="ABBvoice"/>
      <family val="2"/>
      <scheme val="minor"/>
    </font>
    <font>
      <i/>
      <sz val="11"/>
      <color rgb="FF7F7F7F"/>
      <name val="ABBvoice"/>
      <family val="2"/>
      <scheme val="minor"/>
    </font>
    <font>
      <b/>
      <sz val="11"/>
      <color theme="1"/>
      <name val="ABBvoice"/>
      <family val="2"/>
      <scheme val="minor"/>
    </font>
    <font>
      <sz val="11"/>
      <color theme="0"/>
      <name val="ABBvoice"/>
      <family val="2"/>
      <scheme val="minor"/>
    </font>
    <font>
      <sz val="9"/>
      <color theme="1"/>
      <name val="ABBvoice"/>
      <family val="2"/>
    </font>
    <font>
      <b/>
      <sz val="9"/>
      <color theme="1"/>
      <name val="ABBvoice"/>
      <family val="2"/>
    </font>
    <font>
      <strike/>
      <sz val="9"/>
      <color theme="1"/>
      <name val="ABBvoice"/>
      <family val="2"/>
    </font>
    <font>
      <sz val="9"/>
      <color rgb="FFFF0000"/>
      <name val="ABBvoice"/>
      <family val="2"/>
    </font>
    <font>
      <sz val="9"/>
      <name val="Aptos Narrow"/>
      <family val="2"/>
    </font>
    <font>
      <sz val="9.5"/>
      <color theme="1"/>
      <name val="Aptos Narrow"/>
      <family val="2"/>
    </font>
    <font>
      <b/>
      <sz val="9.5"/>
      <color theme="1"/>
      <name val="Aptos Narrow"/>
      <family val="2"/>
    </font>
    <font>
      <sz val="9.5"/>
      <name val="Aptos Narrow"/>
      <family val="2"/>
    </font>
    <font>
      <b/>
      <sz val="9.5"/>
      <name val="Aptos Narrow"/>
      <family val="2"/>
    </font>
    <font>
      <i/>
      <sz val="9.5"/>
      <name val="Aptos Narrow"/>
      <family val="2"/>
    </font>
    <font>
      <i/>
      <sz val="9.5"/>
      <color theme="1"/>
      <name val="Aptos Narrow"/>
      <family val="2"/>
    </font>
    <font>
      <b/>
      <sz val="11"/>
      <color theme="1"/>
      <name val="Aptos Narrow"/>
      <family val="2"/>
    </font>
    <font>
      <b/>
      <sz val="14"/>
      <color theme="1"/>
      <name val="Aptos Narrow"/>
      <family val="2"/>
    </font>
    <font>
      <b/>
      <sz val="22"/>
      <color theme="1"/>
      <name val="Aptos Narrow"/>
      <family val="2"/>
    </font>
    <font>
      <i/>
      <sz val="9.5"/>
      <color theme="1"/>
      <name val="ABBvoice"/>
      <family val="2"/>
    </font>
    <font>
      <b/>
      <sz val="16"/>
      <color theme="1"/>
      <name val="ABBvoice"/>
      <family val="2"/>
    </font>
    <font>
      <b/>
      <sz val="14"/>
      <name val="Aptos Narrow"/>
      <family val="2"/>
    </font>
    <font>
      <sz val="9.5"/>
      <color rgb="FFFF0000"/>
      <name val="Aptos Narrow"/>
      <family val="2"/>
    </font>
    <font>
      <b/>
      <sz val="9.5"/>
      <color rgb="FFFF0000"/>
      <name val="Aptos Narrow"/>
      <family val="2"/>
    </font>
    <font>
      <sz val="9"/>
      <color rgb="FFFF0000"/>
      <name val="ABBvoice"/>
      <family val="2"/>
      <charset val="238"/>
    </font>
    <font>
      <sz val="9.5"/>
      <color rgb="FFFF0000"/>
      <name val="ABBvoice"/>
      <family val="2"/>
      <charset val="238"/>
    </font>
    <font>
      <b/>
      <sz val="9.5"/>
      <color theme="1"/>
      <name val="ABBvoice"/>
      <family val="2"/>
    </font>
    <font>
      <sz val="9.5"/>
      <color theme="1"/>
      <name val="ABBvoice"/>
      <family val="2"/>
    </font>
    <font>
      <b/>
      <sz val="14"/>
      <color theme="1"/>
      <name val="ABBvoice"/>
      <family val="2"/>
    </font>
    <font>
      <vertAlign val="subscript"/>
      <sz val="9.5"/>
      <color theme="1"/>
      <name val="ABBvoice"/>
      <family val="2"/>
    </font>
    <font>
      <b/>
      <sz val="9"/>
      <color theme="0"/>
      <name val="ABBvoice"/>
      <family val="2"/>
    </font>
    <font>
      <b/>
      <sz val="9.5"/>
      <color rgb="FF0070C0"/>
      <name val="Aptos Narrow"/>
      <family val="2"/>
    </font>
    <font>
      <sz val="9.5"/>
      <color theme="0"/>
      <name val="ABBvoice"/>
      <family val="2"/>
      <charset val="238"/>
    </font>
    <font>
      <b/>
      <sz val="9.5"/>
      <color rgb="FF9966FF"/>
      <name val="Aptos Narrow"/>
      <family val="2"/>
    </font>
    <font>
      <b/>
      <sz val="9.5"/>
      <color rgb="FFFF0000"/>
      <name val="ABBvoice"/>
      <family val="2"/>
      <charset val="238"/>
    </font>
    <font>
      <b/>
      <sz val="9.5"/>
      <color rgb="FF00B050"/>
      <name val="ABBvoice"/>
      <family val="2"/>
    </font>
    <font>
      <b/>
      <sz val="9.5"/>
      <color rgb="FF00B050"/>
      <name val="Aptos Narrow"/>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0000"/>
        <bgColor indexed="64"/>
      </patternFill>
    </fill>
    <fill>
      <patternFill patternType="solid">
        <fgColor theme="5" tint="-0.249977111117893"/>
        <bgColor indexed="64"/>
      </patternFill>
    </fill>
  </fills>
  <borders count="27">
    <border>
      <left/>
      <right/>
      <top/>
      <bottom/>
      <diagonal/>
    </border>
    <border>
      <left/>
      <right/>
      <top/>
      <bottom style="thin">
        <color rgb="FFA9A9A9"/>
      </bottom>
      <diagonal/>
    </border>
    <border>
      <left/>
      <right/>
      <top style="medium">
        <color indexed="64"/>
      </top>
      <bottom style="thin">
        <color indexed="64"/>
      </bottom>
      <diagonal/>
    </border>
    <border>
      <left/>
      <right/>
      <top style="thin">
        <color rgb="FFA9A9A9"/>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6">
    <xf numFmtId="0" fontId="0" fillId="0" borderId="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4" applyNumberFormat="0" applyFill="0" applyAlignment="0" applyProtection="0"/>
    <xf numFmtId="0" fontId="8" fillId="0" borderId="5" applyNumberFormat="0" applyFill="0" applyAlignment="0" applyProtection="0"/>
    <xf numFmtId="0" fontId="9" fillId="0" borderId="6"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7" applyNumberFormat="0" applyAlignment="0" applyProtection="0"/>
    <xf numFmtId="0" fontId="14" fillId="6" borderId="8" applyNumberFormat="0" applyAlignment="0" applyProtection="0"/>
    <xf numFmtId="0" fontId="15" fillId="6" borderId="7" applyNumberFormat="0" applyAlignment="0" applyProtection="0"/>
    <xf numFmtId="0" fontId="16" fillId="0" borderId="9" applyNumberFormat="0" applyFill="0" applyAlignment="0" applyProtection="0"/>
    <xf numFmtId="0" fontId="17" fillId="7" borderId="10" applyNumberFormat="0" applyAlignment="0" applyProtection="0"/>
    <xf numFmtId="0" fontId="18" fillId="0" borderId="0" applyNumberFormat="0" applyFill="0" applyBorder="0" applyAlignment="0" applyProtection="0"/>
    <xf numFmtId="0" fontId="5" fillId="8" borderId="11" applyNumberFormat="0" applyFont="0" applyAlignment="0" applyProtection="0"/>
    <xf numFmtId="0" fontId="19" fillId="0" borderId="0" applyNumberFormat="0" applyFill="0" applyBorder="0" applyAlignment="0" applyProtection="0"/>
    <xf numFmtId="0" fontId="20" fillId="0" borderId="12"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 fillId="0" borderId="0" applyBorder="0">
      <alignment vertical="top"/>
    </xf>
    <xf numFmtId="14" fontId="4" fillId="0" borderId="1" applyNumberFormat="0" applyBorder="0">
      <alignment vertical="center"/>
    </xf>
    <xf numFmtId="0" fontId="3" fillId="0" borderId="2">
      <alignment vertical="center"/>
    </xf>
    <xf numFmtId="0" fontId="2" fillId="0" borderId="1">
      <alignment vertical="top" wrapText="1"/>
    </xf>
    <xf numFmtId="0" fontId="2" fillId="0" borderId="3">
      <alignment vertical="top" wrapText="1"/>
    </xf>
    <xf numFmtId="0" fontId="2" fillId="0" borderId="3" applyBorder="0">
      <alignment vertical="center"/>
    </xf>
    <xf numFmtId="9" fontId="4" fillId="0" borderId="0" applyFill="0" applyBorder="0" applyAlignment="0" applyProtection="0"/>
    <xf numFmtId="164" fontId="4" fillId="0" borderId="0" applyFill="0" applyBorder="0" applyAlignment="0" applyProtection="0"/>
    <xf numFmtId="0" fontId="26" fillId="0" borderId="0"/>
  </cellStyleXfs>
  <cellXfs count="174">
    <xf numFmtId="0" fontId="0" fillId="0" borderId="0" xfId="0"/>
    <xf numFmtId="164" fontId="4" fillId="0" borderId="0" xfId="54"/>
    <xf numFmtId="0" fontId="22" fillId="0" borderId="0" xfId="0" applyFont="1"/>
    <xf numFmtId="0" fontId="23" fillId="33" borderId="13" xfId="0" applyFont="1" applyFill="1" applyBorder="1" applyAlignment="1">
      <alignment vertical="center" wrapText="1"/>
    </xf>
    <xf numFmtId="49" fontId="23" fillId="33" borderId="13" xfId="0" applyNumberFormat="1" applyFont="1" applyFill="1" applyBorder="1" applyAlignment="1">
      <alignment vertical="center" wrapText="1"/>
    </xf>
    <xf numFmtId="0" fontId="23" fillId="33" borderId="13" xfId="0" applyFont="1" applyFill="1" applyBorder="1" applyAlignment="1">
      <alignment horizontal="left" vertical="center" wrapText="1"/>
    </xf>
    <xf numFmtId="3" fontId="23" fillId="33" borderId="13" xfId="0" applyNumberFormat="1" applyFont="1" applyFill="1" applyBorder="1" applyAlignment="1">
      <alignment vertical="center" wrapText="1"/>
    </xf>
    <xf numFmtId="0" fontId="22" fillId="0" borderId="13" xfId="0" applyFont="1" applyBorder="1"/>
    <xf numFmtId="49" fontId="22" fillId="0" borderId="13" xfId="0" applyNumberFormat="1" applyFont="1" applyBorder="1"/>
    <xf numFmtId="0" fontId="22" fillId="0" borderId="13" xfId="0" applyFont="1" applyBorder="1" applyAlignment="1">
      <alignment horizontal="left"/>
    </xf>
    <xf numFmtId="0" fontId="22" fillId="0" borderId="13" xfId="0" applyFont="1" applyBorder="1" applyAlignment="1">
      <alignment vertical="center" wrapText="1"/>
    </xf>
    <xf numFmtId="3" fontId="22" fillId="0" borderId="13" xfId="0" applyNumberFormat="1" applyFont="1" applyBorder="1"/>
    <xf numFmtId="165" fontId="22" fillId="0" borderId="13" xfId="53" applyNumberFormat="1" applyFont="1" applyBorder="1"/>
    <xf numFmtId="0" fontId="23" fillId="0" borderId="14" xfId="0" applyFont="1" applyBorder="1"/>
    <xf numFmtId="0" fontId="24" fillId="0" borderId="0" xfId="0" applyFont="1"/>
    <xf numFmtId="0" fontId="22" fillId="34" borderId="0" xfId="0" applyFont="1" applyFill="1"/>
    <xf numFmtId="0" fontId="22" fillId="35" borderId="0" xfId="0" applyFont="1" applyFill="1"/>
    <xf numFmtId="3" fontId="22" fillId="36" borderId="13" xfId="0" applyNumberFormat="1" applyFont="1" applyFill="1" applyBorder="1"/>
    <xf numFmtId="0" fontId="22" fillId="0" borderId="14" xfId="0" applyFont="1" applyBorder="1"/>
    <xf numFmtId="0" fontId="22" fillId="36" borderId="15" xfId="0" applyFont="1" applyFill="1" applyBorder="1"/>
    <xf numFmtId="9" fontId="22" fillId="36" borderId="15" xfId="0" applyNumberFormat="1" applyFont="1" applyFill="1" applyBorder="1"/>
    <xf numFmtId="0" fontId="25" fillId="0" borderId="0" xfId="0" applyFont="1"/>
    <xf numFmtId="3" fontId="22" fillId="0" borderId="0" xfId="0" applyNumberFormat="1" applyFont="1"/>
    <xf numFmtId="0" fontId="27" fillId="0" borderId="0" xfId="0" applyFont="1"/>
    <xf numFmtId="4" fontId="27" fillId="0" borderId="0" xfId="0" applyNumberFormat="1" applyFont="1"/>
    <xf numFmtId="0" fontId="27" fillId="0" borderId="14" xfId="0" applyFont="1" applyBorder="1"/>
    <xf numFmtId="0" fontId="27" fillId="0" borderId="16" xfId="0" applyFont="1" applyBorder="1"/>
    <xf numFmtId="9" fontId="27" fillId="0" borderId="17" xfId="0" applyNumberFormat="1" applyFont="1" applyBorder="1"/>
    <xf numFmtId="0" fontId="27" fillId="0" borderId="17" xfId="0" applyFont="1" applyBorder="1"/>
    <xf numFmtId="0" fontId="27" fillId="0" borderId="18" xfId="0" applyFont="1" applyBorder="1"/>
    <xf numFmtId="0" fontId="27" fillId="0" borderId="19" xfId="0" applyFont="1" applyBorder="1"/>
    <xf numFmtId="14" fontId="27" fillId="0" borderId="14" xfId="0" applyNumberFormat="1" applyFont="1" applyBorder="1"/>
    <xf numFmtId="0" fontId="27" fillId="0" borderId="20" xfId="0" applyFont="1" applyBorder="1"/>
    <xf numFmtId="0" fontId="28" fillId="0" borderId="0" xfId="0" applyFont="1"/>
    <xf numFmtId="0" fontId="31" fillId="0" borderId="0" xfId="55" applyFont="1"/>
    <xf numFmtId="4" fontId="32" fillId="0" borderId="0" xfId="0" applyNumberFormat="1" applyFont="1"/>
    <xf numFmtId="0" fontId="28" fillId="0" borderId="14" xfId="0" applyFont="1" applyBorder="1"/>
    <xf numFmtId="0" fontId="30" fillId="0" borderId="14" xfId="55" applyFont="1" applyBorder="1"/>
    <xf numFmtId="0" fontId="34" fillId="0" borderId="0" xfId="0" applyFont="1"/>
    <xf numFmtId="0" fontId="35" fillId="0" borderId="0" xfId="0" applyFont="1"/>
    <xf numFmtId="0" fontId="27" fillId="0" borderId="21" xfId="0" applyFont="1" applyBorder="1"/>
    <xf numFmtId="0" fontId="27" fillId="0" borderId="22" xfId="0" applyFont="1" applyBorder="1"/>
    <xf numFmtId="0" fontId="28" fillId="0" borderId="16" xfId="0" applyFont="1" applyBorder="1"/>
    <xf numFmtId="0" fontId="28" fillId="0" borderId="18" xfId="0" applyFont="1" applyBorder="1"/>
    <xf numFmtId="0" fontId="27" fillId="0" borderId="14" xfId="0" applyFont="1" applyBorder="1" applyAlignment="1">
      <alignment horizontal="left"/>
    </xf>
    <xf numFmtId="0" fontId="28" fillId="0" borderId="14" xfId="0" applyFont="1" applyBorder="1" applyAlignment="1">
      <alignment horizontal="right"/>
    </xf>
    <xf numFmtId="0" fontId="28" fillId="0" borderId="14" xfId="0" applyFont="1" applyBorder="1" applyAlignment="1">
      <alignment horizontal="left"/>
    </xf>
    <xf numFmtId="0" fontId="30" fillId="0" borderId="19" xfId="55" applyFont="1" applyBorder="1"/>
    <xf numFmtId="0" fontId="30" fillId="0" borderId="20" xfId="55" applyFont="1" applyBorder="1"/>
    <xf numFmtId="0" fontId="29" fillId="33" borderId="21" xfId="55" applyFont="1" applyFill="1" applyBorder="1"/>
    <xf numFmtId="0" fontId="29" fillId="33" borderId="0" xfId="55" applyFont="1" applyFill="1"/>
    <xf numFmtId="3" fontId="29" fillId="33" borderId="0" xfId="55" applyNumberFormat="1" applyFont="1" applyFill="1"/>
    <xf numFmtId="0" fontId="27" fillId="33" borderId="0" xfId="0" applyFont="1" applyFill="1"/>
    <xf numFmtId="4" fontId="27" fillId="33" borderId="0" xfId="0" applyNumberFormat="1" applyFont="1" applyFill="1"/>
    <xf numFmtId="4" fontId="29" fillId="33" borderId="0" xfId="55" applyNumberFormat="1" applyFont="1" applyFill="1"/>
    <xf numFmtId="4" fontId="29" fillId="33" borderId="22" xfId="55" applyNumberFormat="1" applyFont="1" applyFill="1" applyBorder="1"/>
    <xf numFmtId="0" fontId="29" fillId="0" borderId="21" xfId="55" applyFont="1" applyBorder="1"/>
    <xf numFmtId="0" fontId="29" fillId="0" borderId="0" xfId="55" applyFont="1"/>
    <xf numFmtId="3" fontId="29" fillId="0" borderId="0" xfId="55" applyNumberFormat="1" applyFont="1"/>
    <xf numFmtId="4" fontId="29" fillId="0" borderId="0" xfId="55" applyNumberFormat="1" applyFont="1"/>
    <xf numFmtId="4" fontId="29" fillId="0" borderId="22" xfId="55" applyNumberFormat="1" applyFont="1" applyBorder="1"/>
    <xf numFmtId="0" fontId="30" fillId="0" borderId="21" xfId="55" applyFont="1" applyBorder="1"/>
    <xf numFmtId="0" fontId="30" fillId="0" borderId="0" xfId="55" applyFont="1"/>
    <xf numFmtId="3" fontId="30" fillId="0" borderId="0" xfId="55" applyNumberFormat="1" applyFont="1"/>
    <xf numFmtId="4" fontId="30" fillId="0" borderId="0" xfId="55" applyNumberFormat="1" applyFont="1"/>
    <xf numFmtId="4" fontId="30" fillId="0" borderId="22" xfId="55" applyNumberFormat="1" applyFont="1" applyBorder="1"/>
    <xf numFmtId="0" fontId="28" fillId="0" borderId="21" xfId="0" applyFont="1" applyBorder="1"/>
    <xf numFmtId="0" fontId="29" fillId="0" borderId="19" xfId="55" applyFont="1" applyBorder="1"/>
    <xf numFmtId="4" fontId="27" fillId="33" borderId="0" xfId="0" applyNumberFormat="1" applyFont="1" applyFill="1" applyAlignment="1">
      <alignment horizontal="left"/>
    </xf>
    <xf numFmtId="0" fontId="31" fillId="0" borderId="21" xfId="55" applyFont="1" applyBorder="1"/>
    <xf numFmtId="4" fontId="32" fillId="0" borderId="14" xfId="0" applyNumberFormat="1" applyFont="1" applyBorder="1"/>
    <xf numFmtId="0" fontId="33" fillId="0" borderId="16" xfId="0" applyFont="1" applyBorder="1"/>
    <xf numFmtId="4" fontId="32" fillId="0" borderId="17" xfId="0" applyNumberFormat="1" applyFont="1" applyBorder="1"/>
    <xf numFmtId="0" fontId="29" fillId="36" borderId="0" xfId="55" applyFont="1" applyFill="1"/>
    <xf numFmtId="0" fontId="28" fillId="0" borderId="19" xfId="0" applyFont="1" applyBorder="1"/>
    <xf numFmtId="0" fontId="32" fillId="0" borderId="21" xfId="0" applyFont="1" applyBorder="1"/>
    <xf numFmtId="0" fontId="32" fillId="0" borderId="0" xfId="0" applyFont="1"/>
    <xf numFmtId="0" fontId="27" fillId="33" borderId="21" xfId="0" applyFont="1" applyFill="1" applyBorder="1"/>
    <xf numFmtId="4" fontId="28" fillId="0" borderId="0" xfId="0" applyNumberFormat="1" applyFont="1"/>
    <xf numFmtId="0" fontId="36" fillId="0" borderId="0" xfId="0" applyFont="1"/>
    <xf numFmtId="0" fontId="37" fillId="0" borderId="0" xfId="0" applyFont="1"/>
    <xf numFmtId="0" fontId="38" fillId="0" borderId="0" xfId="55" applyFont="1"/>
    <xf numFmtId="0" fontId="39" fillId="0" borderId="14" xfId="0" applyFont="1" applyBorder="1" applyAlignment="1">
      <alignment horizontal="left"/>
    </xf>
    <xf numFmtId="4" fontId="39" fillId="33" borderId="0" xfId="0" applyNumberFormat="1" applyFont="1" applyFill="1" applyAlignment="1">
      <alignment horizontal="left"/>
    </xf>
    <xf numFmtId="4" fontId="40" fillId="0" borderId="0" xfId="0" applyNumberFormat="1" applyFont="1"/>
    <xf numFmtId="0" fontId="28" fillId="0" borderId="20" xfId="0" applyFont="1" applyBorder="1"/>
    <xf numFmtId="4" fontId="32" fillId="0" borderId="22" xfId="0" applyNumberFormat="1" applyFont="1" applyBorder="1"/>
    <xf numFmtId="4" fontId="27" fillId="33" borderId="22" xfId="0" applyNumberFormat="1" applyFont="1" applyFill="1" applyBorder="1"/>
    <xf numFmtId="4" fontId="28" fillId="0" borderId="22" xfId="0" applyNumberFormat="1" applyFont="1" applyBorder="1"/>
    <xf numFmtId="0" fontId="25" fillId="0" borderId="24" xfId="0" applyFont="1" applyBorder="1" applyAlignment="1">
      <alignment vertical="center" wrapText="1"/>
    </xf>
    <xf numFmtId="0" fontId="0" fillId="0" borderId="24" xfId="0" applyBorder="1" applyAlignment="1">
      <alignment vertical="center" wrapText="1"/>
    </xf>
    <xf numFmtId="0" fontId="0" fillId="0" borderId="0" xfId="0"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41" fillId="0" borderId="24" xfId="0" applyFont="1" applyBorder="1" applyAlignment="1">
      <alignment vertical="center" wrapText="1"/>
    </xf>
    <xf numFmtId="0" fontId="42" fillId="0" borderId="24" xfId="0" applyFont="1" applyBorder="1" applyAlignment="1">
      <alignment vertical="center" wrapText="1"/>
    </xf>
    <xf numFmtId="9" fontId="22" fillId="36" borderId="15" xfId="0" applyNumberFormat="1" applyFont="1" applyFill="1" applyBorder="1" applyAlignment="1">
      <alignment vertical="center" wrapText="1"/>
    </xf>
    <xf numFmtId="0" fontId="22" fillId="36" borderId="15" xfId="0" applyFont="1" applyFill="1" applyBorder="1" applyAlignment="1">
      <alignment vertical="center" wrapText="1"/>
    </xf>
    <xf numFmtId="14" fontId="22" fillId="36" borderId="15" xfId="0" applyNumberFormat="1" applyFont="1" applyFill="1" applyBorder="1" applyAlignment="1">
      <alignment vertical="center" wrapText="1"/>
    </xf>
    <xf numFmtId="0" fontId="42" fillId="0" borderId="0" xfId="0" applyFont="1" applyAlignment="1">
      <alignment vertical="center" wrapText="1"/>
    </xf>
    <xf numFmtId="0" fontId="29" fillId="33" borderId="21" xfId="55" applyFont="1" applyFill="1" applyBorder="1" applyAlignment="1">
      <alignment vertical="center" wrapText="1"/>
    </xf>
    <xf numFmtId="0" fontId="29" fillId="33" borderId="0" xfId="55" applyFont="1" applyFill="1" applyAlignment="1">
      <alignment vertical="center" wrapText="1"/>
    </xf>
    <xf numFmtId="0" fontId="43" fillId="0" borderId="0" xfId="0" applyFont="1"/>
    <xf numFmtId="0" fontId="43" fillId="0" borderId="23" xfId="0" applyFont="1" applyBorder="1"/>
    <xf numFmtId="0" fontId="44" fillId="0" borderId="0" xfId="0" applyFont="1"/>
    <xf numFmtId="0" fontId="0" fillId="0" borderId="0" xfId="0" applyAlignment="1">
      <alignment horizontal="left"/>
    </xf>
    <xf numFmtId="0" fontId="0" fillId="0" borderId="0" xfId="0" applyAlignment="1">
      <alignment horizontal="right"/>
    </xf>
    <xf numFmtId="9" fontId="0" fillId="0" borderId="0" xfId="0" applyNumberFormat="1" applyAlignment="1">
      <alignment horizontal="right"/>
    </xf>
    <xf numFmtId="0" fontId="45" fillId="0" borderId="0" xfId="0" applyFont="1"/>
    <xf numFmtId="0" fontId="0" fillId="37" borderId="0" xfId="0" applyFill="1" applyAlignment="1">
      <alignment horizontal="right"/>
    </xf>
    <xf numFmtId="1" fontId="0" fillId="37" borderId="0" xfId="0" applyNumberFormat="1" applyFill="1" applyAlignment="1">
      <alignment horizontal="right"/>
    </xf>
    <xf numFmtId="0" fontId="43" fillId="0" borderId="14" xfId="0" applyFont="1" applyBorder="1" applyAlignment="1">
      <alignment horizontal="right"/>
    </xf>
    <xf numFmtId="0" fontId="0" fillId="0" borderId="14" xfId="0" applyBorder="1" applyAlignment="1">
      <alignment horizontal="right"/>
    </xf>
    <xf numFmtId="0" fontId="43" fillId="0" borderId="0" xfId="0" applyFont="1" applyAlignment="1">
      <alignment horizontal="right"/>
    </xf>
    <xf numFmtId="0" fontId="30" fillId="0" borderId="14" xfId="55" applyFont="1" applyBorder="1" applyAlignment="1">
      <alignment horizontal="right" vertical="top" wrapText="1"/>
    </xf>
    <xf numFmtId="0" fontId="42" fillId="0" borderId="0" xfId="0" applyFont="1" applyAlignment="1">
      <alignment horizontal="right" vertical="top" wrapText="1"/>
    </xf>
    <xf numFmtId="0" fontId="0" fillId="0" borderId="0" xfId="0" applyAlignment="1">
      <alignment horizontal="right" vertical="top" wrapText="1"/>
    </xf>
    <xf numFmtId="0" fontId="30" fillId="0" borderId="25" xfId="55" applyFont="1" applyBorder="1" applyAlignment="1">
      <alignment horizontal="right" vertical="top" wrapText="1"/>
    </xf>
    <xf numFmtId="0" fontId="28" fillId="0" borderId="23" xfId="0" applyFont="1" applyBorder="1" applyAlignment="1">
      <alignment horizontal="right" vertical="top" wrapText="1"/>
    </xf>
    <xf numFmtId="0" fontId="28" fillId="0" borderId="26" xfId="0" applyFont="1" applyBorder="1" applyAlignment="1">
      <alignment horizontal="right" vertical="top" wrapText="1"/>
    </xf>
    <xf numFmtId="3" fontId="29" fillId="33" borderId="21" xfId="55" applyNumberFormat="1" applyFont="1" applyFill="1" applyBorder="1" applyAlignment="1">
      <alignment vertical="center" wrapText="1"/>
    </xf>
    <xf numFmtId="0" fontId="27" fillId="33" borderId="0" xfId="0" applyFont="1" applyFill="1" applyAlignment="1">
      <alignment vertical="center" wrapText="1"/>
    </xf>
    <xf numFmtId="0" fontId="27" fillId="33" borderId="22" xfId="0" applyFont="1" applyFill="1" applyBorder="1" applyAlignment="1">
      <alignment vertical="center" wrapText="1"/>
    </xf>
    <xf numFmtId="0" fontId="30" fillId="0" borderId="23" xfId="55" applyFont="1" applyBorder="1" applyAlignment="1">
      <alignment horizontal="right" vertical="top" wrapText="1"/>
    </xf>
    <xf numFmtId="0" fontId="30" fillId="0" borderId="26" xfId="55" applyFont="1" applyBorder="1" applyAlignment="1">
      <alignment horizontal="right" vertical="top" wrapText="1"/>
    </xf>
    <xf numFmtId="0" fontId="30" fillId="0" borderId="19" xfId="55" applyFont="1" applyBorder="1" applyAlignment="1">
      <alignment horizontal="left" vertical="top" wrapText="1"/>
    </xf>
    <xf numFmtId="0" fontId="30" fillId="0" borderId="14" xfId="55" applyFont="1" applyBorder="1" applyAlignment="1">
      <alignment horizontal="left" vertical="top" wrapText="1"/>
    </xf>
    <xf numFmtId="0" fontId="30" fillId="0" borderId="19" xfId="55" applyFont="1" applyBorder="1" applyAlignment="1">
      <alignment vertical="top" wrapText="1"/>
    </xf>
    <xf numFmtId="0" fontId="30" fillId="0" borderId="14" xfId="55" applyFont="1" applyBorder="1" applyAlignment="1">
      <alignment vertical="top" wrapText="1"/>
    </xf>
    <xf numFmtId="0" fontId="0" fillId="0" borderId="0" xfId="0" applyAlignment="1">
      <alignment vertical="top" wrapText="1"/>
    </xf>
    <xf numFmtId="3" fontId="29" fillId="33" borderId="0" xfId="55" applyNumberFormat="1" applyFont="1" applyFill="1" applyAlignment="1">
      <alignment vertical="center" wrapText="1"/>
    </xf>
    <xf numFmtId="0" fontId="37" fillId="0" borderId="0" xfId="0" applyFont="1" applyAlignment="1">
      <alignment horizontal="left" vertical="center"/>
    </xf>
    <xf numFmtId="3" fontId="27" fillId="33" borderId="0" xfId="0" applyNumberFormat="1" applyFont="1" applyFill="1" applyAlignment="1">
      <alignment vertical="center" wrapText="1"/>
    </xf>
    <xf numFmtId="3" fontId="27" fillId="33" borderId="22" xfId="0" applyNumberFormat="1" applyFont="1" applyFill="1" applyBorder="1" applyAlignment="1">
      <alignment vertical="center" wrapText="1"/>
    </xf>
    <xf numFmtId="3" fontId="29" fillId="33" borderId="22" xfId="55" applyNumberFormat="1" applyFont="1" applyFill="1" applyBorder="1" applyAlignment="1">
      <alignment vertical="center" wrapText="1"/>
    </xf>
    <xf numFmtId="0" fontId="47" fillId="38" borderId="0" xfId="0" applyFont="1" applyFill="1" applyAlignment="1">
      <alignment vertical="center" wrapText="1"/>
    </xf>
    <xf numFmtId="0" fontId="0" fillId="0" borderId="0" xfId="0" applyAlignment="1">
      <alignment vertical="center"/>
    </xf>
    <xf numFmtId="0" fontId="36" fillId="0" borderId="0" xfId="0" applyFont="1" applyAlignment="1">
      <alignment vertical="center"/>
    </xf>
    <xf numFmtId="3" fontId="48" fillId="33" borderId="22" xfId="55" applyNumberFormat="1" applyFont="1" applyFill="1" applyBorder="1" applyAlignment="1">
      <alignment vertical="center" wrapText="1"/>
    </xf>
    <xf numFmtId="0" fontId="43" fillId="0" borderId="14" xfId="0" applyFont="1" applyBorder="1" applyAlignment="1">
      <alignment vertical="center"/>
    </xf>
    <xf numFmtId="3" fontId="50" fillId="33" borderId="22" xfId="55" applyNumberFormat="1" applyFont="1" applyFill="1" applyBorder="1" applyAlignment="1">
      <alignment vertical="center" wrapText="1"/>
    </xf>
    <xf numFmtId="3" fontId="40" fillId="33" borderId="0" xfId="55" applyNumberFormat="1" applyFont="1" applyFill="1" applyAlignment="1">
      <alignment vertical="center" wrapText="1"/>
    </xf>
    <xf numFmtId="0" fontId="0" fillId="0" borderId="16" xfId="0" applyBorder="1" applyAlignment="1">
      <alignment vertical="center"/>
    </xf>
    <xf numFmtId="0" fontId="0" fillId="0" borderId="17" xfId="0" applyBorder="1" applyAlignment="1">
      <alignment vertical="center"/>
    </xf>
    <xf numFmtId="0" fontId="43" fillId="0" borderId="17" xfId="0" applyFont="1" applyBorder="1" applyAlignment="1">
      <alignment vertical="center"/>
    </xf>
    <xf numFmtId="0" fontId="43" fillId="0" borderId="23" xfId="0" applyFont="1" applyBorder="1" applyAlignment="1">
      <alignment horizontal="right"/>
    </xf>
    <xf numFmtId="0" fontId="0" fillId="0" borderId="18" xfId="0" applyBorder="1" applyAlignment="1">
      <alignment vertical="center"/>
    </xf>
    <xf numFmtId="0" fontId="0" fillId="0" borderId="21" xfId="0" applyBorder="1" applyAlignment="1">
      <alignment vertical="center"/>
    </xf>
    <xf numFmtId="3" fontId="0" fillId="0" borderId="0" xfId="0" applyNumberFormat="1" applyAlignment="1">
      <alignment vertical="center"/>
    </xf>
    <xf numFmtId="166" fontId="4" fillId="37" borderId="0" xfId="54" applyNumberFormat="1" applyFill="1" applyBorder="1" applyAlignment="1">
      <alignment horizontal="right"/>
    </xf>
    <xf numFmtId="0" fontId="0" fillId="0" borderId="22" xfId="0" applyBorder="1" applyAlignment="1">
      <alignment vertical="center"/>
    </xf>
    <xf numFmtId="0" fontId="43" fillId="0" borderId="0" xfId="0" applyFont="1" applyAlignment="1">
      <alignment vertical="center"/>
    </xf>
    <xf numFmtId="166" fontId="4" fillId="0" borderId="0" xfId="54" applyNumberFormat="1" applyBorder="1" applyAlignment="1">
      <alignment vertical="center"/>
    </xf>
    <xf numFmtId="0" fontId="0" fillId="0" borderId="21" xfId="0" applyBorder="1" applyAlignment="1">
      <alignment vertical="center" wrapText="1"/>
    </xf>
    <xf numFmtId="167" fontId="0" fillId="0" borderId="0" xfId="0" applyNumberFormat="1" applyAlignment="1">
      <alignment vertical="center" wrapText="1"/>
    </xf>
    <xf numFmtId="0" fontId="0" fillId="0" borderId="22" xfId="0" applyBorder="1" applyAlignment="1">
      <alignment vertical="center" wrapText="1"/>
    </xf>
    <xf numFmtId="0" fontId="0" fillId="0" borderId="19" xfId="0" applyBorder="1" applyAlignment="1">
      <alignment vertical="center" wrapText="1"/>
    </xf>
    <xf numFmtId="0" fontId="0" fillId="0" borderId="14" xfId="0" applyBorder="1" applyAlignment="1">
      <alignment vertical="center" wrapText="1"/>
    </xf>
    <xf numFmtId="3" fontId="0" fillId="0" borderId="14" xfId="0" applyNumberFormat="1" applyBorder="1" applyAlignment="1">
      <alignment vertical="center" wrapText="1"/>
    </xf>
    <xf numFmtId="166" fontId="4" fillId="0" borderId="14" xfId="54" applyNumberFormat="1" applyBorder="1" applyAlignment="1">
      <alignment vertical="center" wrapText="1"/>
    </xf>
    <xf numFmtId="166" fontId="4" fillId="37" borderId="14" xfId="54" applyNumberFormat="1" applyFill="1" applyBorder="1" applyAlignment="1">
      <alignment horizontal="right"/>
    </xf>
    <xf numFmtId="166" fontId="51" fillId="37" borderId="14" xfId="54" applyNumberFormat="1" applyFont="1" applyFill="1" applyBorder="1" applyAlignment="1">
      <alignment horizontal="right"/>
    </xf>
    <xf numFmtId="0" fontId="0" fillId="0" borderId="20" xfId="0" applyBorder="1" applyAlignment="1">
      <alignment vertical="center" wrapText="1"/>
    </xf>
    <xf numFmtId="0" fontId="0" fillId="0" borderId="0" xfId="0" applyAlignment="1">
      <alignment horizontal="right" vertical="center"/>
    </xf>
    <xf numFmtId="166" fontId="52" fillId="37" borderId="0" xfId="54" applyNumberFormat="1" applyFont="1" applyFill="1" applyBorder="1" applyAlignment="1">
      <alignment horizontal="right"/>
    </xf>
    <xf numFmtId="3" fontId="53" fillId="33" borderId="0" xfId="55" applyNumberFormat="1" applyFont="1" applyFill="1" applyAlignment="1">
      <alignment vertical="center" wrapText="1"/>
    </xf>
    <xf numFmtId="0" fontId="0" fillId="0" borderId="0" xfId="0" quotePrefix="1"/>
    <xf numFmtId="0" fontId="45" fillId="0" borderId="21" xfId="0" applyFont="1" applyBorder="1"/>
    <xf numFmtId="0" fontId="0" fillId="0" borderId="21" xfId="0" applyBorder="1"/>
    <xf numFmtId="164" fontId="4" fillId="37" borderId="0" xfId="54" applyFill="1" applyAlignment="1">
      <alignment horizontal="right"/>
    </xf>
    <xf numFmtId="2" fontId="0" fillId="0" borderId="0" xfId="0" applyNumberFormat="1" applyAlignment="1">
      <alignment horizontal="right"/>
    </xf>
    <xf numFmtId="0" fontId="49" fillId="39" borderId="14" xfId="0" applyFont="1" applyFill="1" applyBorder="1" applyAlignment="1">
      <alignment horizontal="center" vertical="center" wrapText="1"/>
    </xf>
    <xf numFmtId="0" fontId="0" fillId="36" borderId="14" xfId="0" applyFill="1" applyBorder="1" applyAlignment="1">
      <alignment horizontal="center" vertical="center" wrapText="1"/>
    </xf>
    <xf numFmtId="0" fontId="0" fillId="33" borderId="14" xfId="0" applyFill="1" applyBorder="1" applyAlignment="1">
      <alignment horizontal="center" vertical="center" wrapText="1"/>
    </xf>
  </cellXfs>
  <cellStyles count="56">
    <cellStyle name="_Meta Data Content" xfId="48" xr:uid="{C40E1D37-404B-45A0-B820-FEB526A4F37A}"/>
    <cellStyle name="_Meta Data Copyright" xfId="52" xr:uid="{91CEAD18-29F0-4A90-9F29-93C506258202}"/>
    <cellStyle name="_Meta Data Heading" xfId="47" xr:uid="{2486B25D-F5FF-4DAB-819C-FC38D98AF132}"/>
    <cellStyle name="_Revision Table Header" xfId="49" xr:uid="{B930ED5C-8A37-4214-91F8-0D70EBC3D42A}"/>
    <cellStyle name="_Revision Table Last Row" xfId="51" xr:uid="{C86E9122-5F36-44F6-A278-56260A577E06}"/>
    <cellStyle name="_Revision Table Row" xfId="50" xr:uid="{BCB6EAD3-0C23-4F6D-83C7-FCD83AE23C4D}"/>
    <cellStyle name="20% - Accent1" xfId="24" builtinId="30" hidden="1"/>
    <cellStyle name="20% - Accent2" xfId="28" builtinId="34" hidden="1"/>
    <cellStyle name="20% - Accent3" xfId="32" builtinId="38" hidden="1"/>
    <cellStyle name="20% - Accent4" xfId="36" builtinId="42" hidden="1"/>
    <cellStyle name="20% - Accent5" xfId="40" builtinId="46" hidden="1"/>
    <cellStyle name="20% - Accent6" xfId="44" builtinId="50" hidden="1"/>
    <cellStyle name="40% - Accent1" xfId="25" builtinId="31" hidden="1"/>
    <cellStyle name="40% - Accent2" xfId="29" builtinId="35" hidden="1"/>
    <cellStyle name="40% - Accent3" xfId="33" builtinId="39" hidden="1"/>
    <cellStyle name="40% - Accent4" xfId="37" builtinId="43" hidden="1"/>
    <cellStyle name="40% - Accent5" xfId="41" builtinId="47" hidden="1"/>
    <cellStyle name="40% - Accent6" xfId="45" builtinId="51" hidden="1"/>
    <cellStyle name="60% - Accent1" xfId="26" builtinId="32" hidden="1"/>
    <cellStyle name="60% - Accent2" xfId="30" builtinId="36" hidden="1"/>
    <cellStyle name="60% - Accent3" xfId="34" builtinId="40" hidden="1"/>
    <cellStyle name="60% - Accent4" xfId="38" builtinId="44" hidden="1"/>
    <cellStyle name="60% - Accent5" xfId="42" builtinId="48" hidden="1"/>
    <cellStyle name="60% - Accent6" xfId="46" builtinId="52" hidden="1"/>
    <cellStyle name="Accent1" xfId="23" builtinId="29" hidden="1"/>
    <cellStyle name="Accent2" xfId="27" builtinId="33" hidden="1"/>
    <cellStyle name="Accent3" xfId="31" builtinId="37" hidden="1"/>
    <cellStyle name="Accent4" xfId="35" builtinId="41" hidden="1"/>
    <cellStyle name="Accent5" xfId="39" builtinId="45" hidden="1"/>
    <cellStyle name="Accent6" xfId="43" builtinId="49" hidden="1"/>
    <cellStyle name="Bad" xfId="12" builtinId="27" hidden="1"/>
    <cellStyle name="Calculation" xfId="16" builtinId="22" hidden="1"/>
    <cellStyle name="Check Cell" xfId="18" builtinId="23" hidden="1"/>
    <cellStyle name="Comma" xfId="1" builtinId="3" hidden="1"/>
    <cellStyle name="Comma" xfId="54" builtinId="3"/>
    <cellStyle name="Comma [0]" xfId="2" builtinId="6" hidden="1"/>
    <cellStyle name="Currency" xfId="3" builtinId="4" hidden="1"/>
    <cellStyle name="Currency [0]" xfId="4" builtinId="7" hidden="1"/>
    <cellStyle name="Explanatory Text" xfId="21" builtinId="53" hidden="1"/>
    <cellStyle name="Good" xfId="11" builtinId="26" hidden="1"/>
    <cellStyle name="Heading 1" xfId="7" builtinId="16" hidden="1"/>
    <cellStyle name="Heading 2" xfId="8" builtinId="17" hidden="1"/>
    <cellStyle name="Heading 3" xfId="9" builtinId="18" hidden="1"/>
    <cellStyle name="Heading 4" xfId="10" builtinId="19" hidden="1"/>
    <cellStyle name="Input" xfId="14" builtinId="20" hidden="1"/>
    <cellStyle name="Linked Cell" xfId="17" builtinId="24" hidden="1"/>
    <cellStyle name="Neutral" xfId="13" builtinId="28" hidden="1"/>
    <cellStyle name="Normal" xfId="0" builtinId="0" customBuiltin="1"/>
    <cellStyle name="Normal 2" xfId="55" xr:uid="{0A2C2971-DCBD-4661-B1B5-0DE09CFC5D15}"/>
    <cellStyle name="Note" xfId="20" builtinId="10" hidden="1"/>
    <cellStyle name="Output" xfId="15" builtinId="21" hidden="1"/>
    <cellStyle name="Percent" xfId="5" builtinId="5" hidden="1"/>
    <cellStyle name="Percent" xfId="53" builtinId="5"/>
    <cellStyle name="Title" xfId="6" builtinId="15" hidden="1"/>
    <cellStyle name="Total" xfId="22" builtinId="25" hidden="1"/>
    <cellStyle name="Warning Text" xfId="19" builtinId="11" hidden="1"/>
  </cellStyles>
  <dxfs count="5">
    <dxf>
      <font>
        <b/>
        <i val="0"/>
      </font>
    </dxf>
    <dxf>
      <font>
        <b/>
        <i val="0"/>
      </font>
    </dxf>
    <dxf>
      <border>
        <top style="thin">
          <color auto="1"/>
        </top>
      </border>
    </dxf>
    <dxf>
      <font>
        <b/>
        <i val="0"/>
      </font>
      <border>
        <bottom style="thin">
          <color auto="1"/>
        </bottom>
      </border>
    </dxf>
    <dxf>
      <fill>
        <patternFill>
          <bgColor theme="0"/>
        </patternFill>
      </fill>
      <border>
        <top style="medium">
          <color auto="1"/>
        </top>
        <bottom style="thin">
          <color auto="1"/>
        </bottom>
        <horizontal style="thin">
          <color rgb="FFA9A9A9"/>
        </horizontal>
      </border>
    </dxf>
  </dxfs>
  <tableStyles count="1" defaultTableStyle="ABB Table" defaultPivotStyle="PivotStyleLight16">
    <tableStyle name="ABB Table" pivot="0" count="5" xr9:uid="{8E05038B-35BD-4FCB-85F9-65B80D177C34}">
      <tableStyleElement type="wholeTable" dxfId="4"/>
      <tableStyleElement type="headerRow" dxfId="3"/>
      <tableStyleElement type="totalRow" dxfId="2"/>
      <tableStyleElement type="firstColumn" dxfId="1"/>
      <tableStyleElement type="lastColumn" dxfId="0"/>
    </tableStyle>
  </tableStyles>
  <colors>
    <mruColors>
      <color rgb="FFFF0000"/>
      <color rgb="FF9966FF"/>
      <color rgb="FFA9A9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6</xdr:col>
      <xdr:colOff>612588</xdr:colOff>
      <xdr:row>8</xdr:row>
      <xdr:rowOff>44823</xdr:rowOff>
    </xdr:from>
    <xdr:to>
      <xdr:col>9</xdr:col>
      <xdr:colOff>29882</xdr:colOff>
      <xdr:row>11</xdr:row>
      <xdr:rowOff>59764</xdr:rowOff>
    </xdr:to>
    <xdr:sp macro="" textlink="">
      <xdr:nvSpPr>
        <xdr:cNvPr id="2" name="Flowchart: Alternate Process 1">
          <a:extLst>
            <a:ext uri="{FF2B5EF4-FFF2-40B4-BE49-F238E27FC236}">
              <a16:creationId xmlns:a16="http://schemas.microsoft.com/office/drawing/2014/main" id="{5DA0151A-8A31-BF42-EB9C-DEF8FF16F03B}"/>
            </a:ext>
          </a:extLst>
        </xdr:cNvPr>
        <xdr:cNvSpPr/>
      </xdr:nvSpPr>
      <xdr:spPr>
        <a:xfrm>
          <a:off x="6947647" y="1501588"/>
          <a:ext cx="2009588" cy="485588"/>
        </a:xfrm>
        <a:prstGeom prst="flowChartAlternateProcess">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485588</xdr:colOff>
      <xdr:row>4</xdr:row>
      <xdr:rowOff>67236</xdr:rowOff>
    </xdr:from>
    <xdr:to>
      <xdr:col>10</xdr:col>
      <xdr:colOff>44824</xdr:colOff>
      <xdr:row>7</xdr:row>
      <xdr:rowOff>112059</xdr:rowOff>
    </xdr:to>
    <xdr:sp macro="" textlink="">
      <xdr:nvSpPr>
        <xdr:cNvPr id="3" name="Speech Bubble: Rectangle 2">
          <a:extLst>
            <a:ext uri="{FF2B5EF4-FFF2-40B4-BE49-F238E27FC236}">
              <a16:creationId xmlns:a16="http://schemas.microsoft.com/office/drawing/2014/main" id="{2D800CC2-544E-4C5B-C61B-B2ECF625D014}"/>
            </a:ext>
          </a:extLst>
        </xdr:cNvPr>
        <xdr:cNvSpPr/>
      </xdr:nvSpPr>
      <xdr:spPr>
        <a:xfrm>
          <a:off x="6820647" y="896471"/>
          <a:ext cx="2965824" cy="515470"/>
        </a:xfrm>
        <a:prstGeom prst="wedgeRectCallou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The split of the QTY in Rep. and Non Rep. is not</a:t>
          </a:r>
          <a:r>
            <a:rPr lang="en-US" sz="900" baseline="0">
              <a:solidFill>
                <a:schemeClr val="tx1"/>
              </a:solidFill>
            </a:rPr>
            <a:t> available in pur report. I added manually</a:t>
          </a:r>
          <a:endParaRPr lang="en-US" sz="900">
            <a:solidFill>
              <a:schemeClr val="tx1"/>
            </a:solidFill>
          </a:endParaRPr>
        </a:p>
      </xdr:txBody>
    </xdr:sp>
    <xdr:clientData/>
  </xdr:twoCellAnchor>
  <xdr:twoCellAnchor>
    <xdr:from>
      <xdr:col>10</xdr:col>
      <xdr:colOff>603250</xdr:colOff>
      <xdr:row>70</xdr:row>
      <xdr:rowOff>63500</xdr:rowOff>
    </xdr:from>
    <xdr:to>
      <xdr:col>13</xdr:col>
      <xdr:colOff>765736</xdr:colOff>
      <xdr:row>73</xdr:row>
      <xdr:rowOff>108323</xdr:rowOff>
    </xdr:to>
    <xdr:sp macro="" textlink="">
      <xdr:nvSpPr>
        <xdr:cNvPr id="4" name="Speech Bubble: Rectangle 3">
          <a:extLst>
            <a:ext uri="{FF2B5EF4-FFF2-40B4-BE49-F238E27FC236}">
              <a16:creationId xmlns:a16="http://schemas.microsoft.com/office/drawing/2014/main" id="{B6B8D40C-82E3-424F-B92E-ED3118A5A3C2}"/>
            </a:ext>
          </a:extLst>
        </xdr:cNvPr>
        <xdr:cNvSpPr/>
      </xdr:nvSpPr>
      <xdr:spPr>
        <a:xfrm>
          <a:off x="10782300" y="9791700"/>
          <a:ext cx="3166036" cy="521073"/>
        </a:xfrm>
        <a:prstGeom prst="wedgeRectCallout">
          <a:avLst>
            <a:gd name="adj1" fmla="val -22237"/>
            <a:gd name="adj2" fmla="val -76425"/>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The values of Impact NMI,</a:t>
          </a:r>
          <a:r>
            <a:rPr lang="en-US" sz="900" baseline="0">
              <a:solidFill>
                <a:schemeClr val="tx1"/>
              </a:solidFill>
            </a:rPr>
            <a:t> Total NMI new and Total Spend new correspnd to eth values calculate at LPGU and Supplier level above</a:t>
          </a:r>
          <a:endParaRPr lang="en-US" sz="900">
            <a:solidFill>
              <a:schemeClr val="tx1"/>
            </a:solidFill>
          </a:endParaRPr>
        </a:p>
      </xdr:txBody>
    </xdr:sp>
    <xdr:clientData/>
  </xdr:twoCellAnchor>
  <xdr:twoCellAnchor>
    <xdr:from>
      <xdr:col>6</xdr:col>
      <xdr:colOff>597647</xdr:colOff>
      <xdr:row>22</xdr:row>
      <xdr:rowOff>141942</xdr:rowOff>
    </xdr:from>
    <xdr:to>
      <xdr:col>9</xdr:col>
      <xdr:colOff>149412</xdr:colOff>
      <xdr:row>26</xdr:row>
      <xdr:rowOff>29883</xdr:rowOff>
    </xdr:to>
    <xdr:sp macro="" textlink="">
      <xdr:nvSpPr>
        <xdr:cNvPr id="5" name="Speech Bubble: Rectangle 4">
          <a:extLst>
            <a:ext uri="{FF2B5EF4-FFF2-40B4-BE49-F238E27FC236}">
              <a16:creationId xmlns:a16="http://schemas.microsoft.com/office/drawing/2014/main" id="{28A3FD21-BD90-48AA-878D-3723223EE1E6}"/>
            </a:ext>
          </a:extLst>
        </xdr:cNvPr>
        <xdr:cNvSpPr/>
      </xdr:nvSpPr>
      <xdr:spPr>
        <a:xfrm>
          <a:off x="7179235" y="3869766"/>
          <a:ext cx="2226236" cy="515470"/>
        </a:xfrm>
        <a:prstGeom prst="wedgeRectCallou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The formula caluclates the</a:t>
          </a:r>
          <a:r>
            <a:rPr lang="en-US" sz="900" baseline="0">
              <a:solidFill>
                <a:schemeClr val="tx1"/>
              </a:solidFill>
            </a:rPr>
            <a:t> number of months impacted i 2024 by the change of the prices</a:t>
          </a:r>
          <a:endParaRPr lang="en-US" sz="900">
            <a:solidFill>
              <a:schemeClr val="tx1"/>
            </a:solidFill>
          </a:endParaRPr>
        </a:p>
      </xdr:txBody>
    </xdr:sp>
    <xdr:clientData/>
  </xdr:twoCellAnchor>
</xdr:wsDr>
</file>

<file path=xl/theme/theme1.xml><?xml version="1.0" encoding="utf-8"?>
<a:theme xmlns:a="http://schemas.openxmlformats.org/drawingml/2006/main" name="Office Theme">
  <a:themeElements>
    <a:clrScheme name="ABB">
      <a:dk1>
        <a:srgbClr val="000000"/>
      </a:dk1>
      <a:lt1>
        <a:srgbClr val="FFFFFF"/>
      </a:lt1>
      <a:dk2>
        <a:srgbClr val="D90000"/>
      </a:dk2>
      <a:lt2>
        <a:srgbClr val="FF000F"/>
      </a:lt2>
      <a:accent1>
        <a:srgbClr val="262626"/>
      </a:accent1>
      <a:accent2>
        <a:srgbClr val="6E6E6E"/>
      </a:accent2>
      <a:accent3>
        <a:srgbClr val="A9A9A9"/>
      </a:accent3>
      <a:accent4>
        <a:srgbClr val="D2D2D2"/>
      </a:accent4>
      <a:accent5>
        <a:srgbClr val="F0F0F0"/>
      </a:accent5>
      <a:accent6>
        <a:srgbClr val="FAFAFA"/>
      </a:accent6>
      <a:hlink>
        <a:srgbClr val="A9A9A9"/>
      </a:hlink>
      <a:folHlink>
        <a:srgbClr val="6E6E6E"/>
      </a:folHlink>
    </a:clrScheme>
    <a:fontScheme name="ABB">
      <a:majorFont>
        <a:latin typeface="ABBvoice Medium"/>
        <a:ea typeface=""/>
        <a:cs typeface=""/>
      </a:majorFont>
      <a:minorFont>
        <a:latin typeface="ABBvoic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3673-463E-47A3-BDB8-5CFB31BE4FC9}">
  <dimension ref="A2:S46"/>
  <sheetViews>
    <sheetView topLeftCell="E18" zoomScale="85" zoomScaleNormal="85" workbookViewId="0">
      <selection activeCell="P41" sqref="P41"/>
    </sheetView>
  </sheetViews>
  <sheetFormatPr defaultColWidth="8.69921875" defaultRowHeight="12.6" x14ac:dyDescent="0.3"/>
  <cols>
    <col min="1" max="1" width="8.69921875" style="2" bestFit="1" customWidth="1"/>
    <col min="2" max="2" width="8.69921875" style="2"/>
    <col min="3" max="3" width="11.3984375" style="2" customWidth="1"/>
    <col min="4" max="4" width="8.69921875" style="2"/>
    <col min="5" max="5" width="5.69921875" style="2" customWidth="1"/>
    <col min="6" max="6" width="17.296875" style="2" customWidth="1"/>
    <col min="7" max="7" width="9.09765625" style="2" bestFit="1" customWidth="1"/>
    <col min="8" max="8" width="8.69921875" style="2"/>
    <col min="9" max="9" width="9.3984375" style="2" bestFit="1" customWidth="1"/>
    <col min="10" max="15" width="8.69921875" style="2"/>
    <col min="16" max="16" width="11.69921875" style="2" bestFit="1" customWidth="1"/>
    <col min="17" max="16384" width="8.69921875" style="2"/>
  </cols>
  <sheetData>
    <row r="2" spans="1:18" x14ac:dyDescent="0.3">
      <c r="A2" s="13" t="s">
        <v>0</v>
      </c>
      <c r="B2" s="13"/>
      <c r="C2" s="13"/>
      <c r="D2" s="13"/>
      <c r="E2" s="13"/>
      <c r="F2" s="13"/>
      <c r="G2" s="13"/>
      <c r="H2" s="13"/>
      <c r="I2" s="13"/>
      <c r="J2" s="13"/>
      <c r="L2" s="18" t="s">
        <v>1</v>
      </c>
      <c r="M2" s="18"/>
      <c r="N2" s="18"/>
      <c r="O2" s="18"/>
      <c r="P2" s="18"/>
      <c r="Q2" s="18"/>
    </row>
    <row r="3" spans="1:18" x14ac:dyDescent="0.3">
      <c r="A3" s="2" t="s">
        <v>2</v>
      </c>
      <c r="F3" s="2" t="s">
        <v>3</v>
      </c>
      <c r="G3" s="2" t="s">
        <v>4</v>
      </c>
    </row>
    <row r="4" spans="1:18" x14ac:dyDescent="0.3">
      <c r="A4" s="2" t="s">
        <v>5</v>
      </c>
      <c r="F4" s="2" t="s">
        <v>6</v>
      </c>
      <c r="L4" s="2" t="s">
        <v>7</v>
      </c>
      <c r="N4" s="20"/>
      <c r="P4" s="2" t="s">
        <v>8</v>
      </c>
      <c r="R4" s="20">
        <v>-0.16</v>
      </c>
    </row>
    <row r="5" spans="1:18" x14ac:dyDescent="0.3">
      <c r="A5" s="2" t="s">
        <v>9</v>
      </c>
      <c r="F5" s="14" t="s">
        <v>10</v>
      </c>
      <c r="L5" s="2" t="s">
        <v>11</v>
      </c>
      <c r="N5" s="19"/>
      <c r="P5" s="2" t="s">
        <v>12</v>
      </c>
      <c r="R5" s="19" t="s">
        <v>13</v>
      </c>
    </row>
    <row r="6" spans="1:18" x14ac:dyDescent="0.3">
      <c r="A6" s="2" t="s">
        <v>14</v>
      </c>
    </row>
    <row r="7" spans="1:18" x14ac:dyDescent="0.3">
      <c r="A7" s="2" t="s">
        <v>15</v>
      </c>
    </row>
    <row r="11" spans="1:18" x14ac:dyDescent="0.3">
      <c r="A11" s="16" t="s">
        <v>16</v>
      </c>
      <c r="B11" s="16"/>
      <c r="C11" s="16"/>
      <c r="D11" s="16"/>
      <c r="E11" s="16"/>
      <c r="F11" s="16"/>
      <c r="G11" s="16"/>
      <c r="H11" s="16"/>
      <c r="I11" s="16"/>
      <c r="J11" s="16"/>
      <c r="K11" s="16"/>
      <c r="L11" s="16"/>
      <c r="M11" s="16"/>
      <c r="N11" s="16"/>
      <c r="O11" s="15" t="s">
        <v>17</v>
      </c>
      <c r="P11" s="15"/>
      <c r="Q11" s="15"/>
    </row>
    <row r="12" spans="1:18" ht="37.799999999999997" x14ac:dyDescent="0.3">
      <c r="A12" s="3" t="s">
        <v>18</v>
      </c>
      <c r="B12" s="4" t="s">
        <v>19</v>
      </c>
      <c r="C12" s="3" t="s">
        <v>6</v>
      </c>
      <c r="D12" s="3" t="s">
        <v>20</v>
      </c>
      <c r="E12" s="3" t="s">
        <v>21</v>
      </c>
      <c r="F12" s="3" t="s">
        <v>15</v>
      </c>
      <c r="G12" s="5" t="s">
        <v>14</v>
      </c>
      <c r="H12" s="3" t="s">
        <v>22</v>
      </c>
      <c r="I12" s="3" t="s">
        <v>23</v>
      </c>
      <c r="J12" s="3" t="s">
        <v>5</v>
      </c>
      <c r="K12" s="3" t="s">
        <v>24</v>
      </c>
      <c r="L12" s="6" t="s">
        <v>25</v>
      </c>
      <c r="M12" s="6" t="s">
        <v>26</v>
      </c>
      <c r="N12" s="6" t="s">
        <v>27</v>
      </c>
      <c r="O12" s="6" t="s">
        <v>28</v>
      </c>
      <c r="P12" s="6" t="s">
        <v>29</v>
      </c>
      <c r="Q12" s="6" t="s">
        <v>30</v>
      </c>
    </row>
    <row r="13" spans="1:18" ht="25.2" x14ac:dyDescent="0.3">
      <c r="A13" s="7" t="s">
        <v>4</v>
      </c>
      <c r="B13" s="8" t="s">
        <v>31</v>
      </c>
      <c r="C13" s="7" t="s">
        <v>32</v>
      </c>
      <c r="D13" s="7" t="s">
        <v>33</v>
      </c>
      <c r="E13" s="7" t="s">
        <v>34</v>
      </c>
      <c r="F13" s="7" t="s">
        <v>35</v>
      </c>
      <c r="G13" s="9" t="s">
        <v>36</v>
      </c>
      <c r="H13" s="7" t="s">
        <v>37</v>
      </c>
      <c r="I13" s="7" t="s">
        <v>38</v>
      </c>
      <c r="J13" s="10" t="s">
        <v>39</v>
      </c>
      <c r="K13" s="7" t="s">
        <v>40</v>
      </c>
      <c r="L13" s="11">
        <v>100000</v>
      </c>
      <c r="M13" s="11">
        <v>5000</v>
      </c>
      <c r="N13" s="11">
        <v>500</v>
      </c>
      <c r="O13" s="17">
        <f t="shared" ref="O13:Q14" si="0">L13/5*12</f>
        <v>240000</v>
      </c>
      <c r="P13" s="17">
        <f t="shared" si="0"/>
        <v>12000</v>
      </c>
      <c r="Q13" s="17">
        <f t="shared" si="0"/>
        <v>1200</v>
      </c>
    </row>
    <row r="14" spans="1:18" ht="25.2" x14ac:dyDescent="0.3">
      <c r="A14" s="7" t="s">
        <v>4</v>
      </c>
      <c r="B14" s="8" t="s">
        <v>31</v>
      </c>
      <c r="C14" s="7" t="s">
        <v>32</v>
      </c>
      <c r="D14" s="7" t="s">
        <v>33</v>
      </c>
      <c r="E14" s="7" t="s">
        <v>34</v>
      </c>
      <c r="F14" s="7" t="s">
        <v>41</v>
      </c>
      <c r="G14" s="9" t="s">
        <v>42</v>
      </c>
      <c r="H14" s="7" t="s">
        <v>37</v>
      </c>
      <c r="I14" s="7" t="s">
        <v>38</v>
      </c>
      <c r="J14" s="10" t="s">
        <v>43</v>
      </c>
      <c r="K14" s="7" t="s">
        <v>44</v>
      </c>
      <c r="L14" s="11">
        <v>50000</v>
      </c>
      <c r="M14" s="11">
        <v>1000</v>
      </c>
      <c r="N14" s="11">
        <v>80</v>
      </c>
      <c r="O14" s="17">
        <f t="shared" si="0"/>
        <v>120000</v>
      </c>
      <c r="P14" s="17">
        <f t="shared" si="0"/>
        <v>2400</v>
      </c>
      <c r="Q14" s="17">
        <f t="shared" si="0"/>
        <v>192</v>
      </c>
    </row>
    <row r="15" spans="1:18" x14ac:dyDescent="0.3">
      <c r="A15" s="7"/>
      <c r="B15" s="8"/>
      <c r="C15" s="7"/>
      <c r="D15" s="7"/>
      <c r="E15" s="7"/>
      <c r="F15" s="7"/>
      <c r="G15" s="9"/>
      <c r="H15" s="7"/>
      <c r="I15" s="7"/>
      <c r="J15" s="10"/>
      <c r="K15" s="7"/>
      <c r="L15" s="11"/>
      <c r="M15" s="11"/>
      <c r="N15" s="11"/>
      <c r="O15" s="11"/>
      <c r="P15" s="12"/>
      <c r="Q15" s="11"/>
    </row>
    <row r="16" spans="1:18" x14ac:dyDescent="0.3">
      <c r="A16" s="7"/>
      <c r="B16" s="8"/>
      <c r="C16" s="7"/>
      <c r="D16" s="7"/>
      <c r="E16" s="7"/>
      <c r="F16" s="7"/>
      <c r="G16" s="9"/>
      <c r="H16" s="7"/>
      <c r="I16" s="7"/>
      <c r="J16" s="10"/>
      <c r="K16" s="7"/>
      <c r="L16" s="11"/>
      <c r="M16" s="11"/>
      <c r="N16" s="11"/>
      <c r="O16" s="11"/>
      <c r="P16" s="12"/>
      <c r="Q16" s="11"/>
    </row>
    <row r="17" spans="1:19" x14ac:dyDescent="0.3">
      <c r="A17" s="16" t="s">
        <v>16</v>
      </c>
      <c r="B17" s="16"/>
      <c r="C17" s="16"/>
      <c r="D17" s="16"/>
      <c r="E17" s="16"/>
      <c r="F17" s="16"/>
      <c r="G17" s="16"/>
      <c r="H17" s="16"/>
      <c r="I17" s="16"/>
      <c r="J17" s="16"/>
      <c r="K17" s="16"/>
      <c r="L17" s="16"/>
      <c r="M17" s="16"/>
      <c r="N17" s="16"/>
      <c r="O17" s="15" t="s">
        <v>17</v>
      </c>
      <c r="P17" s="15"/>
      <c r="Q17" s="15"/>
    </row>
    <row r="18" spans="1:19" ht="37.799999999999997" x14ac:dyDescent="0.3">
      <c r="A18" s="3" t="s">
        <v>18</v>
      </c>
      <c r="B18" s="4" t="s">
        <v>19</v>
      </c>
      <c r="C18" s="3" t="s">
        <v>6</v>
      </c>
      <c r="D18" s="3" t="s">
        <v>20</v>
      </c>
      <c r="E18" s="3" t="s">
        <v>21</v>
      </c>
      <c r="F18" s="3" t="s">
        <v>15</v>
      </c>
      <c r="G18" s="5" t="s">
        <v>14</v>
      </c>
      <c r="H18" s="3" t="s">
        <v>22</v>
      </c>
      <c r="I18" s="3" t="s">
        <v>23</v>
      </c>
      <c r="J18" s="3" t="s">
        <v>5</v>
      </c>
      <c r="K18" s="3" t="s">
        <v>24</v>
      </c>
      <c r="L18" s="6" t="s">
        <v>25</v>
      </c>
      <c r="M18" s="6" t="s">
        <v>26</v>
      </c>
      <c r="N18" s="6" t="s">
        <v>27</v>
      </c>
      <c r="O18" s="6" t="s">
        <v>28</v>
      </c>
      <c r="P18" s="6" t="s">
        <v>29</v>
      </c>
      <c r="Q18" s="6" t="s">
        <v>30</v>
      </c>
    </row>
    <row r="19" spans="1:19" ht="25.2" x14ac:dyDescent="0.3">
      <c r="A19" s="7" t="s">
        <v>4</v>
      </c>
      <c r="B19" s="8" t="s">
        <v>31</v>
      </c>
      <c r="C19" s="7" t="s">
        <v>32</v>
      </c>
      <c r="D19" s="7" t="s">
        <v>33</v>
      </c>
      <c r="E19" s="7" t="s">
        <v>34</v>
      </c>
      <c r="F19" s="7" t="s">
        <v>35</v>
      </c>
      <c r="G19" s="9" t="s">
        <v>36</v>
      </c>
      <c r="H19" s="7" t="s">
        <v>37</v>
      </c>
      <c r="I19" s="7" t="s">
        <v>38</v>
      </c>
      <c r="J19" s="10" t="s">
        <v>39</v>
      </c>
      <c r="K19" s="7" t="s">
        <v>40</v>
      </c>
      <c r="L19" s="11">
        <v>100000</v>
      </c>
      <c r="M19" s="11">
        <v>5000</v>
      </c>
      <c r="N19" s="11">
        <v>500</v>
      </c>
      <c r="O19" s="17">
        <f>(L19/5*12)-(L19/5)*5%</f>
        <v>239000</v>
      </c>
      <c r="P19" s="17">
        <f>M19/5*12</f>
        <v>12000</v>
      </c>
      <c r="Q19" s="17">
        <f>N19/5*12</f>
        <v>1200</v>
      </c>
      <c r="S19" s="2" t="s">
        <v>45</v>
      </c>
    </row>
    <row r="20" spans="1:19" ht="25.2" x14ac:dyDescent="0.3">
      <c r="A20" s="7" t="s">
        <v>4</v>
      </c>
      <c r="B20" s="8" t="s">
        <v>31</v>
      </c>
      <c r="C20" s="7" t="s">
        <v>32</v>
      </c>
      <c r="D20" s="7" t="s">
        <v>33</v>
      </c>
      <c r="E20" s="7" t="s">
        <v>34</v>
      </c>
      <c r="F20" s="7" t="s">
        <v>41</v>
      </c>
      <c r="G20" s="9" t="s">
        <v>42</v>
      </c>
      <c r="H20" s="7" t="s">
        <v>37</v>
      </c>
      <c r="I20" s="7" t="s">
        <v>38</v>
      </c>
      <c r="J20" s="10" t="s">
        <v>43</v>
      </c>
      <c r="K20" s="7" t="s">
        <v>44</v>
      </c>
      <c r="L20" s="11">
        <v>50000</v>
      </c>
      <c r="M20" s="11">
        <v>1000</v>
      </c>
      <c r="N20" s="11">
        <v>80</v>
      </c>
      <c r="O20" s="17">
        <f>(L20/5*12)-(L20/5)*5%</f>
        <v>119500</v>
      </c>
      <c r="P20" s="17">
        <f>M20/5*12</f>
        <v>2400</v>
      </c>
      <c r="Q20" s="17">
        <f>N20/5*12</f>
        <v>192</v>
      </c>
    </row>
    <row r="21" spans="1:19" x14ac:dyDescent="0.3">
      <c r="A21" s="7"/>
      <c r="B21" s="8"/>
      <c r="C21" s="7"/>
      <c r="D21" s="7"/>
      <c r="E21" s="7"/>
      <c r="F21" s="7"/>
      <c r="G21" s="9"/>
      <c r="H21" s="7"/>
      <c r="I21" s="7"/>
      <c r="J21" s="10"/>
      <c r="K21" s="7"/>
      <c r="L21" s="11"/>
      <c r="M21" s="11"/>
      <c r="N21" s="11"/>
      <c r="O21" s="11"/>
      <c r="P21" s="12"/>
      <c r="Q21" s="11"/>
    </row>
    <row r="22" spans="1:19" x14ac:dyDescent="0.3">
      <c r="A22" s="7"/>
      <c r="B22" s="8"/>
      <c r="C22" s="7"/>
      <c r="D22" s="7"/>
      <c r="E22" s="7"/>
      <c r="F22" s="7"/>
      <c r="G22" s="9"/>
      <c r="H22" s="7"/>
      <c r="I22" s="7"/>
      <c r="J22" s="10"/>
      <c r="K22" s="7"/>
      <c r="L22" s="11"/>
      <c r="M22" s="11"/>
      <c r="N22" s="11"/>
      <c r="O22" s="11"/>
      <c r="P22" s="12"/>
      <c r="Q22" s="11"/>
    </row>
    <row r="23" spans="1:19" x14ac:dyDescent="0.3">
      <c r="A23" s="7"/>
      <c r="B23" s="8"/>
      <c r="C23" s="7"/>
      <c r="D23" s="7"/>
      <c r="E23" s="7"/>
      <c r="F23" s="7"/>
      <c r="G23" s="9"/>
      <c r="H23" s="7"/>
      <c r="I23" s="7"/>
      <c r="J23" s="10"/>
      <c r="K23" s="7"/>
      <c r="L23" s="11"/>
      <c r="M23" s="11"/>
      <c r="N23" s="11"/>
      <c r="O23" s="11"/>
      <c r="P23" s="12"/>
      <c r="Q23" s="11"/>
    </row>
    <row r="24" spans="1:19" x14ac:dyDescent="0.3">
      <c r="A24" s="7"/>
      <c r="B24" s="8"/>
      <c r="C24" s="7"/>
      <c r="D24" s="7"/>
      <c r="E24" s="7"/>
      <c r="F24" s="7"/>
      <c r="G24" s="9"/>
      <c r="H24" s="7"/>
      <c r="I24" s="7"/>
      <c r="J24" s="10"/>
      <c r="K24" s="7"/>
      <c r="L24" s="11"/>
      <c r="M24" s="11"/>
      <c r="N24" s="11"/>
      <c r="O24" s="11"/>
      <c r="P24" s="12"/>
      <c r="Q24" s="11"/>
    </row>
    <row r="25" spans="1:19" x14ac:dyDescent="0.3">
      <c r="A25" s="7"/>
      <c r="B25" s="8"/>
      <c r="C25" s="7"/>
      <c r="D25" s="7"/>
      <c r="E25" s="7"/>
      <c r="F25" s="7"/>
      <c r="G25" s="9"/>
      <c r="H25" s="7"/>
      <c r="I25" s="7"/>
      <c r="J25" s="10"/>
      <c r="K25" s="7"/>
      <c r="L25" s="11"/>
      <c r="M25" s="11"/>
      <c r="N25" s="11"/>
      <c r="O25" s="11"/>
      <c r="P25" s="12"/>
      <c r="Q25" s="11"/>
    </row>
    <row r="26" spans="1:19" x14ac:dyDescent="0.3">
      <c r="A26" s="7"/>
      <c r="B26" s="8"/>
      <c r="C26" s="7"/>
      <c r="D26" s="7"/>
      <c r="E26" s="7"/>
      <c r="F26" s="7"/>
      <c r="G26" s="9"/>
      <c r="H26" s="7"/>
      <c r="I26" s="7"/>
      <c r="J26" s="10"/>
      <c r="K26" s="7"/>
      <c r="L26" s="11"/>
      <c r="M26" s="11"/>
      <c r="N26" s="11"/>
      <c r="O26" s="2" t="s">
        <v>8</v>
      </c>
      <c r="Q26" s="20">
        <v>-0.16</v>
      </c>
    </row>
    <row r="27" spans="1:19" x14ac:dyDescent="0.3">
      <c r="A27" s="7"/>
      <c r="B27" s="8"/>
      <c r="C27" s="7"/>
      <c r="D27" s="7"/>
      <c r="E27" s="7"/>
      <c r="F27" s="7"/>
      <c r="G27" s="9"/>
      <c r="H27" s="7"/>
      <c r="I27" s="7"/>
      <c r="J27" s="10"/>
      <c r="K27" s="7"/>
      <c r="L27" s="11"/>
      <c r="M27" s="11"/>
      <c r="N27" s="11"/>
      <c r="O27" s="2" t="s">
        <v>12</v>
      </c>
      <c r="Q27" s="19" t="s">
        <v>13</v>
      </c>
    </row>
    <row r="28" spans="1:19" x14ac:dyDescent="0.3">
      <c r="A28" s="16" t="s">
        <v>16</v>
      </c>
      <c r="B28" s="16"/>
      <c r="C28" s="16"/>
      <c r="D28" s="16"/>
      <c r="E28" s="16"/>
      <c r="F28" s="16"/>
      <c r="G28" s="16"/>
      <c r="H28" s="16"/>
      <c r="I28" s="16"/>
      <c r="J28" s="16"/>
      <c r="K28" s="16"/>
      <c r="L28" s="16"/>
      <c r="M28" s="16"/>
      <c r="N28" s="16"/>
      <c r="O28" s="15" t="s">
        <v>17</v>
      </c>
      <c r="P28" s="15"/>
      <c r="Q28" s="15"/>
    </row>
    <row r="29" spans="1:19" ht="37.799999999999997" x14ac:dyDescent="0.3">
      <c r="A29" s="3" t="s">
        <v>18</v>
      </c>
      <c r="B29" s="4" t="s">
        <v>19</v>
      </c>
      <c r="C29" s="3" t="s">
        <v>6</v>
      </c>
      <c r="D29" s="3" t="s">
        <v>20</v>
      </c>
      <c r="E29" s="3" t="s">
        <v>21</v>
      </c>
      <c r="F29" s="3" t="s">
        <v>15</v>
      </c>
      <c r="G29" s="5" t="s">
        <v>14</v>
      </c>
      <c r="H29" s="3" t="s">
        <v>22</v>
      </c>
      <c r="I29" s="3" t="s">
        <v>23</v>
      </c>
      <c r="J29" s="3" t="s">
        <v>5</v>
      </c>
      <c r="K29" s="3" t="s">
        <v>24</v>
      </c>
      <c r="L29" s="6" t="s">
        <v>25</v>
      </c>
      <c r="M29" s="6" t="s">
        <v>26</v>
      </c>
      <c r="N29" s="6" t="s">
        <v>27</v>
      </c>
      <c r="O29" s="6" t="s">
        <v>28</v>
      </c>
      <c r="P29" s="6" t="s">
        <v>29</v>
      </c>
      <c r="Q29" s="6" t="s">
        <v>30</v>
      </c>
    </row>
    <row r="30" spans="1:19" ht="25.2" x14ac:dyDescent="0.3">
      <c r="A30" s="7" t="s">
        <v>4</v>
      </c>
      <c r="B30" s="8" t="s">
        <v>31</v>
      </c>
      <c r="C30" s="7" t="s">
        <v>32</v>
      </c>
      <c r="D30" s="7" t="s">
        <v>33</v>
      </c>
      <c r="E30" s="7" t="s">
        <v>34</v>
      </c>
      <c r="F30" s="7" t="s">
        <v>35</v>
      </c>
      <c r="G30" s="9" t="s">
        <v>36</v>
      </c>
      <c r="H30" s="7" t="s">
        <v>37</v>
      </c>
      <c r="I30" s="7" t="s">
        <v>38</v>
      </c>
      <c r="J30" s="10" t="s">
        <v>39</v>
      </c>
      <c r="K30" s="7" t="s">
        <v>40</v>
      </c>
      <c r="L30" s="11">
        <v>100000</v>
      </c>
      <c r="M30" s="11">
        <v>5000</v>
      </c>
      <c r="N30" s="11">
        <v>500</v>
      </c>
      <c r="O30" s="17">
        <f>L30/5*12</f>
        <v>240000</v>
      </c>
      <c r="P30" s="17">
        <f>(M30/5*12)+R30</f>
        <v>-800</v>
      </c>
      <c r="Q30" s="17">
        <f>N30/5*12</f>
        <v>1200</v>
      </c>
      <c r="R30" s="21">
        <f>Q26*(L30/5)*4</f>
        <v>-12800</v>
      </c>
      <c r="S30" s="2" t="s">
        <v>46</v>
      </c>
    </row>
    <row r="31" spans="1:19" ht="25.2" x14ac:dyDescent="0.3">
      <c r="A31" s="7" t="s">
        <v>4</v>
      </c>
      <c r="B31" s="8" t="s">
        <v>31</v>
      </c>
      <c r="C31" s="7" t="s">
        <v>32</v>
      </c>
      <c r="D31" s="7" t="s">
        <v>33</v>
      </c>
      <c r="E31" s="7" t="s">
        <v>34</v>
      </c>
      <c r="F31" s="7" t="s">
        <v>41</v>
      </c>
      <c r="G31" s="9" t="s">
        <v>42</v>
      </c>
      <c r="H31" s="7" t="s">
        <v>37</v>
      </c>
      <c r="I31" s="7" t="s">
        <v>38</v>
      </c>
      <c r="J31" s="10" t="s">
        <v>43</v>
      </c>
      <c r="K31" s="7" t="s">
        <v>44</v>
      </c>
      <c r="L31" s="11">
        <v>50000</v>
      </c>
      <c r="M31" s="11">
        <v>1000</v>
      </c>
      <c r="N31" s="11">
        <v>80</v>
      </c>
      <c r="O31" s="17">
        <f>L31/5*12</f>
        <v>120000</v>
      </c>
      <c r="P31" s="17">
        <f>(M31/5*12)+R31</f>
        <v>-4000</v>
      </c>
      <c r="Q31" s="17">
        <f>N31/5*12</f>
        <v>192</v>
      </c>
      <c r="R31" s="2">
        <f>Q26*(L31/5)*4</f>
        <v>-6400</v>
      </c>
    </row>
    <row r="32" spans="1:19" x14ac:dyDescent="0.3">
      <c r="A32" s="7"/>
      <c r="B32" s="8"/>
      <c r="C32" s="7"/>
      <c r="D32" s="7"/>
      <c r="E32" s="7"/>
      <c r="F32" s="7"/>
      <c r="G32" s="9"/>
      <c r="H32" s="7"/>
      <c r="I32" s="7"/>
      <c r="J32" s="10"/>
      <c r="K32" s="7"/>
      <c r="L32" s="11"/>
      <c r="M32" s="11"/>
      <c r="N32" s="11"/>
      <c r="O32" s="11"/>
      <c r="P32" s="12"/>
      <c r="Q32" s="11"/>
    </row>
    <row r="33" spans="1:17" x14ac:dyDescent="0.3">
      <c r="A33" s="7"/>
      <c r="B33" s="8"/>
      <c r="C33" s="7"/>
      <c r="D33" s="7"/>
      <c r="E33" s="7"/>
      <c r="F33" s="7"/>
      <c r="G33" s="9"/>
      <c r="H33" s="7"/>
      <c r="I33" s="7"/>
      <c r="J33" s="10"/>
      <c r="K33" s="7"/>
      <c r="L33" s="11"/>
      <c r="M33" s="11"/>
      <c r="N33" s="11"/>
      <c r="O33" s="11"/>
      <c r="P33" s="12"/>
      <c r="Q33" s="11"/>
    </row>
    <row r="34" spans="1:17" x14ac:dyDescent="0.3">
      <c r="O34" s="2" t="s">
        <v>47</v>
      </c>
      <c r="P34" s="22">
        <v>4</v>
      </c>
    </row>
    <row r="35" spans="1:17" x14ac:dyDescent="0.3">
      <c r="O35" s="2" t="s">
        <v>48</v>
      </c>
      <c r="P35" s="22">
        <f>L30/5</f>
        <v>20000</v>
      </c>
    </row>
    <row r="36" spans="1:17" x14ac:dyDescent="0.3">
      <c r="O36" s="2" t="s">
        <v>49</v>
      </c>
      <c r="P36" s="2">
        <f>P35*P34</f>
        <v>80000</v>
      </c>
    </row>
    <row r="37" spans="1:17" x14ac:dyDescent="0.3">
      <c r="O37" s="2" t="s">
        <v>50</v>
      </c>
      <c r="P37" s="2">
        <f>P36*Q26</f>
        <v>-12800</v>
      </c>
    </row>
    <row r="40" spans="1:17" x14ac:dyDescent="0.3">
      <c r="O40" s="2" t="s">
        <v>51</v>
      </c>
      <c r="P40" s="2">
        <f>L30/N30</f>
        <v>200</v>
      </c>
    </row>
    <row r="41" spans="1:17" x14ac:dyDescent="0.3">
      <c r="O41" s="2" t="s">
        <v>52</v>
      </c>
      <c r="P41" s="2">
        <f>P40+M30/N30</f>
        <v>210</v>
      </c>
    </row>
    <row r="43" spans="1:17" x14ac:dyDescent="0.3">
      <c r="O43" s="2" t="s">
        <v>53</v>
      </c>
      <c r="P43" s="2">
        <f>P40*(1-Q26)</f>
        <v>231.99999999999997</v>
      </c>
    </row>
    <row r="45" spans="1:17" x14ac:dyDescent="0.3">
      <c r="O45" s="2" t="s">
        <v>54</v>
      </c>
      <c r="P45" s="2">
        <f>(P41-P43)</f>
        <v>-21.999999999999972</v>
      </c>
    </row>
    <row r="46" spans="1:17" ht="13.2" x14ac:dyDescent="0.3">
      <c r="O46" s="2" t="s">
        <v>50</v>
      </c>
      <c r="P46" s="1">
        <f>P45*(N30/5)*4</f>
        <v>-8799.9999999999891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5E5CB-E7CE-4D57-9118-C86905BBF450}">
  <dimension ref="A2:X32"/>
  <sheetViews>
    <sheetView topLeftCell="G1" zoomScaleNormal="100" workbookViewId="0">
      <selection activeCell="P4" sqref="P4:V5"/>
    </sheetView>
  </sheetViews>
  <sheetFormatPr defaultColWidth="8.69921875" defaultRowHeight="12.6" x14ac:dyDescent="0.3"/>
  <cols>
    <col min="1" max="1" width="8.69921875" style="2" bestFit="1" customWidth="1"/>
    <col min="2" max="2" width="8.69921875" style="2"/>
    <col min="3" max="3" width="11.3984375" style="2" customWidth="1"/>
    <col min="4" max="4" width="8.69921875" style="2"/>
    <col min="5" max="5" width="5.69921875" style="2" customWidth="1"/>
    <col min="6" max="6" width="17.296875" style="2" customWidth="1"/>
    <col min="7" max="7" width="9.09765625" style="2" bestFit="1" customWidth="1"/>
    <col min="8" max="9" width="9.09765625" style="2" customWidth="1"/>
    <col min="10" max="10" width="8.69921875" style="2"/>
    <col min="11" max="11" width="9.3984375" style="2" bestFit="1" customWidth="1"/>
    <col min="12" max="16384" width="8.69921875" style="2"/>
  </cols>
  <sheetData>
    <row r="2" spans="1:23" x14ac:dyDescent="0.3">
      <c r="A2" s="13" t="s">
        <v>0</v>
      </c>
      <c r="B2" s="13"/>
      <c r="C2" s="13"/>
      <c r="D2" s="13"/>
      <c r="E2" s="13"/>
      <c r="F2" s="13"/>
      <c r="G2" s="13"/>
      <c r="H2" s="13"/>
      <c r="I2" s="13"/>
      <c r="J2" s="13"/>
      <c r="K2" s="13"/>
      <c r="L2" s="13"/>
      <c r="P2" s="18" t="s">
        <v>1</v>
      </c>
      <c r="Q2" s="18"/>
      <c r="R2" s="18"/>
      <c r="S2" s="18"/>
      <c r="T2" s="18"/>
      <c r="U2" s="18"/>
    </row>
    <row r="3" spans="1:23" x14ac:dyDescent="0.3">
      <c r="A3" s="2" t="s">
        <v>2</v>
      </c>
      <c r="F3" s="2" t="s">
        <v>3</v>
      </c>
      <c r="G3" s="2" t="s">
        <v>4</v>
      </c>
    </row>
    <row r="4" spans="1:23" x14ac:dyDescent="0.3">
      <c r="A4" s="2" t="s">
        <v>5</v>
      </c>
      <c r="F4" s="2" t="s">
        <v>6</v>
      </c>
      <c r="G4" s="2" t="s">
        <v>55</v>
      </c>
      <c r="P4" s="2" t="s">
        <v>7</v>
      </c>
      <c r="R4" s="20"/>
      <c r="T4" s="2" t="s">
        <v>8</v>
      </c>
      <c r="V4" s="20">
        <v>-0.16</v>
      </c>
    </row>
    <row r="5" spans="1:23" x14ac:dyDescent="0.3">
      <c r="A5" s="2" t="s">
        <v>9</v>
      </c>
      <c r="B5" s="2" t="s">
        <v>56</v>
      </c>
      <c r="F5" s="2" t="s">
        <v>10</v>
      </c>
      <c r="P5" s="2" t="s">
        <v>11</v>
      </c>
      <c r="R5" s="19"/>
      <c r="T5" s="2" t="s">
        <v>12</v>
      </c>
      <c r="V5" s="19" t="s">
        <v>13</v>
      </c>
    </row>
    <row r="6" spans="1:23" x14ac:dyDescent="0.3">
      <c r="A6" s="2" t="s">
        <v>14</v>
      </c>
    </row>
    <row r="7" spans="1:23" x14ac:dyDescent="0.3">
      <c r="A7" s="2" t="s">
        <v>15</v>
      </c>
    </row>
    <row r="11" spans="1:23" x14ac:dyDescent="0.3">
      <c r="A11" s="16" t="s">
        <v>16</v>
      </c>
      <c r="B11" s="16"/>
      <c r="C11" s="16"/>
      <c r="D11" s="16"/>
      <c r="E11" s="16"/>
      <c r="F11" s="16"/>
      <c r="G11" s="16"/>
      <c r="H11" s="16"/>
      <c r="I11" s="16"/>
      <c r="J11" s="16"/>
      <c r="K11" s="16"/>
      <c r="L11" s="16"/>
      <c r="M11" s="16"/>
      <c r="N11" s="16"/>
      <c r="O11" s="16"/>
      <c r="P11" s="16"/>
      <c r="Q11" s="16"/>
      <c r="R11" s="16"/>
      <c r="S11" s="15" t="s">
        <v>17</v>
      </c>
      <c r="T11" s="15"/>
      <c r="U11" s="15"/>
    </row>
    <row r="12" spans="1:23" ht="37.799999999999997" x14ac:dyDescent="0.3">
      <c r="A12" s="3" t="s">
        <v>18</v>
      </c>
      <c r="B12" s="4" t="s">
        <v>19</v>
      </c>
      <c r="C12" s="3" t="s">
        <v>6</v>
      </c>
      <c r="D12" s="3" t="s">
        <v>20</v>
      </c>
      <c r="E12" s="3" t="s">
        <v>21</v>
      </c>
      <c r="F12" s="3" t="s">
        <v>15</v>
      </c>
      <c r="G12" s="5" t="s">
        <v>14</v>
      </c>
      <c r="H12" s="5" t="s">
        <v>57</v>
      </c>
      <c r="I12" s="5" t="s">
        <v>58</v>
      </c>
      <c r="J12" s="3" t="s">
        <v>22</v>
      </c>
      <c r="K12" s="3" t="s">
        <v>23</v>
      </c>
      <c r="L12" s="3" t="s">
        <v>5</v>
      </c>
      <c r="M12" s="3" t="s">
        <v>24</v>
      </c>
      <c r="N12" s="3" t="s">
        <v>59</v>
      </c>
      <c r="O12" s="3" t="s">
        <v>60</v>
      </c>
      <c r="P12" s="6" t="s">
        <v>25</v>
      </c>
      <c r="Q12" s="6" t="s">
        <v>26</v>
      </c>
      <c r="R12" s="6" t="s">
        <v>27</v>
      </c>
      <c r="S12" s="6" t="s">
        <v>28</v>
      </c>
      <c r="T12" s="6" t="s">
        <v>29</v>
      </c>
      <c r="U12" s="6" t="s">
        <v>30</v>
      </c>
    </row>
    <row r="13" spans="1:23" ht="25.2" x14ac:dyDescent="0.3">
      <c r="A13" s="7" t="s">
        <v>4</v>
      </c>
      <c r="B13" s="8" t="s">
        <v>31</v>
      </c>
      <c r="C13" s="7" t="s">
        <v>55</v>
      </c>
      <c r="D13" s="7" t="s">
        <v>33</v>
      </c>
      <c r="E13" s="7" t="s">
        <v>34</v>
      </c>
      <c r="F13" s="7" t="s">
        <v>35</v>
      </c>
      <c r="G13" s="9" t="s">
        <v>36</v>
      </c>
      <c r="H13" s="9">
        <v>19019019</v>
      </c>
      <c r="I13" s="9"/>
      <c r="J13" s="7" t="s">
        <v>37</v>
      </c>
      <c r="K13" s="7" t="s">
        <v>38</v>
      </c>
      <c r="L13" s="10" t="s">
        <v>61</v>
      </c>
      <c r="M13" s="7" t="s">
        <v>56</v>
      </c>
      <c r="N13" s="7">
        <v>210</v>
      </c>
      <c r="O13" s="7">
        <f>P13/R13</f>
        <v>200</v>
      </c>
      <c r="P13" s="11">
        <v>100000</v>
      </c>
      <c r="Q13" s="11">
        <f>R13*(N13-O13)</f>
        <v>5000</v>
      </c>
      <c r="R13" s="11">
        <v>500</v>
      </c>
      <c r="S13" s="17">
        <f>U13*O13</f>
        <v>240000</v>
      </c>
      <c r="T13" s="17">
        <f>U13*(N13-O13)</f>
        <v>12000</v>
      </c>
      <c r="U13" s="17">
        <f>R13/5*12</f>
        <v>1200</v>
      </c>
      <c r="W13" s="2" t="s">
        <v>62</v>
      </c>
    </row>
    <row r="14" spans="1:23" ht="25.2" x14ac:dyDescent="0.3">
      <c r="A14" s="7" t="s">
        <v>4</v>
      </c>
      <c r="B14" s="8" t="s">
        <v>31</v>
      </c>
      <c r="C14" s="7" t="s">
        <v>55</v>
      </c>
      <c r="D14" s="7" t="s">
        <v>33</v>
      </c>
      <c r="E14" s="7" t="s">
        <v>34</v>
      </c>
      <c r="F14" s="7" t="s">
        <v>41</v>
      </c>
      <c r="G14" s="9" t="s">
        <v>42</v>
      </c>
      <c r="H14" s="9">
        <v>12345678</v>
      </c>
      <c r="I14" s="9"/>
      <c r="J14" s="7" t="s">
        <v>63</v>
      </c>
      <c r="K14" s="7" t="s">
        <v>38</v>
      </c>
      <c r="L14" s="10" t="s">
        <v>61</v>
      </c>
      <c r="M14" s="7" t="s">
        <v>56</v>
      </c>
      <c r="N14" s="7">
        <v>626</v>
      </c>
      <c r="O14" s="7">
        <f>P14/R14</f>
        <v>625</v>
      </c>
      <c r="P14" s="11">
        <v>50000</v>
      </c>
      <c r="Q14" s="11">
        <f>R14*(N14-O14)</f>
        <v>80</v>
      </c>
      <c r="R14" s="11">
        <v>80</v>
      </c>
      <c r="S14" s="17">
        <f>U14*O14</f>
        <v>120000</v>
      </c>
      <c r="T14" s="17">
        <f>U14*(N14-O14)</f>
        <v>192</v>
      </c>
      <c r="U14" s="17">
        <f>R14/5*12</f>
        <v>192</v>
      </c>
      <c r="W14" s="2" t="s">
        <v>64</v>
      </c>
    </row>
    <row r="15" spans="1:23" x14ac:dyDescent="0.3">
      <c r="A15" s="7"/>
      <c r="B15" s="8"/>
      <c r="C15" s="7"/>
      <c r="D15" s="7"/>
      <c r="E15" s="7"/>
      <c r="F15" s="7"/>
      <c r="G15" s="9"/>
      <c r="H15" s="9"/>
      <c r="I15" s="9"/>
      <c r="J15" s="7"/>
      <c r="K15" s="7"/>
      <c r="L15" s="10"/>
      <c r="M15" s="7"/>
      <c r="N15" s="7"/>
      <c r="O15" s="7"/>
      <c r="P15" s="11"/>
      <c r="Q15" s="11"/>
      <c r="R15" s="11"/>
      <c r="S15" s="11"/>
      <c r="T15" s="12"/>
      <c r="U15" s="11"/>
    </row>
    <row r="16" spans="1:23" x14ac:dyDescent="0.3">
      <c r="A16" s="7"/>
      <c r="B16" s="8"/>
      <c r="C16" s="7"/>
      <c r="D16" s="7"/>
      <c r="E16" s="7"/>
      <c r="F16" s="7"/>
      <c r="G16" s="9"/>
      <c r="H16" s="9"/>
      <c r="I16" s="9"/>
      <c r="J16" s="7"/>
      <c r="K16" s="7"/>
      <c r="L16" s="10"/>
      <c r="M16" s="7"/>
      <c r="N16" s="7"/>
      <c r="O16" s="7"/>
      <c r="P16" s="11"/>
      <c r="Q16" s="11"/>
      <c r="R16" s="11"/>
      <c r="S16" s="11"/>
      <c r="T16" s="12"/>
      <c r="U16" s="11"/>
    </row>
    <row r="19" spans="1:24" x14ac:dyDescent="0.3">
      <c r="S19" s="2" t="s">
        <v>8</v>
      </c>
      <c r="U19" s="20">
        <v>-0.16</v>
      </c>
    </row>
    <row r="20" spans="1:24" x14ac:dyDescent="0.3">
      <c r="S20" s="2" t="s">
        <v>12</v>
      </c>
      <c r="U20" s="19" t="s">
        <v>13</v>
      </c>
    </row>
    <row r="21" spans="1:24" x14ac:dyDescent="0.3">
      <c r="A21" s="16" t="s">
        <v>16</v>
      </c>
      <c r="B21" s="16"/>
      <c r="C21" s="16"/>
      <c r="D21" s="16"/>
      <c r="E21" s="16"/>
      <c r="F21" s="16"/>
      <c r="G21" s="16"/>
      <c r="H21" s="16"/>
      <c r="I21" s="16"/>
      <c r="J21" s="16"/>
      <c r="K21" s="16"/>
      <c r="L21" s="16"/>
      <c r="M21" s="16"/>
      <c r="N21" s="16"/>
      <c r="O21" s="16"/>
      <c r="P21" s="16"/>
      <c r="Q21" s="16"/>
      <c r="R21" s="16"/>
      <c r="S21" s="15" t="s">
        <v>17</v>
      </c>
      <c r="T21" s="15"/>
      <c r="U21" s="15"/>
    </row>
    <row r="22" spans="1:24" ht="37.799999999999997" x14ac:dyDescent="0.3">
      <c r="A22" s="3" t="s">
        <v>18</v>
      </c>
      <c r="B22" s="4" t="s">
        <v>19</v>
      </c>
      <c r="C22" s="3" t="s">
        <v>6</v>
      </c>
      <c r="D22" s="3" t="s">
        <v>20</v>
      </c>
      <c r="E22" s="3" t="s">
        <v>21</v>
      </c>
      <c r="F22" s="3" t="s">
        <v>15</v>
      </c>
      <c r="G22" s="5" t="s">
        <v>14</v>
      </c>
      <c r="H22" s="5" t="s">
        <v>57</v>
      </c>
      <c r="I22" s="5" t="s">
        <v>58</v>
      </c>
      <c r="J22" s="3" t="s">
        <v>22</v>
      </c>
      <c r="K22" s="3" t="s">
        <v>23</v>
      </c>
      <c r="L22" s="3" t="s">
        <v>5</v>
      </c>
      <c r="M22" s="3" t="s">
        <v>24</v>
      </c>
      <c r="N22" s="3" t="s">
        <v>59</v>
      </c>
      <c r="O22" s="3" t="s">
        <v>60</v>
      </c>
      <c r="P22" s="6" t="s">
        <v>25</v>
      </c>
      <c r="Q22" s="6" t="s">
        <v>26</v>
      </c>
      <c r="R22" s="6" t="s">
        <v>27</v>
      </c>
      <c r="S22" s="6" t="s">
        <v>28</v>
      </c>
      <c r="T22" s="6" t="s">
        <v>29</v>
      </c>
      <c r="U22" s="6" t="s">
        <v>30</v>
      </c>
    </row>
    <row r="23" spans="1:24" ht="25.2" x14ac:dyDescent="0.3">
      <c r="A23" s="7" t="s">
        <v>4</v>
      </c>
      <c r="B23" s="8" t="s">
        <v>31</v>
      </c>
      <c r="C23" s="7" t="s">
        <v>55</v>
      </c>
      <c r="D23" s="7" t="s">
        <v>33</v>
      </c>
      <c r="E23" s="7" t="s">
        <v>34</v>
      </c>
      <c r="F23" s="7" t="s">
        <v>35</v>
      </c>
      <c r="G23" s="9" t="s">
        <v>36</v>
      </c>
      <c r="H23" s="9">
        <v>19019019</v>
      </c>
      <c r="I23" s="9"/>
      <c r="J23" s="7" t="s">
        <v>37</v>
      </c>
      <c r="K23" s="7" t="s">
        <v>38</v>
      </c>
      <c r="L23" s="10" t="s">
        <v>61</v>
      </c>
      <c r="M23" s="7" t="s">
        <v>56</v>
      </c>
      <c r="N23" s="7">
        <v>210</v>
      </c>
      <c r="O23" s="7">
        <f>P23/R23</f>
        <v>200</v>
      </c>
      <c r="P23" s="11">
        <v>100000</v>
      </c>
      <c r="Q23" s="11">
        <f>R23*(N23-O23)</f>
        <v>5000</v>
      </c>
      <c r="R23" s="11">
        <v>500</v>
      </c>
      <c r="S23" s="17">
        <f>U23*O23+ABS((N23-W23)*(R23/5)*4)</f>
        <v>248800</v>
      </c>
      <c r="T23" s="17">
        <f>U23*(N23-O23)+(N23-W23)*(R23/5)*4</f>
        <v>3200.0000000000109</v>
      </c>
      <c r="U23" s="17">
        <f>R23/5*12</f>
        <v>1200</v>
      </c>
      <c r="V23" s="21">
        <f>(N23-W23)*(R23/5)*4</f>
        <v>-8799.9999999999891</v>
      </c>
      <c r="W23" s="2">
        <f>O23*(1-U19)</f>
        <v>231.99999999999997</v>
      </c>
      <c r="X23" s="2" t="s">
        <v>65</v>
      </c>
    </row>
    <row r="24" spans="1:24" ht="25.2" x14ac:dyDescent="0.3">
      <c r="A24" s="7" t="s">
        <v>4</v>
      </c>
      <c r="B24" s="8" t="s">
        <v>31</v>
      </c>
      <c r="C24" s="7" t="s">
        <v>55</v>
      </c>
      <c r="D24" s="7" t="s">
        <v>33</v>
      </c>
      <c r="E24" s="7" t="s">
        <v>34</v>
      </c>
      <c r="F24" s="7" t="s">
        <v>41</v>
      </c>
      <c r="G24" s="9" t="s">
        <v>42</v>
      </c>
      <c r="H24" s="9">
        <v>12345678</v>
      </c>
      <c r="I24" s="9"/>
      <c r="J24" s="7" t="s">
        <v>63</v>
      </c>
      <c r="K24" s="7" t="s">
        <v>38</v>
      </c>
      <c r="L24" s="10" t="s">
        <v>61</v>
      </c>
      <c r="M24" s="7" t="s">
        <v>56</v>
      </c>
      <c r="N24" s="7">
        <v>626</v>
      </c>
      <c r="O24" s="7">
        <f>P24/R24</f>
        <v>625</v>
      </c>
      <c r="P24" s="11">
        <v>50000</v>
      </c>
      <c r="Q24" s="11">
        <f>R24*(N24-O24)</f>
        <v>80</v>
      </c>
      <c r="R24" s="11">
        <v>80</v>
      </c>
      <c r="S24" s="17">
        <f>U24*O24+ABS((N24-W24)*(R24/5)*4)</f>
        <v>126336</v>
      </c>
      <c r="T24" s="17">
        <f>U24*(N24-O24)+(N24-W24)*(R24/5)*4</f>
        <v>-6144</v>
      </c>
      <c r="U24" s="17">
        <f>R24/5*12</f>
        <v>192</v>
      </c>
      <c r="W24" s="2">
        <f>O24*(1-U19)</f>
        <v>725</v>
      </c>
      <c r="X24" s="2" t="s">
        <v>65</v>
      </c>
    </row>
    <row r="25" spans="1:24" x14ac:dyDescent="0.3">
      <c r="W25" s="2" t="s">
        <v>66</v>
      </c>
    </row>
    <row r="26" spans="1:24" x14ac:dyDescent="0.3">
      <c r="T26" s="22"/>
    </row>
    <row r="28" spans="1:24" x14ac:dyDescent="0.3">
      <c r="Q28" s="2" t="s">
        <v>53</v>
      </c>
      <c r="R28" s="2">
        <f>O23*(1-$U$19)</f>
        <v>231.99999999999997</v>
      </c>
      <c r="T28" s="22"/>
    </row>
    <row r="29" spans="1:24" x14ac:dyDescent="0.3">
      <c r="Q29" s="2" t="s">
        <v>67</v>
      </c>
      <c r="R29" s="2">
        <f>N23-R28</f>
        <v>-21.999999999999972</v>
      </c>
    </row>
    <row r="30" spans="1:24" x14ac:dyDescent="0.3">
      <c r="Q30" s="2" t="s">
        <v>68</v>
      </c>
      <c r="R30" s="2">
        <f>(R23/5)*4</f>
        <v>400</v>
      </c>
    </row>
    <row r="31" spans="1:24" x14ac:dyDescent="0.3">
      <c r="Q31" s="2" t="s">
        <v>69</v>
      </c>
      <c r="R31" s="2">
        <f>R30*R29</f>
        <v>-8799.9999999999891</v>
      </c>
    </row>
    <row r="32" spans="1:24" x14ac:dyDescent="0.3">
      <c r="Q32" s="2" t="s">
        <v>70</v>
      </c>
      <c r="R32" s="22">
        <f>S13-R31</f>
        <v>248800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D98D-3F2A-4B62-8ED2-C86AF67AD988}">
  <dimension ref="A3:P53"/>
  <sheetViews>
    <sheetView showGridLines="0" tabSelected="1" zoomScaleNormal="100" workbookViewId="0">
      <selection activeCell="F21" sqref="F21"/>
    </sheetView>
  </sheetViews>
  <sheetFormatPr defaultRowHeight="13.2" x14ac:dyDescent="0.3"/>
  <cols>
    <col min="1" max="1" width="8.69921875" style="102"/>
    <col min="4" max="4" width="13.09765625" bestFit="1" customWidth="1"/>
  </cols>
  <sheetData>
    <row r="3" spans="1:15" ht="22.2" x14ac:dyDescent="0.5">
      <c r="B3" s="80" t="s">
        <v>71</v>
      </c>
    </row>
    <row r="5" spans="1:15" s="102" customFormat="1" x14ac:dyDescent="0.3">
      <c r="B5" s="103" t="s">
        <v>72</v>
      </c>
      <c r="C5" s="103"/>
      <c r="D5" s="103"/>
      <c r="E5" s="103"/>
      <c r="F5" s="103"/>
      <c r="G5" s="103"/>
      <c r="H5" s="103"/>
      <c r="I5" s="103"/>
      <c r="J5" s="103"/>
      <c r="K5" s="103"/>
      <c r="L5" s="103"/>
      <c r="M5" s="103"/>
      <c r="N5" s="103"/>
      <c r="O5" s="103"/>
    </row>
    <row r="6" spans="1:15" x14ac:dyDescent="0.3">
      <c r="A6" s="102">
        <v>1</v>
      </c>
      <c r="B6" t="s">
        <v>73</v>
      </c>
    </row>
    <row r="7" spans="1:15" x14ac:dyDescent="0.3">
      <c r="A7" s="102">
        <v>2</v>
      </c>
      <c r="B7" t="s">
        <v>74</v>
      </c>
    </row>
    <row r="9" spans="1:15" x14ac:dyDescent="0.3">
      <c r="A9" s="102">
        <v>3</v>
      </c>
      <c r="B9" t="s">
        <v>75</v>
      </c>
    </row>
    <row r="10" spans="1:15" x14ac:dyDescent="0.3">
      <c r="B10" s="102">
        <v>3.1</v>
      </c>
      <c r="C10" t="s">
        <v>76</v>
      </c>
    </row>
    <row r="11" spans="1:15" x14ac:dyDescent="0.3">
      <c r="B11" s="102">
        <v>3.2</v>
      </c>
      <c r="C11" t="s">
        <v>77</v>
      </c>
    </row>
    <row r="12" spans="1:15" ht="6.6" customHeight="1" x14ac:dyDescent="0.3">
      <c r="B12" s="102"/>
    </row>
    <row r="13" spans="1:15" x14ac:dyDescent="0.3">
      <c r="B13" s="102"/>
      <c r="D13" t="s">
        <v>78</v>
      </c>
      <c r="E13" t="s">
        <v>79</v>
      </c>
    </row>
    <row r="14" spans="1:15" ht="6.6" customHeight="1" x14ac:dyDescent="0.3">
      <c r="B14" s="102"/>
    </row>
    <row r="15" spans="1:15" x14ac:dyDescent="0.3">
      <c r="B15" s="102">
        <v>3.3</v>
      </c>
      <c r="C15" t="s">
        <v>80</v>
      </c>
      <c r="E15" t="s">
        <v>81</v>
      </c>
      <c r="H15" s="79" t="s">
        <v>82</v>
      </c>
    </row>
    <row r="19" spans="2:15" s="102" customFormat="1" x14ac:dyDescent="0.3">
      <c r="B19" s="103" t="s">
        <v>83</v>
      </c>
      <c r="C19" s="103"/>
      <c r="D19" s="103"/>
      <c r="E19" s="103"/>
      <c r="F19" s="103"/>
      <c r="G19" s="103"/>
      <c r="H19" s="103"/>
      <c r="I19" s="103"/>
      <c r="J19" s="103"/>
      <c r="K19" s="103"/>
      <c r="L19" s="103"/>
      <c r="M19" s="103"/>
      <c r="N19" s="103"/>
      <c r="O19" s="103"/>
    </row>
    <row r="20" spans="2:15" x14ac:dyDescent="0.3">
      <c r="B20" s="79" t="s">
        <v>84</v>
      </c>
    </row>
    <row r="22" spans="2:15" x14ac:dyDescent="0.3">
      <c r="B22" t="s">
        <v>85</v>
      </c>
      <c r="D22" t="s">
        <v>86</v>
      </c>
    </row>
    <row r="23" spans="2:15" x14ac:dyDescent="0.3">
      <c r="B23" t="s">
        <v>87</v>
      </c>
    </row>
    <row r="24" spans="2:15" ht="6.9" customHeight="1" x14ac:dyDescent="0.3"/>
    <row r="25" spans="2:15" x14ac:dyDescent="0.3">
      <c r="C25" t="s">
        <v>88</v>
      </c>
      <c r="E25" t="s">
        <v>89</v>
      </c>
    </row>
    <row r="26" spans="2:15" x14ac:dyDescent="0.3">
      <c r="C26" t="s">
        <v>90</v>
      </c>
    </row>
    <row r="28" spans="2:15" s="102" customFormat="1" x14ac:dyDescent="0.3">
      <c r="B28" s="103" t="s">
        <v>91</v>
      </c>
      <c r="C28" s="103"/>
      <c r="D28" s="103"/>
      <c r="E28" s="103"/>
      <c r="F28" s="103"/>
      <c r="G28" s="103"/>
      <c r="H28" s="103"/>
      <c r="I28" s="103"/>
      <c r="J28" s="103"/>
      <c r="K28" s="103"/>
      <c r="L28" s="103"/>
      <c r="M28" s="103"/>
      <c r="N28" s="103"/>
      <c r="O28" s="103"/>
    </row>
    <row r="29" spans="2:15" x14ac:dyDescent="0.3">
      <c r="B29" s="79" t="s">
        <v>92</v>
      </c>
    </row>
    <row r="30" spans="2:15" ht="7.5" customHeight="1" x14ac:dyDescent="0.3"/>
    <row r="31" spans="2:15" x14ac:dyDescent="0.3">
      <c r="B31" t="s">
        <v>93</v>
      </c>
      <c r="D31" t="s">
        <v>94</v>
      </c>
      <c r="G31" t="s">
        <v>95</v>
      </c>
      <c r="H31" t="s">
        <v>96</v>
      </c>
    </row>
    <row r="34" spans="1:16" s="102" customFormat="1" x14ac:dyDescent="0.3">
      <c r="B34" s="103" t="s">
        <v>97</v>
      </c>
      <c r="C34" s="103"/>
      <c r="D34" s="103"/>
      <c r="E34" s="103"/>
      <c r="F34" s="103"/>
      <c r="G34" s="103"/>
      <c r="H34" s="103"/>
      <c r="I34" s="103"/>
      <c r="J34" s="103"/>
      <c r="K34" s="103"/>
      <c r="L34" s="103"/>
      <c r="M34" s="103"/>
      <c r="N34" s="103"/>
      <c r="O34" s="103"/>
    </row>
    <row r="35" spans="1:16" s="102" customFormat="1" x14ac:dyDescent="0.3"/>
    <row r="36" spans="1:16" s="102" customFormat="1" x14ac:dyDescent="0.3">
      <c r="A36" s="102">
        <v>1</v>
      </c>
      <c r="B36" s="104" t="s">
        <v>98</v>
      </c>
    </row>
    <row r="37" spans="1:16" s="102" customFormat="1" x14ac:dyDescent="0.3"/>
    <row r="38" spans="1:16" s="104" customFormat="1" ht="15.6" x14ac:dyDescent="0.4">
      <c r="B38" s="104" t="s">
        <v>99</v>
      </c>
      <c r="G38" s="104" t="s">
        <v>100</v>
      </c>
    </row>
    <row r="39" spans="1:16" s="102" customFormat="1" x14ac:dyDescent="0.3">
      <c r="B39" s="104" t="s">
        <v>101</v>
      </c>
    </row>
    <row r="40" spans="1:16" s="102" customFormat="1" x14ac:dyDescent="0.3"/>
    <row r="41" spans="1:16" s="102" customFormat="1" x14ac:dyDescent="0.3">
      <c r="A41" s="102">
        <v>2</v>
      </c>
      <c r="B41" s="104" t="s">
        <v>102</v>
      </c>
    </row>
    <row r="42" spans="1:16" x14ac:dyDescent="0.3">
      <c r="B42" s="79" t="s">
        <v>103</v>
      </c>
    </row>
    <row r="44" spans="1:16" ht="15.6" x14ac:dyDescent="0.4">
      <c r="B44" s="104" t="s">
        <v>104</v>
      </c>
      <c r="C44" s="104"/>
      <c r="D44" s="104"/>
      <c r="E44" s="104"/>
      <c r="F44" s="104"/>
      <c r="G44" s="104" t="s">
        <v>105</v>
      </c>
      <c r="H44" s="104"/>
      <c r="I44" s="104"/>
      <c r="J44" s="104"/>
      <c r="K44" t="s">
        <v>106</v>
      </c>
      <c r="L44">
        <v>6420</v>
      </c>
      <c r="M44">
        <v>-176</v>
      </c>
      <c r="O44">
        <f>L44-L45+L47</f>
        <v>6500.25</v>
      </c>
      <c r="P44">
        <f>M44-M45+M47</f>
        <v>-178.2</v>
      </c>
    </row>
    <row r="45" spans="1:16" x14ac:dyDescent="0.3">
      <c r="K45" t="s">
        <v>107</v>
      </c>
      <c r="L45">
        <f>L44/8</f>
        <v>802.5</v>
      </c>
      <c r="M45">
        <f>M44/8</f>
        <v>-22</v>
      </c>
    </row>
    <row r="46" spans="1:16" x14ac:dyDescent="0.3">
      <c r="B46" s="104" t="s">
        <v>108</v>
      </c>
      <c r="K46" s="166" t="s">
        <v>109</v>
      </c>
    </row>
    <row r="47" spans="1:16" x14ac:dyDescent="0.3">
      <c r="B47" s="104" t="s">
        <v>101</v>
      </c>
      <c r="K47" t="s">
        <v>110</v>
      </c>
      <c r="L47">
        <f>L45*(1--10%)</f>
        <v>882.75000000000011</v>
      </c>
      <c r="M47">
        <f>M45*(1--10%)</f>
        <v>-24.200000000000003</v>
      </c>
    </row>
    <row r="49" spans="1:16" x14ac:dyDescent="0.3">
      <c r="A49" s="102">
        <v>3</v>
      </c>
      <c r="B49" s="104" t="s">
        <v>111</v>
      </c>
    </row>
    <row r="50" spans="1:16" x14ac:dyDescent="0.3">
      <c r="B50" s="104" t="s">
        <v>101</v>
      </c>
      <c r="K50" t="s">
        <v>112</v>
      </c>
      <c r="L50">
        <f>L44/8*9</f>
        <v>7222.5</v>
      </c>
      <c r="M50">
        <f>M44/8*9</f>
        <v>-198</v>
      </c>
      <c r="O50">
        <f>L50-L51+L53</f>
        <v>7302.75</v>
      </c>
      <c r="P50">
        <f>M50-M51+M53</f>
        <v>-200.2</v>
      </c>
    </row>
    <row r="51" spans="1:16" x14ac:dyDescent="0.3">
      <c r="K51" t="s">
        <v>113</v>
      </c>
      <c r="L51">
        <f>L50/9</f>
        <v>802.5</v>
      </c>
      <c r="M51">
        <f>M50/9</f>
        <v>-22</v>
      </c>
    </row>
    <row r="52" spans="1:16" x14ac:dyDescent="0.3">
      <c r="K52" s="166" t="s">
        <v>109</v>
      </c>
    </row>
    <row r="53" spans="1:16" x14ac:dyDescent="0.3">
      <c r="K53" t="s">
        <v>114</v>
      </c>
      <c r="L53">
        <f>L51*(1--10%)</f>
        <v>882.75000000000011</v>
      </c>
      <c r="M53">
        <f>M51*(1--10%)</f>
        <v>-24.200000000000003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F9FBE-E311-4EDB-A537-25B27DCE89E8}">
  <dimension ref="A1:AJ49"/>
  <sheetViews>
    <sheetView showGridLines="0" topLeftCell="A3" zoomScale="70" zoomScaleNormal="70" workbookViewId="0">
      <selection activeCell="AD26" sqref="AD26"/>
    </sheetView>
  </sheetViews>
  <sheetFormatPr defaultRowHeight="13.2" x14ac:dyDescent="0.3"/>
  <cols>
    <col min="2" max="2" width="41.09765625" customWidth="1"/>
    <col min="3" max="14" width="4.3984375" style="106" customWidth="1"/>
    <col min="15" max="15" width="7.296875" style="106" customWidth="1"/>
    <col min="21" max="21" width="49.296875" customWidth="1"/>
  </cols>
  <sheetData>
    <row r="1" spans="1:34" x14ac:dyDescent="0.3">
      <c r="F1" s="107"/>
    </row>
    <row r="2" spans="1:34" ht="18.600000000000001" x14ac:dyDescent="0.4">
      <c r="A2" s="108">
        <v>1</v>
      </c>
      <c r="B2" s="108" t="s">
        <v>115</v>
      </c>
      <c r="T2" s="167">
        <v>1</v>
      </c>
      <c r="U2" s="108" t="s">
        <v>116</v>
      </c>
      <c r="V2" s="106"/>
      <c r="W2" s="106"/>
      <c r="X2" s="106"/>
      <c r="Y2" s="106"/>
      <c r="Z2" s="106"/>
      <c r="AA2" s="106"/>
      <c r="AB2" s="106"/>
      <c r="AC2" s="106"/>
      <c r="AD2" s="106"/>
      <c r="AE2" s="106"/>
      <c r="AF2" s="106"/>
      <c r="AG2" s="106"/>
      <c r="AH2" s="106"/>
    </row>
    <row r="3" spans="1:34" x14ac:dyDescent="0.3">
      <c r="T3" s="168"/>
      <c r="V3" s="106"/>
      <c r="W3" s="106"/>
      <c r="X3" s="106"/>
      <c r="Y3" s="106"/>
      <c r="Z3" s="106"/>
      <c r="AA3" s="106"/>
      <c r="AB3" s="106"/>
      <c r="AC3" s="106"/>
      <c r="AD3" s="106"/>
      <c r="AE3" s="106"/>
      <c r="AF3" s="106"/>
      <c r="AG3" s="106"/>
      <c r="AH3" s="106"/>
    </row>
    <row r="4" spans="1:34" x14ac:dyDescent="0.3">
      <c r="T4" s="168"/>
      <c r="V4" s="106"/>
      <c r="W4" s="106"/>
      <c r="X4" s="106"/>
      <c r="Y4" s="106"/>
      <c r="Z4" s="106"/>
      <c r="AA4" s="106"/>
      <c r="AB4" s="106"/>
      <c r="AC4" s="106"/>
      <c r="AD4" s="106"/>
      <c r="AE4" s="106"/>
      <c r="AF4" s="106"/>
      <c r="AG4" s="106"/>
      <c r="AH4" s="106"/>
    </row>
    <row r="5" spans="1:34" x14ac:dyDescent="0.3">
      <c r="B5" s="102" t="s">
        <v>117</v>
      </c>
      <c r="C5" s="111" t="s">
        <v>118</v>
      </c>
      <c r="D5" s="111" t="s">
        <v>119</v>
      </c>
      <c r="E5" s="111" t="s">
        <v>120</v>
      </c>
      <c r="F5" s="111" t="s">
        <v>121</v>
      </c>
      <c r="G5" s="111" t="s">
        <v>122</v>
      </c>
      <c r="H5" s="111" t="s">
        <v>123</v>
      </c>
      <c r="I5" s="111" t="s">
        <v>124</v>
      </c>
      <c r="J5" s="111" t="s">
        <v>106</v>
      </c>
      <c r="K5" s="111" t="s">
        <v>112</v>
      </c>
      <c r="L5" s="111" t="s">
        <v>125</v>
      </c>
      <c r="M5" s="111" t="s">
        <v>126</v>
      </c>
      <c r="N5" s="111" t="s">
        <v>127</v>
      </c>
      <c r="O5" s="112"/>
      <c r="T5" s="168"/>
      <c r="U5" s="102" t="s">
        <v>117</v>
      </c>
      <c r="V5" s="111" t="s">
        <v>118</v>
      </c>
      <c r="W5" s="111" t="s">
        <v>119</v>
      </c>
      <c r="X5" s="111" t="s">
        <v>120</v>
      </c>
      <c r="Y5" s="111" t="s">
        <v>121</v>
      </c>
      <c r="Z5" s="111" t="s">
        <v>122</v>
      </c>
      <c r="AA5" s="111" t="s">
        <v>123</v>
      </c>
      <c r="AB5" s="111" t="s">
        <v>124</v>
      </c>
      <c r="AC5" s="111" t="s">
        <v>106</v>
      </c>
      <c r="AD5" s="111" t="s">
        <v>112</v>
      </c>
      <c r="AE5" s="111" t="s">
        <v>125</v>
      </c>
      <c r="AF5" s="111" t="s">
        <v>126</v>
      </c>
      <c r="AG5" s="111" t="s">
        <v>127</v>
      </c>
      <c r="AH5" s="112"/>
    </row>
    <row r="6" spans="1:34" x14ac:dyDescent="0.3">
      <c r="C6" s="106">
        <v>100</v>
      </c>
      <c r="D6" s="106">
        <v>60</v>
      </c>
      <c r="E6" s="106">
        <v>70</v>
      </c>
      <c r="F6" s="106">
        <v>100</v>
      </c>
      <c r="G6" s="106">
        <v>98</v>
      </c>
      <c r="T6" s="168"/>
      <c r="V6" s="106">
        <v>10</v>
      </c>
      <c r="W6" s="106">
        <v>-5</v>
      </c>
      <c r="X6" s="106">
        <v>15</v>
      </c>
      <c r="Y6" s="106">
        <v>2</v>
      </c>
      <c r="Z6" s="106">
        <v>-4</v>
      </c>
      <c r="AA6" s="106"/>
      <c r="AB6" s="106"/>
      <c r="AC6" s="106"/>
      <c r="AD6" s="106"/>
      <c r="AE6" s="106"/>
      <c r="AF6" s="106"/>
      <c r="AG6" s="106"/>
      <c r="AH6" s="106"/>
    </row>
    <row r="7" spans="1:34" x14ac:dyDescent="0.3">
      <c r="T7" s="168"/>
      <c r="V7" s="106"/>
      <c r="W7" s="106"/>
      <c r="X7" s="106"/>
      <c r="Y7" s="106"/>
      <c r="Z7" s="106"/>
      <c r="AA7" s="106"/>
      <c r="AB7" s="106"/>
      <c r="AC7" s="106"/>
      <c r="AD7" s="106"/>
      <c r="AE7" s="106"/>
      <c r="AF7" s="106"/>
      <c r="AG7" s="106"/>
      <c r="AH7" s="106"/>
    </row>
    <row r="8" spans="1:34" x14ac:dyDescent="0.3">
      <c r="B8" s="102" t="s">
        <v>128</v>
      </c>
      <c r="C8" s="111" t="s">
        <v>118</v>
      </c>
      <c r="D8" s="111" t="s">
        <v>119</v>
      </c>
      <c r="E8" s="111" t="s">
        <v>120</v>
      </c>
      <c r="F8" s="111" t="s">
        <v>121</v>
      </c>
      <c r="G8" s="111" t="s">
        <v>122</v>
      </c>
      <c r="H8" s="111" t="s">
        <v>123</v>
      </c>
      <c r="I8" s="111" t="s">
        <v>124</v>
      </c>
      <c r="J8" s="111" t="s">
        <v>106</v>
      </c>
      <c r="K8" s="111" t="s">
        <v>112</v>
      </c>
      <c r="L8" s="111" t="s">
        <v>125</v>
      </c>
      <c r="M8" s="111" t="s">
        <v>126</v>
      </c>
      <c r="N8" s="111" t="s">
        <v>127</v>
      </c>
      <c r="O8" s="111" t="s">
        <v>129</v>
      </c>
      <c r="T8" s="168"/>
      <c r="U8" s="102" t="s">
        <v>128</v>
      </c>
      <c r="V8" s="111" t="s">
        <v>118</v>
      </c>
      <c r="W8" s="111" t="s">
        <v>119</v>
      </c>
      <c r="X8" s="111" t="s">
        <v>120</v>
      </c>
      <c r="Y8" s="111" t="s">
        <v>121</v>
      </c>
      <c r="Z8" s="111" t="s">
        <v>122</v>
      </c>
      <c r="AA8" s="111" t="s">
        <v>123</v>
      </c>
      <c r="AB8" s="111" t="s">
        <v>124</v>
      </c>
      <c r="AC8" s="111" t="s">
        <v>106</v>
      </c>
      <c r="AD8" s="111" t="s">
        <v>112</v>
      </c>
      <c r="AE8" s="111" t="s">
        <v>125</v>
      </c>
      <c r="AF8" s="111" t="s">
        <v>126</v>
      </c>
      <c r="AG8" s="111" t="s">
        <v>127</v>
      </c>
      <c r="AH8" s="111" t="s">
        <v>129</v>
      </c>
    </row>
    <row r="9" spans="1:34" x14ac:dyDescent="0.3">
      <c r="C9" s="106">
        <v>100</v>
      </c>
      <c r="D9" s="106">
        <v>60</v>
      </c>
      <c r="E9" s="106">
        <v>70</v>
      </c>
      <c r="F9" s="106">
        <v>100</v>
      </c>
      <c r="G9" s="106">
        <v>98</v>
      </c>
      <c r="H9" s="109">
        <f>SUM($C$9:$G$9)/5</f>
        <v>85.6</v>
      </c>
      <c r="I9" s="109">
        <f t="shared" ref="I9:N9" si="0">SUM($C$9:$G$9)/5</f>
        <v>85.6</v>
      </c>
      <c r="J9" s="109">
        <f t="shared" si="0"/>
        <v>85.6</v>
      </c>
      <c r="K9" s="109">
        <f t="shared" si="0"/>
        <v>85.6</v>
      </c>
      <c r="L9" s="109">
        <f t="shared" si="0"/>
        <v>85.6</v>
      </c>
      <c r="M9" s="109">
        <f t="shared" si="0"/>
        <v>85.6</v>
      </c>
      <c r="N9" s="109">
        <f t="shared" si="0"/>
        <v>85.6</v>
      </c>
      <c r="O9" s="110">
        <f>SUM(C9:N9)</f>
        <v>1027.2</v>
      </c>
      <c r="T9" s="168"/>
      <c r="V9" s="106">
        <v>10</v>
      </c>
      <c r="W9" s="106">
        <v>-5</v>
      </c>
      <c r="X9" s="106">
        <v>15</v>
      </c>
      <c r="Y9" s="106">
        <v>2</v>
      </c>
      <c r="Z9" s="106">
        <v>-4</v>
      </c>
      <c r="AA9" s="109">
        <f>SUM($V$9:$Z$9)/5</f>
        <v>3.6</v>
      </c>
      <c r="AB9" s="109">
        <f t="shared" ref="AB9:AG9" si="1">SUM($V$9:$Z$9)/5</f>
        <v>3.6</v>
      </c>
      <c r="AC9" s="109">
        <f t="shared" si="1"/>
        <v>3.6</v>
      </c>
      <c r="AD9" s="109">
        <f t="shared" si="1"/>
        <v>3.6</v>
      </c>
      <c r="AE9" s="109">
        <f t="shared" si="1"/>
        <v>3.6</v>
      </c>
      <c r="AF9" s="109">
        <f t="shared" si="1"/>
        <v>3.6</v>
      </c>
      <c r="AG9" s="109">
        <f t="shared" si="1"/>
        <v>3.6</v>
      </c>
      <c r="AH9" s="110">
        <f>SUM(V9:AG9)</f>
        <v>43.20000000000001</v>
      </c>
    </row>
    <row r="10" spans="1:34" x14ac:dyDescent="0.3">
      <c r="T10" s="168"/>
      <c r="V10" s="106"/>
      <c r="W10" s="106"/>
      <c r="X10" s="106"/>
      <c r="Y10" s="106"/>
      <c r="Z10" s="106"/>
      <c r="AA10" s="106"/>
      <c r="AB10" s="106"/>
      <c r="AC10" s="106"/>
      <c r="AD10" s="106"/>
      <c r="AE10" s="106"/>
      <c r="AF10" s="106"/>
      <c r="AG10" s="106"/>
      <c r="AH10" s="106"/>
    </row>
    <row r="11" spans="1:34" x14ac:dyDescent="0.3">
      <c r="B11" s="102" t="s">
        <v>130</v>
      </c>
      <c r="C11" s="111" t="s">
        <v>118</v>
      </c>
      <c r="D11" s="111" t="s">
        <v>119</v>
      </c>
      <c r="E11" s="111" t="s">
        <v>120</v>
      </c>
      <c r="F11" s="111" t="s">
        <v>121</v>
      </c>
      <c r="G11" s="111" t="s">
        <v>122</v>
      </c>
      <c r="H11" s="111" t="s">
        <v>123</v>
      </c>
      <c r="I11" s="111" t="s">
        <v>124</v>
      </c>
      <c r="J11" s="111" t="s">
        <v>106</v>
      </c>
      <c r="K11" s="111" t="s">
        <v>112</v>
      </c>
      <c r="L11" s="111" t="s">
        <v>125</v>
      </c>
      <c r="M11" s="111" t="s">
        <v>126</v>
      </c>
      <c r="N11" s="111" t="s">
        <v>127</v>
      </c>
      <c r="O11" s="111" t="s">
        <v>129</v>
      </c>
      <c r="T11" s="168"/>
      <c r="U11" s="102" t="s">
        <v>130</v>
      </c>
      <c r="V11" s="111" t="s">
        <v>118</v>
      </c>
      <c r="W11" s="111" t="s">
        <v>119</v>
      </c>
      <c r="X11" s="111" t="s">
        <v>120</v>
      </c>
      <c r="Y11" s="111" t="s">
        <v>121</v>
      </c>
      <c r="Z11" s="111" t="s">
        <v>122</v>
      </c>
      <c r="AA11" s="111" t="s">
        <v>123</v>
      </c>
      <c r="AB11" s="111" t="s">
        <v>124</v>
      </c>
      <c r="AC11" s="111" t="s">
        <v>106</v>
      </c>
      <c r="AD11" s="111" t="s">
        <v>112</v>
      </c>
      <c r="AE11" s="111" t="s">
        <v>125</v>
      </c>
      <c r="AF11" s="111" t="s">
        <v>126</v>
      </c>
      <c r="AG11" s="111" t="s">
        <v>127</v>
      </c>
      <c r="AH11" s="111" t="s">
        <v>129</v>
      </c>
    </row>
    <row r="12" spans="1:34" x14ac:dyDescent="0.3">
      <c r="C12" s="106">
        <v>100</v>
      </c>
      <c r="D12" s="106">
        <v>60</v>
      </c>
      <c r="E12" s="106">
        <v>70</v>
      </c>
      <c r="F12" s="106">
        <v>100</v>
      </c>
      <c r="G12" s="106">
        <v>98</v>
      </c>
      <c r="H12" s="106">
        <v>85.6</v>
      </c>
      <c r="I12" s="106">
        <v>85.6</v>
      </c>
      <c r="J12" s="106">
        <v>85.6</v>
      </c>
      <c r="K12" s="109">
        <f>K9*(1+10%)</f>
        <v>94.16</v>
      </c>
      <c r="L12" s="109">
        <f t="shared" ref="L12:N12" si="2">L9*(1+10%)</f>
        <v>94.16</v>
      </c>
      <c r="M12" s="109">
        <f t="shared" si="2"/>
        <v>94.16</v>
      </c>
      <c r="N12" s="109">
        <f t="shared" si="2"/>
        <v>94.16</v>
      </c>
      <c r="O12" s="110">
        <f>SUM(C12:N12)</f>
        <v>1061.44</v>
      </c>
      <c r="T12" s="168"/>
      <c r="V12" s="106">
        <v>10</v>
      </c>
      <c r="W12" s="106">
        <v>-5</v>
      </c>
      <c r="X12" s="106">
        <v>15</v>
      </c>
      <c r="Y12" s="106">
        <v>2</v>
      </c>
      <c r="Z12" s="106">
        <v>-4</v>
      </c>
      <c r="AA12" s="106">
        <f>AA9</f>
        <v>3.6</v>
      </c>
      <c r="AB12" s="106">
        <f>AB9</f>
        <v>3.6</v>
      </c>
      <c r="AC12" s="106">
        <f>AC9</f>
        <v>3.6</v>
      </c>
      <c r="AD12" s="109">
        <f>AD9*(1+10%)</f>
        <v>3.9600000000000004</v>
      </c>
      <c r="AE12" s="109">
        <f t="shared" ref="AE12:AG12" si="3">AE9*(1+10%)</f>
        <v>3.9600000000000004</v>
      </c>
      <c r="AF12" s="109">
        <f t="shared" si="3"/>
        <v>3.9600000000000004</v>
      </c>
      <c r="AG12" s="109">
        <f t="shared" si="3"/>
        <v>3.9600000000000004</v>
      </c>
      <c r="AH12" s="110">
        <f>SUM(V12:AG12)</f>
        <v>44.640000000000008</v>
      </c>
    </row>
    <row r="13" spans="1:34" x14ac:dyDescent="0.3">
      <c r="T13" s="168"/>
      <c r="V13" s="106"/>
      <c r="W13" s="106"/>
      <c r="X13" s="106"/>
      <c r="Y13" s="106"/>
      <c r="Z13" s="106"/>
      <c r="AA13" s="106"/>
      <c r="AB13" s="106"/>
      <c r="AC13" s="106"/>
      <c r="AD13" s="106"/>
      <c r="AE13" s="106"/>
      <c r="AF13" s="106"/>
      <c r="AG13" s="106"/>
      <c r="AH13" s="106"/>
    </row>
    <row r="14" spans="1:34" x14ac:dyDescent="0.3">
      <c r="C14" s="105" t="s">
        <v>131</v>
      </c>
      <c r="T14" s="168"/>
      <c r="V14" s="105" t="s">
        <v>132</v>
      </c>
      <c r="W14" s="106"/>
      <c r="X14" s="106"/>
      <c r="Y14" s="106"/>
      <c r="Z14" s="106"/>
      <c r="AA14" s="106"/>
      <c r="AB14" s="106"/>
      <c r="AC14" s="106"/>
      <c r="AD14" s="106"/>
      <c r="AE14" s="106"/>
      <c r="AF14" s="106"/>
      <c r="AG14" s="106"/>
      <c r="AH14" s="106"/>
    </row>
    <row r="15" spans="1:34" x14ac:dyDescent="0.3">
      <c r="T15" s="168"/>
      <c r="V15" s="106"/>
      <c r="W15" s="106"/>
      <c r="X15" s="106"/>
      <c r="Y15" s="106"/>
      <c r="Z15" s="106"/>
      <c r="AA15" s="106"/>
      <c r="AB15" s="106"/>
      <c r="AC15" s="106"/>
      <c r="AD15" s="106"/>
      <c r="AE15" s="106"/>
      <c r="AF15" s="106"/>
      <c r="AG15" s="106"/>
      <c r="AH15" s="106"/>
    </row>
    <row r="16" spans="1:34" x14ac:dyDescent="0.3">
      <c r="T16" s="168"/>
      <c r="V16" s="106"/>
      <c r="W16" s="106"/>
      <c r="X16" s="106"/>
      <c r="Y16" s="106"/>
      <c r="Z16" s="106"/>
      <c r="AA16" s="106"/>
      <c r="AB16" s="106"/>
      <c r="AC16" s="106"/>
      <c r="AD16" s="106"/>
      <c r="AE16" s="106"/>
      <c r="AF16" s="106"/>
      <c r="AG16" s="106"/>
      <c r="AH16" s="106"/>
    </row>
    <row r="17" spans="1:34" ht="18.600000000000001" x14ac:dyDescent="0.4">
      <c r="A17" s="108">
        <v>2</v>
      </c>
      <c r="B17" s="108" t="s">
        <v>133</v>
      </c>
      <c r="T17" s="167">
        <v>2</v>
      </c>
      <c r="U17" s="108" t="s">
        <v>134</v>
      </c>
      <c r="V17" s="106"/>
      <c r="W17" s="106"/>
      <c r="X17" s="106"/>
      <c r="Y17" s="106"/>
      <c r="Z17" s="106"/>
      <c r="AA17" s="106"/>
      <c r="AB17" s="106"/>
      <c r="AC17" s="106"/>
      <c r="AD17" s="106"/>
      <c r="AE17" s="106"/>
      <c r="AF17" s="106"/>
      <c r="AG17" s="106"/>
      <c r="AH17" s="106"/>
    </row>
    <row r="18" spans="1:34" x14ac:dyDescent="0.3">
      <c r="T18" s="168"/>
      <c r="V18" s="106"/>
      <c r="W18" s="106"/>
      <c r="X18" s="106"/>
      <c r="Y18" s="106"/>
      <c r="Z18" s="106"/>
      <c r="AA18" s="106"/>
      <c r="AB18" s="106"/>
      <c r="AC18" s="106"/>
      <c r="AD18" s="106"/>
      <c r="AE18" s="106"/>
      <c r="AF18" s="106"/>
      <c r="AG18" s="106"/>
      <c r="AH18" s="106"/>
    </row>
    <row r="19" spans="1:34" x14ac:dyDescent="0.3">
      <c r="B19" s="102" t="s">
        <v>117</v>
      </c>
      <c r="C19" s="111" t="s">
        <v>118</v>
      </c>
      <c r="D19" s="111" t="s">
        <v>119</v>
      </c>
      <c r="E19" s="111" t="s">
        <v>120</v>
      </c>
      <c r="F19" s="111" t="s">
        <v>121</v>
      </c>
      <c r="G19" s="111" t="s">
        <v>122</v>
      </c>
      <c r="H19" s="111" t="s">
        <v>123</v>
      </c>
      <c r="I19" s="111" t="s">
        <v>124</v>
      </c>
      <c r="J19" s="111" t="s">
        <v>106</v>
      </c>
      <c r="K19" s="111" t="s">
        <v>112</v>
      </c>
      <c r="L19" s="111" t="s">
        <v>125</v>
      </c>
      <c r="M19" s="111" t="s">
        <v>126</v>
      </c>
      <c r="N19" s="111" t="s">
        <v>127</v>
      </c>
      <c r="O19" s="112"/>
      <c r="T19" s="168"/>
      <c r="U19" s="102" t="s">
        <v>117</v>
      </c>
      <c r="V19" s="111" t="s">
        <v>118</v>
      </c>
      <c r="W19" s="111" t="s">
        <v>119</v>
      </c>
      <c r="X19" s="111" t="s">
        <v>120</v>
      </c>
      <c r="Y19" s="111" t="s">
        <v>121</v>
      </c>
      <c r="Z19" s="111" t="s">
        <v>122</v>
      </c>
      <c r="AA19" s="111" t="s">
        <v>123</v>
      </c>
      <c r="AB19" s="111" t="s">
        <v>124</v>
      </c>
      <c r="AC19" s="111" t="s">
        <v>106</v>
      </c>
      <c r="AD19" s="111" t="s">
        <v>112</v>
      </c>
      <c r="AE19" s="111" t="s">
        <v>125</v>
      </c>
      <c r="AF19" s="111" t="s">
        <v>126</v>
      </c>
      <c r="AG19" s="111" t="s">
        <v>127</v>
      </c>
      <c r="AH19" s="112"/>
    </row>
    <row r="20" spans="1:34" x14ac:dyDescent="0.3">
      <c r="C20" s="106">
        <v>100</v>
      </c>
      <c r="D20" s="106">
        <v>60</v>
      </c>
      <c r="E20" s="106">
        <v>70</v>
      </c>
      <c r="F20" s="106">
        <v>100</v>
      </c>
      <c r="G20" s="106">
        <v>98</v>
      </c>
      <c r="T20" s="168"/>
      <c r="V20" s="106">
        <v>10</v>
      </c>
      <c r="W20" s="106">
        <v>-5</v>
      </c>
      <c r="X20" s="106">
        <v>15</v>
      </c>
      <c r="Y20" s="106">
        <v>2</v>
      </c>
      <c r="Z20" s="106">
        <v>-4</v>
      </c>
      <c r="AA20" s="106"/>
      <c r="AB20" s="106"/>
      <c r="AC20" s="106"/>
      <c r="AD20" s="106"/>
      <c r="AE20" s="106"/>
      <c r="AF20" s="106"/>
      <c r="AG20" s="106"/>
      <c r="AH20" s="106"/>
    </row>
    <row r="21" spans="1:34" x14ac:dyDescent="0.3">
      <c r="T21" s="168"/>
      <c r="V21" s="106"/>
      <c r="W21" s="106"/>
      <c r="X21" s="106"/>
      <c r="Y21" s="106"/>
      <c r="Z21" s="106"/>
      <c r="AA21" s="106"/>
      <c r="AB21" s="106"/>
      <c r="AC21" s="106"/>
      <c r="AD21" s="106"/>
      <c r="AE21" s="106"/>
      <c r="AF21" s="106"/>
      <c r="AG21" s="106"/>
      <c r="AH21" s="106"/>
    </row>
    <row r="22" spans="1:34" x14ac:dyDescent="0.3">
      <c r="B22" s="102" t="s">
        <v>128</v>
      </c>
      <c r="C22" s="111" t="s">
        <v>118</v>
      </c>
      <c r="D22" s="111" t="s">
        <v>119</v>
      </c>
      <c r="E22" s="111" t="s">
        <v>120</v>
      </c>
      <c r="F22" s="111" t="s">
        <v>121</v>
      </c>
      <c r="G22" s="111" t="s">
        <v>122</v>
      </c>
      <c r="H22" s="111" t="s">
        <v>123</v>
      </c>
      <c r="I22" s="111" t="s">
        <v>124</v>
      </c>
      <c r="J22" s="111" t="s">
        <v>106</v>
      </c>
      <c r="K22" s="111" t="s">
        <v>112</v>
      </c>
      <c r="L22" s="111" t="s">
        <v>125</v>
      </c>
      <c r="M22" s="111" t="s">
        <v>126</v>
      </c>
      <c r="N22" s="111" t="s">
        <v>127</v>
      </c>
      <c r="O22" s="111" t="s">
        <v>129</v>
      </c>
      <c r="T22" s="168"/>
      <c r="U22" s="102" t="s">
        <v>128</v>
      </c>
      <c r="V22" s="111" t="s">
        <v>118</v>
      </c>
      <c r="W22" s="111" t="s">
        <v>119</v>
      </c>
      <c r="X22" s="111" t="s">
        <v>120</v>
      </c>
      <c r="Y22" s="111" t="s">
        <v>121</v>
      </c>
      <c r="Z22" s="111" t="s">
        <v>122</v>
      </c>
      <c r="AA22" s="111" t="s">
        <v>123</v>
      </c>
      <c r="AB22" s="111" t="s">
        <v>124</v>
      </c>
      <c r="AC22" s="111" t="s">
        <v>106</v>
      </c>
      <c r="AD22" s="111" t="s">
        <v>112</v>
      </c>
      <c r="AE22" s="111" t="s">
        <v>125</v>
      </c>
      <c r="AF22" s="111" t="s">
        <v>126</v>
      </c>
      <c r="AG22" s="111" t="s">
        <v>127</v>
      </c>
      <c r="AH22" s="111" t="s">
        <v>129</v>
      </c>
    </row>
    <row r="23" spans="1:34" x14ac:dyDescent="0.3">
      <c r="C23" s="106">
        <v>100</v>
      </c>
      <c r="D23" s="106">
        <v>60</v>
      </c>
      <c r="E23" s="106">
        <v>70</v>
      </c>
      <c r="F23" s="106">
        <v>100</v>
      </c>
      <c r="G23" s="106">
        <v>98</v>
      </c>
      <c r="H23" s="109">
        <f>SUM($C$9:$G$9)/5</f>
        <v>85.6</v>
      </c>
      <c r="I23" s="109">
        <f t="shared" ref="I23:N23" si="4">SUM($C$9:$G$9)/5</f>
        <v>85.6</v>
      </c>
      <c r="J23" s="109">
        <f t="shared" si="4"/>
        <v>85.6</v>
      </c>
      <c r="K23" s="109">
        <f t="shared" si="4"/>
        <v>85.6</v>
      </c>
      <c r="L23" s="109">
        <f t="shared" si="4"/>
        <v>85.6</v>
      </c>
      <c r="M23" s="109">
        <f t="shared" si="4"/>
        <v>85.6</v>
      </c>
      <c r="N23" s="109">
        <f t="shared" si="4"/>
        <v>85.6</v>
      </c>
      <c r="O23" s="110">
        <f>SUM(C23:N23)</f>
        <v>1027.2</v>
      </c>
      <c r="T23" s="168"/>
      <c r="V23" s="106">
        <v>10</v>
      </c>
      <c r="W23" s="106">
        <v>-5</v>
      </c>
      <c r="X23" s="106">
        <v>15</v>
      </c>
      <c r="Y23" s="106">
        <v>2</v>
      </c>
      <c r="Z23" s="106">
        <v>-4</v>
      </c>
      <c r="AA23" s="109">
        <f>SUM($V$23:$Z$23)/5</f>
        <v>3.6</v>
      </c>
      <c r="AB23" s="109">
        <f t="shared" ref="AB23:AG23" si="5">SUM($V$23:$Z$23)/5</f>
        <v>3.6</v>
      </c>
      <c r="AC23" s="109">
        <f t="shared" si="5"/>
        <v>3.6</v>
      </c>
      <c r="AD23" s="109">
        <f t="shared" si="5"/>
        <v>3.6</v>
      </c>
      <c r="AE23" s="109">
        <f t="shared" si="5"/>
        <v>3.6</v>
      </c>
      <c r="AF23" s="109">
        <f t="shared" si="5"/>
        <v>3.6</v>
      </c>
      <c r="AG23" s="109">
        <f t="shared" si="5"/>
        <v>3.6</v>
      </c>
      <c r="AH23" s="110">
        <f>SUM(V23:AG23)</f>
        <v>43.20000000000001</v>
      </c>
    </row>
    <row r="24" spans="1:34" x14ac:dyDescent="0.3">
      <c r="T24" s="168"/>
      <c r="V24" s="106"/>
      <c r="W24" s="106"/>
      <c r="X24" s="106"/>
      <c r="Y24" s="106"/>
      <c r="Z24" s="106"/>
      <c r="AA24" s="106"/>
      <c r="AB24" s="106"/>
      <c r="AC24" s="106"/>
      <c r="AD24" s="106"/>
      <c r="AE24" s="106"/>
      <c r="AF24" s="106"/>
      <c r="AG24" s="106"/>
      <c r="AH24" s="106"/>
    </row>
    <row r="25" spans="1:34" x14ac:dyDescent="0.3">
      <c r="B25" s="102" t="s">
        <v>135</v>
      </c>
      <c r="C25" s="111" t="s">
        <v>118</v>
      </c>
      <c r="D25" s="111" t="s">
        <v>119</v>
      </c>
      <c r="E25" s="111" t="s">
        <v>120</v>
      </c>
      <c r="F25" s="111" t="s">
        <v>121</v>
      </c>
      <c r="G25" s="111" t="s">
        <v>122</v>
      </c>
      <c r="H25" s="111" t="s">
        <v>123</v>
      </c>
      <c r="I25" s="111" t="s">
        <v>124</v>
      </c>
      <c r="J25" s="111" t="s">
        <v>106</v>
      </c>
      <c r="K25" s="111" t="s">
        <v>112</v>
      </c>
      <c r="L25" s="111" t="s">
        <v>125</v>
      </c>
      <c r="M25" s="111" t="s">
        <v>126</v>
      </c>
      <c r="N25" s="111" t="s">
        <v>127</v>
      </c>
      <c r="O25" s="111" t="s">
        <v>129</v>
      </c>
      <c r="T25" s="168"/>
      <c r="U25" s="102" t="s">
        <v>135</v>
      </c>
      <c r="V25" s="111" t="s">
        <v>118</v>
      </c>
      <c r="W25" s="111" t="s">
        <v>119</v>
      </c>
      <c r="X25" s="111" t="s">
        <v>120</v>
      </c>
      <c r="Y25" s="111" t="s">
        <v>121</v>
      </c>
      <c r="Z25" s="111" t="s">
        <v>122</v>
      </c>
      <c r="AA25" s="111" t="s">
        <v>123</v>
      </c>
      <c r="AB25" s="111" t="s">
        <v>124</v>
      </c>
      <c r="AC25" s="111" t="s">
        <v>106</v>
      </c>
      <c r="AD25" s="111" t="s">
        <v>112</v>
      </c>
      <c r="AE25" s="111" t="s">
        <v>125</v>
      </c>
      <c r="AF25" s="111" t="s">
        <v>126</v>
      </c>
      <c r="AG25" s="111" t="s">
        <v>127</v>
      </c>
      <c r="AH25" s="111" t="s">
        <v>129</v>
      </c>
    </row>
    <row r="26" spans="1:34" x14ac:dyDescent="0.3">
      <c r="C26" s="106">
        <v>100</v>
      </c>
      <c r="D26" s="106">
        <v>60</v>
      </c>
      <c r="E26" s="106">
        <v>70</v>
      </c>
      <c r="F26" s="106">
        <v>100</v>
      </c>
      <c r="G26" s="106">
        <v>98</v>
      </c>
      <c r="H26" s="106">
        <v>85.6</v>
      </c>
      <c r="I26" s="106">
        <v>85.6</v>
      </c>
      <c r="J26" s="106">
        <v>85.6</v>
      </c>
      <c r="K26" s="109">
        <f>K23*(1+6%)</f>
        <v>90.736000000000004</v>
      </c>
      <c r="L26" s="109">
        <f t="shared" ref="L26:N26" si="6">L23*(1+6%)</f>
        <v>90.736000000000004</v>
      </c>
      <c r="M26" s="109">
        <f t="shared" si="6"/>
        <v>90.736000000000004</v>
      </c>
      <c r="N26" s="109">
        <f t="shared" si="6"/>
        <v>90.736000000000004</v>
      </c>
      <c r="O26" s="110">
        <f>SUM(C26:N26)</f>
        <v>1047.7440000000001</v>
      </c>
      <c r="T26" s="168"/>
      <c r="V26" s="106">
        <v>10</v>
      </c>
      <c r="W26" s="106">
        <v>-5</v>
      </c>
      <c r="X26" s="106">
        <v>15</v>
      </c>
      <c r="Y26" s="106">
        <v>2</v>
      </c>
      <c r="Z26" s="106">
        <v>-4</v>
      </c>
      <c r="AA26" s="106">
        <f>AA23</f>
        <v>3.6</v>
      </c>
      <c r="AB26" s="106">
        <f>AB23</f>
        <v>3.6</v>
      </c>
      <c r="AC26" s="106">
        <f>AC23</f>
        <v>3.6</v>
      </c>
      <c r="AD26" s="109">
        <f>AD23*(1+6%)</f>
        <v>3.8160000000000003</v>
      </c>
      <c r="AE26" s="109">
        <f t="shared" ref="AE26:AG26" si="7">AE23*(1+6%)</f>
        <v>3.8160000000000003</v>
      </c>
      <c r="AF26" s="109">
        <f t="shared" si="7"/>
        <v>3.8160000000000003</v>
      </c>
      <c r="AG26" s="109">
        <f t="shared" si="7"/>
        <v>3.8160000000000003</v>
      </c>
      <c r="AH26" s="110">
        <f>SUM(V26:AG26)</f>
        <v>44.064000000000014</v>
      </c>
    </row>
    <row r="27" spans="1:34" x14ac:dyDescent="0.3">
      <c r="T27" s="168"/>
      <c r="V27" s="106"/>
      <c r="W27" s="106"/>
      <c r="X27" s="106"/>
      <c r="Y27" s="106"/>
      <c r="Z27" s="106"/>
      <c r="AA27" s="106"/>
      <c r="AB27" s="106"/>
      <c r="AC27" s="106"/>
      <c r="AD27" s="106"/>
      <c r="AE27" s="106"/>
      <c r="AF27" s="106"/>
      <c r="AG27" s="106"/>
      <c r="AH27" s="106"/>
    </row>
    <row r="28" spans="1:34" x14ac:dyDescent="0.3">
      <c r="C28" s="105" t="s">
        <v>136</v>
      </c>
      <c r="T28" s="168"/>
      <c r="V28" s="105" t="s">
        <v>137</v>
      </c>
      <c r="W28" s="106"/>
      <c r="X28" s="106"/>
      <c r="Y28" s="106"/>
      <c r="Z28" s="106"/>
      <c r="AA28" s="106"/>
      <c r="AB28" s="106"/>
      <c r="AC28" s="106"/>
      <c r="AD28" s="106"/>
      <c r="AE28" s="106"/>
      <c r="AF28" s="106"/>
      <c r="AG28" s="106"/>
      <c r="AH28" s="106"/>
    </row>
    <row r="29" spans="1:34" x14ac:dyDescent="0.3">
      <c r="T29" s="168"/>
      <c r="V29" s="106"/>
      <c r="W29" s="106"/>
      <c r="X29" s="106"/>
      <c r="Y29" s="106"/>
      <c r="Z29" s="106"/>
      <c r="AA29" s="106"/>
      <c r="AB29" s="106"/>
      <c r="AC29" s="106"/>
      <c r="AD29" s="106"/>
      <c r="AE29" s="106"/>
      <c r="AF29" s="106"/>
      <c r="AG29" s="106"/>
      <c r="AH29" s="106"/>
    </row>
    <row r="30" spans="1:34" x14ac:dyDescent="0.3">
      <c r="T30" s="168"/>
      <c r="V30" s="106"/>
      <c r="W30" s="106"/>
      <c r="X30" s="106"/>
      <c r="Y30" s="106"/>
      <c r="Z30" s="106"/>
      <c r="AA30" s="106"/>
      <c r="AB30" s="106"/>
      <c r="AC30" s="106"/>
      <c r="AD30" s="106"/>
      <c r="AE30" s="106"/>
      <c r="AF30" s="106"/>
      <c r="AG30" s="106"/>
      <c r="AH30" s="106"/>
    </row>
    <row r="31" spans="1:34" ht="18.600000000000001" x14ac:dyDescent="0.4">
      <c r="A31" s="108">
        <v>3</v>
      </c>
      <c r="B31" s="108" t="s">
        <v>138</v>
      </c>
      <c r="T31" s="167">
        <v>3</v>
      </c>
      <c r="U31" s="108" t="s">
        <v>139</v>
      </c>
      <c r="V31" s="106"/>
      <c r="W31" s="106"/>
      <c r="X31" s="106"/>
      <c r="Y31" s="106"/>
      <c r="Z31" s="106"/>
      <c r="AA31" s="106"/>
      <c r="AB31" s="106"/>
      <c r="AC31" s="106"/>
      <c r="AD31" s="106"/>
      <c r="AE31" s="106"/>
      <c r="AF31" s="106"/>
      <c r="AG31" s="106"/>
      <c r="AH31" s="106"/>
    </row>
    <row r="32" spans="1:34" x14ac:dyDescent="0.3">
      <c r="T32" s="168"/>
      <c r="V32" s="106"/>
      <c r="W32" s="106"/>
      <c r="X32" s="106"/>
      <c r="Y32" s="106"/>
      <c r="Z32" s="106"/>
      <c r="AA32" s="106"/>
      <c r="AB32" s="106"/>
      <c r="AC32" s="106"/>
      <c r="AD32" s="106"/>
      <c r="AE32" s="106"/>
      <c r="AF32" s="106"/>
      <c r="AG32" s="106"/>
      <c r="AH32" s="106"/>
    </row>
    <row r="33" spans="2:36" x14ac:dyDescent="0.3">
      <c r="B33" s="102" t="s">
        <v>117</v>
      </c>
      <c r="C33" s="111" t="s">
        <v>118</v>
      </c>
      <c r="D33" s="111" t="s">
        <v>119</v>
      </c>
      <c r="E33" s="111" t="s">
        <v>120</v>
      </c>
      <c r="F33" s="111" t="s">
        <v>121</v>
      </c>
      <c r="G33" s="111" t="s">
        <v>122</v>
      </c>
      <c r="H33" s="111" t="s">
        <v>123</v>
      </c>
      <c r="I33" s="111" t="s">
        <v>124</v>
      </c>
      <c r="J33" s="111" t="s">
        <v>106</v>
      </c>
      <c r="K33" s="111" t="s">
        <v>112</v>
      </c>
      <c r="L33" s="111" t="s">
        <v>125</v>
      </c>
      <c r="M33" s="111" t="s">
        <v>126</v>
      </c>
      <c r="N33" s="111" t="s">
        <v>127</v>
      </c>
      <c r="O33" s="112"/>
      <c r="T33" s="168"/>
      <c r="U33" s="102" t="s">
        <v>117</v>
      </c>
      <c r="V33" s="111" t="s">
        <v>118</v>
      </c>
      <c r="W33" s="111" t="s">
        <v>119</v>
      </c>
      <c r="X33" s="111" t="s">
        <v>120</v>
      </c>
      <c r="Y33" s="111" t="s">
        <v>121</v>
      </c>
      <c r="Z33" s="111" t="s">
        <v>122</v>
      </c>
      <c r="AA33" s="111" t="s">
        <v>123</v>
      </c>
      <c r="AB33" s="111" t="s">
        <v>124</v>
      </c>
      <c r="AC33" s="111" t="s">
        <v>106</v>
      </c>
      <c r="AD33" s="111" t="s">
        <v>112</v>
      </c>
      <c r="AE33" s="111" t="s">
        <v>125</v>
      </c>
      <c r="AF33" s="111" t="s">
        <v>126</v>
      </c>
      <c r="AG33" s="111" t="s">
        <v>127</v>
      </c>
      <c r="AH33" s="112"/>
    </row>
    <row r="34" spans="2:36" x14ac:dyDescent="0.3">
      <c r="C34" s="106">
        <v>100</v>
      </c>
      <c r="D34" s="106">
        <v>60</v>
      </c>
      <c r="E34" s="106">
        <v>70</v>
      </c>
      <c r="F34" s="106">
        <v>100</v>
      </c>
      <c r="G34" s="106">
        <v>98</v>
      </c>
      <c r="T34" s="168"/>
      <c r="V34" s="106">
        <v>10</v>
      </c>
      <c r="W34" s="106">
        <v>-5</v>
      </c>
      <c r="X34" s="106">
        <v>15</v>
      </c>
      <c r="Y34" s="106">
        <v>2</v>
      </c>
      <c r="Z34" s="106">
        <v>-4</v>
      </c>
      <c r="AA34" s="106"/>
      <c r="AB34" s="106"/>
      <c r="AC34" s="106"/>
      <c r="AD34" s="106"/>
      <c r="AE34" s="106"/>
      <c r="AF34" s="106"/>
      <c r="AG34" s="106"/>
      <c r="AH34" s="106"/>
    </row>
    <row r="35" spans="2:36" x14ac:dyDescent="0.3">
      <c r="T35" s="168"/>
      <c r="V35" s="106"/>
      <c r="W35" s="106"/>
      <c r="X35" s="106"/>
      <c r="Y35" s="106"/>
      <c r="Z35" s="106"/>
      <c r="AA35" s="106"/>
      <c r="AB35" s="106"/>
      <c r="AC35" s="106"/>
      <c r="AD35" s="106"/>
      <c r="AE35" s="106"/>
      <c r="AF35" s="106"/>
      <c r="AG35" s="106"/>
      <c r="AH35" s="106"/>
    </row>
    <row r="36" spans="2:36" x14ac:dyDescent="0.3">
      <c r="B36" s="102" t="s">
        <v>128</v>
      </c>
      <c r="C36" s="111" t="s">
        <v>118</v>
      </c>
      <c r="D36" s="111" t="s">
        <v>119</v>
      </c>
      <c r="E36" s="111" t="s">
        <v>120</v>
      </c>
      <c r="F36" s="111" t="s">
        <v>121</v>
      </c>
      <c r="G36" s="111" t="s">
        <v>122</v>
      </c>
      <c r="H36" s="111" t="s">
        <v>123</v>
      </c>
      <c r="I36" s="111" t="s">
        <v>124</v>
      </c>
      <c r="J36" s="111" t="s">
        <v>106</v>
      </c>
      <c r="K36" s="111" t="s">
        <v>112</v>
      </c>
      <c r="L36" s="111" t="s">
        <v>125</v>
      </c>
      <c r="M36" s="111" t="s">
        <v>126</v>
      </c>
      <c r="N36" s="111" t="s">
        <v>127</v>
      </c>
      <c r="O36" s="111" t="s">
        <v>129</v>
      </c>
      <c r="T36" s="168"/>
      <c r="U36" s="102" t="s">
        <v>128</v>
      </c>
      <c r="V36" s="111" t="s">
        <v>118</v>
      </c>
      <c r="W36" s="111" t="s">
        <v>119</v>
      </c>
      <c r="X36" s="111" t="s">
        <v>120</v>
      </c>
      <c r="Y36" s="111" t="s">
        <v>121</v>
      </c>
      <c r="Z36" s="111" t="s">
        <v>122</v>
      </c>
      <c r="AA36" s="111" t="s">
        <v>123</v>
      </c>
      <c r="AB36" s="111" t="s">
        <v>124</v>
      </c>
      <c r="AC36" s="111" t="s">
        <v>106</v>
      </c>
      <c r="AD36" s="111" t="s">
        <v>112</v>
      </c>
      <c r="AE36" s="111" t="s">
        <v>125</v>
      </c>
      <c r="AF36" s="111" t="s">
        <v>126</v>
      </c>
      <c r="AG36" s="111" t="s">
        <v>127</v>
      </c>
      <c r="AH36" s="111" t="s">
        <v>129</v>
      </c>
    </row>
    <row r="37" spans="2:36" x14ac:dyDescent="0.3">
      <c r="C37" s="106">
        <v>100</v>
      </c>
      <c r="D37" s="106">
        <v>60</v>
      </c>
      <c r="E37" s="106">
        <v>70</v>
      </c>
      <c r="F37" s="106">
        <v>100</v>
      </c>
      <c r="G37" s="106">
        <v>98</v>
      </c>
      <c r="H37" s="109">
        <f>SUM($C$9:$G$9)/5</f>
        <v>85.6</v>
      </c>
      <c r="I37" s="109">
        <f t="shared" ref="I37:N37" si="8">SUM($C$9:$G$9)/5</f>
        <v>85.6</v>
      </c>
      <c r="J37" s="109">
        <f t="shared" si="8"/>
        <v>85.6</v>
      </c>
      <c r="K37" s="109">
        <f t="shared" si="8"/>
        <v>85.6</v>
      </c>
      <c r="L37" s="109">
        <f t="shared" si="8"/>
        <v>85.6</v>
      </c>
      <c r="M37" s="109">
        <f t="shared" si="8"/>
        <v>85.6</v>
      </c>
      <c r="N37" s="109">
        <f t="shared" si="8"/>
        <v>85.6</v>
      </c>
      <c r="O37" s="110">
        <f>SUM(C37:N37)</f>
        <v>1027.2</v>
      </c>
      <c r="T37" s="168"/>
      <c r="V37" s="106">
        <v>10</v>
      </c>
      <c r="W37" s="106">
        <v>-5</v>
      </c>
      <c r="X37" s="106">
        <v>15</v>
      </c>
      <c r="Y37" s="106">
        <v>2</v>
      </c>
      <c r="Z37" s="106">
        <v>-4</v>
      </c>
      <c r="AA37" s="109">
        <f>SUM($V$34:$Z$34)/5</f>
        <v>3.6</v>
      </c>
      <c r="AB37" s="109">
        <f t="shared" ref="AB37:AG37" si="9">SUM($V$34:$Z$34)/5</f>
        <v>3.6</v>
      </c>
      <c r="AC37" s="109">
        <f t="shared" si="9"/>
        <v>3.6</v>
      </c>
      <c r="AD37" s="109">
        <f t="shared" si="9"/>
        <v>3.6</v>
      </c>
      <c r="AE37" s="109">
        <f t="shared" si="9"/>
        <v>3.6</v>
      </c>
      <c r="AF37" s="109">
        <f t="shared" si="9"/>
        <v>3.6</v>
      </c>
      <c r="AG37" s="109">
        <f t="shared" si="9"/>
        <v>3.6</v>
      </c>
      <c r="AH37" s="110">
        <f>SUM(V37:AG37)</f>
        <v>43.20000000000001</v>
      </c>
    </row>
    <row r="38" spans="2:36" x14ac:dyDescent="0.3">
      <c r="T38" s="168"/>
      <c r="V38" s="106"/>
      <c r="W38" s="106"/>
      <c r="X38" s="106"/>
      <c r="Y38" s="106"/>
      <c r="Z38" s="106"/>
      <c r="AA38" s="106"/>
      <c r="AB38" s="106"/>
      <c r="AC38" s="106"/>
      <c r="AD38" s="106"/>
      <c r="AE38" s="106"/>
      <c r="AF38" s="106"/>
      <c r="AG38" s="106"/>
      <c r="AH38" s="106"/>
    </row>
    <row r="39" spans="2:36" x14ac:dyDescent="0.3">
      <c r="B39" s="102" t="s">
        <v>140</v>
      </c>
      <c r="C39" s="111" t="s">
        <v>118</v>
      </c>
      <c r="D39" s="111" t="s">
        <v>119</v>
      </c>
      <c r="E39" s="111" t="s">
        <v>120</v>
      </c>
      <c r="F39" s="111" t="s">
        <v>121</v>
      </c>
      <c r="G39" s="111" t="s">
        <v>122</v>
      </c>
      <c r="H39" s="111" t="s">
        <v>123</v>
      </c>
      <c r="I39" s="111" t="s">
        <v>124</v>
      </c>
      <c r="J39" s="111" t="s">
        <v>106</v>
      </c>
      <c r="K39" s="111" t="s">
        <v>112</v>
      </c>
      <c r="L39" s="111" t="s">
        <v>125</v>
      </c>
      <c r="M39" s="111" t="s">
        <v>126</v>
      </c>
      <c r="N39" s="111" t="s">
        <v>127</v>
      </c>
      <c r="O39" s="111" t="s">
        <v>129</v>
      </c>
      <c r="T39" s="168"/>
      <c r="U39" s="102" t="s">
        <v>141</v>
      </c>
      <c r="V39" s="111" t="s">
        <v>118</v>
      </c>
      <c r="W39" s="111" t="s">
        <v>119</v>
      </c>
      <c r="X39" s="111" t="s">
        <v>120</v>
      </c>
      <c r="Y39" s="111" t="s">
        <v>121</v>
      </c>
      <c r="Z39" s="111" t="s">
        <v>122</v>
      </c>
      <c r="AA39" s="111" t="s">
        <v>123</v>
      </c>
      <c r="AB39" s="111" t="s">
        <v>124</v>
      </c>
      <c r="AC39" s="111" t="s">
        <v>106</v>
      </c>
      <c r="AD39" s="111" t="s">
        <v>112</v>
      </c>
      <c r="AE39" s="111" t="s">
        <v>125</v>
      </c>
      <c r="AF39" s="111" t="s">
        <v>126</v>
      </c>
      <c r="AG39" s="111" t="s">
        <v>127</v>
      </c>
      <c r="AH39" s="111" t="s">
        <v>129</v>
      </c>
    </row>
    <row r="40" spans="2:36" x14ac:dyDescent="0.3">
      <c r="C40" s="106">
        <v>100</v>
      </c>
      <c r="D40" s="106">
        <v>60</v>
      </c>
      <c r="E40" s="106">
        <v>70</v>
      </c>
      <c r="F40" s="106">
        <v>100</v>
      </c>
      <c r="G40" s="106">
        <v>98</v>
      </c>
      <c r="H40" s="106">
        <v>85.6</v>
      </c>
      <c r="I40" s="109">
        <f t="shared" ref="I40:J40" si="10">I37*(1+10%)</f>
        <v>94.16</v>
      </c>
      <c r="J40" s="109">
        <f t="shared" si="10"/>
        <v>94.16</v>
      </c>
      <c r="K40" s="109">
        <f>K37*(1+10%)</f>
        <v>94.16</v>
      </c>
      <c r="L40" s="109">
        <f t="shared" ref="L40:N40" si="11">L37*(1+10%)</f>
        <v>94.16</v>
      </c>
      <c r="M40" s="109">
        <f t="shared" si="11"/>
        <v>94.16</v>
      </c>
      <c r="N40" s="109">
        <f t="shared" si="11"/>
        <v>94.16</v>
      </c>
      <c r="O40" s="110">
        <f>SUM(C40:N40)</f>
        <v>1078.56</v>
      </c>
      <c r="T40" s="168"/>
      <c r="V40" s="106">
        <f>V37</f>
        <v>10</v>
      </c>
      <c r="W40" s="106">
        <f t="shared" ref="W40:AA40" si="12">W37</f>
        <v>-5</v>
      </c>
      <c r="X40" s="106">
        <f t="shared" si="12"/>
        <v>15</v>
      </c>
      <c r="Y40" s="106">
        <f t="shared" si="12"/>
        <v>2</v>
      </c>
      <c r="Z40" s="106">
        <f t="shared" si="12"/>
        <v>-4</v>
      </c>
      <c r="AA40" s="106">
        <f t="shared" si="12"/>
        <v>3.6</v>
      </c>
      <c r="AB40" s="109">
        <f>AB37*(1+10%)</f>
        <v>3.9600000000000004</v>
      </c>
      <c r="AC40" s="109">
        <f t="shared" ref="AC40" si="13">AC37*(1+10%)</f>
        <v>3.9600000000000004</v>
      </c>
      <c r="AD40" s="109">
        <f>AD37*(1+10%)</f>
        <v>3.9600000000000004</v>
      </c>
      <c r="AE40" s="109">
        <f t="shared" ref="AE40:AG40" si="14">AE37*(1+10%)</f>
        <v>3.9600000000000004</v>
      </c>
      <c r="AF40" s="109">
        <f t="shared" si="14"/>
        <v>3.9600000000000004</v>
      </c>
      <c r="AG40" s="109">
        <f t="shared" si="14"/>
        <v>3.9600000000000004</v>
      </c>
      <c r="AH40" s="110">
        <f>SUM(V40:AG40)</f>
        <v>45.360000000000007</v>
      </c>
    </row>
    <row r="41" spans="2:36" x14ac:dyDescent="0.3">
      <c r="T41" s="168"/>
      <c r="V41" s="106"/>
      <c r="W41" s="106"/>
      <c r="X41" s="106"/>
      <c r="Y41" s="106"/>
      <c r="Z41" s="106"/>
      <c r="AA41" s="106"/>
      <c r="AB41" s="106"/>
      <c r="AC41" s="106"/>
      <c r="AD41" s="106"/>
      <c r="AE41" s="106"/>
      <c r="AF41" s="106"/>
      <c r="AG41" s="106"/>
      <c r="AH41" s="106"/>
    </row>
    <row r="42" spans="2:36" x14ac:dyDescent="0.3">
      <c r="C42" s="105" t="s">
        <v>142</v>
      </c>
      <c r="T42" s="168"/>
      <c r="V42" s="105" t="s">
        <v>142</v>
      </c>
      <c r="W42" s="106"/>
      <c r="X42" s="106"/>
      <c r="Y42" s="106"/>
      <c r="Z42" s="106"/>
      <c r="AA42" s="106"/>
      <c r="AB42" s="106"/>
      <c r="AC42" s="106"/>
      <c r="AD42" s="106"/>
      <c r="AE42" s="106"/>
      <c r="AF42" s="106"/>
      <c r="AG42" s="106"/>
      <c r="AH42" s="106"/>
    </row>
    <row r="43" spans="2:36" x14ac:dyDescent="0.3">
      <c r="T43" s="168"/>
      <c r="V43" s="106"/>
      <c r="W43" s="106"/>
      <c r="X43" s="106"/>
      <c r="Y43" s="106"/>
      <c r="Z43" s="106"/>
      <c r="AA43" s="106"/>
      <c r="AB43" s="106"/>
      <c r="AC43" s="106"/>
      <c r="AD43" s="106"/>
      <c r="AE43" s="106"/>
      <c r="AF43" s="106"/>
      <c r="AG43" s="106"/>
      <c r="AH43" s="106"/>
    </row>
    <row r="44" spans="2:36" x14ac:dyDescent="0.3">
      <c r="B44" s="102" t="s">
        <v>135</v>
      </c>
      <c r="C44" s="111" t="s">
        <v>118</v>
      </c>
      <c r="D44" s="111" t="s">
        <v>119</v>
      </c>
      <c r="E44" s="111" t="s">
        <v>120</v>
      </c>
      <c r="F44" s="111" t="s">
        <v>121</v>
      </c>
      <c r="G44" s="111" t="s">
        <v>122</v>
      </c>
      <c r="H44" s="111" t="s">
        <v>123</v>
      </c>
      <c r="I44" s="111" t="s">
        <v>124</v>
      </c>
      <c r="J44" s="111" t="s">
        <v>106</v>
      </c>
      <c r="K44" s="111" t="s">
        <v>112</v>
      </c>
      <c r="L44" s="111" t="s">
        <v>125</v>
      </c>
      <c r="M44" s="111" t="s">
        <v>126</v>
      </c>
      <c r="N44" s="111" t="s">
        <v>127</v>
      </c>
      <c r="O44" s="111" t="s">
        <v>129</v>
      </c>
      <c r="Q44" s="113" t="s">
        <v>143</v>
      </c>
      <c r="T44" s="168"/>
      <c r="U44" s="102" t="s">
        <v>135</v>
      </c>
      <c r="V44" s="111" t="s">
        <v>118</v>
      </c>
      <c r="W44" s="111" t="s">
        <v>119</v>
      </c>
      <c r="X44" s="111" t="s">
        <v>120</v>
      </c>
      <c r="Y44" s="111" t="s">
        <v>121</v>
      </c>
      <c r="Z44" s="111" t="s">
        <v>122</v>
      </c>
      <c r="AA44" s="111" t="s">
        <v>123</v>
      </c>
      <c r="AB44" s="111" t="s">
        <v>124</v>
      </c>
      <c r="AC44" s="111" t="s">
        <v>106</v>
      </c>
      <c r="AD44" s="111" t="s">
        <v>112</v>
      </c>
      <c r="AE44" s="111" t="s">
        <v>125</v>
      </c>
      <c r="AF44" s="111" t="s">
        <v>126</v>
      </c>
      <c r="AG44" s="111" t="s">
        <v>127</v>
      </c>
      <c r="AH44" s="111" t="s">
        <v>129</v>
      </c>
      <c r="AJ44" s="113" t="s">
        <v>143</v>
      </c>
    </row>
    <row r="45" spans="2:36" x14ac:dyDescent="0.3">
      <c r="C45" s="106">
        <v>100</v>
      </c>
      <c r="D45" s="106">
        <v>60</v>
      </c>
      <c r="E45" s="106">
        <v>70</v>
      </c>
      <c r="F45" s="106">
        <v>100</v>
      </c>
      <c r="G45" s="106">
        <v>98</v>
      </c>
      <c r="H45" s="106">
        <v>85.6</v>
      </c>
      <c r="I45" s="106">
        <v>85.6</v>
      </c>
      <c r="J45" s="106">
        <v>85.6</v>
      </c>
      <c r="K45" s="110">
        <f>K40*(1+6%)</f>
        <v>99.809600000000003</v>
      </c>
      <c r="L45" s="109">
        <f t="shared" ref="L45:N45" si="15">L40*(1+6%)</f>
        <v>99.809600000000003</v>
      </c>
      <c r="M45" s="109">
        <f t="shared" si="15"/>
        <v>99.809600000000003</v>
      </c>
      <c r="N45" s="109">
        <f t="shared" si="15"/>
        <v>99.809600000000003</v>
      </c>
      <c r="O45" s="110">
        <f>SUM(C45:N45)</f>
        <v>1084.0384000000001</v>
      </c>
      <c r="T45" s="168"/>
      <c r="V45" s="106">
        <f>V40</f>
        <v>10</v>
      </c>
      <c r="W45" s="106">
        <f t="shared" ref="W45:AC45" si="16">W40</f>
        <v>-5</v>
      </c>
      <c r="X45" s="106">
        <f t="shared" si="16"/>
        <v>15</v>
      </c>
      <c r="Y45" s="106">
        <f t="shared" si="16"/>
        <v>2</v>
      </c>
      <c r="Z45" s="106">
        <f t="shared" si="16"/>
        <v>-4</v>
      </c>
      <c r="AA45" s="106">
        <f t="shared" si="16"/>
        <v>3.6</v>
      </c>
      <c r="AB45" s="106">
        <f t="shared" si="16"/>
        <v>3.9600000000000004</v>
      </c>
      <c r="AC45" s="106">
        <f t="shared" si="16"/>
        <v>3.9600000000000004</v>
      </c>
      <c r="AD45" s="169">
        <f>AD40*(1+6%)</f>
        <v>4.1976000000000004</v>
      </c>
      <c r="AE45" s="169">
        <f t="shared" ref="AE45:AG45" si="17">AE40*(1+6%)</f>
        <v>4.1976000000000004</v>
      </c>
      <c r="AF45" s="169">
        <f t="shared" si="17"/>
        <v>4.1976000000000004</v>
      </c>
      <c r="AG45" s="169">
        <f t="shared" si="17"/>
        <v>4.1976000000000004</v>
      </c>
      <c r="AH45" s="110">
        <f>SUM(V45:AG45)</f>
        <v>46.310400000000008</v>
      </c>
    </row>
    <row r="46" spans="2:36" x14ac:dyDescent="0.3">
      <c r="T46" s="168"/>
      <c r="V46" s="106"/>
      <c r="W46" s="106"/>
      <c r="X46" s="106"/>
      <c r="Y46" s="106"/>
      <c r="Z46" s="106"/>
      <c r="AA46" s="106"/>
      <c r="AB46" s="106"/>
      <c r="AC46" s="106"/>
      <c r="AD46" s="106"/>
      <c r="AE46" s="106"/>
      <c r="AF46" s="106"/>
      <c r="AG46" s="106"/>
      <c r="AH46" s="106"/>
    </row>
    <row r="47" spans="2:36" x14ac:dyDescent="0.3">
      <c r="C47" s="105" t="s">
        <v>144</v>
      </c>
      <c r="T47" s="168"/>
      <c r="V47" s="105"/>
      <c r="W47" s="106"/>
      <c r="X47" s="106"/>
      <c r="Y47" s="106"/>
      <c r="Z47" s="106"/>
      <c r="AA47" s="106"/>
      <c r="AB47" s="106"/>
      <c r="AC47" s="106"/>
      <c r="AD47" s="106"/>
      <c r="AE47" s="106"/>
      <c r="AF47" s="106"/>
      <c r="AG47" s="106"/>
      <c r="AH47" s="106"/>
    </row>
    <row r="49" spans="11:11" x14ac:dyDescent="0.3">
      <c r="K49" s="17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AC02-65E5-4172-91F9-700315163F39}">
  <dimension ref="A1:P76"/>
  <sheetViews>
    <sheetView showGridLines="0" zoomScale="85" zoomScaleNormal="85" workbookViewId="0">
      <selection activeCell="F36" sqref="F36"/>
    </sheetView>
  </sheetViews>
  <sheetFormatPr defaultColWidth="8.69921875" defaultRowHeight="12.6" x14ac:dyDescent="0.25"/>
  <cols>
    <col min="1" max="1" width="15.69921875" style="23" customWidth="1"/>
    <col min="2" max="2" width="16" style="23" bestFit="1" customWidth="1"/>
    <col min="3" max="3" width="11.69921875" style="23" bestFit="1" customWidth="1"/>
    <col min="4" max="4" width="14.09765625" style="23" bestFit="1" customWidth="1"/>
    <col min="5" max="5" width="8.8984375" style="23" bestFit="1" customWidth="1"/>
    <col min="6" max="6" width="19.69921875" style="23" customWidth="1"/>
    <col min="7" max="7" width="8.3984375" style="23" bestFit="1" customWidth="1"/>
    <col min="8" max="8" width="12.3984375" style="23" customWidth="1"/>
    <col min="9" max="9" width="14.296875" style="23" bestFit="1" customWidth="1"/>
    <col min="10" max="10" width="12.296875" style="23" customWidth="1"/>
    <col min="11" max="11" width="14.296875" style="23" bestFit="1" customWidth="1"/>
    <col min="12" max="12" width="14.69921875" style="23" bestFit="1" customWidth="1"/>
    <col min="13" max="13" width="17.69921875" style="23" bestFit="1" customWidth="1"/>
    <col min="14" max="14" width="12.69921875" style="23" bestFit="1" customWidth="1"/>
    <col min="15" max="15" width="11.69921875" style="23" bestFit="1" customWidth="1"/>
    <col min="16" max="16" width="9.3984375" style="23" bestFit="1" customWidth="1"/>
    <col min="17" max="16384" width="8.69921875" style="23"/>
  </cols>
  <sheetData>
    <row r="1" spans="1:15" ht="28.8" x14ac:dyDescent="0.55000000000000004">
      <c r="A1" s="39" t="s">
        <v>145</v>
      </c>
    </row>
    <row r="3" spans="1:15" ht="18" x14ac:dyDescent="0.35">
      <c r="A3" s="38" t="s">
        <v>146</v>
      </c>
    </row>
    <row r="4" spans="1:15" x14ac:dyDescent="0.25">
      <c r="A4" s="26"/>
      <c r="B4" s="28"/>
      <c r="C4" s="28"/>
      <c r="D4" s="28"/>
      <c r="E4" s="28"/>
      <c r="F4" s="28"/>
      <c r="G4" s="28"/>
      <c r="H4" s="28"/>
      <c r="I4" s="28"/>
      <c r="J4" s="28"/>
      <c r="K4" s="28"/>
      <c r="L4" s="28"/>
      <c r="M4" s="28"/>
      <c r="N4" s="28"/>
      <c r="O4" s="29"/>
    </row>
    <row r="5" spans="1:15" x14ac:dyDescent="0.25">
      <c r="A5" s="42" t="s">
        <v>147</v>
      </c>
      <c r="B5" s="43"/>
      <c r="O5" s="41"/>
    </row>
    <row r="6" spans="1:15" x14ac:dyDescent="0.25">
      <c r="A6" s="40" t="s">
        <v>148</v>
      </c>
      <c r="B6" s="41" t="s">
        <v>55</v>
      </c>
      <c r="O6" s="41"/>
    </row>
    <row r="7" spans="1:15" x14ac:dyDescent="0.25">
      <c r="A7" s="40" t="s">
        <v>149</v>
      </c>
      <c r="B7" s="41" t="s">
        <v>56</v>
      </c>
      <c r="O7" s="41"/>
    </row>
    <row r="8" spans="1:15" x14ac:dyDescent="0.25">
      <c r="A8" s="30" t="s">
        <v>150</v>
      </c>
      <c r="B8" s="32" t="s">
        <v>151</v>
      </c>
      <c r="O8" s="41"/>
    </row>
    <row r="9" spans="1:15" x14ac:dyDescent="0.25">
      <c r="A9" s="40"/>
      <c r="O9" s="41"/>
    </row>
    <row r="10" spans="1:15" x14ac:dyDescent="0.25">
      <c r="A10" s="47" t="s">
        <v>3</v>
      </c>
      <c r="B10" s="37" t="s">
        <v>6</v>
      </c>
      <c r="C10" s="37" t="s">
        <v>152</v>
      </c>
      <c r="D10" s="37" t="s">
        <v>20</v>
      </c>
      <c r="E10" s="37" t="s">
        <v>22</v>
      </c>
      <c r="F10" s="37" t="s">
        <v>5</v>
      </c>
      <c r="G10" s="37" t="s">
        <v>153</v>
      </c>
      <c r="H10" s="36" t="s">
        <v>154</v>
      </c>
      <c r="I10" s="36" t="s">
        <v>155</v>
      </c>
      <c r="J10" s="37" t="s">
        <v>156</v>
      </c>
      <c r="K10" s="36" t="s">
        <v>157</v>
      </c>
      <c r="L10" s="36" t="s">
        <v>158</v>
      </c>
      <c r="M10" s="37" t="s">
        <v>159</v>
      </c>
      <c r="N10" s="37" t="s">
        <v>160</v>
      </c>
      <c r="O10" s="48" t="s">
        <v>161</v>
      </c>
    </row>
    <row r="11" spans="1:15" x14ac:dyDescent="0.25">
      <c r="A11" s="49" t="s">
        <v>162</v>
      </c>
      <c r="B11" s="50" t="s">
        <v>163</v>
      </c>
      <c r="C11" s="50" t="s">
        <v>164</v>
      </c>
      <c r="D11" s="50" t="s">
        <v>33</v>
      </c>
      <c r="E11" s="50" t="s">
        <v>165</v>
      </c>
      <c r="F11" s="50" t="s">
        <v>166</v>
      </c>
      <c r="G11" s="51">
        <v>4636</v>
      </c>
      <c r="H11" s="52">
        <v>4532</v>
      </c>
      <c r="I11" s="52">
        <v>104</v>
      </c>
      <c r="J11" s="51">
        <v>736373.70000000007</v>
      </c>
      <c r="K11" s="53">
        <f>L54</f>
        <v>704971.40000000014</v>
      </c>
      <c r="L11" s="53">
        <f>M54</f>
        <v>31402.3</v>
      </c>
      <c r="M11" s="54">
        <v>407232.32</v>
      </c>
      <c r="N11" s="54">
        <v>407232.32</v>
      </c>
      <c r="O11" s="55">
        <v>0</v>
      </c>
    </row>
    <row r="12" spans="1:15" x14ac:dyDescent="0.25">
      <c r="A12" s="56" t="s">
        <v>167</v>
      </c>
      <c r="B12" s="57" t="s">
        <v>168</v>
      </c>
      <c r="C12" s="57" t="s">
        <v>169</v>
      </c>
      <c r="D12" s="57" t="s">
        <v>170</v>
      </c>
      <c r="E12" s="57" t="s">
        <v>165</v>
      </c>
      <c r="F12" s="57" t="s">
        <v>166</v>
      </c>
      <c r="G12" s="58">
        <v>3491</v>
      </c>
      <c r="J12" s="58">
        <v>70072.260000000009</v>
      </c>
      <c r="M12" s="59">
        <v>12999.36</v>
      </c>
      <c r="N12" s="59">
        <v>12999.36</v>
      </c>
      <c r="O12" s="60">
        <v>0</v>
      </c>
    </row>
    <row r="13" spans="1:15" x14ac:dyDescent="0.25">
      <c r="A13" s="56" t="s">
        <v>162</v>
      </c>
      <c r="B13" s="57" t="s">
        <v>163</v>
      </c>
      <c r="C13" s="57" t="s">
        <v>164</v>
      </c>
      <c r="D13" s="57" t="s">
        <v>33</v>
      </c>
      <c r="E13" s="57" t="s">
        <v>165</v>
      </c>
      <c r="F13" s="57" t="s">
        <v>61</v>
      </c>
      <c r="G13" s="58">
        <v>6847</v>
      </c>
      <c r="J13" s="58">
        <v>437684.2</v>
      </c>
      <c r="M13" s="59">
        <v>9252.9500000000007</v>
      </c>
      <c r="N13" s="59">
        <v>9252.9500000000007</v>
      </c>
      <c r="O13" s="60">
        <v>0</v>
      </c>
    </row>
    <row r="14" spans="1:15" x14ac:dyDescent="0.25">
      <c r="A14" s="56" t="s">
        <v>167</v>
      </c>
      <c r="B14" s="57" t="s">
        <v>168</v>
      </c>
      <c r="C14" s="57" t="s">
        <v>169</v>
      </c>
      <c r="D14" s="57" t="s">
        <v>170</v>
      </c>
      <c r="E14" s="57" t="s">
        <v>165</v>
      </c>
      <c r="F14" s="57" t="s">
        <v>61</v>
      </c>
      <c r="G14" s="58">
        <v>662</v>
      </c>
      <c r="J14" s="58">
        <v>49360.639999999999</v>
      </c>
      <c r="M14" s="59">
        <v>1156.26</v>
      </c>
      <c r="N14" s="59">
        <v>1156.26</v>
      </c>
      <c r="O14" s="60">
        <v>0</v>
      </c>
    </row>
    <row r="15" spans="1:15" x14ac:dyDescent="0.25">
      <c r="A15" s="56" t="s">
        <v>162</v>
      </c>
      <c r="B15" s="57" t="s">
        <v>163</v>
      </c>
      <c r="C15" s="57" t="s">
        <v>164</v>
      </c>
      <c r="D15" s="57" t="s">
        <v>33</v>
      </c>
      <c r="E15" s="57" t="s">
        <v>37</v>
      </c>
      <c r="F15" s="57" t="s">
        <v>171</v>
      </c>
      <c r="G15" s="58">
        <v>4997</v>
      </c>
      <c r="J15" s="58">
        <v>327979.88</v>
      </c>
      <c r="M15" s="59">
        <v>750.06999999999994</v>
      </c>
      <c r="N15" s="59">
        <v>750.06999999999994</v>
      </c>
      <c r="O15" s="60">
        <v>0</v>
      </c>
    </row>
    <row r="16" spans="1:15" x14ac:dyDescent="0.25">
      <c r="A16" s="56" t="s">
        <v>167</v>
      </c>
      <c r="B16" s="57" t="s">
        <v>168</v>
      </c>
      <c r="C16" s="57" t="s">
        <v>169</v>
      </c>
      <c r="D16" s="57" t="s">
        <v>170</v>
      </c>
      <c r="E16" s="57" t="s">
        <v>37</v>
      </c>
      <c r="F16" s="57" t="s">
        <v>171</v>
      </c>
      <c r="G16" s="58">
        <v>75</v>
      </c>
      <c r="J16" s="58">
        <v>4794.6499999999996</v>
      </c>
      <c r="M16" s="59">
        <v>0.02</v>
      </c>
      <c r="N16" s="59">
        <v>0.02</v>
      </c>
      <c r="O16" s="60">
        <v>0</v>
      </c>
    </row>
    <row r="17" spans="1:15" x14ac:dyDescent="0.25">
      <c r="A17" s="61" t="s">
        <v>129</v>
      </c>
      <c r="B17" s="62"/>
      <c r="C17" s="62"/>
      <c r="D17" s="62"/>
      <c r="E17" s="62"/>
      <c r="F17" s="62"/>
      <c r="G17" s="63">
        <v>20708</v>
      </c>
      <c r="J17" s="63">
        <v>1626265.3300000003</v>
      </c>
      <c r="M17" s="64">
        <v>431390.98</v>
      </c>
      <c r="N17" s="64">
        <v>431390.98</v>
      </c>
      <c r="O17" s="65">
        <v>0</v>
      </c>
    </row>
    <row r="18" spans="1:15" x14ac:dyDescent="0.25">
      <c r="A18" s="40"/>
      <c r="O18" s="41"/>
    </row>
    <row r="19" spans="1:15" x14ac:dyDescent="0.25">
      <c r="A19" s="66" t="s">
        <v>172</v>
      </c>
      <c r="O19" s="41"/>
    </row>
    <row r="20" spans="1:15" x14ac:dyDescent="0.25">
      <c r="A20" s="26" t="s">
        <v>173</v>
      </c>
      <c r="B20" s="27">
        <v>-0.16</v>
      </c>
      <c r="C20" s="28" t="s">
        <v>174</v>
      </c>
      <c r="D20" s="29"/>
      <c r="O20" s="41"/>
    </row>
    <row r="21" spans="1:15" x14ac:dyDescent="0.25">
      <c r="A21" s="30" t="s">
        <v>175</v>
      </c>
      <c r="B21" s="31">
        <v>45536</v>
      </c>
      <c r="C21" s="25"/>
      <c r="D21" s="32"/>
      <c r="O21" s="41"/>
    </row>
    <row r="22" spans="1:15" x14ac:dyDescent="0.25">
      <c r="A22" s="40"/>
      <c r="O22" s="41"/>
    </row>
    <row r="23" spans="1:15" x14ac:dyDescent="0.25">
      <c r="A23" s="66" t="s">
        <v>176</v>
      </c>
      <c r="O23" s="41"/>
    </row>
    <row r="24" spans="1:15" x14ac:dyDescent="0.25">
      <c r="A24" s="40" t="s">
        <v>177</v>
      </c>
      <c r="O24" s="41"/>
    </row>
    <row r="25" spans="1:15" x14ac:dyDescent="0.25">
      <c r="A25" s="40" t="s">
        <v>178</v>
      </c>
      <c r="O25" s="41"/>
    </row>
    <row r="26" spans="1:15" x14ac:dyDescent="0.25">
      <c r="A26" s="40"/>
      <c r="O26" s="41"/>
    </row>
    <row r="27" spans="1:15" x14ac:dyDescent="0.25">
      <c r="A27" s="40"/>
      <c r="O27" s="41"/>
    </row>
    <row r="28" spans="1:15" x14ac:dyDescent="0.25">
      <c r="A28" s="67" t="s">
        <v>5</v>
      </c>
      <c r="B28" s="44" t="s">
        <v>179</v>
      </c>
      <c r="C28" s="44" t="s">
        <v>180</v>
      </c>
      <c r="D28" s="44" t="s">
        <v>181</v>
      </c>
      <c r="E28" s="44" t="s">
        <v>182</v>
      </c>
      <c r="F28" s="44" t="s">
        <v>183</v>
      </c>
      <c r="G28" s="44" t="s">
        <v>184</v>
      </c>
      <c r="H28" s="44" t="s">
        <v>185</v>
      </c>
      <c r="I28" s="44" t="s">
        <v>186</v>
      </c>
      <c r="J28" s="44" t="s">
        <v>187</v>
      </c>
      <c r="K28" s="82" t="s">
        <v>188</v>
      </c>
      <c r="L28" s="82" t="s">
        <v>189</v>
      </c>
      <c r="M28" s="82" t="s">
        <v>190</v>
      </c>
      <c r="O28" s="41"/>
    </row>
    <row r="29" spans="1:15" x14ac:dyDescent="0.25">
      <c r="A29" s="49" t="s">
        <v>166</v>
      </c>
      <c r="B29" s="68">
        <f>K11/H11</f>
        <v>155.55414827890559</v>
      </c>
      <c r="C29" s="68">
        <f>B29+N11/H11</f>
        <v>245.41123565754637</v>
      </c>
      <c r="D29" s="68">
        <f>C29-B29</f>
        <v>89.857087378640784</v>
      </c>
      <c r="E29" s="68">
        <v>5</v>
      </c>
      <c r="F29" s="68">
        <f>D29*(H11/E29*12)</f>
        <v>977357.56799999997</v>
      </c>
      <c r="G29" s="68">
        <f>MONTH($B$21)</f>
        <v>9</v>
      </c>
      <c r="H29" s="68">
        <f>((12-G29)+1)</f>
        <v>4</v>
      </c>
      <c r="I29" s="68">
        <f>(H11/E29)*H29</f>
        <v>3625.6</v>
      </c>
      <c r="J29" s="68">
        <f>B29*$B$20</f>
        <v>-24.888663724624895</v>
      </c>
      <c r="K29" s="83">
        <f>J29*I29</f>
        <v>-90236.339200000017</v>
      </c>
      <c r="L29" s="83">
        <f>K29+F29</f>
        <v>887121.22879999992</v>
      </c>
      <c r="M29" s="83">
        <f>K11*(12/E29)-K29</f>
        <v>1782167.6992000004</v>
      </c>
      <c r="O29" s="41"/>
    </row>
    <row r="30" spans="1:15" x14ac:dyDescent="0.25">
      <c r="A30" s="69"/>
      <c r="B30" s="35"/>
      <c r="C30" s="35"/>
      <c r="D30" s="35"/>
      <c r="E30" s="35"/>
      <c r="F30" s="35"/>
      <c r="G30" s="35"/>
      <c r="H30" s="35"/>
      <c r="I30" s="35"/>
      <c r="J30" s="35"/>
      <c r="K30" s="35"/>
      <c r="L30" s="35"/>
      <c r="M30" s="35"/>
      <c r="O30" s="41"/>
    </row>
    <row r="31" spans="1:15" x14ac:dyDescent="0.25">
      <c r="A31" s="25"/>
      <c r="B31" s="70"/>
      <c r="C31" s="70"/>
      <c r="D31" s="70"/>
      <c r="E31" s="70"/>
      <c r="F31" s="70"/>
      <c r="G31" s="70"/>
      <c r="H31" s="70"/>
      <c r="I31" s="70"/>
      <c r="J31" s="70"/>
      <c r="K31" s="70"/>
      <c r="L31" s="70"/>
      <c r="M31" s="70"/>
      <c r="N31" s="25"/>
      <c r="O31" s="32"/>
    </row>
    <row r="32" spans="1:15" x14ac:dyDescent="0.25">
      <c r="A32" s="34"/>
      <c r="B32" s="35"/>
      <c r="C32" s="35"/>
      <c r="D32" s="35"/>
      <c r="E32" s="35"/>
      <c r="F32" s="35"/>
      <c r="G32" s="35"/>
      <c r="H32" s="35"/>
      <c r="I32" s="35"/>
      <c r="J32" s="35"/>
      <c r="K32" s="35"/>
      <c r="L32" s="35"/>
      <c r="M32" s="35"/>
    </row>
    <row r="33" spans="1:15" ht="18" x14ac:dyDescent="0.35">
      <c r="A33" s="81" t="s">
        <v>191</v>
      </c>
      <c r="B33" s="35"/>
      <c r="C33" s="35"/>
      <c r="D33" s="35"/>
      <c r="E33" s="35"/>
      <c r="F33" s="35"/>
      <c r="G33" s="35"/>
      <c r="H33" s="35"/>
      <c r="I33" s="35"/>
      <c r="J33" s="35"/>
      <c r="K33" s="35"/>
      <c r="L33" s="35"/>
      <c r="M33" s="35"/>
    </row>
    <row r="34" spans="1:15" ht="14.4" x14ac:dyDescent="0.3">
      <c r="A34" s="71"/>
      <c r="B34" s="72"/>
      <c r="C34" s="72"/>
      <c r="D34" s="72"/>
      <c r="E34" s="72"/>
      <c r="F34" s="72"/>
      <c r="G34" s="72"/>
      <c r="H34" s="72"/>
      <c r="I34" s="72"/>
      <c r="J34" s="72"/>
      <c r="K34" s="72"/>
      <c r="L34" s="72"/>
      <c r="M34" s="72"/>
      <c r="N34" s="28"/>
      <c r="O34" s="29"/>
    </row>
    <row r="35" spans="1:15" x14ac:dyDescent="0.25">
      <c r="A35" s="69"/>
      <c r="B35" s="35"/>
      <c r="C35" s="35"/>
      <c r="D35" s="35"/>
      <c r="E35" s="35"/>
      <c r="F35" s="35"/>
      <c r="G35" s="35"/>
      <c r="H35" s="35"/>
      <c r="I35" s="35"/>
      <c r="J35" s="35"/>
      <c r="K35" s="35"/>
      <c r="L35" s="35"/>
      <c r="M35" s="35"/>
      <c r="O35" s="41"/>
    </row>
    <row r="36" spans="1:15" x14ac:dyDescent="0.25">
      <c r="A36" s="66" t="s">
        <v>192</v>
      </c>
      <c r="B36" s="35"/>
      <c r="C36" s="35"/>
      <c r="D36" s="35"/>
      <c r="E36" s="35"/>
      <c r="F36" s="35"/>
      <c r="G36" s="35"/>
      <c r="H36" s="35"/>
      <c r="I36" s="35"/>
      <c r="J36" s="35"/>
      <c r="K36" s="35"/>
      <c r="L36" s="35"/>
      <c r="M36" s="35"/>
      <c r="O36" s="41"/>
    </row>
    <row r="37" spans="1:15" x14ac:dyDescent="0.25">
      <c r="A37" s="40" t="s">
        <v>18</v>
      </c>
      <c r="B37" s="73" t="s">
        <v>162</v>
      </c>
      <c r="J37" s="24"/>
      <c r="O37" s="41"/>
    </row>
    <row r="38" spans="1:15" x14ac:dyDescent="0.25">
      <c r="A38" s="40" t="s">
        <v>5</v>
      </c>
      <c r="B38" s="73" t="s">
        <v>166</v>
      </c>
      <c r="J38" s="24"/>
      <c r="O38" s="41"/>
    </row>
    <row r="39" spans="1:15" x14ac:dyDescent="0.25">
      <c r="A39" s="40" t="s">
        <v>193</v>
      </c>
      <c r="J39" s="24"/>
      <c r="O39" s="41"/>
    </row>
    <row r="40" spans="1:15" x14ac:dyDescent="0.25">
      <c r="A40" s="40"/>
      <c r="J40" s="24"/>
      <c r="O40" s="41"/>
    </row>
    <row r="41" spans="1:15" x14ac:dyDescent="0.25">
      <c r="A41" s="40" t="s">
        <v>194</v>
      </c>
      <c r="O41" s="41"/>
    </row>
    <row r="42" spans="1:15" x14ac:dyDescent="0.25">
      <c r="A42" s="74" t="s">
        <v>3</v>
      </c>
      <c r="B42" s="36" t="s">
        <v>152</v>
      </c>
      <c r="C42" s="36" t="s">
        <v>6</v>
      </c>
      <c r="D42" s="36" t="s">
        <v>15</v>
      </c>
      <c r="E42" s="36" t="s">
        <v>195</v>
      </c>
      <c r="F42" s="36" t="s">
        <v>196</v>
      </c>
      <c r="G42" s="36" t="s">
        <v>197</v>
      </c>
      <c r="H42" s="36" t="s">
        <v>22</v>
      </c>
      <c r="I42" s="36" t="s">
        <v>5</v>
      </c>
      <c r="J42" s="36" t="s">
        <v>153</v>
      </c>
      <c r="K42" s="36" t="s">
        <v>156</v>
      </c>
      <c r="L42" s="36" t="s">
        <v>198</v>
      </c>
      <c r="M42" s="36" t="s">
        <v>199</v>
      </c>
      <c r="N42" s="36" t="s">
        <v>160</v>
      </c>
      <c r="O42" s="85" t="s">
        <v>161</v>
      </c>
    </row>
    <row r="43" spans="1:15" x14ac:dyDescent="0.25">
      <c r="A43" s="75" t="s">
        <v>162</v>
      </c>
      <c r="B43" s="76" t="s">
        <v>164</v>
      </c>
      <c r="C43" s="76" t="s">
        <v>163</v>
      </c>
      <c r="D43" s="76" t="s">
        <v>200</v>
      </c>
      <c r="E43" s="76" t="s">
        <v>201</v>
      </c>
      <c r="F43" s="76" t="s">
        <v>202</v>
      </c>
      <c r="G43" s="76" t="s">
        <v>203</v>
      </c>
      <c r="H43" s="76" t="s">
        <v>165</v>
      </c>
      <c r="I43" s="76" t="s">
        <v>166</v>
      </c>
      <c r="J43" s="35">
        <v>50</v>
      </c>
      <c r="K43" s="35">
        <v>14569</v>
      </c>
      <c r="L43" s="35">
        <v>0</v>
      </c>
      <c r="M43" s="35">
        <v>14569</v>
      </c>
      <c r="N43" s="35">
        <v>0</v>
      </c>
      <c r="O43" s="86">
        <v>0</v>
      </c>
    </row>
    <row r="44" spans="1:15" x14ac:dyDescent="0.25">
      <c r="A44" s="75" t="s">
        <v>162</v>
      </c>
      <c r="B44" s="76" t="s">
        <v>164</v>
      </c>
      <c r="C44" s="76" t="s">
        <v>163</v>
      </c>
      <c r="D44" s="76" t="s">
        <v>204</v>
      </c>
      <c r="E44" s="76" t="s">
        <v>201</v>
      </c>
      <c r="F44" s="76" t="s">
        <v>202</v>
      </c>
      <c r="G44" s="76" t="s">
        <v>205</v>
      </c>
      <c r="H44" s="76" t="s">
        <v>165</v>
      </c>
      <c r="I44" s="76" t="s">
        <v>166</v>
      </c>
      <c r="J44" s="35">
        <v>1</v>
      </c>
      <c r="K44" s="35">
        <v>4230</v>
      </c>
      <c r="L44" s="35">
        <v>0</v>
      </c>
      <c r="M44" s="35">
        <v>4230</v>
      </c>
      <c r="N44" s="35">
        <v>0</v>
      </c>
      <c r="O44" s="86">
        <v>0</v>
      </c>
    </row>
    <row r="45" spans="1:15" x14ac:dyDescent="0.25">
      <c r="A45" s="75" t="s">
        <v>162</v>
      </c>
      <c r="B45" s="76" t="s">
        <v>164</v>
      </c>
      <c r="C45" s="76" t="s">
        <v>163</v>
      </c>
      <c r="D45" s="76" t="s">
        <v>204</v>
      </c>
      <c r="E45" s="76" t="s">
        <v>201</v>
      </c>
      <c r="F45" s="76" t="s">
        <v>202</v>
      </c>
      <c r="G45" s="76" t="s">
        <v>206</v>
      </c>
      <c r="H45" s="76" t="s">
        <v>165</v>
      </c>
      <c r="I45" s="76" t="s">
        <v>166</v>
      </c>
      <c r="J45" s="35">
        <v>1</v>
      </c>
      <c r="K45" s="35">
        <v>874</v>
      </c>
      <c r="L45" s="35">
        <v>0</v>
      </c>
      <c r="M45" s="35">
        <v>874</v>
      </c>
      <c r="N45" s="35">
        <v>0</v>
      </c>
      <c r="O45" s="86">
        <v>0</v>
      </c>
    </row>
    <row r="46" spans="1:15" x14ac:dyDescent="0.25">
      <c r="A46" s="75" t="s">
        <v>162</v>
      </c>
      <c r="B46" s="76" t="s">
        <v>164</v>
      </c>
      <c r="C46" s="76" t="s">
        <v>163</v>
      </c>
      <c r="D46" s="76" t="s">
        <v>204</v>
      </c>
      <c r="E46" s="76" t="s">
        <v>201</v>
      </c>
      <c r="F46" s="76" t="s">
        <v>202</v>
      </c>
      <c r="G46" s="76" t="s">
        <v>207</v>
      </c>
      <c r="H46" s="76" t="s">
        <v>165</v>
      </c>
      <c r="I46" s="76" t="s">
        <v>166</v>
      </c>
      <c r="J46" s="35">
        <v>1</v>
      </c>
      <c r="K46" s="35">
        <v>1109</v>
      </c>
      <c r="L46" s="35">
        <v>0</v>
      </c>
      <c r="M46" s="35">
        <v>1109</v>
      </c>
      <c r="N46" s="35">
        <v>0</v>
      </c>
      <c r="O46" s="86">
        <v>0</v>
      </c>
    </row>
    <row r="47" spans="1:15" x14ac:dyDescent="0.25">
      <c r="A47" s="75" t="s">
        <v>162</v>
      </c>
      <c r="B47" s="76" t="s">
        <v>164</v>
      </c>
      <c r="C47" s="76" t="s">
        <v>163</v>
      </c>
      <c r="D47" s="76" t="s">
        <v>204</v>
      </c>
      <c r="E47" s="76" t="s">
        <v>201</v>
      </c>
      <c r="F47" s="76" t="s">
        <v>202</v>
      </c>
      <c r="G47" s="76" t="s">
        <v>208</v>
      </c>
      <c r="H47" s="76" t="s">
        <v>165</v>
      </c>
      <c r="I47" s="76" t="s">
        <v>166</v>
      </c>
      <c r="J47" s="35">
        <v>1</v>
      </c>
      <c r="K47" s="35">
        <v>1109</v>
      </c>
      <c r="L47" s="35">
        <v>0</v>
      </c>
      <c r="M47" s="35">
        <v>1109</v>
      </c>
      <c r="N47" s="35">
        <v>0</v>
      </c>
      <c r="O47" s="86">
        <v>0</v>
      </c>
    </row>
    <row r="48" spans="1:15" x14ac:dyDescent="0.25">
      <c r="A48" s="75" t="s">
        <v>162</v>
      </c>
      <c r="B48" s="76" t="s">
        <v>164</v>
      </c>
      <c r="C48" s="76" t="s">
        <v>163</v>
      </c>
      <c r="D48" s="76" t="s">
        <v>209</v>
      </c>
      <c r="E48" s="76" t="s">
        <v>201</v>
      </c>
      <c r="F48" s="76" t="s">
        <v>202</v>
      </c>
      <c r="G48" s="76" t="s">
        <v>210</v>
      </c>
      <c r="H48" s="76" t="s">
        <v>165</v>
      </c>
      <c r="I48" s="76" t="s">
        <v>166</v>
      </c>
      <c r="J48" s="35">
        <v>1</v>
      </c>
      <c r="K48" s="35">
        <v>3058</v>
      </c>
      <c r="L48" s="35">
        <v>0</v>
      </c>
      <c r="M48" s="35">
        <v>3058</v>
      </c>
      <c r="N48" s="35">
        <v>0</v>
      </c>
      <c r="O48" s="86">
        <v>0</v>
      </c>
    </row>
    <row r="49" spans="1:15" x14ac:dyDescent="0.25">
      <c r="A49" s="75" t="s">
        <v>162</v>
      </c>
      <c r="B49" s="76" t="s">
        <v>164</v>
      </c>
      <c r="C49" s="76" t="s">
        <v>163</v>
      </c>
      <c r="D49" s="76" t="s">
        <v>211</v>
      </c>
      <c r="E49" s="76" t="s">
        <v>212</v>
      </c>
      <c r="F49" s="76" t="s">
        <v>213</v>
      </c>
      <c r="G49" s="76" t="s">
        <v>213</v>
      </c>
      <c r="H49" s="76" t="s">
        <v>165</v>
      </c>
      <c r="I49" s="76" t="s">
        <v>166</v>
      </c>
      <c r="J49" s="35">
        <v>49</v>
      </c>
      <c r="K49" s="35">
        <v>6453.3</v>
      </c>
      <c r="L49" s="35">
        <v>0</v>
      </c>
      <c r="M49" s="35">
        <v>6453.3</v>
      </c>
      <c r="N49" s="35">
        <v>0</v>
      </c>
      <c r="O49" s="86">
        <v>0</v>
      </c>
    </row>
    <row r="50" spans="1:15" x14ac:dyDescent="0.25">
      <c r="A50" s="77" t="s">
        <v>162</v>
      </c>
      <c r="B50" s="52" t="s">
        <v>164</v>
      </c>
      <c r="C50" s="52" t="s">
        <v>163</v>
      </c>
      <c r="D50" s="52" t="s">
        <v>211</v>
      </c>
      <c r="E50" s="52" t="s">
        <v>214</v>
      </c>
      <c r="F50" s="52" t="s">
        <v>215</v>
      </c>
      <c r="G50" s="52" t="s">
        <v>216</v>
      </c>
      <c r="H50" s="52" t="s">
        <v>165</v>
      </c>
      <c r="I50" s="52" t="s">
        <v>166</v>
      </c>
      <c r="J50" s="53">
        <v>29</v>
      </c>
      <c r="K50" s="53">
        <v>8450.02</v>
      </c>
      <c r="L50" s="53">
        <v>8450.02</v>
      </c>
      <c r="M50" s="53">
        <v>0</v>
      </c>
      <c r="N50" s="53">
        <v>112.42</v>
      </c>
      <c r="O50" s="87">
        <v>0</v>
      </c>
    </row>
    <row r="51" spans="1:15" x14ac:dyDescent="0.25">
      <c r="A51" s="77" t="s">
        <v>162</v>
      </c>
      <c r="B51" s="52" t="s">
        <v>164</v>
      </c>
      <c r="C51" s="52" t="s">
        <v>163</v>
      </c>
      <c r="D51" s="52" t="s">
        <v>211</v>
      </c>
      <c r="E51" s="52" t="s">
        <v>217</v>
      </c>
      <c r="F51" s="52" t="s">
        <v>218</v>
      </c>
      <c r="G51" s="52" t="s">
        <v>218</v>
      </c>
      <c r="H51" s="52" t="s">
        <v>165</v>
      </c>
      <c r="I51" s="52" t="s">
        <v>166</v>
      </c>
      <c r="J51" s="53">
        <v>5</v>
      </c>
      <c r="K51" s="53">
        <v>1237.9000000000001</v>
      </c>
      <c r="L51" s="53">
        <v>1237.9000000000001</v>
      </c>
      <c r="M51" s="53">
        <v>0</v>
      </c>
      <c r="N51" s="53">
        <v>118.4</v>
      </c>
      <c r="O51" s="87">
        <v>0</v>
      </c>
    </row>
    <row r="52" spans="1:15" x14ac:dyDescent="0.25">
      <c r="A52" s="77" t="s">
        <v>162</v>
      </c>
      <c r="B52" s="52" t="s">
        <v>164</v>
      </c>
      <c r="C52" s="52" t="s">
        <v>163</v>
      </c>
      <c r="D52" s="52" t="s">
        <v>211</v>
      </c>
      <c r="E52" s="52" t="s">
        <v>219</v>
      </c>
      <c r="F52" s="52" t="s">
        <v>220</v>
      </c>
      <c r="G52" s="52" t="s">
        <v>220</v>
      </c>
      <c r="H52" s="52" t="s">
        <v>165</v>
      </c>
      <c r="I52" s="52" t="s">
        <v>166</v>
      </c>
      <c r="J52" s="53">
        <v>1767</v>
      </c>
      <c r="K52" s="53">
        <v>51313.68</v>
      </c>
      <c r="L52" s="53">
        <v>51313.68</v>
      </c>
      <c r="M52" s="53">
        <v>0</v>
      </c>
      <c r="N52" s="53">
        <v>3578.18</v>
      </c>
      <c r="O52" s="87">
        <v>0</v>
      </c>
    </row>
    <row r="53" spans="1:15" x14ac:dyDescent="0.25">
      <c r="A53" s="77" t="s">
        <v>162</v>
      </c>
      <c r="B53" s="52" t="s">
        <v>164</v>
      </c>
      <c r="C53" s="52" t="s">
        <v>163</v>
      </c>
      <c r="D53" s="52" t="s">
        <v>211</v>
      </c>
      <c r="E53" s="52" t="s">
        <v>221</v>
      </c>
      <c r="F53" s="52" t="s">
        <v>222</v>
      </c>
      <c r="G53" s="52" t="s">
        <v>222</v>
      </c>
      <c r="H53" s="52" t="s">
        <v>165</v>
      </c>
      <c r="I53" s="52" t="s">
        <v>166</v>
      </c>
      <c r="J53" s="53">
        <v>2731</v>
      </c>
      <c r="K53" s="53">
        <v>643969.80000000005</v>
      </c>
      <c r="L53" s="53">
        <v>643969.80000000005</v>
      </c>
      <c r="M53" s="53">
        <v>0</v>
      </c>
      <c r="N53" s="53">
        <v>403423.32</v>
      </c>
      <c r="O53" s="87">
        <v>0</v>
      </c>
    </row>
    <row r="54" spans="1:15" s="33" customFormat="1" x14ac:dyDescent="0.25">
      <c r="A54" s="66" t="s">
        <v>129</v>
      </c>
      <c r="J54" s="78">
        <v>4636</v>
      </c>
      <c r="K54" s="78">
        <v>736373.70000000019</v>
      </c>
      <c r="L54" s="78">
        <v>704971.40000000014</v>
      </c>
      <c r="M54" s="78">
        <v>31402.3</v>
      </c>
      <c r="N54" s="78">
        <v>407232.32</v>
      </c>
      <c r="O54" s="88">
        <v>0</v>
      </c>
    </row>
    <row r="55" spans="1:15" x14ac:dyDescent="0.25">
      <c r="A55" s="40"/>
      <c r="O55" s="41"/>
    </row>
    <row r="56" spans="1:15" x14ac:dyDescent="0.25">
      <c r="A56" s="40" t="s">
        <v>223</v>
      </c>
      <c r="O56" s="41"/>
    </row>
    <row r="57" spans="1:15" x14ac:dyDescent="0.25">
      <c r="A57" s="74" t="s">
        <v>195</v>
      </c>
      <c r="B57" s="45" t="s">
        <v>179</v>
      </c>
      <c r="C57" s="45" t="s">
        <v>224</v>
      </c>
      <c r="D57" s="45" t="s">
        <v>225</v>
      </c>
      <c r="E57" s="45" t="s">
        <v>182</v>
      </c>
      <c r="F57" s="36" t="s">
        <v>226</v>
      </c>
      <c r="G57" s="45" t="s">
        <v>184</v>
      </c>
      <c r="H57" s="45" t="s">
        <v>227</v>
      </c>
      <c r="I57" s="45" t="s">
        <v>228</v>
      </c>
      <c r="J57" s="36" t="s">
        <v>187</v>
      </c>
      <c r="K57" s="46" t="s">
        <v>229</v>
      </c>
      <c r="L57" s="46" t="s">
        <v>230</v>
      </c>
      <c r="M57" s="46" t="s">
        <v>231</v>
      </c>
      <c r="N57" s="46" t="s">
        <v>190</v>
      </c>
      <c r="O57" s="41"/>
    </row>
    <row r="58" spans="1:15" x14ac:dyDescent="0.25">
      <c r="A58" s="76" t="s">
        <v>201</v>
      </c>
      <c r="B58" s="35">
        <f t="shared" ref="B58:B64" si="0">L43/J43</f>
        <v>0</v>
      </c>
      <c r="C58" s="35">
        <v>0</v>
      </c>
      <c r="D58" s="35">
        <f t="shared" ref="D58:D64" si="1">C58-B58</f>
        <v>0</v>
      </c>
      <c r="E58" s="35">
        <f t="shared" ref="E58:E64" si="2">$E$29</f>
        <v>5</v>
      </c>
      <c r="F58" s="35">
        <f t="shared" ref="F58:F64" si="3">D58*(J43/E58*12)</f>
        <v>0</v>
      </c>
      <c r="G58" s="35">
        <f t="shared" ref="G58:G64" si="4">$G$29</f>
        <v>9</v>
      </c>
      <c r="H58" s="35">
        <f t="shared" ref="H58:H64" si="5">$H$29</f>
        <v>4</v>
      </c>
      <c r="I58" s="35">
        <f t="shared" ref="I58:I64" si="6">(J43/E58)*H58</f>
        <v>40</v>
      </c>
      <c r="J58" s="35">
        <f t="shared" ref="J58:J64" si="7">B58*$B$20</f>
        <v>0</v>
      </c>
      <c r="K58" s="35">
        <f t="shared" ref="K58:K64" si="8">J58*I58</f>
        <v>0</v>
      </c>
      <c r="L58" s="35">
        <f t="shared" ref="L58:L64" si="9">F58+K58</f>
        <v>0</v>
      </c>
      <c r="M58" s="35">
        <f t="shared" ref="M58:M64" si="10">O43</f>
        <v>0</v>
      </c>
      <c r="N58" s="35">
        <f t="shared" ref="N58:N64" si="11">L43*(12/E58)-K58</f>
        <v>0</v>
      </c>
      <c r="O58" s="41"/>
    </row>
    <row r="59" spans="1:15" x14ac:dyDescent="0.25">
      <c r="A59" s="76" t="s">
        <v>201</v>
      </c>
      <c r="B59" s="35">
        <f t="shared" si="0"/>
        <v>0</v>
      </c>
      <c r="C59" s="35">
        <v>0</v>
      </c>
      <c r="D59" s="35">
        <f t="shared" si="1"/>
        <v>0</v>
      </c>
      <c r="E59" s="35">
        <f t="shared" si="2"/>
        <v>5</v>
      </c>
      <c r="F59" s="35">
        <f t="shared" si="3"/>
        <v>0</v>
      </c>
      <c r="G59" s="35">
        <f t="shared" si="4"/>
        <v>9</v>
      </c>
      <c r="H59" s="35">
        <f t="shared" si="5"/>
        <v>4</v>
      </c>
      <c r="I59" s="35">
        <f t="shared" si="6"/>
        <v>0.8</v>
      </c>
      <c r="J59" s="35">
        <f t="shared" si="7"/>
        <v>0</v>
      </c>
      <c r="K59" s="35">
        <f t="shared" si="8"/>
        <v>0</v>
      </c>
      <c r="L59" s="35">
        <f t="shared" si="9"/>
        <v>0</v>
      </c>
      <c r="M59" s="35">
        <f t="shared" si="10"/>
        <v>0</v>
      </c>
      <c r="N59" s="35">
        <f t="shared" si="11"/>
        <v>0</v>
      </c>
      <c r="O59" s="41"/>
    </row>
    <row r="60" spans="1:15" x14ac:dyDescent="0.25">
      <c r="A60" s="76" t="s">
        <v>201</v>
      </c>
      <c r="B60" s="35">
        <f t="shared" si="0"/>
        <v>0</v>
      </c>
      <c r="C60" s="35">
        <v>0</v>
      </c>
      <c r="D60" s="35">
        <f t="shared" si="1"/>
        <v>0</v>
      </c>
      <c r="E60" s="35">
        <f t="shared" si="2"/>
        <v>5</v>
      </c>
      <c r="F60" s="35">
        <f t="shared" si="3"/>
        <v>0</v>
      </c>
      <c r="G60" s="35">
        <f t="shared" si="4"/>
        <v>9</v>
      </c>
      <c r="H60" s="35">
        <f t="shared" si="5"/>
        <v>4</v>
      </c>
      <c r="I60" s="35">
        <f t="shared" si="6"/>
        <v>0.8</v>
      </c>
      <c r="J60" s="35">
        <f t="shared" si="7"/>
        <v>0</v>
      </c>
      <c r="K60" s="35">
        <f t="shared" si="8"/>
        <v>0</v>
      </c>
      <c r="L60" s="35">
        <f t="shared" si="9"/>
        <v>0</v>
      </c>
      <c r="M60" s="35">
        <f t="shared" si="10"/>
        <v>0</v>
      </c>
      <c r="N60" s="35">
        <f t="shared" si="11"/>
        <v>0</v>
      </c>
      <c r="O60" s="41"/>
    </row>
    <row r="61" spans="1:15" x14ac:dyDescent="0.25">
      <c r="A61" s="76" t="s">
        <v>201</v>
      </c>
      <c r="B61" s="35">
        <f t="shared" si="0"/>
        <v>0</v>
      </c>
      <c r="C61" s="35">
        <v>0</v>
      </c>
      <c r="D61" s="35">
        <f t="shared" si="1"/>
        <v>0</v>
      </c>
      <c r="E61" s="35">
        <f t="shared" si="2"/>
        <v>5</v>
      </c>
      <c r="F61" s="35">
        <f t="shared" si="3"/>
        <v>0</v>
      </c>
      <c r="G61" s="35">
        <f t="shared" si="4"/>
        <v>9</v>
      </c>
      <c r="H61" s="35">
        <f t="shared" si="5"/>
        <v>4</v>
      </c>
      <c r="I61" s="35">
        <f t="shared" si="6"/>
        <v>0.8</v>
      </c>
      <c r="J61" s="35">
        <f t="shared" si="7"/>
        <v>0</v>
      </c>
      <c r="K61" s="35">
        <f t="shared" si="8"/>
        <v>0</v>
      </c>
      <c r="L61" s="35">
        <f t="shared" si="9"/>
        <v>0</v>
      </c>
      <c r="M61" s="35">
        <f t="shared" si="10"/>
        <v>0</v>
      </c>
      <c r="N61" s="35">
        <f t="shared" si="11"/>
        <v>0</v>
      </c>
      <c r="O61" s="41"/>
    </row>
    <row r="62" spans="1:15" x14ac:dyDescent="0.25">
      <c r="A62" s="76" t="s">
        <v>201</v>
      </c>
      <c r="B62" s="35">
        <f t="shared" si="0"/>
        <v>0</v>
      </c>
      <c r="C62" s="35">
        <v>0</v>
      </c>
      <c r="D62" s="35">
        <f t="shared" si="1"/>
        <v>0</v>
      </c>
      <c r="E62" s="35">
        <f t="shared" si="2"/>
        <v>5</v>
      </c>
      <c r="F62" s="35">
        <f t="shared" si="3"/>
        <v>0</v>
      </c>
      <c r="G62" s="35">
        <f t="shared" si="4"/>
        <v>9</v>
      </c>
      <c r="H62" s="35">
        <f t="shared" si="5"/>
        <v>4</v>
      </c>
      <c r="I62" s="35">
        <f t="shared" si="6"/>
        <v>0.8</v>
      </c>
      <c r="J62" s="35">
        <f t="shared" si="7"/>
        <v>0</v>
      </c>
      <c r="K62" s="35">
        <f t="shared" si="8"/>
        <v>0</v>
      </c>
      <c r="L62" s="35">
        <f t="shared" si="9"/>
        <v>0</v>
      </c>
      <c r="M62" s="35">
        <f t="shared" si="10"/>
        <v>0</v>
      </c>
      <c r="N62" s="35">
        <f t="shared" si="11"/>
        <v>0</v>
      </c>
      <c r="O62" s="41"/>
    </row>
    <row r="63" spans="1:15" x14ac:dyDescent="0.25">
      <c r="A63" s="76" t="s">
        <v>201</v>
      </c>
      <c r="B63" s="35">
        <f t="shared" si="0"/>
        <v>0</v>
      </c>
      <c r="C63" s="35">
        <v>0</v>
      </c>
      <c r="D63" s="35">
        <f t="shared" si="1"/>
        <v>0</v>
      </c>
      <c r="E63" s="35">
        <f t="shared" si="2"/>
        <v>5</v>
      </c>
      <c r="F63" s="35">
        <f t="shared" si="3"/>
        <v>0</v>
      </c>
      <c r="G63" s="35">
        <f t="shared" si="4"/>
        <v>9</v>
      </c>
      <c r="H63" s="35">
        <f t="shared" si="5"/>
        <v>4</v>
      </c>
      <c r="I63" s="35">
        <f t="shared" si="6"/>
        <v>0.8</v>
      </c>
      <c r="J63" s="35">
        <f t="shared" si="7"/>
        <v>0</v>
      </c>
      <c r="K63" s="35">
        <f t="shared" si="8"/>
        <v>0</v>
      </c>
      <c r="L63" s="35">
        <f t="shared" si="9"/>
        <v>0</v>
      </c>
      <c r="M63" s="35">
        <f t="shared" si="10"/>
        <v>0</v>
      </c>
      <c r="N63" s="35">
        <f t="shared" si="11"/>
        <v>0</v>
      </c>
      <c r="O63" s="41"/>
    </row>
    <row r="64" spans="1:15" x14ac:dyDescent="0.25">
      <c r="A64" s="76" t="s">
        <v>212</v>
      </c>
      <c r="B64" s="35">
        <f t="shared" si="0"/>
        <v>0</v>
      </c>
      <c r="C64" s="35">
        <v>0</v>
      </c>
      <c r="D64" s="35">
        <f t="shared" si="1"/>
        <v>0</v>
      </c>
      <c r="E64" s="35">
        <f t="shared" si="2"/>
        <v>5</v>
      </c>
      <c r="F64" s="35">
        <f t="shared" si="3"/>
        <v>0</v>
      </c>
      <c r="G64" s="35">
        <f t="shared" si="4"/>
        <v>9</v>
      </c>
      <c r="H64" s="35">
        <f t="shared" si="5"/>
        <v>4</v>
      </c>
      <c r="I64" s="35">
        <f t="shared" si="6"/>
        <v>39.200000000000003</v>
      </c>
      <c r="J64" s="35">
        <f t="shared" si="7"/>
        <v>0</v>
      </c>
      <c r="K64" s="35">
        <f t="shared" si="8"/>
        <v>0</v>
      </c>
      <c r="L64" s="35">
        <f t="shared" si="9"/>
        <v>0</v>
      </c>
      <c r="M64" s="35">
        <f t="shared" si="10"/>
        <v>0</v>
      </c>
      <c r="N64" s="35">
        <f t="shared" si="11"/>
        <v>0</v>
      </c>
      <c r="O64" s="41"/>
    </row>
    <row r="65" spans="1:16" x14ac:dyDescent="0.25">
      <c r="A65" s="40" t="s">
        <v>214</v>
      </c>
      <c r="B65" s="24">
        <f>L50/J50</f>
        <v>291.38</v>
      </c>
      <c r="C65" s="24">
        <v>295.25700000000001</v>
      </c>
      <c r="D65" s="24">
        <f>C65-B65</f>
        <v>3.8770000000000095</v>
      </c>
      <c r="E65" s="24">
        <f>$E$29</f>
        <v>5</v>
      </c>
      <c r="F65" s="24">
        <f>D65*(J50/E65*12)</f>
        <v>269.83920000000063</v>
      </c>
      <c r="G65" s="24">
        <f>$G$29</f>
        <v>9</v>
      </c>
      <c r="H65" s="24">
        <f>$H$29</f>
        <v>4</v>
      </c>
      <c r="I65" s="24">
        <f>(J50/E65)*H65</f>
        <v>23.2</v>
      </c>
      <c r="J65" s="24">
        <f>B65*$B$20</f>
        <v>-46.620800000000003</v>
      </c>
      <c r="K65" s="24">
        <f>J65*I65</f>
        <v>-1081.60256</v>
      </c>
      <c r="L65" s="24">
        <f>F65+K65</f>
        <v>-811.76335999999947</v>
      </c>
      <c r="M65" s="24">
        <f>O50</f>
        <v>0</v>
      </c>
      <c r="N65" s="24">
        <f>L50*(12/E65)-K65</f>
        <v>21361.650559999998</v>
      </c>
      <c r="O65" s="41"/>
    </row>
    <row r="66" spans="1:16" x14ac:dyDescent="0.25">
      <c r="A66" s="40" t="s">
        <v>217</v>
      </c>
      <c r="B66" s="24">
        <f t="shared" ref="B66:B68" si="12">L51/J51</f>
        <v>247.58</v>
      </c>
      <c r="C66" s="24">
        <v>271.26</v>
      </c>
      <c r="D66" s="24">
        <f>C66-B66</f>
        <v>23.679999999999978</v>
      </c>
      <c r="E66" s="24">
        <f t="shared" ref="E66:E68" si="13">$E$29</f>
        <v>5</v>
      </c>
      <c r="F66" s="24">
        <f>D66*(J51/E66*12)</f>
        <v>284.15999999999974</v>
      </c>
      <c r="G66" s="24">
        <f t="shared" ref="G66:G68" si="14">$G$29</f>
        <v>9</v>
      </c>
      <c r="H66" s="24">
        <f t="shared" ref="H66:H68" si="15">$H$29</f>
        <v>4</v>
      </c>
      <c r="I66" s="24">
        <f>(J51/E66)*H66</f>
        <v>4</v>
      </c>
      <c r="J66" s="24">
        <f t="shared" ref="J66:J68" si="16">B66*$B$20</f>
        <v>-39.6128</v>
      </c>
      <c r="K66" s="24">
        <f t="shared" ref="K66:K68" si="17">J66*I66</f>
        <v>-158.4512</v>
      </c>
      <c r="L66" s="24">
        <f>F66+K66</f>
        <v>125.70879999999974</v>
      </c>
      <c r="M66" s="24">
        <f>O51</f>
        <v>0</v>
      </c>
      <c r="N66" s="24">
        <f>L51*(12/E66)-K66</f>
        <v>3129.4112</v>
      </c>
      <c r="O66" s="41"/>
    </row>
    <row r="67" spans="1:16" x14ac:dyDescent="0.25">
      <c r="A67" s="40" t="s">
        <v>219</v>
      </c>
      <c r="B67" s="24">
        <f t="shared" si="12"/>
        <v>29.04</v>
      </c>
      <c r="C67" s="24">
        <v>31.065000000000001</v>
      </c>
      <c r="D67" s="24">
        <f>C67-B67</f>
        <v>2.0250000000000021</v>
      </c>
      <c r="E67" s="24">
        <f t="shared" si="13"/>
        <v>5</v>
      </c>
      <c r="F67" s="24">
        <f>D67*(J52/E67*12)</f>
        <v>8587.6200000000081</v>
      </c>
      <c r="G67" s="24">
        <f t="shared" si="14"/>
        <v>9</v>
      </c>
      <c r="H67" s="24">
        <f t="shared" si="15"/>
        <v>4</v>
      </c>
      <c r="I67" s="24">
        <f>(J52/E67)*H67</f>
        <v>1413.6</v>
      </c>
      <c r="J67" s="24">
        <f t="shared" si="16"/>
        <v>-4.6463999999999999</v>
      </c>
      <c r="K67" s="24">
        <f t="shared" si="17"/>
        <v>-6568.1510399999997</v>
      </c>
      <c r="L67" s="24">
        <f t="shared" ref="L67" si="18">F67+K67</f>
        <v>2019.4689600000083</v>
      </c>
      <c r="M67" s="24">
        <f>O52</f>
        <v>0</v>
      </c>
      <c r="N67" s="24">
        <f>L52*(12/E67)-K67</f>
        <v>129720.98303999999</v>
      </c>
      <c r="O67" s="41"/>
    </row>
    <row r="68" spans="1:16" x14ac:dyDescent="0.25">
      <c r="A68" s="40" t="s">
        <v>221</v>
      </c>
      <c r="B68" s="24">
        <f t="shared" si="12"/>
        <v>235.8</v>
      </c>
      <c r="C68" s="24">
        <v>383.52</v>
      </c>
      <c r="D68" s="24">
        <f t="shared" ref="D68" si="19">C68-B68</f>
        <v>147.71999999999997</v>
      </c>
      <c r="E68" s="24">
        <f t="shared" si="13"/>
        <v>5</v>
      </c>
      <c r="F68" s="24">
        <f>D68*(J53/E68*12)</f>
        <v>968215.96799999988</v>
      </c>
      <c r="G68" s="24">
        <f t="shared" si="14"/>
        <v>9</v>
      </c>
      <c r="H68" s="24">
        <f t="shared" si="15"/>
        <v>4</v>
      </c>
      <c r="I68" s="24">
        <f>(J53/E68)*H68</f>
        <v>2184.8000000000002</v>
      </c>
      <c r="J68" s="24">
        <f t="shared" si="16"/>
        <v>-37.728000000000002</v>
      </c>
      <c r="K68" s="24">
        <f t="shared" si="17"/>
        <v>-82428.13440000001</v>
      </c>
      <c r="L68" s="24">
        <f>F68+K68</f>
        <v>885787.8335999999</v>
      </c>
      <c r="M68" s="24">
        <f>O53</f>
        <v>0</v>
      </c>
      <c r="N68" s="24">
        <f>L53*(12/E68)-K68</f>
        <v>1627955.6544000001</v>
      </c>
      <c r="O68" s="41"/>
      <c r="P68" s="24"/>
    </row>
    <row r="69" spans="1:16" x14ac:dyDescent="0.25">
      <c r="A69" s="40"/>
      <c r="K69" s="84">
        <f>SUM(K58:K68)</f>
        <v>-90236.339200000017</v>
      </c>
      <c r="L69" s="84">
        <f t="shared" ref="L69:N69" si="20">SUM(L58:L68)</f>
        <v>887121.24799999991</v>
      </c>
      <c r="M69" s="84">
        <f t="shared" si="20"/>
        <v>0</v>
      </c>
      <c r="N69" s="84">
        <f t="shared" si="20"/>
        <v>1782167.6992000001</v>
      </c>
      <c r="O69" s="41"/>
    </row>
    <row r="70" spans="1:16" x14ac:dyDescent="0.25">
      <c r="A70" s="40"/>
      <c r="O70" s="41"/>
    </row>
    <row r="71" spans="1:16" x14ac:dyDescent="0.25">
      <c r="A71" s="40"/>
      <c r="O71" s="41"/>
    </row>
    <row r="72" spans="1:16" x14ac:dyDescent="0.25">
      <c r="A72" s="40"/>
      <c r="O72" s="41"/>
    </row>
    <row r="73" spans="1:16" x14ac:dyDescent="0.25">
      <c r="A73" s="40"/>
      <c r="O73" s="41"/>
    </row>
    <row r="74" spans="1:16" x14ac:dyDescent="0.25">
      <c r="A74" s="40"/>
      <c r="O74" s="41"/>
    </row>
    <row r="75" spans="1:16" x14ac:dyDescent="0.25">
      <c r="A75" s="40"/>
      <c r="O75" s="41"/>
    </row>
    <row r="76" spans="1:16" x14ac:dyDescent="0.25">
      <c r="A76" s="30"/>
      <c r="B76" s="25"/>
      <c r="C76" s="25"/>
      <c r="D76" s="25"/>
      <c r="E76" s="25"/>
      <c r="F76" s="25"/>
      <c r="G76" s="25"/>
      <c r="H76" s="25"/>
      <c r="I76" s="25"/>
      <c r="J76" s="25"/>
      <c r="K76" s="25"/>
      <c r="L76" s="25"/>
      <c r="M76" s="25"/>
      <c r="N76" s="25"/>
      <c r="O76" s="32"/>
    </row>
  </sheetData>
  <sortState xmlns:xlrd2="http://schemas.microsoft.com/office/spreadsheetml/2017/richdata2" ref="A11:K16">
    <sortCondition ref="F11:F16"/>
    <sortCondition descending="1" ref="H11:H16"/>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1BA2-556B-4798-9024-6409DF85AA0D}">
  <dimension ref="A1:AA38"/>
  <sheetViews>
    <sheetView showGridLines="0" topLeftCell="A8" zoomScale="85" zoomScaleNormal="85" workbookViewId="0">
      <selection activeCell="D7" sqref="D7"/>
    </sheetView>
  </sheetViews>
  <sheetFormatPr defaultColWidth="8.69921875" defaultRowHeight="13.2" x14ac:dyDescent="0.3"/>
  <cols>
    <col min="1" max="1" width="10.3984375" style="91" customWidth="1"/>
    <col min="2" max="2" width="14.09765625" style="91" bestFit="1" customWidth="1"/>
    <col min="3" max="3" width="8.69921875" style="91"/>
    <col min="4" max="4" width="10.296875" style="91" customWidth="1"/>
    <col min="5" max="5" width="8.69921875" style="91"/>
    <col min="6" max="6" width="9.296875" style="91" customWidth="1"/>
    <col min="7" max="7" width="6.69921875" style="91" customWidth="1"/>
    <col min="8" max="9" width="8.69921875" style="91"/>
    <col min="10" max="10" width="7.296875" style="91" bestFit="1" customWidth="1"/>
    <col min="11" max="11" width="8.3984375" style="91" customWidth="1"/>
    <col min="12" max="12" width="8" style="91" customWidth="1"/>
    <col min="13" max="13" width="8.296875" style="91" customWidth="1"/>
    <col min="14" max="14" width="8.59765625" style="91" bestFit="1" customWidth="1"/>
    <col min="15" max="15" width="7.09765625" style="91" customWidth="1"/>
    <col min="16" max="16" width="9.3984375" style="91" customWidth="1"/>
    <col min="17" max="18" width="8.09765625" style="91" customWidth="1"/>
    <col min="19" max="21" width="9.69921875" style="91" customWidth="1"/>
    <col min="22" max="22" width="8.3984375" style="91" customWidth="1"/>
    <col min="23" max="23" width="9.3984375" style="91" customWidth="1"/>
    <col min="24" max="24" width="9.296875" style="91" customWidth="1"/>
    <col min="25" max="25" width="10.3984375" style="91" customWidth="1"/>
    <col min="26" max="16384" width="8.69921875" style="91"/>
  </cols>
  <sheetData>
    <row r="1" spans="1:23" ht="22.2" x14ac:dyDescent="0.3">
      <c r="A1" s="131" t="s">
        <v>232</v>
      </c>
    </row>
    <row r="3" spans="1:23" ht="13.8" thickBot="1" x14ac:dyDescent="0.35">
      <c r="A3" s="89" t="s">
        <v>233</v>
      </c>
      <c r="B3" s="89"/>
      <c r="C3" s="89"/>
      <c r="D3" s="89"/>
      <c r="E3" s="89"/>
      <c r="F3" s="90"/>
      <c r="G3" s="90"/>
    </row>
    <row r="4" spans="1:23" ht="25.2" x14ac:dyDescent="0.3">
      <c r="A4" s="92" t="s">
        <v>2</v>
      </c>
      <c r="B4" s="92" t="s">
        <v>63</v>
      </c>
      <c r="D4" s="92" t="s">
        <v>3</v>
      </c>
      <c r="E4" s="92"/>
      <c r="F4" s="92" t="s">
        <v>162</v>
      </c>
    </row>
    <row r="5" spans="1:23" ht="25.2" x14ac:dyDescent="0.3">
      <c r="A5" s="92" t="s">
        <v>5</v>
      </c>
      <c r="B5" s="92" t="s">
        <v>166</v>
      </c>
      <c r="D5" s="92" t="s">
        <v>6</v>
      </c>
      <c r="E5" s="92"/>
      <c r="F5" s="92" t="s">
        <v>55</v>
      </c>
      <c r="V5" s="93"/>
      <c r="W5" s="93"/>
    </row>
    <row r="6" spans="1:23" x14ac:dyDescent="0.3">
      <c r="A6" s="92" t="s">
        <v>9</v>
      </c>
      <c r="B6" s="92" t="s">
        <v>56</v>
      </c>
      <c r="D6" s="92"/>
      <c r="E6" s="92"/>
      <c r="W6" s="92"/>
    </row>
    <row r="7" spans="1:23" ht="25.2" x14ac:dyDescent="0.3">
      <c r="A7" s="92" t="s">
        <v>14</v>
      </c>
      <c r="B7" s="92"/>
      <c r="C7" s="92"/>
      <c r="D7" s="93" t="s">
        <v>257</v>
      </c>
      <c r="E7" s="92"/>
      <c r="W7" s="92"/>
    </row>
    <row r="8" spans="1:23" x14ac:dyDescent="0.3">
      <c r="A8" s="92" t="s">
        <v>15</v>
      </c>
      <c r="B8" s="92"/>
      <c r="C8" s="92"/>
      <c r="D8" s="92"/>
      <c r="E8" s="92"/>
      <c r="W8" s="92"/>
    </row>
    <row r="9" spans="1:23" x14ac:dyDescent="0.3">
      <c r="V9" s="92"/>
      <c r="W9" s="92"/>
    </row>
    <row r="10" spans="1:23" ht="25.8" thickBot="1" x14ac:dyDescent="0.35">
      <c r="A10" s="94" t="s">
        <v>234</v>
      </c>
      <c r="B10" s="95"/>
      <c r="C10" s="95"/>
      <c r="D10" s="95"/>
      <c r="E10" s="95"/>
      <c r="F10" s="95"/>
      <c r="G10" s="95"/>
      <c r="V10" s="92"/>
      <c r="W10" s="92"/>
    </row>
    <row r="12" spans="1:23" ht="37.799999999999997" x14ac:dyDescent="0.3">
      <c r="A12" s="92" t="s">
        <v>7</v>
      </c>
      <c r="B12" s="92"/>
      <c r="C12" s="96"/>
      <c r="D12" s="92"/>
      <c r="E12" s="92" t="s">
        <v>8</v>
      </c>
      <c r="F12" s="96">
        <v>-0.16</v>
      </c>
      <c r="G12" s="137" t="s">
        <v>235</v>
      </c>
    </row>
    <row r="13" spans="1:23" ht="37.799999999999997" x14ac:dyDescent="0.3">
      <c r="A13" s="92" t="s">
        <v>236</v>
      </c>
      <c r="B13" s="92"/>
      <c r="C13" s="97"/>
      <c r="D13" s="92"/>
      <c r="E13" s="92" t="s">
        <v>237</v>
      </c>
      <c r="F13" s="98">
        <v>45536</v>
      </c>
    </row>
    <row r="15" spans="1:23" ht="21.9" customHeight="1" x14ac:dyDescent="0.3"/>
    <row r="16" spans="1:23" ht="12.9" customHeight="1" x14ac:dyDescent="0.3">
      <c r="G16" s="172" t="s">
        <v>238</v>
      </c>
      <c r="H16" s="172"/>
      <c r="I16" s="172"/>
      <c r="J16" s="172"/>
      <c r="K16" s="172"/>
      <c r="L16" s="172"/>
      <c r="M16" s="172"/>
      <c r="N16" s="172"/>
      <c r="O16" s="172"/>
      <c r="P16" s="173" t="s">
        <v>239</v>
      </c>
      <c r="Q16" s="173"/>
      <c r="R16" s="173"/>
      <c r="S16" s="173"/>
      <c r="T16" s="173"/>
      <c r="U16" s="173"/>
    </row>
    <row r="17" spans="1:27" s="116" customFormat="1" ht="37.799999999999997" x14ac:dyDescent="0.3">
      <c r="A17" s="125" t="s">
        <v>3</v>
      </c>
      <c r="B17" s="126" t="s">
        <v>6</v>
      </c>
      <c r="C17" s="114" t="s">
        <v>152</v>
      </c>
      <c r="D17" s="114" t="s">
        <v>20</v>
      </c>
      <c r="E17" s="114" t="s">
        <v>22</v>
      </c>
      <c r="F17" s="114" t="s">
        <v>5</v>
      </c>
      <c r="G17" s="117" t="s">
        <v>153</v>
      </c>
      <c r="H17" s="118" t="s">
        <v>154</v>
      </c>
      <c r="I17" s="119" t="s">
        <v>155</v>
      </c>
      <c r="J17" s="117" t="s">
        <v>156</v>
      </c>
      <c r="K17" s="118" t="s">
        <v>157</v>
      </c>
      <c r="L17" s="119" t="s">
        <v>158</v>
      </c>
      <c r="M17" s="117" t="s">
        <v>159</v>
      </c>
      <c r="N17" s="123" t="s">
        <v>160</v>
      </c>
      <c r="O17" s="124" t="s">
        <v>161</v>
      </c>
      <c r="P17" s="117" t="s">
        <v>240</v>
      </c>
      <c r="Q17" s="123" t="s">
        <v>241</v>
      </c>
      <c r="R17" s="124" t="s">
        <v>242</v>
      </c>
      <c r="S17" s="117" t="s">
        <v>243</v>
      </c>
      <c r="T17" s="123" t="s">
        <v>244</v>
      </c>
      <c r="U17" s="124" t="s">
        <v>245</v>
      </c>
      <c r="V17" s="91"/>
      <c r="W17" s="91"/>
      <c r="X17" s="91"/>
      <c r="Y17" s="115"/>
    </row>
    <row r="18" spans="1:27" ht="25.2" x14ac:dyDescent="0.3">
      <c r="A18" s="100" t="s">
        <v>162</v>
      </c>
      <c r="B18" s="101" t="s">
        <v>163</v>
      </c>
      <c r="C18" s="101" t="s">
        <v>164</v>
      </c>
      <c r="D18" s="101" t="s">
        <v>33</v>
      </c>
      <c r="E18" s="101" t="s">
        <v>165</v>
      </c>
      <c r="F18" s="101" t="s">
        <v>166</v>
      </c>
      <c r="G18" s="120">
        <v>4636</v>
      </c>
      <c r="H18" s="121">
        <v>4532</v>
      </c>
      <c r="I18" s="122">
        <v>104</v>
      </c>
      <c r="J18" s="120">
        <v>736373.70000000007</v>
      </c>
      <c r="K18" s="132">
        <f>J18*(H18/G18)</f>
        <v>719854.53157894744</v>
      </c>
      <c r="L18" s="133">
        <f>J18*(I18/G18)</f>
        <v>16519.168421052633</v>
      </c>
      <c r="M18" s="120">
        <v>407232.32</v>
      </c>
      <c r="N18" s="130">
        <f>M18*(H18/G18)</f>
        <v>398096.82360655739</v>
      </c>
      <c r="O18" s="134">
        <f>M18*(I18/G18)</f>
        <v>9135.4963934426232</v>
      </c>
      <c r="P18" s="120">
        <f>J18/5*12</f>
        <v>1767296.8800000004</v>
      </c>
      <c r="Q18" s="130">
        <f>K18*12/5</f>
        <v>1727650.875789474</v>
      </c>
      <c r="R18" s="134">
        <f>L18/5*12</f>
        <v>39646.004210526313</v>
      </c>
      <c r="S18" s="120">
        <f>M18/5*12</f>
        <v>977357.56800000009</v>
      </c>
      <c r="T18" s="130">
        <f>N18*12/5</f>
        <v>955432.37665573764</v>
      </c>
      <c r="U18" s="134">
        <f>O18/5*12</f>
        <v>21925.191344262297</v>
      </c>
      <c r="Y18" s="99"/>
    </row>
    <row r="20" spans="1:27" ht="25.2" x14ac:dyDescent="0.3">
      <c r="A20" s="135" t="s">
        <v>246</v>
      </c>
    </row>
    <row r="21" spans="1:27" ht="12.9" customHeight="1" x14ac:dyDescent="0.3">
      <c r="G21" s="172" t="s">
        <v>238</v>
      </c>
      <c r="H21" s="172"/>
      <c r="I21" s="172"/>
      <c r="J21" s="172"/>
      <c r="K21" s="172"/>
      <c r="L21" s="172"/>
      <c r="M21" s="172"/>
      <c r="N21" s="172"/>
      <c r="O21" s="172"/>
      <c r="P21" s="173" t="s">
        <v>239</v>
      </c>
      <c r="Q21" s="173"/>
      <c r="R21" s="173"/>
      <c r="S21" s="173"/>
      <c r="T21" s="173"/>
      <c r="U21" s="173"/>
      <c r="V21" s="171" t="s">
        <v>247</v>
      </c>
      <c r="W21" s="171"/>
      <c r="X21" s="171"/>
      <c r="Y21" s="171"/>
      <c r="Z21" s="171"/>
      <c r="AA21" s="171"/>
    </row>
    <row r="22" spans="1:27" s="129" customFormat="1" ht="26.4" customHeight="1" x14ac:dyDescent="0.3">
      <c r="A22" s="127" t="s">
        <v>3</v>
      </c>
      <c r="B22" s="128" t="s">
        <v>6</v>
      </c>
      <c r="C22" s="128" t="s">
        <v>152</v>
      </c>
      <c r="D22" s="128" t="s">
        <v>20</v>
      </c>
      <c r="E22" s="128" t="s">
        <v>22</v>
      </c>
      <c r="F22" s="128" t="s">
        <v>5</v>
      </c>
      <c r="G22" s="117" t="s">
        <v>153</v>
      </c>
      <c r="H22" s="118" t="s">
        <v>154</v>
      </c>
      <c r="I22" s="119" t="s">
        <v>155</v>
      </c>
      <c r="J22" s="117" t="s">
        <v>156</v>
      </c>
      <c r="K22" s="118" t="s">
        <v>157</v>
      </c>
      <c r="L22" s="119" t="s">
        <v>158</v>
      </c>
      <c r="M22" s="117" t="s">
        <v>159</v>
      </c>
      <c r="N22" s="123" t="s">
        <v>160</v>
      </c>
      <c r="O22" s="124" t="s">
        <v>161</v>
      </c>
      <c r="P22" s="117" t="s">
        <v>240</v>
      </c>
      <c r="Q22" s="123" t="s">
        <v>241</v>
      </c>
      <c r="R22" s="124" t="s">
        <v>242</v>
      </c>
      <c r="S22" s="117" t="s">
        <v>243</v>
      </c>
      <c r="T22" s="123" t="s">
        <v>244</v>
      </c>
      <c r="U22" s="124" t="s">
        <v>245</v>
      </c>
      <c r="V22" s="117" t="s">
        <v>240</v>
      </c>
      <c r="W22" s="123" t="s">
        <v>241</v>
      </c>
      <c r="X22" s="124" t="s">
        <v>242</v>
      </c>
      <c r="Y22" s="117" t="s">
        <v>243</v>
      </c>
      <c r="Z22" s="123" t="s">
        <v>244</v>
      </c>
      <c r="AA22" s="124" t="s">
        <v>245</v>
      </c>
    </row>
    <row r="23" spans="1:27" ht="25.2" x14ac:dyDescent="0.3">
      <c r="A23" s="100" t="s">
        <v>162</v>
      </c>
      <c r="B23" s="101" t="s">
        <v>163</v>
      </c>
      <c r="C23" s="101" t="s">
        <v>164</v>
      </c>
      <c r="D23" s="101" t="s">
        <v>33</v>
      </c>
      <c r="E23" s="101" t="s">
        <v>165</v>
      </c>
      <c r="F23" s="101" t="s">
        <v>166</v>
      </c>
      <c r="G23" s="120">
        <v>4636</v>
      </c>
      <c r="H23" s="121">
        <v>4532</v>
      </c>
      <c r="I23" s="122">
        <v>104</v>
      </c>
      <c r="J23" s="120">
        <v>736373.70000000007</v>
      </c>
      <c r="K23" s="132">
        <f>J23*(H23/G23)</f>
        <v>719854.53157894744</v>
      </c>
      <c r="L23" s="133">
        <f>J23*(I23/G23)</f>
        <v>16519.168421052633</v>
      </c>
      <c r="M23" s="120">
        <v>407232.32</v>
      </c>
      <c r="N23" s="130">
        <f>M23*(H23/G23)</f>
        <v>398096.82360655739</v>
      </c>
      <c r="O23" s="134">
        <f>M23*(I23/G23)</f>
        <v>9135.4963934426232</v>
      </c>
      <c r="P23" s="120">
        <f>J23/5*12</f>
        <v>1767296.8800000004</v>
      </c>
      <c r="Q23" s="130">
        <f>K23*12/5</f>
        <v>1727650.875789474</v>
      </c>
      <c r="R23" s="138">
        <f>L23/5*12</f>
        <v>39646.004210526313</v>
      </c>
      <c r="S23" s="120">
        <f>M23/5*12</f>
        <v>977357.56800000009</v>
      </c>
      <c r="T23" s="130">
        <f>N23*12/5</f>
        <v>955432.37665573764</v>
      </c>
      <c r="U23" s="140">
        <f>O23/5*12</f>
        <v>21925.191344262297</v>
      </c>
      <c r="V23" s="120">
        <f>SUM(W23:X23)</f>
        <v>1859438.2600421056</v>
      </c>
      <c r="W23" s="165">
        <f>Y29</f>
        <v>1819792.2558315792</v>
      </c>
      <c r="X23" s="138">
        <f>R23</f>
        <v>39646.004210526313</v>
      </c>
      <c r="Y23" s="120">
        <f>SUM(Z23:AA23)</f>
        <v>885216.18795789464</v>
      </c>
      <c r="Z23" s="141">
        <f>Y38</f>
        <v>863290.99661363231</v>
      </c>
      <c r="AA23" s="140">
        <f>U23</f>
        <v>21925.191344262297</v>
      </c>
    </row>
    <row r="24" spans="1:27" s="136" customFormat="1" x14ac:dyDescent="0.3"/>
    <row r="25" spans="1:27" s="136" customFormat="1" x14ac:dyDescent="0.3">
      <c r="M25" s="163" t="s">
        <v>248</v>
      </c>
      <c r="N25" s="142"/>
      <c r="O25" s="143"/>
      <c r="P25" s="143"/>
      <c r="Q25" s="144" t="s">
        <v>249</v>
      </c>
      <c r="R25" s="145" t="s">
        <v>123</v>
      </c>
      <c r="S25" s="145" t="s">
        <v>124</v>
      </c>
      <c r="T25" s="145" t="s">
        <v>106</v>
      </c>
      <c r="U25" s="145" t="s">
        <v>112</v>
      </c>
      <c r="V25" s="145" t="s">
        <v>125</v>
      </c>
      <c r="W25" s="145" t="s">
        <v>126</v>
      </c>
      <c r="X25" s="145" t="s">
        <v>127</v>
      </c>
      <c r="Y25" s="145" t="s">
        <v>129</v>
      </c>
      <c r="Z25" s="143"/>
      <c r="AA25" s="146"/>
    </row>
    <row r="26" spans="1:27" s="136" customFormat="1" x14ac:dyDescent="0.3">
      <c r="N26" s="147"/>
      <c r="O26" s="136" t="s">
        <v>250</v>
      </c>
      <c r="Q26" s="148">
        <f>K23</f>
        <v>719854.53157894744</v>
      </c>
      <c r="R26" s="149">
        <f>($K$23/5)</f>
        <v>143970.9063157895</v>
      </c>
      <c r="S26" s="149">
        <f t="shared" ref="S26:X26" si="0">($K$23/5)</f>
        <v>143970.9063157895</v>
      </c>
      <c r="T26" s="149">
        <f t="shared" si="0"/>
        <v>143970.9063157895</v>
      </c>
      <c r="U26" s="149">
        <f t="shared" si="0"/>
        <v>143970.9063157895</v>
      </c>
      <c r="V26" s="149">
        <f t="shared" si="0"/>
        <v>143970.9063157895</v>
      </c>
      <c r="W26" s="149">
        <f t="shared" si="0"/>
        <v>143970.9063157895</v>
      </c>
      <c r="X26" s="149">
        <f t="shared" si="0"/>
        <v>143970.9063157895</v>
      </c>
      <c r="Y26" s="149">
        <f>SUM(Q26:X26)</f>
        <v>1727650.8757894742</v>
      </c>
      <c r="AA26" s="150"/>
    </row>
    <row r="27" spans="1:27" s="136" customFormat="1" x14ac:dyDescent="0.3">
      <c r="N27" s="147"/>
      <c r="AA27" s="150"/>
    </row>
    <row r="28" spans="1:27" s="136" customFormat="1" x14ac:dyDescent="0.3">
      <c r="N28" s="147"/>
      <c r="Q28" s="151" t="s">
        <v>249</v>
      </c>
      <c r="R28" s="111" t="s">
        <v>123</v>
      </c>
      <c r="S28" s="111" t="s">
        <v>124</v>
      </c>
      <c r="T28" s="111" t="s">
        <v>106</v>
      </c>
      <c r="U28" s="111" t="s">
        <v>112</v>
      </c>
      <c r="V28" s="111" t="s">
        <v>125</v>
      </c>
      <c r="W28" s="111" t="s">
        <v>126</v>
      </c>
      <c r="X28" s="111" t="s">
        <v>127</v>
      </c>
      <c r="Y28" s="111" t="s">
        <v>129</v>
      </c>
      <c r="AA28" s="150"/>
    </row>
    <row r="29" spans="1:27" s="136" customFormat="1" x14ac:dyDescent="0.3">
      <c r="N29" s="147"/>
      <c r="O29" s="136" t="s">
        <v>251</v>
      </c>
      <c r="Q29" s="148">
        <f>Q26</f>
        <v>719854.53157894744</v>
      </c>
      <c r="R29" s="148">
        <f>R26</f>
        <v>143970.9063157895</v>
      </c>
      <c r="S29" s="148">
        <f>S26</f>
        <v>143970.9063157895</v>
      </c>
      <c r="T29" s="148">
        <f>T26</f>
        <v>143970.9063157895</v>
      </c>
      <c r="U29" s="149">
        <f>U26*(1-$F$12)</f>
        <v>167006.2513263158</v>
      </c>
      <c r="V29" s="149">
        <f>V26*(1-$F$12)</f>
        <v>167006.2513263158</v>
      </c>
      <c r="W29" s="149">
        <f>W26*(1-$F$12)</f>
        <v>167006.2513263158</v>
      </c>
      <c r="X29" s="149">
        <f>X26*(1-$F$12)</f>
        <v>167006.2513263158</v>
      </c>
      <c r="Y29" s="164">
        <f>SUM(Q29:X29)</f>
        <v>1819792.2558315792</v>
      </c>
      <c r="AA29" s="150"/>
    </row>
    <row r="30" spans="1:27" s="136" customFormat="1" x14ac:dyDescent="0.3">
      <c r="N30" s="147"/>
      <c r="AA30" s="150"/>
    </row>
    <row r="31" spans="1:27" s="136" customFormat="1" x14ac:dyDescent="0.3">
      <c r="N31" s="147"/>
      <c r="AA31" s="150"/>
    </row>
    <row r="32" spans="1:27" s="136" customFormat="1" x14ac:dyDescent="0.3">
      <c r="N32" s="147"/>
      <c r="O32" s="136" t="s">
        <v>252</v>
      </c>
      <c r="Q32" s="136">
        <f>K23/H23</f>
        <v>158.83815789473687</v>
      </c>
      <c r="AA32" s="150"/>
    </row>
    <row r="33" spans="14:27" s="136" customFormat="1" x14ac:dyDescent="0.3">
      <c r="N33" s="147"/>
      <c r="O33" s="136" t="s">
        <v>253</v>
      </c>
      <c r="Q33" s="136">
        <f>Q32*(1-F12)</f>
        <v>184.25226315789476</v>
      </c>
      <c r="AA33" s="150"/>
    </row>
    <row r="34" spans="14:27" s="136" customFormat="1" x14ac:dyDescent="0.3">
      <c r="N34" s="147"/>
      <c r="O34" s="136" t="s">
        <v>254</v>
      </c>
      <c r="Q34" s="152">
        <f>H23/5</f>
        <v>906.4</v>
      </c>
      <c r="AA34" s="150"/>
    </row>
    <row r="35" spans="14:27" ht="15.6" x14ac:dyDescent="0.3">
      <c r="N35" s="153"/>
      <c r="O35" s="136" t="s">
        <v>255</v>
      </c>
      <c r="Q35" s="152">
        <f>(Q32-Q33)*Q34</f>
        <v>-23035.345010526315</v>
      </c>
      <c r="S35" s="154"/>
      <c r="AA35" s="155"/>
    </row>
    <row r="36" spans="14:27" x14ac:dyDescent="0.3">
      <c r="N36" s="153"/>
      <c r="AA36" s="155"/>
    </row>
    <row r="37" spans="14:27" x14ac:dyDescent="0.3">
      <c r="N37" s="153"/>
      <c r="O37" s="136" t="s">
        <v>256</v>
      </c>
      <c r="Q37" s="139" t="s">
        <v>249</v>
      </c>
      <c r="R37" s="111" t="s">
        <v>123</v>
      </c>
      <c r="S37" s="111" t="s">
        <v>124</v>
      </c>
      <c r="T37" s="111" t="s">
        <v>106</v>
      </c>
      <c r="U37" s="111" t="s">
        <v>112</v>
      </c>
      <c r="V37" s="111" t="s">
        <v>125</v>
      </c>
      <c r="W37" s="111" t="s">
        <v>126</v>
      </c>
      <c r="X37" s="111" t="s">
        <v>127</v>
      </c>
      <c r="Y37" s="111" t="s">
        <v>129</v>
      </c>
      <c r="AA37" s="155"/>
    </row>
    <row r="38" spans="14:27" x14ac:dyDescent="0.3">
      <c r="N38" s="156"/>
      <c r="O38" s="157"/>
      <c r="P38" s="157"/>
      <c r="Q38" s="158">
        <f>N23</f>
        <v>398096.82360655739</v>
      </c>
      <c r="R38" s="159">
        <f>$Q$38/5</f>
        <v>79619.364721311475</v>
      </c>
      <c r="S38" s="159">
        <f t="shared" ref="S38:T38" si="1">$Q$38/5</f>
        <v>79619.364721311475</v>
      </c>
      <c r="T38" s="159">
        <f t="shared" si="1"/>
        <v>79619.364721311475</v>
      </c>
      <c r="U38" s="160">
        <f>T38+Q35</f>
        <v>56584.019710785156</v>
      </c>
      <c r="V38" s="160">
        <f>U38+R35</f>
        <v>56584.019710785156</v>
      </c>
      <c r="W38" s="160">
        <f t="shared" ref="W38:X38" si="2">V38+S35</f>
        <v>56584.019710785156</v>
      </c>
      <c r="X38" s="160">
        <f t="shared" si="2"/>
        <v>56584.019710785156</v>
      </c>
      <c r="Y38" s="161">
        <f>SUM(Q38:X38)</f>
        <v>863290.99661363231</v>
      </c>
      <c r="Z38" s="157"/>
      <c r="AA38" s="162"/>
    </row>
  </sheetData>
  <mergeCells count="5">
    <mergeCell ref="V21:AA21"/>
    <mergeCell ref="G16:O16"/>
    <mergeCell ref="P16:U16"/>
    <mergeCell ref="G21:O21"/>
    <mergeCell ref="P21:U21"/>
  </mergeCells>
  <pageMargins left="0.7" right="0.7" top="0.75" bottom="0.75" header="0.3" footer="0.3"/>
  <ignoredErrors>
    <ignoredError sqref="Q18 T18"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TemplafyFormConfiguration><![CDATA[{"formFields":[],"formDataEntries":[]}]]></TemplafyFormConfiguration>
</file>

<file path=customXml/item2.xml><?xml version="1.0" encoding="utf-8"?>
<TemplafyTemplateConfiguration><![CDATA[{"transformationConfigurations":[],"templateName":"ABB Excel Template","templateDescription":"","enableDocumentContentUpdater":false,"version":"2.0"}]]></TemplafyTemplateConfiguration>
</file>

<file path=customXml/item3.xml><?xml version="1.0" encoding="utf-8"?>
<p:properties xmlns:p="http://schemas.microsoft.com/office/2006/metadata/properties" xmlns:xsi="http://www.w3.org/2001/XMLSchema-instance" xmlns:pc="http://schemas.microsoft.com/office/infopath/2007/PartnerControls">
  <documentManagement>
    <Notes xmlns="7c4e361e-a823-4c3b-81dd-359a074a1526"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ocument" ma:contentTypeID="0x0101001B7548F8C8F7B947AB880343DDDBC468" ma:contentTypeVersion="11" ma:contentTypeDescription="Create a new document." ma:contentTypeScope="" ma:versionID="4410375f82a90a53dd8fd389ec51aae7">
  <xsd:schema xmlns:xsd="http://www.w3.org/2001/XMLSchema" xmlns:xs="http://www.w3.org/2001/XMLSchema" xmlns:p="http://schemas.microsoft.com/office/2006/metadata/properties" xmlns:ns2="7c4e361e-a823-4c3b-81dd-359a074a1526" xmlns:ns3="b25c32c9-0745-4399-8627-ba940898083f" targetNamespace="http://schemas.microsoft.com/office/2006/metadata/properties" ma:root="true" ma:fieldsID="77d73466d7279468fcf8b00419fbe4d0" ns2:_="" ns3:_="">
    <xsd:import namespace="7c4e361e-a823-4c3b-81dd-359a074a1526"/>
    <xsd:import namespace="b25c32c9-0745-4399-8627-ba940898083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Not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4e361e-a823-4c3b-81dd-359a074a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Notes" ma:index="16"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5c32c9-0745-4399-8627-ba9408980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AFE24D-024C-4D19-9BBA-2FD568CDA0AE}">
  <ds:schemaRefs/>
</ds:datastoreItem>
</file>

<file path=customXml/itemProps2.xml><?xml version="1.0" encoding="utf-8"?>
<ds:datastoreItem xmlns:ds="http://schemas.openxmlformats.org/officeDocument/2006/customXml" ds:itemID="{330AB371-4956-474F-B192-5E83C364172A}">
  <ds:schemaRefs/>
</ds:datastoreItem>
</file>

<file path=customXml/itemProps3.xml><?xml version="1.0" encoding="utf-8"?>
<ds:datastoreItem xmlns:ds="http://schemas.openxmlformats.org/officeDocument/2006/customXml" ds:itemID="{505F9358-8348-4468-B1E0-CAAD5FFDCD4C}">
  <ds:schemaRef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7c4e361e-a823-4c3b-81dd-359a074a1526"/>
    <ds:schemaRef ds:uri="http://www.w3.org/XML/1998/namespace"/>
    <ds:schemaRef ds:uri="b25c32c9-0745-4399-8627-ba940898083f"/>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91E4A3BD-6694-4E6B-8204-B910746D2F14}">
  <ds:schemaRefs>
    <ds:schemaRef ds:uri="http://schemas.microsoft.com/sharepoint/v3/contenttype/forms"/>
  </ds:schemaRefs>
</ds:datastoreItem>
</file>

<file path=customXml/itemProps5.xml><?xml version="1.0" encoding="utf-8"?>
<ds:datastoreItem xmlns:ds="http://schemas.openxmlformats.org/officeDocument/2006/customXml" ds:itemID="{350D609C-264E-48FB-9649-C915080586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4e361e-a823-4c3b-81dd-359a074a1526"/>
    <ds:schemaRef ds:uri="b25c32c9-0745-4399-8627-ba9408980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792d246-d363-40e2-82bc-6f0655128b68}" enabled="1" method="Standard" siteId="{372ee9e0-9ce0-4033-a64a-c07073a91ec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 at Supplier level</vt:lpstr>
      <vt:lpstr>TAB at Part Number level</vt:lpstr>
      <vt:lpstr>Simulator - rules and formula</vt:lpstr>
      <vt:lpstr>Spend &amp; NMI Change calculation</vt:lpstr>
      <vt:lpstr>Simulator - Calculations</vt:lpstr>
      <vt:lpstr>Simulator - masks_1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2024-05-30T12:54:15Z</dcterms:created>
  <dcterms:modified xsi:type="dcterms:W3CDTF">2024-11-07T18:34:24Z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abb</vt:lpwstr>
  </property>
  <property fmtid="{D5CDD505-2E9C-101B-9397-08002B2CF9AE}" pid="3" name="TemplafyTemplateId">
    <vt:lpwstr>637920241381652607</vt:lpwstr>
  </property>
  <property fmtid="{D5CDD505-2E9C-101B-9397-08002B2CF9AE}" pid="4" name="TemplafyUserProfileId">
    <vt:lpwstr>637877655953999158</vt:lpwstr>
  </property>
  <property fmtid="{D5CDD505-2E9C-101B-9397-08002B2CF9AE}" pid="5" name="TemplafyLanguageCode">
    <vt:lpwstr>en-US</vt:lpwstr>
  </property>
  <property fmtid="{D5CDD505-2E9C-101B-9397-08002B2CF9AE}" pid="6" name="TemplafyFromBlank">
    <vt:bool>true</vt:bool>
  </property>
  <property fmtid="{D5CDD505-2E9C-101B-9397-08002B2CF9AE}" pid="7" name="ContentTypeId">
    <vt:lpwstr>0x0101001B7548F8C8F7B947AB880343DDDBC468</vt:lpwstr>
  </property>
</Properties>
</file>