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6C06358-7D90-40A9-9445-B344CD90CA3E}" xr6:coauthVersionLast="47" xr6:coauthVersionMax="47" xr10:uidLastSave="{00000000-0000-0000-0000-000000000000}"/>
  <bookViews>
    <workbookView xWindow="-120" yWindow="-120" windowWidth="20730" windowHeight="11160" firstSheet="1" activeTab="1" xr2:uid="{AE097C2B-E63B-4E32-93E8-D9C20D8FB6BD}"/>
  </bookViews>
  <sheets>
    <sheet name="Sheet1" sheetId="1" state="hidden" r:id="rId1"/>
    <sheet name="OLS Sal" sheetId="2" r:id="rId2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2" l="1"/>
  <c r="N15" i="2" l="1"/>
  <c r="N75" i="2"/>
  <c r="G79" i="2"/>
  <c r="G77" i="2"/>
  <c r="N73" i="2"/>
  <c r="N70" i="2"/>
  <c r="N67" i="2"/>
  <c r="K64" i="2"/>
  <c r="N64" i="2" s="1"/>
  <c r="I64" i="2"/>
  <c r="N60" i="2"/>
  <c r="K60" i="2"/>
  <c r="N56" i="2"/>
  <c r="N55" i="2"/>
  <c r="K51" i="2"/>
  <c r="N51" i="2" s="1"/>
  <c r="K50" i="2"/>
  <c r="N50" i="2" s="1"/>
  <c r="N47" i="2"/>
  <c r="N46" i="2"/>
  <c r="N43" i="2"/>
  <c r="M42" i="2"/>
  <c r="N42" i="2" s="1"/>
  <c r="N39" i="2"/>
  <c r="N36" i="2"/>
  <c r="G73" i="2"/>
  <c r="D63" i="2"/>
  <c r="G63" i="2"/>
  <c r="F45" i="2"/>
  <c r="C21" i="2"/>
  <c r="C22" i="2" s="1"/>
  <c r="G42" i="2"/>
  <c r="C23" i="2" l="1"/>
  <c r="C24" i="2" s="1"/>
  <c r="N57" i="2"/>
  <c r="N52" i="2"/>
  <c r="N16" i="2" s="1"/>
  <c r="B67" i="2"/>
  <c r="D67" i="2"/>
  <c r="D53" i="2"/>
  <c r="G39" i="2" l="1"/>
  <c r="G70" i="2"/>
  <c r="G46" i="2" l="1"/>
  <c r="G67" i="2"/>
  <c r="G58" i="2"/>
  <c r="G59" i="2"/>
  <c r="G49" i="2"/>
  <c r="C17" i="2"/>
  <c r="G18" i="2" s="1"/>
  <c r="G54" i="2"/>
  <c r="G53" i="2"/>
  <c r="G50" i="2"/>
  <c r="G60" i="2" l="1"/>
  <c r="G55" i="2"/>
  <c r="G19" i="2" l="1"/>
  <c r="G45" i="2"/>
  <c r="B4" i="1" l="1"/>
  <c r="B7" i="1" s="1"/>
  <c r="K6" i="1" s="1"/>
  <c r="B9" i="1" l="1"/>
  <c r="B8" i="1"/>
  <c r="B10" i="1"/>
  <c r="B11" i="1" s="1"/>
  <c r="B13" i="1" s="1"/>
  <c r="J17" i="2" l="1"/>
  <c r="J18" i="2" s="1"/>
  <c r="J19" i="2" l="1"/>
  <c r="J20" i="2" s="1"/>
  <c r="J21" i="2" s="1"/>
</calcChain>
</file>

<file path=xl/sharedStrings.xml><?xml version="1.0" encoding="utf-8"?>
<sst xmlns="http://schemas.openxmlformats.org/spreadsheetml/2006/main" count="132" uniqueCount="81">
  <si>
    <t>Standard Deduction</t>
  </si>
  <si>
    <t>Net salary</t>
  </si>
  <si>
    <t>Gross salary</t>
  </si>
  <si>
    <t>Other sources income</t>
  </si>
  <si>
    <t>Net taxable income</t>
  </si>
  <si>
    <t>Tax</t>
  </si>
  <si>
    <t>Surcharge</t>
  </si>
  <si>
    <t>Cess</t>
  </si>
  <si>
    <t>Total Tax</t>
  </si>
  <si>
    <t>TDS/TCS</t>
  </si>
  <si>
    <t>Tax payable</t>
  </si>
  <si>
    <t>Other deductions</t>
  </si>
  <si>
    <t>Amount</t>
  </si>
  <si>
    <t>Tax (with Marginel Relife)</t>
  </si>
  <si>
    <t>Name</t>
  </si>
  <si>
    <t>Salary</t>
  </si>
  <si>
    <t>Standard Deduction (Sec 16)</t>
  </si>
  <si>
    <t>Basic Pay + DA</t>
  </si>
  <si>
    <t xml:space="preserve">Gross salary </t>
  </si>
  <si>
    <t>OLD</t>
  </si>
  <si>
    <t>80C</t>
  </si>
  <si>
    <t>LiFe</t>
  </si>
  <si>
    <t>SSY</t>
  </si>
  <si>
    <t>NSC</t>
  </si>
  <si>
    <t>80E</t>
  </si>
  <si>
    <t>Education (Interest)</t>
  </si>
  <si>
    <t>Any Education laon (If yes which Which year)</t>
  </si>
  <si>
    <t>Sec 80D</t>
  </si>
  <si>
    <t>Ins perents (50000) Age &gt;60</t>
  </si>
  <si>
    <t>Taxable NPS</t>
  </si>
  <si>
    <t>Age</t>
  </si>
  <si>
    <t>OUTPUT</t>
  </si>
  <si>
    <t>INPUT</t>
  </si>
  <si>
    <t>Cal 2</t>
  </si>
  <si>
    <t>Ins Self (25000)</t>
  </si>
  <si>
    <t>House loan Prenciple</t>
  </si>
  <si>
    <t>Tution fee</t>
  </si>
  <si>
    <t>ULIP</t>
  </si>
  <si>
    <t>Employer Contr (NPS - by com) Sec 80CCD 2</t>
  </si>
  <si>
    <t>80CCD (1B)</t>
  </si>
  <si>
    <t xml:space="preserve">NPS additional cont </t>
  </si>
  <si>
    <t>Total Deduction 80D</t>
  </si>
  <si>
    <t>Sec 80DDB</t>
  </si>
  <si>
    <t>Medi treatment (Self &amp; dependent)(&lt;60age)</t>
  </si>
  <si>
    <t>Medi treatment (Self &amp; dependent)(&gt;=60)</t>
  </si>
  <si>
    <t>Total deduction 80DDB</t>
  </si>
  <si>
    <t>Sec 80TTA &amp; 80TTB</t>
  </si>
  <si>
    <t>Sec 80U</t>
  </si>
  <si>
    <t>Self physical disability</t>
  </si>
  <si>
    <t>Sec 80G</t>
  </si>
  <si>
    <t>Donations</t>
  </si>
  <si>
    <t>total deduction 80C</t>
  </si>
  <si>
    <t>total deduction</t>
  </si>
  <si>
    <t>NPS</t>
  </si>
  <si>
    <t>Annuity/Pension</t>
  </si>
  <si>
    <t>cess</t>
  </si>
  <si>
    <t>Total Tax Liability</t>
  </si>
  <si>
    <t>Sec 24 A&amp;B (Self Occupied/Letout)(int) (Anyony of thies 2)</t>
  </si>
  <si>
    <t>Max Limit</t>
  </si>
  <si>
    <t>No Limit</t>
  </si>
  <si>
    <t>Home Renv</t>
  </si>
  <si>
    <t>Home (Int)</t>
  </si>
  <si>
    <t>Sec 80GG</t>
  </si>
  <si>
    <t>Sec 80DD</t>
  </si>
  <si>
    <t>Medi treatment for PWD Dependent</t>
  </si>
  <si>
    <t>Percentage of disability</t>
  </si>
  <si>
    <t>Rent Paid</t>
  </si>
  <si>
    <t>Sec 10(13A)</t>
  </si>
  <si>
    <t>Self employed</t>
  </si>
  <si>
    <t>Income From Business</t>
  </si>
  <si>
    <t>Total Income</t>
  </si>
  <si>
    <t>HRA Received</t>
  </si>
  <si>
    <t>Other Income (Business + Other)</t>
  </si>
  <si>
    <t>Rental income</t>
  </si>
  <si>
    <t>Sec 24 (Taxable Rental income)</t>
  </si>
  <si>
    <t>Other Income (Other)</t>
  </si>
  <si>
    <t>Sec 24 A&amp;B (Self Occupied/Letout)(int) (Anyone of thies 2)</t>
  </si>
  <si>
    <t>Salaried</t>
  </si>
  <si>
    <t>insurance premium Self (25000)</t>
  </si>
  <si>
    <t>insurance premium perents (50000) Age &gt;60</t>
  </si>
  <si>
    <t>Parent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</si>
</sst>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/>
    <xf numFmtId="3" fontId="0" fillId="0" borderId="0" xfId="0" applyNumberFormat="1"/>
    <xf numFmtId="0" fontId="1" fillId="0" borderId="1" xfId="0" applyFont="1" applyBorder="1"/>
    <xf numFmtId="0" fontId="0" fillId="3" borderId="1" xfId="0" applyFill="1" applyBorder="1"/>
    <xf numFmtId="0" fontId="0" fillId="0" borderId="2" xfId="0" applyBorder="1"/>
    <xf numFmtId="0" fontId="0" fillId="2" borderId="0" xfId="0" applyFill="1"/>
    <xf numFmtId="0" fontId="0" fillId="6" borderId="0" xfId="0" applyFill="1"/>
    <xf numFmtId="0" fontId="0" fillId="5" borderId="1" xfId="0" applyFill="1" applyBorder="1"/>
    <xf numFmtId="0" fontId="4" fillId="7" borderId="1" xfId="0" applyFont="1" applyFill="1" applyBorder="1"/>
    <xf numFmtId="0" fontId="4" fillId="7" borderId="0" xfId="0" applyFont="1" applyFill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3" borderId="8" xfId="0" applyFill="1" applyBorder="1"/>
    <xf numFmtId="0" fontId="0" fillId="0" borderId="8" xfId="0" applyBorder="1"/>
    <xf numFmtId="0" fontId="0" fillId="2" borderId="9" xfId="0" applyFill="1" applyBorder="1"/>
    <xf numFmtId="0" fontId="0" fillId="2" borderId="1" xfId="0" applyFill="1" applyBorder="1"/>
    <xf numFmtId="0" fontId="4" fillId="7" borderId="3" xfId="0" applyFont="1" applyFill="1" applyBorder="1"/>
    <xf numFmtId="0" fontId="0" fillId="0" borderId="1" xfId="0" applyBorder="1" applyAlignment="1">
      <alignment horizontal="center"/>
    </xf>
    <xf numFmtId="0" fontId="3" fillId="3" borderId="1" xfId="0" applyFont="1" applyFill="1" applyBorder="1"/>
    <xf numFmtId="0" fontId="0" fillId="8" borderId="1" xfId="0" applyFill="1" applyBorder="1"/>
    <xf numFmtId="0" fontId="0" fillId="0" borderId="10" xfId="0" applyBorder="1"/>
    <xf numFmtId="0" fontId="0" fillId="0" borderId="12" xfId="0" applyBorder="1"/>
    <xf numFmtId="0" fontId="2" fillId="4" borderId="0" xfId="0" applyFont="1" applyFill="1" applyAlignment="1"/>
    <xf numFmtId="0" fontId="0" fillId="2" borderId="2" xfId="0" applyFill="1" applyBorder="1"/>
    <xf numFmtId="0" fontId="0" fillId="2" borderId="13" xfId="0" applyFill="1" applyBorder="1"/>
    <xf numFmtId="0" fontId="0" fillId="2" borderId="11" xfId="0" applyFill="1" applyBorder="1"/>
    <xf numFmtId="0" fontId="0" fillId="8" borderId="2" xfId="0" applyFill="1" applyBorder="1"/>
    <xf numFmtId="0" fontId="0" fillId="2" borderId="8" xfId="0" applyFill="1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2" fillId="5" borderId="0" xfId="0" applyFont="1" applyFill="1" applyAlignment="1"/>
    <xf numFmtId="0" fontId="0" fillId="3" borderId="6" xfId="0" applyFill="1" applyBorder="1"/>
    <xf numFmtId="0" fontId="0" fillId="0" borderId="6" xfId="0" applyBorder="1"/>
    <xf numFmtId="0" fontId="0" fillId="5" borderId="6" xfId="0" applyFill="1" applyBorder="1"/>
    <xf numFmtId="0" fontId="4" fillId="5" borderId="0" xfId="0" applyFont="1" applyFill="1" applyBorder="1"/>
    <xf numFmtId="0" fontId="4" fillId="5" borderId="0" xfId="0" applyFont="1" applyFill="1" applyBorder="1" applyAlignment="1">
      <alignment horizontal="center"/>
    </xf>
    <xf numFmtId="0" fontId="4" fillId="5" borderId="0" xfId="0" applyFont="1" applyFill="1"/>
    <xf numFmtId="0" fontId="3" fillId="2" borderId="6" xfId="0" applyFont="1" applyFill="1" applyBorder="1"/>
    <xf numFmtId="0" fontId="0" fillId="0" borderId="0" xfId="0" applyBorder="1"/>
    <xf numFmtId="0" fontId="5" fillId="10" borderId="1" xfId="0" applyFont="1" applyFill="1" applyBorder="1"/>
    <xf numFmtId="0" fontId="6" fillId="9" borderId="1" xfId="0" applyFont="1" applyFill="1" applyBorder="1" applyAlignment="1">
      <alignment horizontal="center" vertical="center"/>
    </xf>
    <xf numFmtId="0" fontId="5" fillId="10" borderId="6" xfId="0" applyFont="1" applyFill="1" applyBorder="1"/>
  </cellXfs>
  <cellStyles count="1">
    <cellStyle name="Normal" xfId="0" builtinId="0"/>
  </cellStyles>
  <dxfs count="20"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CC03F0-3CEC-4461-81AA-1B2360F95FC1}" name="Table2" displayName="Table2" ref="B48:C50" headerRowCount="0" totalsRowShown="0" headerRowDxfId="6" tableBorderDxfId="5" totalsRowBorderDxfId="4">
  <tableColumns count="2">
    <tableColumn id="1" xr3:uid="{0D5BD025-D38A-4591-AE36-141D641355B0}" name="Column1" headerRowDxfId="3" dataDxfId="1"/>
    <tableColumn id="2" xr3:uid="{217C60E3-47A5-4DC4-898E-8CAE986A8475}" name="Column2" headerRowDxfId="2" dataDxfId="0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0265F6-0CAD-4F0C-AC8F-968509B9CAEB}" name="Table24" displayName="Table24" ref="I45:N47" headerRowCount="0" totalsRowShown="0" headerRowDxfId="19" tableBorderDxfId="18" totalsRowBorderDxfId="17">
  <tableColumns count="6">
    <tableColumn id="1" xr3:uid="{999B69B0-933A-4693-92E6-2732EED91A1F}" name="Column1" headerRowDxfId="16" dataDxfId="15"/>
    <tableColumn id="2" xr3:uid="{A2C230A7-7E2F-4CF6-B5C9-12212B411664}" name="Column2" headerRowDxfId="14" dataDxfId="13"/>
    <tableColumn id="3" xr3:uid="{29178098-3545-4B9B-8415-C35CBDF58364}" name="Column3" headerRowDxfId="12" dataDxfId="11"/>
    <tableColumn id="6" xr3:uid="{C889ACA7-6AD6-4A22-8AF2-1CD511640A87}" name="Column6" headerRowDxfId="10" dataDxfId="9"/>
    <tableColumn id="4" xr3:uid="{78C37D0B-7647-40F0-ADDC-5FC37F6948B4}" name="Column4" dataDxfId="8"/>
    <tableColumn id="5" xr3:uid="{1A149D18-A123-477C-9F00-C7E27876AAC1}" name="Column5" dataDxfId="7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4645C-B01D-4BAA-92D7-73DB23ED435D}">
  <dimension ref="A1:N13"/>
  <sheetViews>
    <sheetView workbookViewId="0">
      <selection activeCell="J6" sqref="J6:K6"/>
    </sheetView>
  </sheetViews>
  <sheetFormatPr defaultRowHeight="15" x14ac:dyDescent="0.25"/>
  <cols>
    <col min="1" max="1" width="22.28515625" bestFit="1" customWidth="1"/>
    <col min="2" max="2" width="12.42578125" style="1" bestFit="1" customWidth="1"/>
    <col min="3" max="3" width="8.85546875" style="1"/>
    <col min="4" max="4" width="10.28515625" customWidth="1"/>
    <col min="14" max="14" width="14.140625" customWidth="1"/>
  </cols>
  <sheetData>
    <row r="1" spans="1:14" x14ac:dyDescent="0.25">
      <c r="B1" s="2" t="s">
        <v>12</v>
      </c>
    </row>
    <row r="2" spans="1:14" x14ac:dyDescent="0.25">
      <c r="A2" t="s">
        <v>2</v>
      </c>
      <c r="B2" s="1">
        <v>1295000</v>
      </c>
    </row>
    <row r="3" spans="1:14" x14ac:dyDescent="0.25">
      <c r="A3" t="s">
        <v>0</v>
      </c>
      <c r="B3" s="1">
        <v>75000</v>
      </c>
    </row>
    <row r="4" spans="1:14" x14ac:dyDescent="0.25">
      <c r="A4" t="s">
        <v>1</v>
      </c>
      <c r="B4" s="1">
        <f>B2-B3</f>
        <v>1220000</v>
      </c>
    </row>
    <row r="5" spans="1:14" x14ac:dyDescent="0.25">
      <c r="A5" t="s">
        <v>3</v>
      </c>
      <c r="B5" s="1">
        <v>0</v>
      </c>
    </row>
    <row r="6" spans="1:14" x14ac:dyDescent="0.25">
      <c r="A6" t="s">
        <v>11</v>
      </c>
      <c r="B6" s="1">
        <v>0</v>
      </c>
      <c r="J6" t="s">
        <v>5</v>
      </c>
      <c r="K6" s="1">
        <f>IF(B7&lt;=1200000,0,MAX(60000+(B7-1200000)*15%,120000+(B7-1600000)*20%,200000+(B7-2000000)*25%,300000+(B7-2400000)*30%))</f>
        <v>63000</v>
      </c>
    </row>
    <row r="7" spans="1:14" x14ac:dyDescent="0.25">
      <c r="A7" t="s">
        <v>4</v>
      </c>
      <c r="B7" s="1">
        <f>B4+B5-B6</f>
        <v>1220000</v>
      </c>
    </row>
    <row r="8" spans="1:14" x14ac:dyDescent="0.25">
      <c r="A8" t="s">
        <v>13</v>
      </c>
      <c r="B8" s="1">
        <f>MIN(K6,B7-1200000)</f>
        <v>20000</v>
      </c>
    </row>
    <row r="9" spans="1:14" x14ac:dyDescent="0.25">
      <c r="A9" t="s">
        <v>6</v>
      </c>
      <c r="B9" s="1">
        <f>IF(B7&lt;=5000000,0,MAX((K6)*10%,(K6)*15%,(K6)*25%))</f>
        <v>0</v>
      </c>
      <c r="N9" s="1"/>
    </row>
    <row r="10" spans="1:14" x14ac:dyDescent="0.25">
      <c r="A10" t="s">
        <v>7</v>
      </c>
      <c r="B10" s="1">
        <f>(K6+B9)*4%</f>
        <v>2520</v>
      </c>
    </row>
    <row r="11" spans="1:14" x14ac:dyDescent="0.25">
      <c r="A11" t="s">
        <v>8</v>
      </c>
      <c r="B11" s="1">
        <f>K6+B9+B10</f>
        <v>65520</v>
      </c>
      <c r="D11" s="1"/>
    </row>
    <row r="12" spans="1:14" x14ac:dyDescent="0.25">
      <c r="A12" t="s">
        <v>9</v>
      </c>
      <c r="B12" s="1">
        <v>0</v>
      </c>
    </row>
    <row r="13" spans="1:14" x14ac:dyDescent="0.25">
      <c r="A13" t="s">
        <v>10</v>
      </c>
      <c r="B13" s="1">
        <f>B11-B12</f>
        <v>65520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8232-6888-4E4D-BDA5-7B397A933217}">
  <dimension ref="A1:N79"/>
  <sheetViews>
    <sheetView showGridLines="0" tabSelected="1" zoomScale="108" zoomScaleNormal="100" workbookViewId="0">
      <selection activeCell="C11" sqref="C11"/>
    </sheetView>
  </sheetViews>
  <sheetFormatPr defaultRowHeight="15" x14ac:dyDescent="0.25"/>
  <cols>
    <col min="1" max="1" width="9.7109375" customWidth="1"/>
    <col min="2" max="2" width="53.85546875" bestFit="1" customWidth="1"/>
    <col min="3" max="3" width="19" customWidth="1"/>
    <col min="4" max="4" width="15.85546875" customWidth="1"/>
    <col min="5" max="5" width="12.28515625" hidden="1" customWidth="1"/>
    <col min="6" max="6" width="10.42578125" hidden="1" customWidth="1"/>
    <col min="7" max="7" width="12.7109375" hidden="1" customWidth="1"/>
    <col min="8" max="8" width="0" hidden="1" customWidth="1"/>
    <col min="9" max="9" width="48.7109375" hidden="1" customWidth="1"/>
    <col min="10" max="10" width="9.85546875" hidden="1" customWidth="1"/>
    <col min="11" max="11" width="9.28515625" hidden="1" customWidth="1"/>
    <col min="12" max="12" width="9.42578125" hidden="1" customWidth="1"/>
    <col min="13" max="13" width="0" hidden="1" customWidth="1"/>
    <col min="14" max="14" width="15.5703125" hidden="1" customWidth="1"/>
    <col min="15" max="16" width="0" hidden="1" customWidth="1"/>
  </cols>
  <sheetData>
    <row r="1" spans="1:14" ht="24" customHeight="1" x14ac:dyDescent="0.25">
      <c r="A1" s="45" t="s">
        <v>14</v>
      </c>
      <c r="B1" s="6"/>
      <c r="C1" s="45" t="s">
        <v>30</v>
      </c>
      <c r="D1" s="6"/>
      <c r="J1" s="9" t="s">
        <v>30</v>
      </c>
      <c r="K1" s="9">
        <v>55</v>
      </c>
    </row>
    <row r="3" spans="1:14" hidden="1" x14ac:dyDescent="0.25"/>
    <row r="4" spans="1:14" hidden="1" x14ac:dyDescent="0.25"/>
    <row r="5" spans="1:14" ht="18.75" x14ac:dyDescent="0.3">
      <c r="B5" s="27" t="s">
        <v>19</v>
      </c>
      <c r="C5" s="35"/>
      <c r="D5" s="35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B6" s="32" t="s">
        <v>77</v>
      </c>
      <c r="D6" s="1"/>
      <c r="E6" s="1"/>
    </row>
    <row r="7" spans="1:14" hidden="1" x14ac:dyDescent="0.25">
      <c r="B7" s="3"/>
      <c r="C7" s="37" t="s">
        <v>32</v>
      </c>
      <c r="D7" s="39" t="s">
        <v>58</v>
      </c>
      <c r="E7" s="7"/>
      <c r="F7" s="3" t="s">
        <v>33</v>
      </c>
      <c r="G7" t="s">
        <v>31</v>
      </c>
      <c r="J7" t="s">
        <v>32</v>
      </c>
      <c r="K7" t="s">
        <v>58</v>
      </c>
      <c r="M7" t="s">
        <v>33</v>
      </c>
      <c r="N7" t="s">
        <v>31</v>
      </c>
    </row>
    <row r="8" spans="1:14" hidden="1" x14ac:dyDescent="0.25">
      <c r="B8" s="3" t="s">
        <v>15</v>
      </c>
      <c r="C8" s="37"/>
      <c r="D8" s="39"/>
      <c r="E8" s="7"/>
      <c r="F8" s="3"/>
      <c r="I8" s="3" t="s">
        <v>68</v>
      </c>
      <c r="J8" s="3"/>
    </row>
    <row r="9" spans="1:14" x14ac:dyDescent="0.25">
      <c r="B9" s="3" t="s">
        <v>18</v>
      </c>
      <c r="C9" s="36"/>
      <c r="D9" s="39"/>
      <c r="E9" s="7"/>
      <c r="F9" s="3"/>
      <c r="I9" s="3"/>
      <c r="J9" s="3"/>
    </row>
    <row r="10" spans="1:14" x14ac:dyDescent="0.25">
      <c r="B10" s="3" t="s">
        <v>17</v>
      </c>
      <c r="C10" s="36"/>
      <c r="D10" s="39"/>
      <c r="E10" s="7"/>
      <c r="F10" s="3"/>
      <c r="I10" s="3" t="s">
        <v>69</v>
      </c>
      <c r="J10" s="6">
        <v>15000000</v>
      </c>
    </row>
    <row r="11" spans="1:14" x14ac:dyDescent="0.25">
      <c r="B11" s="3" t="s">
        <v>72</v>
      </c>
      <c r="C11" s="36"/>
      <c r="D11" s="39"/>
      <c r="E11" s="7"/>
      <c r="F11" s="3"/>
      <c r="I11" s="3" t="s">
        <v>73</v>
      </c>
      <c r="J11" s="6">
        <v>120000</v>
      </c>
    </row>
    <row r="12" spans="1:14" x14ac:dyDescent="0.25">
      <c r="A12" s="4"/>
      <c r="B12" s="3" t="s">
        <v>73</v>
      </c>
      <c r="C12" s="36"/>
      <c r="D12" s="39"/>
      <c r="E12" s="7"/>
      <c r="F12" s="3"/>
      <c r="I12" s="3" t="s">
        <v>75</v>
      </c>
      <c r="J12" s="23">
        <v>60000</v>
      </c>
    </row>
    <row r="13" spans="1:14" x14ac:dyDescent="0.25">
      <c r="B13" s="3" t="s">
        <v>71</v>
      </c>
      <c r="C13" s="36"/>
      <c r="D13" s="39"/>
      <c r="E13" s="7"/>
      <c r="F13" s="3"/>
      <c r="I13" s="3"/>
      <c r="J13" s="3"/>
    </row>
    <row r="14" spans="1:14" hidden="1" x14ac:dyDescent="0.25">
      <c r="B14" s="3"/>
      <c r="C14" s="36"/>
      <c r="D14" s="39"/>
      <c r="E14" s="7"/>
      <c r="F14" s="3"/>
      <c r="I14" s="3"/>
      <c r="J14" s="3"/>
    </row>
    <row r="15" spans="1:14" hidden="1" x14ac:dyDescent="0.25">
      <c r="B15" s="3" t="s">
        <v>16</v>
      </c>
      <c r="C15" s="42"/>
      <c r="D15" s="39"/>
      <c r="E15" s="7"/>
      <c r="F15" s="3"/>
      <c r="I15" s="11" t="s">
        <v>70</v>
      </c>
      <c r="J15" s="25"/>
      <c r="N15" s="12">
        <f>J10+J11+J12</f>
        <v>15180000</v>
      </c>
    </row>
    <row r="16" spans="1:14" x14ac:dyDescent="0.25">
      <c r="B16" s="3" t="s">
        <v>38</v>
      </c>
      <c r="C16" s="36"/>
      <c r="D16" s="39"/>
      <c r="E16" s="7"/>
      <c r="F16" s="3"/>
      <c r="I16" s="11" t="s">
        <v>52</v>
      </c>
      <c r="J16" s="25"/>
      <c r="N16" s="12">
        <f>N36+N43+N46+N47+N52+N57+N60+N64+N67+N70+N73+N75</f>
        <v>898000</v>
      </c>
    </row>
    <row r="17" spans="2:10" hidden="1" x14ac:dyDescent="0.25">
      <c r="B17" s="3" t="s">
        <v>29</v>
      </c>
      <c r="C17" s="20">
        <f>IF(C16&lt;=(C10*10%),0,MAX(C16-(C10*10%)))</f>
        <v>0</v>
      </c>
      <c r="D17" s="13"/>
      <c r="E17" s="3"/>
      <c r="F17" s="3"/>
      <c r="I17" s="3" t="s">
        <v>4</v>
      </c>
      <c r="J17" s="3">
        <f>N15-N16</f>
        <v>14282000</v>
      </c>
    </row>
    <row r="18" spans="2:10" hidden="1" x14ac:dyDescent="0.25">
      <c r="B18" s="11" t="s">
        <v>70</v>
      </c>
      <c r="C18" s="33"/>
      <c r="D18" s="33"/>
      <c r="E18" s="33"/>
      <c r="F18" s="33"/>
      <c r="G18" s="12">
        <f>C9+C11+C12+C17</f>
        <v>0</v>
      </c>
      <c r="I18" s="3" t="s">
        <v>5</v>
      </c>
      <c r="J18" s="5">
        <f>IF(K1&lt;60,IF(J17&lt;=250000,0,IF(J17&lt;=500000,(J17-250000)*5%,IF(J17&lt;=1000000,12500+(J17-500000)*20%,112500+(J17-1000000)*30%))),IF(K1&gt;=60,IF(K1&lt;=79,IF(J17&lt;=300000,0,IF(J17&lt;=500000,(J17-300000)*5%,IF(J17&lt;=1000000,10000+(J17-500000)*20%,110000+(J17-1000000)*30%))),IF(K1&gt;79,IF(J17&lt;=500000,0,IF(J17&lt;=1000000,(J17-500000)*20%,100000+(J17-1000000)*30%))))))</f>
        <v>4097100</v>
      </c>
    </row>
    <row r="19" spans="2:10" hidden="1" x14ac:dyDescent="0.25">
      <c r="B19" s="11" t="s">
        <v>52</v>
      </c>
      <c r="C19" s="33"/>
      <c r="D19" s="33"/>
      <c r="E19" s="33"/>
      <c r="F19" s="33"/>
      <c r="G19" s="12">
        <f>C15+G39+G42+G46+G49+G50+G55+G60+G63+G67+G70+G73+G77+G79</f>
        <v>390000</v>
      </c>
      <c r="I19" s="3" t="s">
        <v>6</v>
      </c>
      <c r="J19" s="5">
        <f>IF(J17&lt;=5000000,0,(IF(J17&lt;=10000000,(J18*10%),(IF(J17&lt;=20000000,(J18*15%),(IF(J17&lt;=50000000,J18*25%,(IF(J17&gt;50000000,37%*J18)))))))))</f>
        <v>614565</v>
      </c>
    </row>
    <row r="20" spans="2:10" hidden="1" x14ac:dyDescent="0.25">
      <c r="B20" s="3" t="s">
        <v>4</v>
      </c>
      <c r="C20" s="3">
        <v>60000000</v>
      </c>
      <c r="D20" s="3"/>
      <c r="E20" s="3"/>
      <c r="F20" s="3"/>
      <c r="I20" s="3" t="s">
        <v>55</v>
      </c>
      <c r="J20" s="5">
        <f>(J18+J19)*4%</f>
        <v>188466.6</v>
      </c>
    </row>
    <row r="21" spans="2:10" hidden="1" x14ac:dyDescent="0.25">
      <c r="B21" s="3" t="s">
        <v>5</v>
      </c>
      <c r="C21" s="5">
        <f>IF(D1&lt;60,IF(C20&lt;=250000,0,IF(C20&lt;=500000,(C20-250000)*5%,IF(C20&lt;=1000000,12500+(C20-500000)*20%,112500+(C20-1000000)*30%))),IF(D1&gt;=60,IF(D1&lt;=79,IF(C20&lt;=300000,0,IF(C20&lt;=500000,(C20-300000)*5%,IF(C20&lt;=1000000,10000+(C20-500000)*20%,110000+(C20-1000000)*30%))),IF(D1&gt;79,IF(C20&lt;=500000,0,IF(C20&lt;=1000000,(C20-500000)*20%,100000+(C20-1000000)*30%))))))</f>
        <v>17812500</v>
      </c>
      <c r="D21" s="3"/>
      <c r="E21" s="3"/>
      <c r="F21" s="3"/>
      <c r="I21" s="3" t="s">
        <v>56</v>
      </c>
      <c r="J21" s="5">
        <f>J20+J18+J19</f>
        <v>4900131.5999999996</v>
      </c>
    </row>
    <row r="22" spans="2:10" hidden="1" x14ac:dyDescent="0.25">
      <c r="B22" s="3" t="s">
        <v>6</v>
      </c>
      <c r="C22" s="5">
        <f>IF(C20&lt;=5000000,0,(IF(C20&lt;=10000000,(C21*10%),(IF(C20&lt;=20000000,(C21*15%),(IF(C20&lt;=50000000,C21*25%,(IF(C20&gt;50000000,37%*C21)))))))))</f>
        <v>6590625</v>
      </c>
      <c r="D22" s="3"/>
      <c r="E22" s="3"/>
      <c r="F22" s="3"/>
    </row>
    <row r="23" spans="2:10" hidden="1" x14ac:dyDescent="0.25">
      <c r="B23" s="3" t="s">
        <v>55</v>
      </c>
      <c r="C23" s="5">
        <f>(C21+C22)*4%</f>
        <v>976125</v>
      </c>
      <c r="D23" s="18"/>
      <c r="E23" s="3"/>
      <c r="F23" s="3"/>
    </row>
    <row r="24" spans="2:10" ht="21" x14ac:dyDescent="0.35">
      <c r="B24" s="44" t="s">
        <v>56</v>
      </c>
      <c r="C24" s="46">
        <f>SUM(C21:C23)</f>
        <v>25379250</v>
      </c>
      <c r="D24" s="39"/>
      <c r="E24" s="7"/>
      <c r="F24" s="3"/>
    </row>
    <row r="25" spans="2:10" hidden="1" x14ac:dyDescent="0.25">
      <c r="B25" s="3"/>
      <c r="C25" s="3"/>
      <c r="D25" s="13"/>
      <c r="E25" s="3"/>
      <c r="F25" s="3"/>
    </row>
    <row r="26" spans="2:10" hidden="1" x14ac:dyDescent="0.25">
      <c r="B26" s="3"/>
      <c r="C26" s="3"/>
      <c r="D26" s="3"/>
      <c r="E26" s="3"/>
      <c r="F26" s="3"/>
    </row>
    <row r="27" spans="2:10" hidden="1" x14ac:dyDescent="0.25">
      <c r="B27" s="3"/>
      <c r="C27" s="3"/>
      <c r="D27" s="3"/>
      <c r="E27" s="3"/>
      <c r="F27" s="3"/>
      <c r="I27" s="11" t="s">
        <v>20</v>
      </c>
    </row>
    <row r="28" spans="2:10" hidden="1" x14ac:dyDescent="0.25">
      <c r="B28" s="34"/>
      <c r="C28" s="3"/>
      <c r="D28" s="3"/>
      <c r="E28" s="3"/>
      <c r="F28" s="3"/>
      <c r="I28" s="3" t="s">
        <v>21</v>
      </c>
      <c r="J28" s="6">
        <v>0</v>
      </c>
    </row>
    <row r="29" spans="2:10" hidden="1" x14ac:dyDescent="0.25">
      <c r="B29" s="3"/>
      <c r="C29" s="3"/>
      <c r="D29" s="18"/>
      <c r="E29" s="3"/>
      <c r="F29" s="3"/>
      <c r="I29" s="3" t="s">
        <v>54</v>
      </c>
      <c r="J29" s="6">
        <v>0</v>
      </c>
    </row>
    <row r="30" spans="2:10" x14ac:dyDescent="0.25">
      <c r="B30" s="11" t="s">
        <v>20</v>
      </c>
      <c r="C30" s="37"/>
      <c r="D30" s="43"/>
      <c r="E30" s="7"/>
      <c r="F30" s="3"/>
      <c r="I30" s="3" t="s">
        <v>37</v>
      </c>
      <c r="J30" s="6">
        <v>0</v>
      </c>
    </row>
    <row r="31" spans="2:10" x14ac:dyDescent="0.25">
      <c r="B31" s="3" t="s">
        <v>21</v>
      </c>
      <c r="C31" s="36"/>
      <c r="D31" s="39"/>
      <c r="E31" s="7"/>
      <c r="F31" s="3"/>
      <c r="I31" s="3" t="s">
        <v>35</v>
      </c>
      <c r="J31" s="6">
        <v>0</v>
      </c>
    </row>
    <row r="32" spans="2:10" x14ac:dyDescent="0.25">
      <c r="B32" s="3" t="s">
        <v>54</v>
      </c>
      <c r="C32" s="36"/>
      <c r="D32" s="39"/>
      <c r="E32" s="7"/>
      <c r="F32" s="3"/>
      <c r="I32" s="3" t="s">
        <v>36</v>
      </c>
      <c r="J32" s="6">
        <v>160000</v>
      </c>
    </row>
    <row r="33" spans="2:14" x14ac:dyDescent="0.25">
      <c r="B33" s="3" t="s">
        <v>37</v>
      </c>
      <c r="C33" s="36"/>
      <c r="D33" s="39"/>
      <c r="E33" s="7"/>
      <c r="F33" s="3"/>
      <c r="I33" s="3" t="s">
        <v>22</v>
      </c>
      <c r="J33" s="6">
        <v>0</v>
      </c>
    </row>
    <row r="34" spans="2:14" x14ac:dyDescent="0.25">
      <c r="B34" s="3" t="s">
        <v>35</v>
      </c>
      <c r="C34" s="36"/>
      <c r="D34" s="39"/>
      <c r="E34" s="7"/>
      <c r="F34" s="3"/>
      <c r="I34" s="3" t="s">
        <v>23</v>
      </c>
      <c r="J34" s="6">
        <v>0</v>
      </c>
    </row>
    <row r="35" spans="2:14" x14ac:dyDescent="0.25">
      <c r="B35" s="3" t="s">
        <v>36</v>
      </c>
      <c r="C35" s="36"/>
      <c r="D35" s="39"/>
      <c r="E35" s="7"/>
      <c r="F35" s="3"/>
      <c r="I35" s="3" t="s">
        <v>53</v>
      </c>
      <c r="J35" s="17">
        <v>90000</v>
      </c>
    </row>
    <row r="36" spans="2:14" x14ac:dyDescent="0.25">
      <c r="B36" s="3" t="s">
        <v>22</v>
      </c>
      <c r="C36" s="36"/>
      <c r="D36" s="39"/>
      <c r="E36" s="7"/>
      <c r="F36" s="3"/>
      <c r="I36" s="3" t="s">
        <v>51</v>
      </c>
      <c r="J36" s="3"/>
      <c r="K36" s="3">
        <v>150000</v>
      </c>
      <c r="L36" s="3"/>
      <c r="M36" s="3"/>
      <c r="N36" s="20">
        <f>MIN(SUM(J28:J35),150000)</f>
        <v>150000</v>
      </c>
    </row>
    <row r="37" spans="2:14" x14ac:dyDescent="0.25">
      <c r="B37" s="3" t="s">
        <v>23</v>
      </c>
      <c r="C37" s="36"/>
      <c r="D37" s="39"/>
      <c r="E37" s="7"/>
      <c r="F37" s="3"/>
    </row>
    <row r="38" spans="2:14" x14ac:dyDescent="0.25">
      <c r="B38" s="3" t="s">
        <v>53</v>
      </c>
      <c r="C38" s="36"/>
      <c r="D38" s="39"/>
      <c r="E38" s="7"/>
      <c r="F38" s="3"/>
      <c r="I38" s="11" t="s">
        <v>39</v>
      </c>
      <c r="J38" s="3"/>
      <c r="K38" s="3"/>
      <c r="L38" s="3"/>
      <c r="M38" s="3"/>
      <c r="N38" s="3"/>
    </row>
    <row r="39" spans="2:14" hidden="1" x14ac:dyDescent="0.25">
      <c r="B39" s="3" t="s">
        <v>51</v>
      </c>
      <c r="C39" s="37"/>
      <c r="D39" s="39">
        <v>150000</v>
      </c>
      <c r="E39" s="7"/>
      <c r="F39" s="3"/>
      <c r="G39" s="28">
        <f>MIN(SUM(C31:C38),150000)</f>
        <v>0</v>
      </c>
      <c r="I39" s="3" t="s">
        <v>40</v>
      </c>
      <c r="J39" s="3"/>
      <c r="K39" s="3">
        <v>50000</v>
      </c>
      <c r="L39" s="3"/>
      <c r="M39" s="3"/>
      <c r="N39" s="20">
        <f>IF(MIN((J35-IF(SUM(J28:J34)&gt;=150000,0,IF(SUM(J28:J34)&lt;150000,150000-SUM(J28:J34)))),50000)&gt;0,MIN((J35-IF(SUM(J28:J34)&gt;=150000,0,IF(SUM(J28:J34)&lt;150000,150000-SUM(J28:J34)))),50000),IF(MIN((J35-IF(SUM(J28:J34)&gt;=150000,0,IF(SUM(J28:J34)&lt;150000,150000-SUM(J28:J34)))),50000)&lt;=0,0))</f>
        <v>50000</v>
      </c>
    </row>
    <row r="40" spans="2:14" hidden="1" x14ac:dyDescent="0.25">
      <c r="B40" s="3"/>
      <c r="C40" s="37"/>
      <c r="D40" s="39"/>
      <c r="E40" s="7"/>
      <c r="F40" s="3"/>
    </row>
    <row r="41" spans="2:14" hidden="1" x14ac:dyDescent="0.25">
      <c r="B41" s="11" t="s">
        <v>39</v>
      </c>
      <c r="C41" s="37"/>
      <c r="D41" s="39"/>
      <c r="E41" s="7"/>
      <c r="F41" s="3"/>
      <c r="G41" s="7"/>
      <c r="I41" s="11" t="s">
        <v>24</v>
      </c>
      <c r="J41" s="3"/>
      <c r="K41" s="3"/>
      <c r="L41" s="3"/>
      <c r="M41" s="3"/>
      <c r="N41" s="3"/>
    </row>
    <row r="42" spans="2:14" hidden="1" x14ac:dyDescent="0.25">
      <c r="B42" s="3" t="s">
        <v>40</v>
      </c>
      <c r="C42" s="37"/>
      <c r="D42" s="39">
        <v>50000</v>
      </c>
      <c r="E42" s="7"/>
      <c r="F42" s="3"/>
      <c r="G42" s="28">
        <f>IF(MIN((C38-IF(SUM(C31:C37)&gt;=150000,0,IF(SUM(C31:C37)&lt;150000,150000-SUM(C31:C37)))),50000)&gt;0,MIN((C38-IF(SUM(C31:C37)&gt;=150000,0,IF(SUM(C31:C37)&lt;150000,150000-SUM(C31:C37)))),50000),IF(MIN((C38-IF(SUM(C31:C37)&gt;=150000,0,IF(SUM(C31:C37)&lt;150000,150000-SUM(C31:C37)))),50000)&lt;=0,0))</f>
        <v>0</v>
      </c>
      <c r="I42" s="3" t="s">
        <v>26</v>
      </c>
      <c r="J42" s="6">
        <v>2017</v>
      </c>
      <c r="K42" s="3"/>
      <c r="L42" s="3">
        <v>2025</v>
      </c>
      <c r="M42" s="3">
        <f>L42-J42</f>
        <v>8</v>
      </c>
      <c r="N42" s="3" t="str">
        <f>IF(M42&gt;8,"Don’t Incude","80E Applicable")</f>
        <v>80E Applicable</v>
      </c>
    </row>
    <row r="43" spans="2:14" hidden="1" x14ac:dyDescent="0.25">
      <c r="B43" s="3"/>
      <c r="C43" s="37"/>
      <c r="D43" s="39"/>
      <c r="E43" s="7"/>
      <c r="F43" s="3"/>
      <c r="I43" s="3" t="s">
        <v>25</v>
      </c>
      <c r="J43" s="6">
        <v>24000</v>
      </c>
      <c r="K43" s="22" t="s">
        <v>59</v>
      </c>
      <c r="L43" s="3"/>
      <c r="M43" s="3"/>
      <c r="N43" s="20">
        <f>J43</f>
        <v>24000</v>
      </c>
    </row>
    <row r="44" spans="2:14" x14ac:dyDescent="0.25">
      <c r="B44" s="11" t="s">
        <v>24</v>
      </c>
      <c r="C44" s="37"/>
      <c r="D44" s="39"/>
      <c r="E44" s="7"/>
      <c r="F44" s="3"/>
      <c r="G44" s="7"/>
    </row>
    <row r="45" spans="2:14" x14ac:dyDescent="0.25">
      <c r="B45" s="3" t="s">
        <v>26</v>
      </c>
      <c r="C45" s="36"/>
      <c r="D45" s="39"/>
      <c r="E45" s="7">
        <v>2025</v>
      </c>
      <c r="F45" s="3">
        <f>E45-C45</f>
        <v>2025</v>
      </c>
      <c r="G45" s="7" t="str">
        <f>IF(F45&gt;8,"Don’t Incude","80E Applicable")</f>
        <v>Don’t Incude</v>
      </c>
      <c r="I45" s="21" t="s">
        <v>57</v>
      </c>
      <c r="J45" s="13"/>
      <c r="K45" s="13"/>
      <c r="L45" s="13"/>
      <c r="M45" s="13"/>
      <c r="N45" s="14"/>
    </row>
    <row r="46" spans="2:14" x14ac:dyDescent="0.25">
      <c r="B46" s="3" t="s">
        <v>25</v>
      </c>
      <c r="C46" s="36"/>
      <c r="D46" s="40" t="s">
        <v>59</v>
      </c>
      <c r="E46" s="7"/>
      <c r="F46" s="3"/>
      <c r="G46" s="28">
        <f>C46</f>
        <v>0</v>
      </c>
      <c r="I46" s="7" t="s">
        <v>61</v>
      </c>
      <c r="J46" s="6">
        <v>250000</v>
      </c>
      <c r="K46" s="3">
        <v>200000</v>
      </c>
      <c r="L46" s="3"/>
      <c r="M46" s="3"/>
      <c r="N46" s="15">
        <f>MIN(J46,200000)</f>
        <v>200000</v>
      </c>
    </row>
    <row r="47" spans="2:14" hidden="1" x14ac:dyDescent="0.25">
      <c r="B47" s="3"/>
      <c r="C47" s="37"/>
      <c r="D47" s="39"/>
      <c r="E47" s="7"/>
      <c r="F47" s="3"/>
      <c r="I47" s="16" t="s">
        <v>60</v>
      </c>
      <c r="J47" s="17">
        <v>20000</v>
      </c>
      <c r="K47" s="18">
        <v>30000</v>
      </c>
      <c r="L47" s="18"/>
      <c r="M47" s="18"/>
      <c r="N47" s="19">
        <f>MIN(J47,30000)</f>
        <v>20000</v>
      </c>
    </row>
    <row r="48" spans="2:14" x14ac:dyDescent="0.25">
      <c r="B48" s="11" t="s">
        <v>76</v>
      </c>
      <c r="C48" s="3"/>
      <c r="D48" s="39"/>
      <c r="E48" s="7"/>
      <c r="F48" s="3"/>
      <c r="G48" s="26"/>
    </row>
    <row r="49" spans="2:14" x14ac:dyDescent="0.25">
      <c r="B49" s="3" t="s">
        <v>61</v>
      </c>
      <c r="C49" s="6"/>
      <c r="D49" s="41">
        <v>200000</v>
      </c>
      <c r="E49" s="7"/>
      <c r="F49" s="3"/>
      <c r="G49" s="29">
        <f>MIN(C49,200000)</f>
        <v>200000</v>
      </c>
      <c r="I49" s="11" t="s">
        <v>27</v>
      </c>
      <c r="J49" s="3"/>
      <c r="K49" s="3"/>
      <c r="L49" s="3"/>
      <c r="M49" s="3"/>
      <c r="N49" s="3"/>
    </row>
    <row r="50" spans="2:14" x14ac:dyDescent="0.25">
      <c r="B50" s="3" t="s">
        <v>60</v>
      </c>
      <c r="C50" s="6"/>
      <c r="D50" s="39">
        <v>30000</v>
      </c>
      <c r="E50" s="7"/>
      <c r="F50" s="3"/>
      <c r="G50" s="30">
        <f>MIN(C50,30000)</f>
        <v>30000</v>
      </c>
      <c r="I50" s="3" t="s">
        <v>34</v>
      </c>
      <c r="J50" s="6">
        <v>60000</v>
      </c>
      <c r="K50" s="3">
        <f>IF(K1&lt;60,25000,IF(K1&gt;=60,50000))</f>
        <v>25000</v>
      </c>
      <c r="L50" s="3"/>
      <c r="M50" s="10"/>
      <c r="N50" s="20">
        <f>MIN(K50,J50)</f>
        <v>25000</v>
      </c>
    </row>
    <row r="51" spans="2:14" hidden="1" x14ac:dyDescent="0.25">
      <c r="B51" s="3"/>
      <c r="C51" s="37"/>
      <c r="D51" s="39"/>
      <c r="E51" s="7"/>
      <c r="F51" s="3"/>
      <c r="I51" s="3" t="s">
        <v>28</v>
      </c>
      <c r="J51" s="6">
        <v>90100</v>
      </c>
      <c r="K51" s="3">
        <f>IF(M51&lt;60,25000,IF(M51&gt;=60,50000))</f>
        <v>50000</v>
      </c>
      <c r="L51" s="3"/>
      <c r="M51" s="6">
        <v>65</v>
      </c>
      <c r="N51" s="20">
        <f>MIN(K51,J51)</f>
        <v>50000</v>
      </c>
    </row>
    <row r="52" spans="2:14" x14ac:dyDescent="0.25">
      <c r="B52" s="11" t="s">
        <v>27</v>
      </c>
      <c r="C52" s="37"/>
      <c r="D52" s="39"/>
      <c r="E52" s="7"/>
      <c r="F52" s="3"/>
      <c r="G52" s="7"/>
      <c r="I52" s="3" t="s">
        <v>41</v>
      </c>
      <c r="J52" s="10"/>
      <c r="K52" s="3"/>
      <c r="L52" s="3"/>
      <c r="M52" s="3"/>
      <c r="N52" s="20">
        <f>N50+N51</f>
        <v>75000</v>
      </c>
    </row>
    <row r="53" spans="2:14" x14ac:dyDescent="0.25">
      <c r="B53" s="3" t="s">
        <v>78</v>
      </c>
      <c r="C53" s="36"/>
      <c r="D53" s="39">
        <f>IF(D1&lt;60,25000,IF(D1&gt;=60,50000))</f>
        <v>25000</v>
      </c>
      <c r="E53" s="7"/>
      <c r="F53" s="10"/>
      <c r="G53" s="28">
        <f>MIN(D53,C53)</f>
        <v>25000</v>
      </c>
    </row>
    <row r="54" spans="2:14" x14ac:dyDescent="0.25">
      <c r="B54" s="3" t="s">
        <v>79</v>
      </c>
      <c r="C54" s="36"/>
      <c r="D54" s="39">
        <f>IF(C56&lt;60,25000,IF(C56&gt;=60,50000))</f>
        <v>25000</v>
      </c>
      <c r="E54" s="7" t="s">
        <v>80</v>
      </c>
      <c r="F54" s="6"/>
      <c r="G54" s="28">
        <f>MIN(D54,C54)</f>
        <v>25000</v>
      </c>
      <c r="I54" s="11" t="s">
        <v>42</v>
      </c>
      <c r="J54" s="3"/>
      <c r="K54" s="3"/>
      <c r="L54" s="3"/>
      <c r="M54" s="3"/>
      <c r="N54" s="3"/>
    </row>
    <row r="55" spans="2:14" hidden="1" x14ac:dyDescent="0.25">
      <c r="B55" s="3" t="s">
        <v>41</v>
      </c>
      <c r="C55" s="38"/>
      <c r="D55" s="39"/>
      <c r="E55" s="7"/>
      <c r="F55" s="3"/>
      <c r="G55" s="28">
        <f>G53+G54</f>
        <v>50000</v>
      </c>
      <c r="I55" s="3" t="s">
        <v>43</v>
      </c>
      <c r="J55" s="6">
        <v>50000</v>
      </c>
      <c r="K55" s="3">
        <v>40000</v>
      </c>
      <c r="L55" s="3"/>
      <c r="M55" s="3"/>
      <c r="N55" s="20">
        <f>MIN(J55,K55)</f>
        <v>40000</v>
      </c>
    </row>
    <row r="56" spans="2:14" x14ac:dyDescent="0.25">
      <c r="B56" s="3" t="s">
        <v>80</v>
      </c>
      <c r="C56" s="36"/>
      <c r="D56" s="39"/>
      <c r="E56" s="7"/>
      <c r="F56" s="3"/>
      <c r="I56" s="3" t="s">
        <v>44</v>
      </c>
      <c r="J56" s="6">
        <v>50000</v>
      </c>
      <c r="K56" s="3">
        <v>100000</v>
      </c>
      <c r="L56" s="3"/>
      <c r="M56" s="3"/>
      <c r="N56" s="20">
        <f>MIN(J56,K56)</f>
        <v>50000</v>
      </c>
    </row>
    <row r="57" spans="2:14" x14ac:dyDescent="0.25">
      <c r="B57" s="11" t="s">
        <v>42</v>
      </c>
      <c r="C57" s="37"/>
      <c r="D57" s="39"/>
      <c r="E57" s="7"/>
      <c r="F57" s="3"/>
      <c r="G57" s="7"/>
      <c r="I57" s="3" t="s">
        <v>45</v>
      </c>
      <c r="J57" s="3"/>
      <c r="K57" s="3">
        <v>100000</v>
      </c>
      <c r="L57" s="3"/>
      <c r="M57" s="3"/>
      <c r="N57" s="20">
        <f>MIN(N55+N56,100000)</f>
        <v>90000</v>
      </c>
    </row>
    <row r="58" spans="2:14" x14ac:dyDescent="0.25">
      <c r="B58" s="3" t="s">
        <v>43</v>
      </c>
      <c r="C58" s="36"/>
      <c r="D58" s="39">
        <v>40000</v>
      </c>
      <c r="E58" s="7"/>
      <c r="F58" s="3"/>
      <c r="G58" s="28">
        <f>MIN(C58,D58)</f>
        <v>40000</v>
      </c>
    </row>
    <row r="59" spans="2:14" x14ac:dyDescent="0.25">
      <c r="B59" s="3" t="s">
        <v>44</v>
      </c>
      <c r="C59" s="36"/>
      <c r="D59" s="39">
        <v>100000</v>
      </c>
      <c r="E59" s="7"/>
      <c r="F59" s="3"/>
      <c r="G59" s="28">
        <f>MIN(C59,D59)</f>
        <v>100000</v>
      </c>
      <c r="I59" s="11" t="s">
        <v>63</v>
      </c>
      <c r="J59" s="24"/>
      <c r="K59" s="24"/>
      <c r="L59" s="24"/>
      <c r="M59" s="24"/>
      <c r="N59" s="24"/>
    </row>
    <row r="60" spans="2:14" hidden="1" x14ac:dyDescent="0.25">
      <c r="B60" s="3" t="s">
        <v>45</v>
      </c>
      <c r="C60" s="37"/>
      <c r="D60" s="39">
        <v>100000</v>
      </c>
      <c r="E60" s="7"/>
      <c r="F60" s="3"/>
      <c r="G60" s="28">
        <f>MIN(G58+G59,100000)</f>
        <v>100000</v>
      </c>
      <c r="I60" s="24" t="s">
        <v>64</v>
      </c>
      <c r="J60" s="23">
        <v>100000</v>
      </c>
      <c r="K60" s="24">
        <f>IF(J61&lt;40,0,IF(J61&lt;80,75000,IF(J61&gt;79,125000)))</f>
        <v>125000</v>
      </c>
      <c r="L60" s="24"/>
      <c r="M60" s="24"/>
      <c r="N60" s="20">
        <f>IF(J61&lt;40,0,IF(J61&lt;80,MIN(J60,75000),IF(J61&gt;79,MIN(J60,125000))))</f>
        <v>100000</v>
      </c>
    </row>
    <row r="61" spans="2:14" hidden="1" x14ac:dyDescent="0.25">
      <c r="B61" s="3"/>
      <c r="C61" s="37"/>
      <c r="D61" s="39"/>
      <c r="E61" s="7"/>
      <c r="F61" s="3"/>
      <c r="I61" s="24" t="s">
        <v>65</v>
      </c>
      <c r="J61" s="6">
        <v>80</v>
      </c>
      <c r="K61" s="24"/>
      <c r="L61" s="24"/>
      <c r="M61" s="24"/>
      <c r="N61" s="24"/>
    </row>
    <row r="62" spans="2:14" x14ac:dyDescent="0.25">
      <c r="B62" s="11" t="s">
        <v>63</v>
      </c>
      <c r="C62" s="24"/>
      <c r="D62" s="39"/>
      <c r="E62" s="31"/>
      <c r="F62" s="24"/>
      <c r="G62" s="31"/>
    </row>
    <row r="63" spans="2:14" x14ac:dyDescent="0.25">
      <c r="B63" s="24" t="s">
        <v>64</v>
      </c>
      <c r="C63" s="23"/>
      <c r="D63" s="39">
        <f>IF(C64&lt;40,0,IF(C64&lt;80,75000,IF(C64&gt;79,125000)))</f>
        <v>0</v>
      </c>
      <c r="E63" s="31"/>
      <c r="F63" s="24"/>
      <c r="G63" s="28">
        <f>IF(C64&lt;40,0,IF(C64&lt;80,MIN(C63,75000),IF(C64&gt;79,MIN(C63,125000))))</f>
        <v>0</v>
      </c>
      <c r="I63" s="11" t="s">
        <v>46</v>
      </c>
      <c r="J63" s="3"/>
      <c r="K63" s="3"/>
      <c r="L63" s="3"/>
      <c r="M63" s="3"/>
      <c r="N63" s="3"/>
    </row>
    <row r="64" spans="2:14" x14ac:dyDescent="0.25">
      <c r="B64" s="24" t="s">
        <v>65</v>
      </c>
      <c r="C64" s="6"/>
      <c r="D64" s="39"/>
      <c r="E64" s="31"/>
      <c r="F64" s="24"/>
      <c r="G64" s="31"/>
      <c r="I64" s="3" t="str">
        <f>IF(K1&lt;60,"Int on SB A/C","Int on all Bank deposits")</f>
        <v>Int on SB A/C</v>
      </c>
      <c r="J64" s="6">
        <v>60000</v>
      </c>
      <c r="K64" s="3">
        <f>IF(K1&lt;60,10000,IF(K1&gt;=60,50000))</f>
        <v>10000</v>
      </c>
      <c r="L64" s="3"/>
      <c r="M64" s="3"/>
      <c r="N64" s="20">
        <f>MIN(K64,J64)</f>
        <v>10000</v>
      </c>
    </row>
    <row r="65" spans="2:14" hidden="1" x14ac:dyDescent="0.25">
      <c r="B65" s="3"/>
      <c r="C65" s="3"/>
      <c r="D65" s="39"/>
      <c r="E65" s="7"/>
      <c r="F65" s="3"/>
    </row>
    <row r="66" spans="2:14" x14ac:dyDescent="0.25">
      <c r="B66" s="11" t="s">
        <v>46</v>
      </c>
      <c r="C66" s="3"/>
      <c r="D66" s="39"/>
      <c r="E66" s="7"/>
      <c r="F66" s="3"/>
      <c r="G66" s="7"/>
      <c r="I66" s="11" t="s">
        <v>47</v>
      </c>
      <c r="J66" s="3"/>
      <c r="K66" s="3"/>
      <c r="L66" s="3"/>
      <c r="M66" s="3"/>
      <c r="N66" s="3"/>
    </row>
    <row r="67" spans="2:14" x14ac:dyDescent="0.25">
      <c r="B67" s="3" t="str">
        <f>IF(D1&lt;60,"Int on SB A/C","Int on all Bank deposits")</f>
        <v>Int on SB A/C</v>
      </c>
      <c r="C67" s="6"/>
      <c r="D67" s="39">
        <f>IF(D1&lt;60,10000,IF(D1&gt;=60,50000))</f>
        <v>10000</v>
      </c>
      <c r="E67" s="7"/>
      <c r="F67" s="3"/>
      <c r="G67" s="28">
        <f>MIN(D67,C67)</f>
        <v>10000</v>
      </c>
      <c r="I67" s="3" t="s">
        <v>48</v>
      </c>
      <c r="J67" s="6">
        <v>81</v>
      </c>
      <c r="K67" s="3"/>
      <c r="L67" s="3"/>
      <c r="M67" s="3"/>
      <c r="N67" s="20">
        <f>IF(J67&lt;40,0,IF(J67&lt;=79,75000,IF(J67&gt;=80,125000)))</f>
        <v>125000</v>
      </c>
    </row>
    <row r="68" spans="2:14" hidden="1" x14ac:dyDescent="0.25">
      <c r="B68" s="3"/>
      <c r="C68" s="3"/>
      <c r="D68" s="39"/>
      <c r="E68" s="7"/>
      <c r="F68" s="3"/>
    </row>
    <row r="69" spans="2:14" x14ac:dyDescent="0.25">
      <c r="B69" s="11" t="s">
        <v>47</v>
      </c>
      <c r="C69" s="24"/>
      <c r="D69" s="39"/>
      <c r="E69" s="31"/>
      <c r="F69" s="24"/>
      <c r="G69" s="31"/>
      <c r="I69" s="11" t="s">
        <v>49</v>
      </c>
      <c r="J69" s="3"/>
      <c r="K69" s="3"/>
      <c r="L69" s="3"/>
      <c r="M69" s="3"/>
      <c r="N69" s="3"/>
    </row>
    <row r="70" spans="2:14" x14ac:dyDescent="0.25">
      <c r="B70" s="24" t="s">
        <v>48</v>
      </c>
      <c r="C70" s="6"/>
      <c r="D70" s="39"/>
      <c r="E70" s="31"/>
      <c r="F70" s="24"/>
      <c r="G70" s="28">
        <f>IF(C70&lt;40,0,IF(C70&lt;=79,75000,IF(C70&gt;=80,125000)))</f>
        <v>0</v>
      </c>
      <c r="I70" s="3" t="s">
        <v>50</v>
      </c>
      <c r="J70" s="6">
        <v>20000</v>
      </c>
      <c r="K70" s="3"/>
      <c r="L70" s="3"/>
      <c r="M70" s="3"/>
      <c r="N70" s="20">
        <f>J70</f>
        <v>20000</v>
      </c>
    </row>
    <row r="71" spans="2:14" hidden="1" x14ac:dyDescent="0.25">
      <c r="B71" s="3"/>
      <c r="C71" s="3"/>
      <c r="D71" s="39"/>
      <c r="E71" s="7"/>
      <c r="F71" s="3"/>
    </row>
    <row r="72" spans="2:14" x14ac:dyDescent="0.25">
      <c r="B72" s="11" t="s">
        <v>49</v>
      </c>
      <c r="C72" s="3"/>
      <c r="D72" s="39"/>
      <c r="E72" s="7"/>
      <c r="F72" s="3"/>
      <c r="G72" s="7"/>
      <c r="I72" s="11" t="s">
        <v>62</v>
      </c>
      <c r="J72" s="3"/>
    </row>
    <row r="73" spans="2:14" x14ac:dyDescent="0.25">
      <c r="B73" s="3" t="s">
        <v>50</v>
      </c>
      <c r="C73" s="6"/>
      <c r="D73" s="39"/>
      <c r="E73" s="7"/>
      <c r="F73" s="3"/>
      <c r="G73" s="28">
        <f>C73</f>
        <v>0</v>
      </c>
      <c r="I73" s="3" t="s">
        <v>66</v>
      </c>
      <c r="J73" s="6">
        <v>150000</v>
      </c>
      <c r="K73" s="3"/>
      <c r="L73" s="3"/>
      <c r="M73" s="3"/>
      <c r="N73" s="20">
        <f>IF((J73-J9*10%)&lt;0,0,MIN(J9*25%,60000))</f>
        <v>0</v>
      </c>
    </row>
    <row r="74" spans="2:14" hidden="1" x14ac:dyDescent="0.25">
      <c r="B74" s="3"/>
      <c r="C74" s="3"/>
      <c r="D74" s="39"/>
      <c r="E74" s="7"/>
      <c r="F74" s="3"/>
    </row>
    <row r="75" spans="2:14" hidden="1" x14ac:dyDescent="0.25">
      <c r="B75" s="3"/>
      <c r="C75" s="3"/>
      <c r="D75" s="39"/>
      <c r="E75" s="7"/>
      <c r="F75" s="3"/>
      <c r="I75" s="12" t="s">
        <v>74</v>
      </c>
      <c r="N75" s="8">
        <f>70%*J11</f>
        <v>84000</v>
      </c>
    </row>
    <row r="76" spans="2:14" x14ac:dyDescent="0.25">
      <c r="B76" s="11" t="s">
        <v>67</v>
      </c>
      <c r="C76" s="3"/>
      <c r="D76" s="39"/>
      <c r="E76" s="7"/>
      <c r="F76" s="3"/>
    </row>
    <row r="77" spans="2:14" x14ac:dyDescent="0.25">
      <c r="B77" s="3" t="s">
        <v>66</v>
      </c>
      <c r="C77" s="6"/>
      <c r="D77" s="39"/>
      <c r="E77" s="7"/>
      <c r="F77" s="3"/>
      <c r="G77" s="8">
        <f>IF((C77-C10*10%)&lt;=0,0,MIN(C13,C10*50%,(C77-C10*10%)))</f>
        <v>0</v>
      </c>
    </row>
    <row r="79" spans="2:14" hidden="1" x14ac:dyDescent="0.25">
      <c r="B79" s="12" t="s">
        <v>74</v>
      </c>
      <c r="G79" s="8">
        <f>70%*C12</f>
        <v>0</v>
      </c>
    </row>
  </sheetData>
  <mergeCells count="2">
    <mergeCell ref="C18:F18"/>
    <mergeCell ref="C19:F19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OLS 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talawar</dc:creator>
  <cp:lastModifiedBy>Chandrakanth Vellanki [MAHE-BC]</cp:lastModifiedBy>
  <dcterms:created xsi:type="dcterms:W3CDTF">2025-02-12T15:37:29Z</dcterms:created>
  <dcterms:modified xsi:type="dcterms:W3CDTF">2025-02-21T07:01:59Z</dcterms:modified>
</cp:coreProperties>
</file>