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Projects\Astrodynamics\"/>
    </mc:Choice>
  </mc:AlternateContent>
  <xr:revisionPtr revIDLastSave="0" documentId="13_ncr:1_{CE1C38F8-F549-4A0A-A41E-C0B1EB13716F}" xr6:coauthVersionLast="47" xr6:coauthVersionMax="47" xr10:uidLastSave="{00000000-0000-0000-0000-000000000000}"/>
  <workbookProtection workbookAlgorithmName="SHA-512" workbookHashValue="cUTInTiQZq6oc0L8GJxbqrVEBqROAxW6NDOf0bMze9oK/P8VZ2jzwjyVSLuUAuyGpUuw+OpWboAiA3tOJjGJwA==" workbookSaltValue="RzIoEC+l6+Y0aY00rAKEGw==" workbookSpinCount="100000" lockStructure="1"/>
  <bookViews>
    <workbookView xWindow="-108" yWindow="-108" windowWidth="23256" windowHeight="12456" xr2:uid="{00000000-000D-0000-FFFF-FFFF00000000}"/>
  </bookViews>
  <sheets>
    <sheet name="Main" sheetId="1" r:id="rId1"/>
    <sheet name="Workspa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K9" i="1"/>
  <c r="I12" i="2"/>
  <c r="I15" i="2" s="1"/>
  <c r="I16" i="2" s="1"/>
  <c r="I10" i="2"/>
  <c r="I9" i="2"/>
  <c r="I8" i="2"/>
  <c r="E19" i="2"/>
  <c r="B19" i="2"/>
  <c r="E4" i="2"/>
  <c r="E3" i="2"/>
  <c r="B7" i="2"/>
  <c r="B8" i="2" s="1"/>
  <c r="B10" i="2" s="1"/>
  <c r="B5" i="2"/>
  <c r="B4" i="2"/>
  <c r="B6" i="2" s="1"/>
  <c r="B3" i="2"/>
  <c r="H9" i="1"/>
  <c r="N5" i="1"/>
  <c r="E9" i="1"/>
  <c r="E10" i="1"/>
  <c r="E8" i="1"/>
  <c r="H5" i="1" s="1"/>
  <c r="E12" i="1"/>
  <c r="E9" i="2" l="1"/>
  <c r="B9" i="2"/>
  <c r="B11" i="2" s="1"/>
  <c r="K5" i="1"/>
  <c r="I13" i="2"/>
  <c r="I14" i="2" s="1"/>
  <c r="E4" i="1"/>
  <c r="E6" i="1"/>
  <c r="E13" i="1"/>
  <c r="E14" i="1"/>
  <c r="E5" i="1"/>
  <c r="E7" i="1" l="1"/>
  <c r="E15" i="1"/>
  <c r="I4" i="2"/>
  <c r="L4" i="2" s="1"/>
  <c r="I3" i="2"/>
  <c r="L3" i="2" s="1"/>
  <c r="L7" i="2" s="1"/>
  <c r="L8" i="2" s="1"/>
  <c r="L9" i="2" s="1"/>
  <c r="M17" i="1" s="1"/>
  <c r="L11" i="2" l="1"/>
  <c r="L12" i="2" s="1"/>
  <c r="L13" i="2" s="1"/>
  <c r="M18" i="1" s="1"/>
  <c r="M21" i="1" s="1"/>
  <c r="E5" i="2"/>
  <c r="C19" i="2" s="1"/>
  <c r="B20" i="2" s="1"/>
  <c r="E6" i="2"/>
  <c r="F19" i="2" s="1"/>
  <c r="E20" i="2" s="1"/>
  <c r="F20" i="2" s="1"/>
  <c r="E21" i="2" s="1"/>
  <c r="F21" i="2" s="1"/>
  <c r="E22" i="2" s="1"/>
  <c r="B12" i="2"/>
  <c r="B13" i="2"/>
  <c r="B14" i="2" s="1"/>
  <c r="F22" i="2" l="1"/>
  <c r="E23" i="2" s="1"/>
  <c r="H16" i="1"/>
  <c r="H15" i="1"/>
  <c r="C20" i="2"/>
  <c r="B21" i="2" s="1"/>
  <c r="C21" i="2" s="1"/>
  <c r="B22" i="2" s="1"/>
  <c r="C22" i="2" s="1"/>
  <c r="B23" i="2" s="1"/>
  <c r="C23" i="2" s="1"/>
  <c r="B24" i="2" s="1"/>
  <c r="C24" i="2" s="1"/>
  <c r="M20" i="1"/>
  <c r="F23" i="2" l="1"/>
  <c r="E24" i="2" s="1"/>
  <c r="F24" i="2" s="1"/>
  <c r="E25" i="2" s="1"/>
  <c r="B25" i="2"/>
  <c r="C25" i="2" s="1"/>
  <c r="F25" i="2" l="1"/>
  <c r="E26" i="2" s="1"/>
  <c r="F26" i="2" s="1"/>
  <c r="E27" i="2" s="1"/>
  <c r="B26" i="2"/>
  <c r="C26" i="2" s="1"/>
  <c r="F27" i="2" l="1"/>
  <c r="E28" i="2" s="1"/>
  <c r="F28" i="2" s="1"/>
  <c r="E8" i="2" s="1"/>
  <c r="E11" i="2" s="1"/>
  <c r="E13" i="2" s="1"/>
  <c r="B27" i="2"/>
  <c r="C27" i="2" s="1"/>
  <c r="B28" i="2" l="1"/>
  <c r="C28" i="2" s="1"/>
  <c r="E7" i="2" s="1"/>
  <c r="E10" i="2" s="1"/>
  <c r="E12" i="2" s="1"/>
  <c r="E14" i="2" s="1"/>
  <c r="I21" i="1" s="1"/>
</calcChain>
</file>

<file path=xl/sharedStrings.xml><?xml version="1.0" encoding="utf-8"?>
<sst xmlns="http://schemas.openxmlformats.org/spreadsheetml/2006/main" count="124" uniqueCount="103">
  <si>
    <t>Value</t>
  </si>
  <si>
    <t>Semi Major Axis (km)</t>
  </si>
  <si>
    <t>Orbital Elements</t>
  </si>
  <si>
    <t>Eccentricity</t>
  </si>
  <si>
    <t>Inclination (deg)</t>
  </si>
  <si>
    <t>R (km)</t>
  </si>
  <si>
    <t>Nu (deg)</t>
  </si>
  <si>
    <t>Velocity at Radius</t>
  </si>
  <si>
    <t>V (km/s)</t>
  </si>
  <si>
    <t>FPA (deg)</t>
  </si>
  <si>
    <t>RAAN (deg)</t>
  </si>
  <si>
    <t>AoP (deg)</t>
  </si>
  <si>
    <t>Conserved Quantities</t>
  </si>
  <si>
    <t>Time of Flight through True Anomalies</t>
  </si>
  <si>
    <t>Nu1 (deg)</t>
  </si>
  <si>
    <t>Nu2 (deg)</t>
  </si>
  <si>
    <t>ToF (%Period)</t>
  </si>
  <si>
    <t>Intermediates &amp; Constants</t>
  </si>
  <si>
    <t>Orbit Definition</t>
  </si>
  <si>
    <t>Mass of the central body (kg)</t>
  </si>
  <si>
    <t>True Anomaly for Time Interval</t>
  </si>
  <si>
    <t>Delta-Nu (deg)</t>
  </si>
  <si>
    <t>Radius at True Anomaly</t>
  </si>
  <si>
    <t>True Anomaly at Radius</t>
  </si>
  <si>
    <t>Orbital Period (s)</t>
  </si>
  <si>
    <t>Radius of the central body (km)</t>
  </si>
  <si>
    <t>Periapsis Radius (km)</t>
  </si>
  <si>
    <t>Delta V radial (km/s)</t>
  </si>
  <si>
    <t>New SMA (km)</t>
  </si>
  <si>
    <t>New Eccentricity</t>
  </si>
  <si>
    <t>Nu at delta V (deg)</t>
  </si>
  <si>
    <t>Apoapsis Radius (km)</t>
  </si>
  <si>
    <t>New Periapsis Radius (km)</t>
  </si>
  <si>
    <t>New Apoapsis Radius (km)</t>
  </si>
  <si>
    <t>CALCULATOR - I/O</t>
  </si>
  <si>
    <t>Mean Motion (rad/s)</t>
  </si>
  <si>
    <t>Sp. Angular Momentum (SI)</t>
  </si>
  <si>
    <t>Sp. Mechanical Energy (SI)</t>
  </si>
  <si>
    <t>Semi Parameter (m)</t>
  </si>
  <si>
    <t>Gravitation Constant (SI)</t>
  </si>
  <si>
    <t>mu (SI)</t>
  </si>
  <si>
    <t>Period to SMA</t>
  </si>
  <si>
    <t>SMA (km)</t>
  </si>
  <si>
    <t>Vesc at surface (km/s)</t>
  </si>
  <si>
    <t>Vesc at Periapsis (km/s)</t>
  </si>
  <si>
    <t>P (hours)</t>
  </si>
  <si>
    <t>Flight Path Angle at True Anomaly</t>
  </si>
  <si>
    <t>TOF Section</t>
  </si>
  <si>
    <t>Nu1 (rad)</t>
  </si>
  <si>
    <t>Nu2 (rad)</t>
  </si>
  <si>
    <t>TA to TOF</t>
  </si>
  <si>
    <t>E1 (rad)</t>
  </si>
  <si>
    <t>E2 (rad)</t>
  </si>
  <si>
    <t>tanhalfNu1</t>
  </si>
  <si>
    <t>tanhalfNu2</t>
  </si>
  <si>
    <t>efactor</t>
  </si>
  <si>
    <t>M1 (rad)</t>
  </si>
  <si>
    <t>M2 (rad)</t>
  </si>
  <si>
    <t>T1 (s)</t>
  </si>
  <si>
    <t>T2 (s)</t>
  </si>
  <si>
    <t>ToF (s)</t>
  </si>
  <si>
    <t>ToF (hours)</t>
  </si>
  <si>
    <t>Orbital Period (hours)</t>
  </si>
  <si>
    <t>TOF to TA</t>
  </si>
  <si>
    <t>T1 (hours since last periapsis)</t>
  </si>
  <si>
    <t>T2 (hours since last periapsis)</t>
  </si>
  <si>
    <t>tanhalfE1</t>
  </si>
  <si>
    <t>tanhalfE2</t>
  </si>
  <si>
    <t>delta-Nu (rad)</t>
  </si>
  <si>
    <t>Newton-Raphson Iterator</t>
  </si>
  <si>
    <t>Iteration</t>
  </si>
  <si>
    <t>En+1 (Rad)</t>
  </si>
  <si>
    <t>En (Rad)</t>
  </si>
  <si>
    <t>E_1</t>
  </si>
  <si>
    <t>E_2</t>
  </si>
  <si>
    <t>Maneouvres Section</t>
  </si>
  <si>
    <t>Impulsive Burn Maneouvre</t>
  </si>
  <si>
    <t>Initial V</t>
  </si>
  <si>
    <t>v vert</t>
  </si>
  <si>
    <t>v rad</t>
  </si>
  <si>
    <t>delta V</t>
  </si>
  <si>
    <t>dv rad</t>
  </si>
  <si>
    <t>dv vert</t>
  </si>
  <si>
    <t>(m/s)</t>
  </si>
  <si>
    <t>Nu burn</t>
  </si>
  <si>
    <t>r burn</t>
  </si>
  <si>
    <t>fpa (rad)</t>
  </si>
  <si>
    <t>90-fpa</t>
  </si>
  <si>
    <t>Delta V azimuthal (km/s)</t>
  </si>
  <si>
    <t>* LVLH - Local Vertical Local Horizontal frame of reference</t>
  </si>
  <si>
    <t>v az</t>
  </si>
  <si>
    <t>dv az</t>
  </si>
  <si>
    <t>v_tang</t>
  </si>
  <si>
    <t>Final V</t>
  </si>
  <si>
    <t>new v_tang</t>
  </si>
  <si>
    <t>new SMA</t>
  </si>
  <si>
    <t>visviva_LHS</t>
  </si>
  <si>
    <t>new p</t>
  </si>
  <si>
    <t>new h</t>
  </si>
  <si>
    <t>new ecc</t>
  </si>
  <si>
    <t>(in old frame)</t>
  </si>
  <si>
    <t>(Co-planar LVLH)*</t>
  </si>
  <si>
    <t>Co-planar - burn does not change inclination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</si>
</sst>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4" borderId="3" applyNumberFormat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1" xfId="1" applyAlignment="1">
      <alignment vertical="center"/>
    </xf>
    <xf numFmtId="2" fontId="1" fillId="2" borderId="1" xfId="1" applyNumberFormat="1" applyAlignment="1">
      <alignment vertical="center"/>
    </xf>
    <xf numFmtId="164" fontId="1" fillId="2" borderId="1" xfId="1" applyNumberFormat="1" applyAlignment="1">
      <alignment vertical="center"/>
    </xf>
    <xf numFmtId="11" fontId="1" fillId="2" borderId="1" xfId="1" applyNumberFormat="1" applyAlignment="1">
      <alignment vertical="center"/>
    </xf>
    <xf numFmtId="0" fontId="3" fillId="4" borderId="3" xfId="2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1" fontId="0" fillId="0" borderId="0" xfId="0" applyNumberFormat="1" applyAlignment="1">
      <alignment vertical="center"/>
    </xf>
    <xf numFmtId="11" fontId="2" fillId="0" borderId="0" xfId="0" applyNumberFormat="1" applyFont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1" fontId="3" fillId="4" borderId="3" xfId="2" applyNumberForma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/>
    <xf numFmtId="2" fontId="4" fillId="2" borderId="1" xfId="3" applyNumberFormat="1" applyFill="1" applyBorder="1" applyAlignment="1">
      <alignment vertical="center"/>
    </xf>
    <xf numFmtId="0" fontId="3" fillId="4" borderId="3" xfId="2"/>
  </cellXfs>
  <cellStyles count="4">
    <cellStyle name="Explanatory Text" xfId="3" builtinId="53"/>
    <cellStyle name="Input" xfId="2" builtinId="20"/>
    <cellStyle name="Normal" xfId="0" builtinId="0"/>
    <cellStyle name="Output" xfId="1" builtinId="2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4"/>
  <sheetViews>
    <sheetView tabSelected="1" workbookViewId="0">
      <selection activeCell="O8" sqref="O8"/>
    </sheetView>
  </sheetViews>
  <sheetFormatPr defaultRowHeight="14.4" x14ac:dyDescent="0.3"/>
  <cols>
    <col min="1" max="1" width="26.44140625" style="1" customWidth="1"/>
    <col min="2" max="2" width="9.33203125" style="1" customWidth="1"/>
    <col min="3" max="3" width="3.5546875" style="2" customWidth="1"/>
    <col min="4" max="4" width="23.88671875" style="1" customWidth="1"/>
    <col min="5" max="5" width="12" style="1" customWidth="1"/>
    <col min="6" max="6" width="3.6640625" style="2" customWidth="1"/>
    <col min="7" max="7" width="13.6640625" style="1" customWidth="1"/>
    <col min="8" max="8" width="13.44140625" style="1" customWidth="1"/>
    <col min="9" max="9" width="10.33203125" style="1" customWidth="1"/>
    <col min="10" max="10" width="11.77734375" style="1" customWidth="1"/>
    <col min="11" max="11" width="10.21875" style="1" customWidth="1"/>
    <col min="12" max="12" width="14.33203125" style="1" customWidth="1"/>
    <col min="13" max="13" width="10.109375" style="1" customWidth="1"/>
    <col min="14" max="14" width="11" style="1" customWidth="1"/>
    <col min="15" max="16384" width="8.88671875" style="1"/>
  </cols>
  <sheetData>
    <row r="2" spans="1:15" x14ac:dyDescent="0.3">
      <c r="A2" s="27" t="s">
        <v>18</v>
      </c>
      <c r="B2" s="27"/>
      <c r="D2" s="27" t="s">
        <v>17</v>
      </c>
      <c r="E2" s="27"/>
      <c r="G2" s="27" t="s">
        <v>34</v>
      </c>
      <c r="H2" s="27"/>
      <c r="I2" s="27"/>
      <c r="J2" s="27"/>
      <c r="K2" s="27"/>
      <c r="L2" s="27"/>
      <c r="M2" s="27"/>
      <c r="N2" s="27"/>
      <c r="O2" s="27"/>
    </row>
    <row r="3" spans="1:15" x14ac:dyDescent="0.3">
      <c r="A3" s="3" t="s">
        <v>2</v>
      </c>
      <c r="B3" s="3" t="s">
        <v>0</v>
      </c>
      <c r="D3" s="3" t="s">
        <v>12</v>
      </c>
      <c r="E3" s="3" t="s">
        <v>0</v>
      </c>
      <c r="G3" s="3" t="s">
        <v>23</v>
      </c>
      <c r="J3" s="3" t="s">
        <v>22</v>
      </c>
      <c r="M3" s="3" t="s">
        <v>41</v>
      </c>
    </row>
    <row r="4" spans="1:15" x14ac:dyDescent="0.3">
      <c r="A4" s="1" t="s">
        <v>1</v>
      </c>
      <c r="B4" s="8">
        <v>25000</v>
      </c>
      <c r="D4" s="1" t="s">
        <v>36</v>
      </c>
      <c r="E4" s="7">
        <f>SQRT(E8*E12)</f>
        <v>96606361397.684357</v>
      </c>
      <c r="G4" s="1" t="s">
        <v>5</v>
      </c>
      <c r="H4" s="35">
        <v>25000</v>
      </c>
      <c r="J4" s="1" t="s">
        <v>6</v>
      </c>
      <c r="K4" s="8">
        <v>20</v>
      </c>
      <c r="M4" s="1" t="s">
        <v>45</v>
      </c>
      <c r="N4" s="8">
        <v>24</v>
      </c>
    </row>
    <row r="5" spans="1:15" x14ac:dyDescent="0.3">
      <c r="A5" s="1" t="s">
        <v>3</v>
      </c>
      <c r="B5" s="8">
        <v>0.25</v>
      </c>
      <c r="D5" s="1" t="s">
        <v>37</v>
      </c>
      <c r="E5" s="7">
        <f>-E12/(2*B4*1000)</f>
        <v>-7963980</v>
      </c>
      <c r="G5" s="3" t="s">
        <v>6</v>
      </c>
      <c r="H5" s="5">
        <f>DEGREES(ACOS((1/B5)*(E8/(H4*1000) - 1)))</f>
        <v>104.47751218592992</v>
      </c>
      <c r="J5" s="3" t="s">
        <v>5</v>
      </c>
      <c r="K5" s="5">
        <f>E8/(1+B5*COS(RADIANS(K4))) / 1000</f>
        <v>18978.913709226774</v>
      </c>
      <c r="M5" s="3" t="s">
        <v>42</v>
      </c>
      <c r="N5" s="5">
        <f>((((N4*3600/(2*PI()))^2)*E12)^(1/3))/1000</f>
        <v>42226.910176175057</v>
      </c>
    </row>
    <row r="6" spans="1:15" x14ac:dyDescent="0.3">
      <c r="A6" s="1" t="s">
        <v>4</v>
      </c>
      <c r="B6" s="8">
        <v>11</v>
      </c>
      <c r="D6" s="32" t="s">
        <v>24</v>
      </c>
      <c r="E6" s="7">
        <f>2*PI()*SQRT((B4*1000)^3/E12)</f>
        <v>39358.614212504654</v>
      </c>
    </row>
    <row r="7" spans="1:15" x14ac:dyDescent="0.3">
      <c r="A7" s="1" t="s">
        <v>10</v>
      </c>
      <c r="B7" s="8">
        <v>5</v>
      </c>
      <c r="D7" s="3" t="s">
        <v>35</v>
      </c>
      <c r="E7" s="7">
        <f>2*PI()/E6</f>
        <v>1.5963939363452869E-4</v>
      </c>
      <c r="G7" s="3" t="s">
        <v>7</v>
      </c>
      <c r="J7" s="3" t="s">
        <v>46</v>
      </c>
    </row>
    <row r="8" spans="1:15" x14ac:dyDescent="0.3">
      <c r="A8" s="1" t="s">
        <v>11</v>
      </c>
      <c r="B8" s="8">
        <v>0</v>
      </c>
      <c r="D8" s="1" t="s">
        <v>38</v>
      </c>
      <c r="E8" s="4">
        <f>B4*1000*(1-B5^2)</f>
        <v>23437500</v>
      </c>
      <c r="G8" s="1" t="s">
        <v>5</v>
      </c>
      <c r="H8" s="8">
        <v>15025</v>
      </c>
      <c r="J8" s="1" t="s">
        <v>6</v>
      </c>
      <c r="K8" s="8">
        <v>60</v>
      </c>
    </row>
    <row r="9" spans="1:15" x14ac:dyDescent="0.3">
      <c r="D9" s="3" t="s">
        <v>26</v>
      </c>
      <c r="E9" s="4">
        <f>B4*(1-B5)</f>
        <v>18750</v>
      </c>
      <c r="G9" s="3" t="s">
        <v>8</v>
      </c>
      <c r="H9" s="5">
        <f>SQRT((2*E12)/(H8*1000) - E12/(B4*1000)) / 1000</f>
        <v>6.0890802728369069</v>
      </c>
      <c r="J9" s="3" t="s">
        <v>9</v>
      </c>
      <c r="K9" s="4">
        <f>DEGREES(ACOS( (1+B5*COS(RADIANS(K8))) / SQRT(1+(B5^2)+2*B5*COS(RADIANS(K8))) ) )</f>
        <v>10.893394649130901</v>
      </c>
    </row>
    <row r="10" spans="1:15" x14ac:dyDescent="0.3">
      <c r="A10" s="1" t="s">
        <v>19</v>
      </c>
      <c r="B10" s="25">
        <v>5.9700000000000003E+24</v>
      </c>
      <c r="D10" s="3" t="s">
        <v>31</v>
      </c>
      <c r="E10" s="4">
        <f>B4*(1+B5)</f>
        <v>31250</v>
      </c>
    </row>
    <row r="11" spans="1:15" x14ac:dyDescent="0.3">
      <c r="A11" s="1" t="s">
        <v>25</v>
      </c>
      <c r="B11" s="8">
        <v>6371</v>
      </c>
      <c r="D11" s="1" t="s">
        <v>39</v>
      </c>
      <c r="E11" s="7">
        <v>6.67E-11</v>
      </c>
    </row>
    <row r="12" spans="1:15" x14ac:dyDescent="0.3">
      <c r="D12" s="1" t="s">
        <v>40</v>
      </c>
      <c r="E12" s="7">
        <f>B10*E11</f>
        <v>398199000000000</v>
      </c>
      <c r="G12" s="3" t="s">
        <v>13</v>
      </c>
      <c r="K12" s="3" t="s">
        <v>76</v>
      </c>
      <c r="M12" s="3" t="s">
        <v>101</v>
      </c>
    </row>
    <row r="13" spans="1:15" x14ac:dyDescent="0.3">
      <c r="D13" s="1" t="s">
        <v>43</v>
      </c>
      <c r="E13" s="5">
        <f>SQRT(2*E12/(B11*1000))/1000</f>
        <v>11.180501335284713</v>
      </c>
      <c r="G13" s="1" t="s">
        <v>14</v>
      </c>
      <c r="H13" s="8">
        <v>0</v>
      </c>
      <c r="K13" s="28" t="s">
        <v>88</v>
      </c>
      <c r="L13" s="28"/>
      <c r="M13" s="8">
        <v>0.5</v>
      </c>
    </row>
    <row r="14" spans="1:15" x14ac:dyDescent="0.3">
      <c r="D14" s="3" t="s">
        <v>44</v>
      </c>
      <c r="E14" s="5">
        <f>SQRT(2*E12/(E9*1000))/1000</f>
        <v>6.5172509541984036</v>
      </c>
      <c r="G14" s="1" t="s">
        <v>15</v>
      </c>
      <c r="H14" s="8">
        <v>60</v>
      </c>
      <c r="K14" s="28" t="s">
        <v>27</v>
      </c>
      <c r="L14" s="28"/>
      <c r="M14" s="8">
        <v>0.5</v>
      </c>
    </row>
    <row r="15" spans="1:15" x14ac:dyDescent="0.3">
      <c r="D15" s="3" t="s">
        <v>62</v>
      </c>
      <c r="E15" s="5">
        <f>E6/3600</f>
        <v>10.932948392362404</v>
      </c>
      <c r="G15" s="3" t="s">
        <v>61</v>
      </c>
      <c r="H15" s="6">
        <f>Workspace!B14/3600</f>
        <v>1.1392510915741634</v>
      </c>
      <c r="K15" s="33"/>
      <c r="L15" s="33"/>
      <c r="M15">
        <v>0</v>
      </c>
    </row>
    <row r="16" spans="1:15" x14ac:dyDescent="0.3">
      <c r="G16" s="3" t="s">
        <v>16</v>
      </c>
      <c r="H16" s="5">
        <f>(Workspace!B14/Main!E6)*100</f>
        <v>10.420346375823264</v>
      </c>
      <c r="K16" s="28" t="s">
        <v>30</v>
      </c>
      <c r="L16" s="28"/>
      <c r="M16" s="8">
        <v>30</v>
      </c>
    </row>
    <row r="17" spans="7:13" x14ac:dyDescent="0.3">
      <c r="K17" s="29" t="s">
        <v>28</v>
      </c>
      <c r="L17" s="29"/>
      <c r="M17" s="5">
        <f>Workspace!L9/1000</f>
        <v>40228.446778697013</v>
      </c>
    </row>
    <row r="18" spans="7:13" x14ac:dyDescent="0.3">
      <c r="G18" s="3" t="s">
        <v>20</v>
      </c>
      <c r="K18" s="29" t="s">
        <v>29</v>
      </c>
      <c r="L18" s="29"/>
      <c r="M18" s="5">
        <f>Workspace!L13</f>
        <v>0.54351339185521297</v>
      </c>
    </row>
    <row r="19" spans="7:13" x14ac:dyDescent="0.3">
      <c r="G19" s="28" t="s">
        <v>64</v>
      </c>
      <c r="H19" s="28"/>
      <c r="I19" s="8">
        <v>0</v>
      </c>
      <c r="K19" s="33"/>
      <c r="L19" s="33"/>
      <c r="M19" s="34"/>
    </row>
    <row r="20" spans="7:13" x14ac:dyDescent="0.3">
      <c r="G20" s="28" t="s">
        <v>65</v>
      </c>
      <c r="H20" s="28"/>
      <c r="I20" s="8">
        <v>2</v>
      </c>
      <c r="K20" s="29" t="s">
        <v>32</v>
      </c>
      <c r="L20" s="29"/>
      <c r="M20" s="5">
        <f>M17*(1-M18)</f>
        <v>18363.747220940484</v>
      </c>
    </row>
    <row r="21" spans="7:13" x14ac:dyDescent="0.3">
      <c r="G21" s="29" t="s">
        <v>21</v>
      </c>
      <c r="H21" s="29"/>
      <c r="I21" s="4">
        <f>DEGREES(Workspace!E14)</f>
        <v>94.538148877042204</v>
      </c>
      <c r="K21" s="29" t="s">
        <v>33</v>
      </c>
      <c r="L21" s="29"/>
      <c r="M21" s="5">
        <f>M17*(1+M18)</f>
        <v>62093.146336453545</v>
      </c>
    </row>
    <row r="23" spans="7:13" x14ac:dyDescent="0.3">
      <c r="K23" s="1" t="s">
        <v>89</v>
      </c>
    </row>
    <row r="24" spans="7:13" x14ac:dyDescent="0.3">
      <c r="K24" s="1" t="s">
        <v>102</v>
      </c>
    </row>
  </sheetData>
  <sheetProtection algorithmName="SHA-512" hashValue="ZmilROJXIY3G3dtDNixzkrWcO3peEZ1F16gPFOiZjLZGv1K3P768pUBsErfzONv3l3cZjQSbroR1/ZL6wu9R9Q==" saltValue="brcsASw60wIsv7IkDymvmg==" spinCount="100000" sheet="1" objects="1" scenarios="1"/>
  <protectedRanges>
    <protectedRange sqref="B4:B8 B10:B11" name="Range1"/>
    <protectedRange sqref="H4 K4 N4 H8 H13 H14 I19 I20 K8 M13 M14 M16" name="Range2"/>
  </protectedRanges>
  <mergeCells count="15">
    <mergeCell ref="G21:H21"/>
    <mergeCell ref="K13:L13"/>
    <mergeCell ref="K14:L14"/>
    <mergeCell ref="K16:L16"/>
    <mergeCell ref="K17:L17"/>
    <mergeCell ref="K15:L15"/>
    <mergeCell ref="K19:L19"/>
    <mergeCell ref="K18:L18"/>
    <mergeCell ref="K20:L20"/>
    <mergeCell ref="K21:L21"/>
    <mergeCell ref="A2:B2"/>
    <mergeCell ref="D2:E2"/>
    <mergeCell ref="G2:O2"/>
    <mergeCell ref="G19:H19"/>
    <mergeCell ref="G20:H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B6510-E615-4120-BE02-145E9AB1B784}">
  <dimension ref="A1:Q30"/>
  <sheetViews>
    <sheetView workbookViewId="0">
      <selection activeCell="O16" sqref="O16"/>
    </sheetView>
  </sheetViews>
  <sheetFormatPr defaultRowHeight="14.4" x14ac:dyDescent="0.3"/>
  <cols>
    <col min="1" max="1" width="11.21875" style="1" customWidth="1"/>
    <col min="2" max="2" width="11.5546875" style="1" customWidth="1"/>
    <col min="3" max="3" width="11" style="1" customWidth="1"/>
    <col min="4" max="4" width="13" style="1" customWidth="1"/>
    <col min="5" max="5" width="10" style="1" customWidth="1"/>
    <col min="6" max="6" width="10.88671875" style="1" customWidth="1"/>
    <col min="7" max="7" width="8.88671875" style="1"/>
    <col min="8" max="8" width="9" style="1" customWidth="1"/>
    <col min="9" max="9" width="10" style="1" customWidth="1"/>
    <col min="10" max="10" width="8.88671875" style="1"/>
    <col min="11" max="11" width="10.77734375" style="1" customWidth="1"/>
    <col min="12" max="12" width="12.109375" style="1" customWidth="1"/>
    <col min="13" max="16384" width="8.88671875" style="1"/>
  </cols>
  <sheetData>
    <row r="1" spans="1:17" s="3" customFormat="1" x14ac:dyDescent="0.3">
      <c r="A1" s="30" t="s">
        <v>47</v>
      </c>
      <c r="B1" s="30"/>
      <c r="C1" s="30"/>
      <c r="D1" s="30"/>
      <c r="E1" s="30"/>
      <c r="F1" s="31"/>
      <c r="H1" s="16"/>
      <c r="I1" s="26"/>
      <c r="J1" s="27" t="s">
        <v>75</v>
      </c>
      <c r="K1" s="27"/>
      <c r="L1" s="27"/>
      <c r="M1" s="27"/>
      <c r="N1" s="27"/>
      <c r="O1" s="27"/>
      <c r="P1" s="26"/>
      <c r="Q1" s="17"/>
    </row>
    <row r="2" spans="1:17" s="3" customFormat="1" x14ac:dyDescent="0.3">
      <c r="A2" s="9" t="s">
        <v>50</v>
      </c>
      <c r="B2" s="23"/>
      <c r="C2" s="23"/>
      <c r="D2" s="23" t="s">
        <v>63</v>
      </c>
      <c r="E2" s="23"/>
      <c r="F2" s="10"/>
      <c r="H2" s="15" t="s">
        <v>77</v>
      </c>
      <c r="I2" s="3" t="s">
        <v>83</v>
      </c>
      <c r="K2" s="3" t="s">
        <v>93</v>
      </c>
      <c r="L2" s="32" t="s">
        <v>100</v>
      </c>
      <c r="Q2" s="24"/>
    </row>
    <row r="3" spans="1:17" x14ac:dyDescent="0.3">
      <c r="A3" s="11" t="s">
        <v>48</v>
      </c>
      <c r="B3" s="1">
        <f>RADIANS(Main!H13)</f>
        <v>0</v>
      </c>
      <c r="D3" s="1" t="s">
        <v>58</v>
      </c>
      <c r="E3" s="1">
        <f>3600*Main!I19</f>
        <v>0</v>
      </c>
      <c r="F3" s="12"/>
      <c r="H3" s="11" t="s">
        <v>90</v>
      </c>
      <c r="I3" s="1">
        <f>I14*COS(I15)</f>
        <v>5014.2827597686664</v>
      </c>
      <c r="K3" s="1" t="s">
        <v>90</v>
      </c>
      <c r="L3" s="1">
        <f>I3+I8</f>
        <v>5514.2827597686664</v>
      </c>
      <c r="Q3" s="12"/>
    </row>
    <row r="4" spans="1:17" x14ac:dyDescent="0.3">
      <c r="A4" s="11" t="s">
        <v>49</v>
      </c>
      <c r="B4" s="1">
        <f>RADIANS(Main!H14)</f>
        <v>1.0471975511965976</v>
      </c>
      <c r="D4" s="1" t="s">
        <v>59</v>
      </c>
      <c r="E4" s="1">
        <f>3600*Main!I20</f>
        <v>7200</v>
      </c>
      <c r="F4" s="12"/>
      <c r="H4" s="11" t="s">
        <v>79</v>
      </c>
      <c r="I4" s="1">
        <f>I14*COS(I16)</f>
        <v>515.23392745431488</v>
      </c>
      <c r="K4" s="1" t="s">
        <v>79</v>
      </c>
      <c r="L4" s="1">
        <f>I4+I9</f>
        <v>1015.2339274543149</v>
      </c>
      <c r="Q4" s="12"/>
    </row>
    <row r="5" spans="1:17" x14ac:dyDescent="0.3">
      <c r="A5" s="11" t="s">
        <v>53</v>
      </c>
      <c r="B5" s="1">
        <f>TAN(B3/2)</f>
        <v>0</v>
      </c>
      <c r="D5" s="1" t="s">
        <v>56</v>
      </c>
      <c r="E5" s="1">
        <f>E3*Main!E7</f>
        <v>0</v>
      </c>
      <c r="F5" s="12"/>
      <c r="H5" s="11" t="s">
        <v>78</v>
      </c>
      <c r="I5" s="1">
        <v>0</v>
      </c>
      <c r="K5" s="1" t="s">
        <v>78</v>
      </c>
      <c r="L5" s="1">
        <f>I5+I10</f>
        <v>0</v>
      </c>
      <c r="Q5" s="12"/>
    </row>
    <row r="6" spans="1:17" x14ac:dyDescent="0.3">
      <c r="A6" s="11" t="s">
        <v>54</v>
      </c>
      <c r="B6" s="1">
        <f>TAN(B4/2)</f>
        <v>0.57735026918962573</v>
      </c>
      <c r="D6" s="1" t="s">
        <v>57</v>
      </c>
      <c r="E6" s="1">
        <f>E4*Main!E7</f>
        <v>1.1494036341686067</v>
      </c>
      <c r="F6" s="12"/>
      <c r="H6" s="11"/>
      <c r="Q6" s="12"/>
    </row>
    <row r="7" spans="1:17" x14ac:dyDescent="0.3">
      <c r="A7" s="11" t="s">
        <v>55</v>
      </c>
      <c r="B7" s="1">
        <f>SQRT((1-Main!B5)/(1+Main!B5))</f>
        <v>0.7745966692414834</v>
      </c>
      <c r="D7" s="1" t="s">
        <v>51</v>
      </c>
      <c r="E7" s="1">
        <f>C28</f>
        <v>0</v>
      </c>
      <c r="F7" s="12"/>
      <c r="H7" s="15" t="s">
        <v>80</v>
      </c>
      <c r="I7" s="3" t="s">
        <v>83</v>
      </c>
      <c r="K7" s="3" t="s">
        <v>94</v>
      </c>
      <c r="L7" s="3">
        <f>SQRT(L3^2 + L4^2)</f>
        <v>5606.9612342280598</v>
      </c>
      <c r="Q7" s="12"/>
    </row>
    <row r="8" spans="1:17" x14ac:dyDescent="0.3">
      <c r="A8" s="11" t="s">
        <v>51</v>
      </c>
      <c r="B8" s="1">
        <f>2*ATAN(B7*B5)</f>
        <v>0</v>
      </c>
      <c r="D8" s="1" t="s">
        <v>52</v>
      </c>
      <c r="E8" s="1">
        <f>F28</f>
        <v>1.3955756578356571</v>
      </c>
      <c r="F8" s="12"/>
      <c r="H8" s="11" t="s">
        <v>91</v>
      </c>
      <c r="I8" s="1">
        <f>Main!M13*1000</f>
        <v>500</v>
      </c>
      <c r="K8" s="1" t="s">
        <v>96</v>
      </c>
      <c r="L8" s="18">
        <f>((L7^2)/2) - (Main!E12/Workspace!I13)</f>
        <v>-4949221.6563885137</v>
      </c>
      <c r="Q8" s="12"/>
    </row>
    <row r="9" spans="1:17" x14ac:dyDescent="0.3">
      <c r="A9" s="11" t="s">
        <v>52</v>
      </c>
      <c r="B9" s="1">
        <f>2*ATAN(B7*B6)</f>
        <v>0.84106867056793022</v>
      </c>
      <c r="D9" s="1" t="s">
        <v>55</v>
      </c>
      <c r="E9" s="1">
        <f>1/B7</f>
        <v>1.2909944487358056</v>
      </c>
      <c r="F9" s="12"/>
      <c r="H9" s="11" t="s">
        <v>81</v>
      </c>
      <c r="I9" s="1">
        <f>Main!M14*1000</f>
        <v>500</v>
      </c>
      <c r="K9" s="3" t="s">
        <v>95</v>
      </c>
      <c r="L9" s="3">
        <f>-Main!E12/(2*Workspace!L8)</f>
        <v>40228446.778697014</v>
      </c>
      <c r="Q9" s="12"/>
    </row>
    <row r="10" spans="1:17" x14ac:dyDescent="0.3">
      <c r="A10" s="11" t="s">
        <v>56</v>
      </c>
      <c r="B10" s="1">
        <f>B8 - Main!B5*SIN(Workspace!B8)</f>
        <v>0</v>
      </c>
      <c r="D10" s="1" t="s">
        <v>66</v>
      </c>
      <c r="E10" s="1">
        <f>TAN(E7/2)</f>
        <v>0</v>
      </c>
      <c r="F10" s="12"/>
      <c r="H10" s="11" t="s">
        <v>82</v>
      </c>
      <c r="I10" s="1">
        <f>Main!M15*1000</f>
        <v>0</v>
      </c>
      <c r="Q10" s="12"/>
    </row>
    <row r="11" spans="1:17" x14ac:dyDescent="0.3">
      <c r="A11" s="11" t="s">
        <v>57</v>
      </c>
      <c r="B11" s="1">
        <f>B9 - Main!B5*SIN(B9)</f>
        <v>0.65472967244294777</v>
      </c>
      <c r="D11" s="1" t="s">
        <v>67</v>
      </c>
      <c r="E11" s="1">
        <f>TAN(E8/2)</f>
        <v>0.83851381217825016</v>
      </c>
      <c r="F11" s="12"/>
      <c r="H11" s="11"/>
      <c r="K11" s="1" t="s">
        <v>98</v>
      </c>
      <c r="L11" s="1">
        <f>I13*L3</f>
        <v>106239480033.59286</v>
      </c>
      <c r="Q11" s="12"/>
    </row>
    <row r="12" spans="1:17" x14ac:dyDescent="0.3">
      <c r="A12" s="11" t="s">
        <v>58</v>
      </c>
      <c r="B12" s="18">
        <f>B10/Main!E7</f>
        <v>0</v>
      </c>
      <c r="D12" s="1" t="s">
        <v>48</v>
      </c>
      <c r="E12" s="1">
        <f>2*ATAN(E9*E10)</f>
        <v>0</v>
      </c>
      <c r="F12" s="12"/>
      <c r="H12" s="11" t="s">
        <v>84</v>
      </c>
      <c r="I12" s="1">
        <f>RADIANS(Main!M16)</f>
        <v>0.52359877559829882</v>
      </c>
      <c r="K12" s="1" t="s">
        <v>97</v>
      </c>
      <c r="L12" s="18">
        <f>(L11^2)/Main!E12</f>
        <v>28344689.760165587</v>
      </c>
      <c r="Q12" s="12"/>
    </row>
    <row r="13" spans="1:17" x14ac:dyDescent="0.3">
      <c r="A13" s="11" t="s">
        <v>59</v>
      </c>
      <c r="B13" s="18">
        <f>B11/Main!E7</f>
        <v>4101.3039296669886</v>
      </c>
      <c r="D13" s="1" t="s">
        <v>49</v>
      </c>
      <c r="E13" s="1">
        <f>2*ATAN(E9*E11)</f>
        <v>1.6500019666449663</v>
      </c>
      <c r="F13" s="12"/>
      <c r="H13" s="11" t="s">
        <v>85</v>
      </c>
      <c r="I13" s="1">
        <f>Main!E8/(1 + Main!B5*COS(Workspace!I12))</f>
        <v>19266237.271816976</v>
      </c>
      <c r="K13" s="3" t="s">
        <v>99</v>
      </c>
      <c r="L13" s="3">
        <f>SQRT(1-(L12/L9))</f>
        <v>0.54351339185521297</v>
      </c>
      <c r="Q13" s="12"/>
    </row>
    <row r="14" spans="1:17" x14ac:dyDescent="0.3">
      <c r="A14" s="11" t="s">
        <v>60</v>
      </c>
      <c r="B14" s="19">
        <f>B13-B12</f>
        <v>4101.3039296669886</v>
      </c>
      <c r="D14" s="1" t="s">
        <v>68</v>
      </c>
      <c r="E14" s="3">
        <f>E13-E12</f>
        <v>1.6500019666449663</v>
      </c>
      <c r="F14" s="12"/>
      <c r="H14" s="11" t="s">
        <v>92</v>
      </c>
      <c r="I14" s="1">
        <f>SQRT((2*Main!E12/Workspace!I13)-(Main!E12/(Main!B4*1000)))</f>
        <v>5040.6842387629549</v>
      </c>
      <c r="Q14" s="12"/>
    </row>
    <row r="15" spans="1:17" x14ac:dyDescent="0.3">
      <c r="A15" s="11"/>
      <c r="F15" s="12"/>
      <c r="H15" s="11" t="s">
        <v>86</v>
      </c>
      <c r="I15" s="1">
        <f>ACOS( (1+Main!B5*COS(I12)) / SQRT(1+(Main!B5^2)+2*Main!B5*COS(I12)) )</f>
        <v>0.10239390823200822</v>
      </c>
      <c r="Q15" s="12"/>
    </row>
    <row r="16" spans="1:17" x14ac:dyDescent="0.3">
      <c r="A16" s="15" t="s">
        <v>69</v>
      </c>
      <c r="F16" s="12"/>
      <c r="H16" s="11" t="s">
        <v>87</v>
      </c>
      <c r="I16" s="1">
        <f>PI()/2 - I15</f>
        <v>1.4684024185628883</v>
      </c>
      <c r="Q16" s="12"/>
    </row>
    <row r="17" spans="1:17" x14ac:dyDescent="0.3">
      <c r="A17" s="16" t="s">
        <v>73</v>
      </c>
      <c r="B17" s="17">
        <v>66</v>
      </c>
      <c r="C17" s="20"/>
      <c r="D17" s="16" t="s">
        <v>74</v>
      </c>
      <c r="E17" s="17">
        <v>66</v>
      </c>
      <c r="F17" s="21"/>
      <c r="H17" s="11"/>
      <c r="Q17" s="12"/>
    </row>
    <row r="18" spans="1:17" x14ac:dyDescent="0.3">
      <c r="A18" s="15" t="s">
        <v>70</v>
      </c>
      <c r="B18" s="9" t="s">
        <v>72</v>
      </c>
      <c r="C18" s="10" t="s">
        <v>71</v>
      </c>
      <c r="D18" s="3" t="s">
        <v>70</v>
      </c>
      <c r="E18" s="9" t="s">
        <v>72</v>
      </c>
      <c r="F18" s="10" t="s">
        <v>71</v>
      </c>
      <c r="H18" s="11"/>
      <c r="Q18" s="12"/>
    </row>
    <row r="19" spans="1:17" x14ac:dyDescent="0.3">
      <c r="A19" s="11">
        <v>1</v>
      </c>
      <c r="B19" s="11">
        <f>B17*PI()/180</f>
        <v>1.1519173063162575</v>
      </c>
      <c r="C19" s="12">
        <f>B19+((E5-B19+Main!B5*SIN(B19))/(1-Main!B5*COS(B19)))</f>
        <v>0.12384799976129202</v>
      </c>
      <c r="D19" s="1">
        <v>1</v>
      </c>
      <c r="E19" s="11">
        <f>E17*PI()/180</f>
        <v>1.1519173063162575</v>
      </c>
      <c r="F19" s="12">
        <f>E19+((E6-E19+Main!B5*SIN(E19))/(1-Main!B5*COS(E19)))</f>
        <v>1.4033574818077019</v>
      </c>
      <c r="H19" s="11"/>
      <c r="Q19" s="12"/>
    </row>
    <row r="20" spans="1:17" x14ac:dyDescent="0.3">
      <c r="A20" s="11">
        <v>2</v>
      </c>
      <c r="B20" s="11">
        <f>C19</f>
        <v>0.12384799976129202</v>
      </c>
      <c r="C20" s="12">
        <f>B20+((E5-B20+Main!B5*SIN(B20))/(1-Main!B5*COS(B20)))</f>
        <v>2.1020875794459937E-4</v>
      </c>
      <c r="D20" s="1">
        <v>2</v>
      </c>
      <c r="E20" s="11">
        <f>F19</f>
        <v>1.4033574818077019</v>
      </c>
      <c r="F20" s="12">
        <f>E20+((E6-E20+Main!B5*SIN(E20))/(1-Main!B5*COS(E20)))</f>
        <v>1.3955834426094944</v>
      </c>
      <c r="H20" s="11"/>
      <c r="Q20" s="12"/>
    </row>
    <row r="21" spans="1:17" x14ac:dyDescent="0.3">
      <c r="A21" s="11">
        <v>3</v>
      </c>
      <c r="B21" s="11">
        <f t="shared" ref="B21:B28" si="0">C20</f>
        <v>2.1020875794459937E-4</v>
      </c>
      <c r="C21" s="12">
        <f>B21+((E5-B21+Main!B5*SIN(B21))/(1-Main!B5*COS(B21)))</f>
        <v>1.0320717804684909E-12</v>
      </c>
      <c r="D21" s="1">
        <v>3</v>
      </c>
      <c r="E21" s="11">
        <f t="shared" ref="E21:E28" si="1">F20</f>
        <v>1.3955834426094944</v>
      </c>
      <c r="F21" s="12">
        <f>E21+((E6-E21+Main!B5*SIN(E21))/(1-Main!B5*COS(E21)))</f>
        <v>1.3955756578434564</v>
      </c>
      <c r="H21" s="11"/>
      <c r="Q21" s="12"/>
    </row>
    <row r="22" spans="1:17" x14ac:dyDescent="0.3">
      <c r="A22" s="11">
        <v>4</v>
      </c>
      <c r="B22" s="11">
        <f t="shared" si="0"/>
        <v>1.0320717804684909E-12</v>
      </c>
      <c r="C22" s="12">
        <f>B22+((E5-B22+Main!B5*SIN(B22))/(1-Main!B5*COS(B22)))</f>
        <v>0</v>
      </c>
      <c r="D22" s="1">
        <v>4</v>
      </c>
      <c r="E22" s="11">
        <f t="shared" si="1"/>
        <v>1.3955756578434564</v>
      </c>
      <c r="F22" s="12">
        <f>E22+((E6-E22+Main!B5*SIN(E22))/(1-Main!B5*COS(E22)))</f>
        <v>1.3955756578356571</v>
      </c>
      <c r="H22" s="11"/>
      <c r="Q22" s="12"/>
    </row>
    <row r="23" spans="1:17" x14ac:dyDescent="0.3">
      <c r="A23" s="11">
        <v>5</v>
      </c>
      <c r="B23" s="11">
        <f t="shared" si="0"/>
        <v>0</v>
      </c>
      <c r="C23" s="12">
        <f>B23+((E5-B23+Main!B5*SIN(B23))/(1-Main!B5*COS(B23)))</f>
        <v>0</v>
      </c>
      <c r="D23" s="1">
        <v>5</v>
      </c>
      <c r="E23" s="11">
        <f t="shared" si="1"/>
        <v>1.3955756578356571</v>
      </c>
      <c r="F23" s="12">
        <f>E23+((E6-E23+Main!B5*SIN(E23))/(1-Main!B5*COS(E23)))</f>
        <v>1.3955756578356571</v>
      </c>
      <c r="H23" s="11"/>
      <c r="Q23" s="12"/>
    </row>
    <row r="24" spans="1:17" x14ac:dyDescent="0.3">
      <c r="A24" s="11">
        <v>6</v>
      </c>
      <c r="B24" s="11">
        <f t="shared" si="0"/>
        <v>0</v>
      </c>
      <c r="C24" s="12">
        <f>B24+((E5-B24+Main!B5*SIN(B24))/(1-Main!B5*COS(B24)))</f>
        <v>0</v>
      </c>
      <c r="D24" s="1">
        <v>6</v>
      </c>
      <c r="E24" s="11">
        <f t="shared" si="1"/>
        <v>1.3955756578356571</v>
      </c>
      <c r="F24" s="12">
        <f>E24+((E6-E24+Main!B5*SIN(E24))/(1-Main!B5*COS(E24)))</f>
        <v>1.3955756578356571</v>
      </c>
      <c r="H24" s="11"/>
      <c r="Q24" s="12"/>
    </row>
    <row r="25" spans="1:17" x14ac:dyDescent="0.3">
      <c r="A25" s="11">
        <v>7</v>
      </c>
      <c r="B25" s="11">
        <f t="shared" si="0"/>
        <v>0</v>
      </c>
      <c r="C25" s="12">
        <f>B25+((E5-B25+Main!B5*SIN(B25))/(1-Main!B5*COS(B25)))</f>
        <v>0</v>
      </c>
      <c r="D25" s="1">
        <v>7</v>
      </c>
      <c r="E25" s="11">
        <f t="shared" si="1"/>
        <v>1.3955756578356571</v>
      </c>
      <c r="F25" s="12">
        <f>E25+((E6-E25+Main!B5*SIN(E25))/(1-Main!B5*COS(E25)))</f>
        <v>1.3955756578356571</v>
      </c>
      <c r="H25" s="11"/>
      <c r="Q25" s="12"/>
    </row>
    <row r="26" spans="1:17" x14ac:dyDescent="0.3">
      <c r="A26" s="11">
        <v>8</v>
      </c>
      <c r="B26" s="11">
        <f t="shared" si="0"/>
        <v>0</v>
      </c>
      <c r="C26" s="12">
        <f>B26+((E5-B26+Main!B5*SIN(B26))/(1-Main!B5*COS(B26)))</f>
        <v>0</v>
      </c>
      <c r="D26" s="1">
        <v>8</v>
      </c>
      <c r="E26" s="11">
        <f t="shared" si="1"/>
        <v>1.3955756578356571</v>
      </c>
      <c r="F26" s="12">
        <f>E26+((E6-E26+Main!B5*SIN(E26))/(1-Main!B5*COS(E26)))</f>
        <v>1.3955756578356571</v>
      </c>
      <c r="H26" s="11"/>
      <c r="Q26" s="12"/>
    </row>
    <row r="27" spans="1:17" x14ac:dyDescent="0.3">
      <c r="A27" s="11">
        <v>9</v>
      </c>
      <c r="B27" s="11">
        <f t="shared" si="0"/>
        <v>0</v>
      </c>
      <c r="C27" s="12">
        <f>B27+((E5-B27+Main!B5*SIN(B27))/(1-Main!B5*COS(B27)))</f>
        <v>0</v>
      </c>
      <c r="D27" s="1">
        <v>9</v>
      </c>
      <c r="E27" s="11">
        <f t="shared" si="1"/>
        <v>1.3955756578356571</v>
      </c>
      <c r="F27" s="12">
        <f>E27+((E6-E27+Main!B5*SIN(E27))/(1-Main!B5*COS(E27)))</f>
        <v>1.3955756578356571</v>
      </c>
      <c r="H27" s="11"/>
      <c r="Q27" s="12"/>
    </row>
    <row r="28" spans="1:17" x14ac:dyDescent="0.3">
      <c r="A28" s="11">
        <v>10</v>
      </c>
      <c r="B28" s="13">
        <f t="shared" si="0"/>
        <v>0</v>
      </c>
      <c r="C28" s="14">
        <f>B28+((E5-B28+Main!B5*SIN(B28))/(1-Main!B5*COS(B28)))</f>
        <v>0</v>
      </c>
      <c r="D28" s="1">
        <v>10</v>
      </c>
      <c r="E28" s="13">
        <f t="shared" si="1"/>
        <v>1.3955756578356571</v>
      </c>
      <c r="F28" s="14">
        <f>E28+((E6-E28+Main!B5*SIN(E28))/(1-Main!B5*COS(E28)))</f>
        <v>1.3955756578356571</v>
      </c>
      <c r="H28" s="11"/>
      <c r="Q28" s="12"/>
    </row>
    <row r="29" spans="1:17" x14ac:dyDescent="0.3">
      <c r="A29" s="11"/>
      <c r="E29" s="18"/>
      <c r="F29" s="12"/>
      <c r="H29" s="11"/>
      <c r="Q29" s="12"/>
    </row>
    <row r="30" spans="1:17" x14ac:dyDescent="0.3">
      <c r="A30" s="13"/>
      <c r="B30" s="22"/>
      <c r="C30" s="22"/>
      <c r="D30" s="22"/>
      <c r="E30" s="22"/>
      <c r="F30" s="14"/>
      <c r="H30" s="13"/>
      <c r="I30" s="22"/>
      <c r="J30" s="22"/>
      <c r="K30" s="22"/>
      <c r="L30" s="22"/>
      <c r="M30" s="22"/>
      <c r="N30" s="22"/>
      <c r="O30" s="22"/>
      <c r="P30" s="22"/>
      <c r="Q30" s="14"/>
    </row>
  </sheetData>
  <sheetProtection algorithmName="SHA-512" hashValue="nX8lLEgJoxRmPCbHZ0sfP+opFCTz5uWLlhbYjhHacl1jButsalk5EJh76QN2u5vkD34DajkeQ1ckh4VAgwfv1Q==" saltValue="7fIseS8s98/mQue8VMguaw==" spinCount="100000" sheet="1" objects="1" scenarios="1" selectLockedCells="1" selectUnlockedCells="1"/>
  <mergeCells count="2">
    <mergeCell ref="A1:F1"/>
    <mergeCell ref="J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Workspace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Rajath Bhargav</dc:creator>
  <cp:lastModifiedBy>Bhargav</cp:lastModifiedBy>
  <dcterms:created xsi:type="dcterms:W3CDTF">2015-06-05T18:17:20Z</dcterms:created>
  <dcterms:modified xsi:type="dcterms:W3CDTF">2023-03-17T03:20:41Z</dcterms:modified>
</cp:coreProperties>
</file>