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0" yWindow="108" windowWidth="22980" windowHeight="9288" activeTab="1"/>
  </bookViews>
  <sheets>
    <sheet name="Raw Data" sheetId="1" r:id="rId1"/>
    <sheet name="Summary Dashboard" sheetId="2" r:id="rId2"/>
    <sheet name="Pivot_Top5" sheetId="5" r:id="rId3"/>
    <sheet name="pivot_category" sheetId="6" r:id="rId4"/>
    <sheet name="Pivot_Risk" sheetId="4" r:id="rId5"/>
  </sheets>
  <calcPr calcId="144525"/>
  <pivotCaches>
    <pivotCache cacheId="0" r:id="rId6"/>
  </pivotCaches>
</workbook>
</file>

<file path=xl/calcChain.xml><?xml version="1.0" encoding="utf-8"?>
<calcChain xmlns="http://schemas.openxmlformats.org/spreadsheetml/2006/main">
  <c r="B10" i="2" l="1"/>
  <c r="B22" i="2"/>
  <c r="B20" i="2"/>
  <c r="B21" i="2"/>
  <c r="B18" i="2"/>
  <c r="B17" i="2"/>
  <c r="B16" i="2"/>
  <c r="B15" i="2"/>
  <c r="B13" i="2"/>
  <c r="B12" i="2"/>
  <c r="B11" i="2"/>
  <c r="B3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N8" i="1"/>
  <c r="N9" i="1"/>
  <c r="M2" i="1"/>
  <c r="O2" i="1" s="1"/>
  <c r="M3" i="1"/>
  <c r="N3" i="1" s="1"/>
  <c r="M4" i="1"/>
  <c r="N4" i="1" s="1"/>
  <c r="M5" i="1"/>
  <c r="N5" i="1" s="1"/>
  <c r="M6" i="1"/>
  <c r="O6" i="1" s="1"/>
  <c r="M7" i="1"/>
  <c r="O7" i="1" s="1"/>
  <c r="M8" i="1"/>
  <c r="O8" i="1" s="1"/>
  <c r="M9" i="1"/>
  <c r="O9" i="1" s="1"/>
  <c r="M10" i="1"/>
  <c r="O10" i="1" s="1"/>
  <c r="M11" i="1"/>
  <c r="N11" i="1" s="1"/>
  <c r="M12" i="1"/>
  <c r="N12" i="1" s="1"/>
  <c r="M13" i="1"/>
  <c r="N13" i="1" s="1"/>
  <c r="M14" i="1"/>
  <c r="N14" i="1" s="1"/>
  <c r="M15" i="1"/>
  <c r="O15" i="1" s="1"/>
  <c r="M16" i="1"/>
  <c r="O16" i="1" s="1"/>
  <c r="M17" i="1"/>
  <c r="O17" i="1" s="1"/>
  <c r="M18" i="1"/>
  <c r="O18" i="1" s="1"/>
  <c r="M19" i="1"/>
  <c r="N19" i="1" s="1"/>
  <c r="M20" i="1"/>
  <c r="O20" i="1" s="1"/>
  <c r="M21" i="1"/>
  <c r="N21" i="1" s="1"/>
  <c r="N7" i="1" l="1"/>
  <c r="N18" i="1"/>
  <c r="N2" i="1"/>
  <c r="N17" i="1"/>
  <c r="N16" i="1"/>
  <c r="N15" i="1"/>
  <c r="N10" i="1"/>
  <c r="B23" i="2"/>
  <c r="O4" i="1"/>
  <c r="O3" i="1"/>
  <c r="O21" i="1"/>
  <c r="O13" i="1"/>
  <c r="O5" i="1"/>
  <c r="O12" i="1"/>
  <c r="O19" i="1"/>
  <c r="N6" i="1"/>
  <c r="N20" i="1"/>
  <c r="O14" i="1"/>
  <c r="O11" i="1"/>
  <c r="B4" i="2"/>
  <c r="B8" i="2" s="1"/>
  <c r="B5" i="2" l="1"/>
</calcChain>
</file>

<file path=xl/sharedStrings.xml><?xml version="1.0" encoding="utf-8"?>
<sst xmlns="http://schemas.openxmlformats.org/spreadsheetml/2006/main" count="145" uniqueCount="90">
  <si>
    <t>Category</t>
  </si>
  <si>
    <t>Returns_1Y</t>
  </si>
  <si>
    <t>Returns_3Y</t>
  </si>
  <si>
    <t>NAV</t>
  </si>
  <si>
    <t>Equity</t>
  </si>
  <si>
    <t>High</t>
  </si>
  <si>
    <t>SBI Bluechip Fund</t>
  </si>
  <si>
    <t>Hybrid</t>
  </si>
  <si>
    <t>Medium</t>
  </si>
  <si>
    <t>Debt</t>
  </si>
  <si>
    <t>Low</t>
  </si>
  <si>
    <t>Axis Midcap Fund</t>
  </si>
  <si>
    <t>Kotak Liquid Fund</t>
  </si>
  <si>
    <t>Fund_Name</t>
  </si>
  <si>
    <t>Fund_House</t>
  </si>
  <si>
    <t>Risk_Rating</t>
  </si>
  <si>
    <t>Investment_Amount</t>
  </si>
  <si>
    <t>Returns_5Y</t>
  </si>
  <si>
    <t>Expense_Ratio</t>
  </si>
  <si>
    <t>AUM_Crores</t>
  </si>
  <si>
    <t>Launch_Year</t>
  </si>
  <si>
    <t>HDFC Top 100 Fund</t>
  </si>
  <si>
    <t>HDFC</t>
  </si>
  <si>
    <t>SBI</t>
  </si>
  <si>
    <t>ICICI Prudential Balanced Advantage</t>
  </si>
  <si>
    <t>ICICI</t>
  </si>
  <si>
    <t>Axis</t>
  </si>
  <si>
    <t>Liquid</t>
  </si>
  <si>
    <t>Kotak</t>
  </si>
  <si>
    <t>UTI Nifty Index Fund</t>
  </si>
  <si>
    <t>UTI</t>
  </si>
  <si>
    <t>Aditya Birla Sun Life Tax Relief</t>
  </si>
  <si>
    <t>Aditya Birla</t>
  </si>
  <si>
    <t>Parag Parikh Flexi Cap</t>
  </si>
  <si>
    <t>PPFAS</t>
  </si>
  <si>
    <t>Mirae Asset Large Cap</t>
  </si>
  <si>
    <t>Mirae</t>
  </si>
  <si>
    <t>Franklin India Debt Fund</t>
  </si>
  <si>
    <t>Franklin</t>
  </si>
  <si>
    <t>DSP BlackRock Small Cap</t>
  </si>
  <si>
    <t>DSP</t>
  </si>
  <si>
    <t>Very High</t>
  </si>
  <si>
    <t>Nippon India Growth Fund</t>
  </si>
  <si>
    <t>Nippon</t>
  </si>
  <si>
    <t>HDFC Corporate Bond Fund</t>
  </si>
  <si>
    <t>SBI Small Cap Fund</t>
  </si>
  <si>
    <t>L&amp;T Tax Advantage Fund</t>
  </si>
  <si>
    <t>L&amp;T</t>
  </si>
  <si>
    <t>Quantum Liquid Fund</t>
  </si>
  <si>
    <t>Quantum</t>
  </si>
  <si>
    <t>ICICI Prudential Banking Fund</t>
  </si>
  <si>
    <t>Motilal Oswal Midcap Fund</t>
  </si>
  <si>
    <t>Motilal Oswal</t>
  </si>
  <si>
    <t>-</t>
  </si>
  <si>
    <t>Invesco India Infrastructure Fund</t>
  </si>
  <si>
    <t>Invesco</t>
  </si>
  <si>
    <t>Tata Retirement Savings Fund</t>
  </si>
  <si>
    <t>Tata</t>
  </si>
  <si>
    <t>Current_Value</t>
  </si>
  <si>
    <t>profit/Loss</t>
  </si>
  <si>
    <t>Return %</t>
  </si>
  <si>
    <t>Risk Score</t>
  </si>
  <si>
    <t>Performance_Rating</t>
  </si>
  <si>
    <t>PORTFOLIO RISK DASHBOARD</t>
  </si>
  <si>
    <t>Total Investment</t>
  </si>
  <si>
    <t>Current_Portfolio_Value</t>
  </si>
  <si>
    <t>Total_Return</t>
  </si>
  <si>
    <t>Risk Distribution</t>
  </si>
  <si>
    <t>Very High Risk Funds</t>
  </si>
  <si>
    <t>High Risk Funds</t>
  </si>
  <si>
    <t>Medium Risk Funds</t>
  </si>
  <si>
    <t>Low Risk Funds</t>
  </si>
  <si>
    <t>Investment by Risks</t>
  </si>
  <si>
    <t>**</t>
  </si>
  <si>
    <t>Very High Risk Amount</t>
  </si>
  <si>
    <t>High Risk Amount</t>
  </si>
  <si>
    <t>Medium Risk Amount</t>
  </si>
  <si>
    <t>Low Risk Amount</t>
  </si>
  <si>
    <t>Category Breakdown</t>
  </si>
  <si>
    <t>Equity Funds</t>
  </si>
  <si>
    <t>Debt Funds</t>
  </si>
  <si>
    <t>Hybrid Funds</t>
  </si>
  <si>
    <t>hybrid</t>
  </si>
  <si>
    <t>Portfolio Risk Score(Weighted)</t>
  </si>
  <si>
    <t>Row Labels</t>
  </si>
  <si>
    <t>Grand Total</t>
  </si>
  <si>
    <t>Sum of Investment_Amount</t>
  </si>
  <si>
    <t>Sum of Returns_1Y</t>
  </si>
  <si>
    <t>Average of Returns_1Y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</si>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</sst>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2" borderId="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 applyFont="1" applyAlignment="1">
      <alignment vertical="center" wrapText="1"/>
    </xf>
    <xf numFmtId="0" fontId="0" fillId="0" borderId="0" xfId="0" applyFont="1"/>
    <xf numFmtId="0" fontId="0" fillId="0" borderId="1" xfId="0" applyFont="1" applyFill="1" applyBorder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1"/>
            </a:pPr>
            <a:r>
              <a:rPr lang="en-IN" sz="1200" b="1" i="1"/>
              <a:t>Investment</a:t>
            </a:r>
            <a:r>
              <a:rPr lang="en-IN" sz="1200" b="1" i="1" baseline="0"/>
              <a:t> by Risks</a:t>
            </a:r>
            <a:endParaRPr lang="en-IN" sz="1200" b="1" i="1"/>
          </a:p>
        </c:rich>
      </c:tx>
      <c:layout>
        <c:manualLayout>
          <c:xMode val="edge"/>
          <c:yMode val="edge"/>
          <c:x val="0.185086357367162"/>
          <c:y val="2.3017063178084236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'Summary Dashboard'!$A$15:$A$18</c:f>
              <c:strCache>
                <c:ptCount val="4"/>
                <c:pt idx="0">
                  <c:v>Very High Risk Amount</c:v>
                </c:pt>
                <c:pt idx="1">
                  <c:v>High Risk Amount</c:v>
                </c:pt>
                <c:pt idx="2">
                  <c:v>Medium Risk Amount</c:v>
                </c:pt>
                <c:pt idx="3">
                  <c:v>Low Risk Amount</c:v>
                </c:pt>
              </c:strCache>
            </c:strRef>
          </c:cat>
          <c:val>
            <c:numRef>
              <c:f>'Summary Dashboard'!$B$15:$B$18</c:f>
              <c:numCache>
                <c:formatCode>General</c:formatCode>
                <c:ptCount val="4"/>
                <c:pt idx="0">
                  <c:v>504.58000000000004</c:v>
                </c:pt>
                <c:pt idx="1">
                  <c:v>4549.7899999999991</c:v>
                </c:pt>
                <c:pt idx="2">
                  <c:v>491.55</c:v>
                </c:pt>
                <c:pt idx="3">
                  <c:v>6681.01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</c:legend>
    <c:plotVisOnly val="1"/>
    <c:dispBlanksAs val="gap"/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1"/>
      <a:tileRect/>
    </a:gra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i="1"/>
            </a:pPr>
            <a:r>
              <a:rPr lang="en-IN" sz="1200" i="1"/>
              <a:t>Risk Distribution</a:t>
            </a:r>
          </a:p>
        </c:rich>
      </c:tx>
      <c:layout>
        <c:manualLayout>
          <c:xMode val="edge"/>
          <c:yMode val="edge"/>
          <c:x val="0.1509625065026004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82369244949663"/>
          <c:y val="9.254473251247558E-2"/>
          <c:w val="0.81079915123525292"/>
          <c:h val="0.7610378228124469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'Summary Dashboard'!$A$10:$A$13</c:f>
              <c:strCache>
                <c:ptCount val="4"/>
                <c:pt idx="0">
                  <c:v>Very High Risk Funds</c:v>
                </c:pt>
                <c:pt idx="1">
                  <c:v>High Risk Funds</c:v>
                </c:pt>
                <c:pt idx="2">
                  <c:v>Medium Risk Funds</c:v>
                </c:pt>
                <c:pt idx="3">
                  <c:v>Low Risk Funds</c:v>
                </c:pt>
              </c:strCache>
            </c:strRef>
          </c:cat>
          <c:val>
            <c:numRef>
              <c:f>'Summary Dashboard'!$B$10:$B$13</c:f>
              <c:numCache>
                <c:formatCode>General</c:formatCode>
                <c:ptCount val="4"/>
                <c:pt idx="0">
                  <c:v>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49632"/>
        <c:axId val="244163712"/>
      </c:barChart>
      <c:catAx>
        <c:axId val="24414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44163712"/>
        <c:crosses val="autoZero"/>
        <c:auto val="1"/>
        <c:lblAlgn val="ctr"/>
        <c:lblOffset val="100"/>
        <c:noMultiLvlLbl val="0"/>
      </c:catAx>
      <c:valAx>
        <c:axId val="24416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149632"/>
        <c:crosses val="autoZero"/>
        <c:crossBetween val="between"/>
      </c:valAx>
      <c:spPr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</c:spPr>
    </c:plotArea>
    <c:plotVisOnly val="1"/>
    <c:dispBlanksAs val="gap"/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path path="circle">
        <a:fillToRect l="50000" t="50000" r="50000" b="50000"/>
      </a:path>
      <a:tileRect/>
    </a:gra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[Mutual_Fund_Risk_Dashboard.xlsx]Pivot_Top5!PivotTable2</c:name>
    <c:fmtId val="5"/>
  </c:pivotSource>
  <c:chart>
    <c:title>
      <c:tx>
        <c:rich>
          <a:bodyPr/>
          <a:lstStyle/>
          <a:p>
            <a:pPr>
              <a:defRPr sz="1200" i="1"/>
            </a:pPr>
            <a:r>
              <a:rPr lang="en-US" sz="1200" i="1"/>
              <a:t>Top</a:t>
            </a:r>
            <a:r>
              <a:rPr lang="en-US" sz="1200" i="1" baseline="0"/>
              <a:t> 5 Funds</a:t>
            </a:r>
            <a:endParaRPr lang="en-US" sz="1200" i="1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Pivot_Top5!$B$3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Pivot_Top5!$A$4:$A$9</c:f>
              <c:strCache>
                <c:ptCount val="5"/>
                <c:pt idx="0">
                  <c:v>Axis Midcap Fund</c:v>
                </c:pt>
                <c:pt idx="1">
                  <c:v>DSP BlackRock Small Cap</c:v>
                </c:pt>
                <c:pt idx="2">
                  <c:v>Motilal Oswal Midcap Fund</c:v>
                </c:pt>
                <c:pt idx="3">
                  <c:v>Parag Parikh Flexi Cap</c:v>
                </c:pt>
                <c:pt idx="4">
                  <c:v>SBI Small Cap Fund</c:v>
                </c:pt>
              </c:strCache>
            </c:strRef>
          </c:cat>
          <c:val>
            <c:numRef>
              <c:f>Pivot_Top5!$B$4:$B$9</c:f>
              <c:numCache>
                <c:formatCode>General</c:formatCode>
                <c:ptCount val="5"/>
                <c:pt idx="0">
                  <c:v>18.2</c:v>
                </c:pt>
                <c:pt idx="1">
                  <c:v>22.5</c:v>
                </c:pt>
                <c:pt idx="2">
                  <c:v>19.5</c:v>
                </c:pt>
                <c:pt idx="3">
                  <c:v>16.8</c:v>
                </c:pt>
                <c:pt idx="4">
                  <c:v>20.5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922624"/>
        <c:axId val="244921088"/>
      </c:barChart>
      <c:valAx>
        <c:axId val="244921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44922624"/>
        <c:crosses val="autoZero"/>
        <c:crossBetween val="between"/>
      </c:valAx>
      <c:catAx>
        <c:axId val="244922624"/>
        <c:scaling>
          <c:orientation val="minMax"/>
        </c:scaling>
        <c:delete val="0"/>
        <c:axPos val="l"/>
        <c:majorTickMark val="out"/>
        <c:minorTickMark val="none"/>
        <c:tickLblPos val="nextTo"/>
        <c:crossAx val="244921088"/>
        <c:crosses val="autoZero"/>
        <c:auto val="1"/>
        <c:lblAlgn val="ctr"/>
        <c:lblOffset val="100"/>
        <c:noMultiLvlLbl val="0"/>
      </c:catAx>
      <c:spPr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c:spPr>
    </c:plotArea>
    <c:plotVisOnly val="1"/>
    <c:dispBlanksAs val="gap"/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path path="circle">
        <a:fillToRect l="50000" t="50000" r="50000" b="50000"/>
      </a:path>
      <a:tileRect/>
    </a:gra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29083</xdr:colOff>
      <xdr:row>2</xdr:row>
      <xdr:rowOff>23269</xdr:rowOff>
    </xdr:from>
    <xdr:to>
      <xdr:col>5</xdr:col>
      <xdr:colOff>352787</xdr:colOff>
      <xdr:row>23</xdr:row>
      <xdr:rowOff>98888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267573</xdr:colOff>
      <xdr:row>2</xdr:row>
      <xdr:rowOff>23269</xdr:rowOff>
    </xdr:from>
    <xdr:to>
      <xdr:col>9</xdr:col>
      <xdr:colOff>273389</xdr:colOff>
      <xdr:row>23</xdr:row>
      <xdr:rowOff>87252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296657</xdr:colOff>
      <xdr:row>2</xdr:row>
      <xdr:rowOff>5817</xdr:rowOff>
    </xdr:from>
    <xdr:to>
      <xdr:col>15</xdr:col>
      <xdr:colOff>273389</xdr:colOff>
      <xdr:row>23</xdr:row>
      <xdr:rowOff>87251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harnab Hazarika" refreshedDate="45954.520019791664" createdVersion="4" refreshedVersion="4" minRefreshableVersion="3" recordCount="20">
  <cacheSource type="worksheet">
    <worksheetSource name="Table1"/>
  </cacheSource>
  <cacheFields count="17">
    <cacheField name="Fund_Name" numFmtId="0">
      <sharedItems count="20">
        <s v="HDFC Top 100 Fund"/>
        <s v="SBI Bluechip Fund"/>
        <s v="ICICI Prudential Balanced Advantage"/>
        <s v="Axis Midcap Fund"/>
        <s v="Kotak Liquid Fund"/>
        <s v="UTI Nifty Index Fund"/>
        <s v="Aditya Birla Sun Life Tax Relief"/>
        <s v="Parag Parikh Flexi Cap"/>
        <s v="Mirae Asset Large Cap"/>
        <s v="Franklin India Debt Fund"/>
        <s v="DSP BlackRock Small Cap"/>
        <s v="Nippon India Growth Fund"/>
        <s v="HDFC Corporate Bond Fund"/>
        <s v="SBI Small Cap Fund"/>
        <s v="L&amp;T Tax Advantage Fund"/>
        <s v="Quantum Liquid Fund"/>
        <s v="ICICI Prudential Banking Fund"/>
        <s v="Motilal Oswal Midcap Fund"/>
        <s v="Invesco India Infrastructure Fund"/>
        <s v="Tata Retirement Savings Fund"/>
      </sharedItems>
    </cacheField>
    <cacheField name="Category" numFmtId="0">
      <sharedItems count="4">
        <s v="Equity"/>
        <s v="Hybrid"/>
        <s v="Liquid"/>
        <s v="Debt"/>
      </sharedItems>
    </cacheField>
    <cacheField name="Fund_House" numFmtId="0">
      <sharedItems/>
    </cacheField>
    <cacheField name="Risk_Rating" numFmtId="0">
      <sharedItems count="4">
        <s v="High"/>
        <s v="Medium"/>
        <s v="Low"/>
        <s v="Very High"/>
      </sharedItems>
    </cacheField>
    <cacheField name="Investment_Amount" numFmtId="0">
      <sharedItems containsSemiMixedTypes="0" containsString="0" containsNumber="1" containsInteger="1" minValue="15000" maxValue="80000"/>
    </cacheField>
    <cacheField name="NAV" numFmtId="0">
      <sharedItems containsSemiMixedTypes="0" containsString="0" containsNumber="1" minValue="28.56" maxValue="4125.3999999999996"/>
    </cacheField>
    <cacheField name="Returns_1Y" numFmtId="0">
      <sharedItems containsSemiMixedTypes="0" containsString="0" containsNumber="1" minValue="4" maxValue="22.5"/>
    </cacheField>
    <cacheField name="Returns_3Y" numFmtId="0">
      <sharedItems containsSemiMixedTypes="0" containsString="0" containsNumber="1" minValue="4.5" maxValue="28.5"/>
    </cacheField>
    <cacheField name="Returns_5Y" numFmtId="0">
      <sharedItems containsMixedTypes="1" containsNumber="1" minValue="4.8" maxValue="18.899999999999999"/>
    </cacheField>
    <cacheField name="Expense_Ratio" numFmtId="0">
      <sharedItems containsSemiMixedTypes="0" containsString="0" containsNumber="1" minValue="0.25" maxValue="2.25"/>
    </cacheField>
    <cacheField name="AUM_Crores" numFmtId="0">
      <sharedItems containsSemiMixedTypes="0" containsString="0" containsNumber="1" containsInteger="1" minValue="2000" maxValue="32000"/>
    </cacheField>
    <cacheField name="Launch_Year" numFmtId="0">
      <sharedItems containsSemiMixedTypes="0" containsString="0" containsNumber="1" containsInteger="1" minValue="1995" maxValue="2014"/>
    </cacheField>
    <cacheField name="Current_Value" numFmtId="0">
      <sharedItems containsSemiMixedTypes="0" containsString="0" containsNumber="1" minValue="30.216480000000001" maxValue="4298.6668"/>
    </cacheField>
    <cacheField name="profit/Loss" numFmtId="0">
      <sharedItems containsSemiMixedTypes="0" containsString="0" containsNumber="1" minValue="1.656480000000002" maxValue="482.02120000000059"/>
    </cacheField>
    <cacheField name="Return %" numFmtId="0">
      <sharedItems containsSemiMixedTypes="0" containsString="0" containsNumber="1" minValue="4.0000000000000018" maxValue="22.500000000000004"/>
    </cacheField>
    <cacheField name="Risk Score" numFmtId="0">
      <sharedItems containsSemiMixedTypes="0" containsString="0" containsNumber="1" containsInteger="1" minValue="2" maxValue="5"/>
    </cacheField>
    <cacheField name="Performance_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s v="HDFC"/>
    <x v="0"/>
    <n v="75000"/>
    <n v="648.5"/>
    <n v="14.2"/>
    <n v="16.8"/>
    <n v="13.5"/>
    <n v="1.05"/>
    <n v="25000"/>
    <n v="2007"/>
    <n v="740.58699999999999"/>
    <n v="92.086999999999989"/>
    <n v="14.2"/>
    <n v="4"/>
    <s v="Good"/>
  </r>
  <r>
    <x v="1"/>
    <x v="0"/>
    <s v="SBI"/>
    <x v="0"/>
    <n v="60000"/>
    <n v="89.45"/>
    <n v="12.5"/>
    <n v="15.2"/>
    <n v="12.8"/>
    <n v="0.85"/>
    <n v="32000"/>
    <n v="1995"/>
    <n v="100.63125000000001"/>
    <n v="11.181250000000006"/>
    <n v="12.500000000000005"/>
    <n v="4"/>
    <s v="Good"/>
  </r>
  <r>
    <x v="2"/>
    <x v="1"/>
    <s v="ICICI"/>
    <x v="1"/>
    <n v="50000"/>
    <n v="156.80000000000001"/>
    <n v="10.5"/>
    <n v="12.3"/>
    <n v="10.199999999999999"/>
    <n v="1.1499999999999999"/>
    <n v="15000"/>
    <n v="2008"/>
    <n v="173.26400000000001"/>
    <n v="16.463999999999999"/>
    <n v="10.499999999999998"/>
    <n v="3"/>
    <s v="Good"/>
  </r>
  <r>
    <x v="3"/>
    <x v="0"/>
    <s v="Axis"/>
    <x v="0"/>
    <n v="40000"/>
    <n v="78.900000000000006"/>
    <n v="18.2"/>
    <n v="22.5"/>
    <n v="16.5"/>
    <n v="1.25"/>
    <n v="8000"/>
    <n v="2011"/>
    <n v="93.259799999999998"/>
    <n v="14.359799999999993"/>
    <n v="18.199999999999989"/>
    <n v="4"/>
    <s v="Excellent"/>
  </r>
  <r>
    <x v="4"/>
    <x v="2"/>
    <s v="Kotak"/>
    <x v="2"/>
    <n v="80000"/>
    <n v="4125.3999999999996"/>
    <n v="4.2"/>
    <n v="4.8"/>
    <n v="5.0999999999999996"/>
    <n v="0.35"/>
    <n v="18000"/>
    <n v="2005"/>
    <n v="4298.6668"/>
    <n v="173.26680000000033"/>
    <n v="4.2000000000000082"/>
    <n v="2"/>
    <s v="Poor"/>
  </r>
  <r>
    <x v="5"/>
    <x v="1"/>
    <s v="UTI"/>
    <x v="1"/>
    <n v="55000"/>
    <n v="245.3"/>
    <n v="11.8"/>
    <n v="13.5"/>
    <n v="11.9"/>
    <n v="0.25"/>
    <n v="12000"/>
    <n v="2000"/>
    <n v="274.24540000000002"/>
    <n v="28.945400000000006"/>
    <n v="11.800000000000002"/>
    <n v="3"/>
    <s v="Good"/>
  </r>
  <r>
    <x v="6"/>
    <x v="1"/>
    <s v="Aditya Birla"/>
    <x v="0"/>
    <n v="35000"/>
    <n v="67.89"/>
    <n v="15.5"/>
    <n v="17.8"/>
    <n v="14.2"/>
    <n v="1.45"/>
    <n v="9500"/>
    <n v="2007"/>
    <n v="78.412950000000009"/>
    <n v="10.522950000000009"/>
    <n v="15.500000000000014"/>
    <n v="4"/>
    <s v="Excellent"/>
  </r>
  <r>
    <x v="7"/>
    <x v="0"/>
    <s v="PPFAS"/>
    <x v="0"/>
    <n v="45000"/>
    <n v="78.25"/>
    <n v="16.8"/>
    <n v="19.2"/>
    <n v="15.8"/>
    <n v="1.95"/>
    <n v="12000"/>
    <n v="2013"/>
    <n v="91.396000000000001"/>
    <n v="13.146000000000001"/>
    <n v="16.8"/>
    <n v="4"/>
    <s v="Excellent"/>
  </r>
  <r>
    <x v="8"/>
    <x v="0"/>
    <s v="Mirae"/>
    <x v="0"/>
    <n v="50000"/>
    <n v="125.6"/>
    <n v="13.5"/>
    <n v="16.2"/>
    <n v="13.8"/>
    <n v="0.75"/>
    <n v="22000"/>
    <n v="2008"/>
    <n v="142.55599999999998"/>
    <n v="16.955999999999989"/>
    <n v="13.499999999999993"/>
    <n v="4"/>
    <s v="Good"/>
  </r>
  <r>
    <x v="9"/>
    <x v="3"/>
    <s v="Franklin"/>
    <x v="2"/>
    <n v="60000"/>
    <n v="68.45"/>
    <n v="6.5"/>
    <n v="7.2"/>
    <n v="7.8"/>
    <n v="0.95"/>
    <n v="8000"/>
    <n v="2006"/>
    <n v="72.899249999999995"/>
    <n v="4.4492499999999922"/>
    <n v="6.4999999999999876"/>
    <n v="2"/>
    <s v="Poor"/>
  </r>
  <r>
    <x v="10"/>
    <x v="0"/>
    <s v="DSP"/>
    <x v="3"/>
    <n v="25000"/>
    <n v="145.80000000000001"/>
    <n v="22.5"/>
    <n v="28.5"/>
    <n v="18.899999999999999"/>
    <n v="1.85"/>
    <n v="5000"/>
    <n v="2007"/>
    <n v="178.60500000000002"/>
    <n v="32.805000000000007"/>
    <n v="22.500000000000004"/>
    <n v="5"/>
    <s v="Excellent"/>
  </r>
  <r>
    <x v="11"/>
    <x v="0"/>
    <s v="Nippon"/>
    <x v="0"/>
    <n v="40000"/>
    <n v="3256.9"/>
    <n v="14.8"/>
    <n v="17.5"/>
    <n v="13.2"/>
    <n v="1.25"/>
    <n v="8500"/>
    <n v="2005"/>
    <n v="3738.9212000000007"/>
    <n v="482.02120000000059"/>
    <n v="14.800000000000018"/>
    <n v="4"/>
    <s v="Good"/>
  </r>
  <r>
    <x v="12"/>
    <x v="3"/>
    <s v="HDFC"/>
    <x v="2"/>
    <n v="70000"/>
    <n v="28.56"/>
    <n v="5.8"/>
    <n v="6.5"/>
    <n v="7.2"/>
    <n v="0.65"/>
    <n v="15000"/>
    <n v="2010"/>
    <n v="30.216480000000001"/>
    <n v="1.656480000000002"/>
    <n v="5.8000000000000069"/>
    <n v="2"/>
    <s v="Poor"/>
  </r>
  <r>
    <x v="13"/>
    <x v="0"/>
    <s v="SBI"/>
    <x v="3"/>
    <n v="30000"/>
    <n v="156.19999999999999"/>
    <n v="20.5"/>
    <n v="25.8"/>
    <n v="17.5"/>
    <n v="1.55"/>
    <n v="6000"/>
    <n v="2009"/>
    <n v="188.221"/>
    <n v="32.021000000000015"/>
    <n v="20.500000000000011"/>
    <n v="5"/>
    <s v="Excellent"/>
  </r>
  <r>
    <x v="14"/>
    <x v="1"/>
    <s v="L&amp;T"/>
    <x v="0"/>
    <n v="35000"/>
    <n v="125.4"/>
    <n v="14.2"/>
    <n v="16.5"/>
    <n v="12.8"/>
    <n v="1.35"/>
    <n v="7000"/>
    <n v="2006"/>
    <n v="143.20679999999999"/>
    <n v="17.806799999999981"/>
    <n v="14.199999999999985"/>
    <n v="4"/>
    <s v="Good"/>
  </r>
  <r>
    <x v="15"/>
    <x v="2"/>
    <s v="Quantum"/>
    <x v="2"/>
    <n v="45000"/>
    <n v="2458.6"/>
    <n v="4"/>
    <n v="4.5"/>
    <n v="4.8"/>
    <n v="0.25"/>
    <n v="3000"/>
    <n v="2006"/>
    <n v="2556.944"/>
    <n v="98.344000000000051"/>
    <n v="4.0000000000000018"/>
    <n v="2"/>
    <s v="Poor"/>
  </r>
  <r>
    <x v="16"/>
    <x v="0"/>
    <s v="ICICI"/>
    <x v="3"/>
    <n v="20000"/>
    <n v="145.80000000000001"/>
    <n v="10.199999999999999"/>
    <n v="12.5"/>
    <n v="9.8000000000000007"/>
    <n v="2.15"/>
    <n v="4500"/>
    <n v="2008"/>
    <n v="160.67160000000001"/>
    <n v="14.871600000000001"/>
    <n v="10.199999999999999"/>
    <n v="5"/>
    <s v="Good"/>
  </r>
  <r>
    <x v="17"/>
    <x v="0"/>
    <s v="Motilal Oswal"/>
    <x v="0"/>
    <n v="35000"/>
    <n v="78.900000000000006"/>
    <n v="19.5"/>
    <n v="24.2"/>
    <s v="-"/>
    <n v="1.65"/>
    <n v="3500"/>
    <n v="2014"/>
    <n v="94.285500000000013"/>
    <n v="15.385500000000008"/>
    <n v="19.500000000000011"/>
    <n v="4"/>
    <s v="Excellent"/>
  </r>
  <r>
    <x v="18"/>
    <x v="1"/>
    <s v="Invesco"/>
    <x v="3"/>
    <n v="15000"/>
    <n v="56.78"/>
    <n v="8.5"/>
    <n v="10.199999999999999"/>
    <n v="7.5"/>
    <n v="2.25"/>
    <n v="2000"/>
    <n v="2007"/>
    <n v="61.606299999999997"/>
    <n v="4.8262999999999963"/>
    <n v="8.4999999999999929"/>
    <n v="5"/>
    <s v="Average"/>
  </r>
  <r>
    <x v="19"/>
    <x v="1"/>
    <s v="Tata"/>
    <x v="1"/>
    <n v="55000"/>
    <n v="89.45"/>
    <n v="9.8000000000000007"/>
    <n v="11.5"/>
    <n v="10.5"/>
    <n v="1.45"/>
    <n v="5000"/>
    <n v="2009"/>
    <n v="98.216100000000012"/>
    <n v="8.7661000000000087"/>
    <n v="9.8000000000000078"/>
    <n v="3"/>
    <s v="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:B9" firstHeaderRow="1" firstDataRow="1" firstDataCol="1"/>
  <pivotFields count="17">
    <pivotField axis="axisRow" showAll="0" measureFilter="1">
      <items count="21">
        <item x="6"/>
        <item x="3"/>
        <item x="10"/>
        <item x="9"/>
        <item x="12"/>
        <item x="0"/>
        <item x="2"/>
        <item x="16"/>
        <item x="18"/>
        <item x="4"/>
        <item x="14"/>
        <item x="8"/>
        <item x="17"/>
        <item x="11"/>
        <item x="7"/>
        <item x="15"/>
        <item x="1"/>
        <item x="13"/>
        <item x="19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1"/>
    </i>
    <i>
      <x v="2"/>
    </i>
    <i>
      <x v="12"/>
    </i>
    <i>
      <x v="14"/>
    </i>
    <i>
      <x v="17"/>
    </i>
    <i t="grand">
      <x/>
    </i>
  </rowItems>
  <colItems count="1">
    <i/>
  </colItems>
  <dataFields count="1">
    <dataField name="Sum of Returns_1Y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17"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eturns_1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17"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Investment_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Q22" totalsRowShown="0">
  <tableColumns count="17">
    <tableColumn id="1" name="Fund_Name"/>
    <tableColumn id="2" name="Category"/>
    <tableColumn id="3" name="Fund_House"/>
    <tableColumn id="4" name="Risk_Rating" dataDxfId="5"/>
    <tableColumn id="5" name="Investment_Amount"/>
    <tableColumn id="6" name="NAV"/>
    <tableColumn id="7" name="Returns_1Y"/>
    <tableColumn id="8" name="Returns_3Y"/>
    <tableColumn id="9" name="Returns_5Y"/>
    <tableColumn id="10" name="Expense_Ratio"/>
    <tableColumn id="11" name="AUM_Crores"/>
    <tableColumn id="12" name="Launch_Year"/>
    <tableColumn id="13" name="Current_Value" dataDxfId="4">
      <calculatedColumnFormula>F2*(1+(G2/100))</calculatedColumnFormula>
    </tableColumn>
    <tableColumn id="14" name="profit/Loss" dataDxfId="3">
      <calculatedColumnFormula>Table1[[#This Row],[Current_Value]]-Table1[[#This Row],[NAV]]</calculatedColumnFormula>
    </tableColumn>
    <tableColumn id="15" name="Return %" dataDxfId="2">
      <calculatedColumnFormula>(M2-F2)/F2*100</calculatedColumnFormula>
    </tableColumn>
    <tableColumn id="16" name="Risk Score" dataDxfId="1">
      <calculatedColumnFormula>IF(D2="Very High",5,IF(D2="High",4,IF(D2="Medium",3,IF(D2="Low",2,1))))</calculatedColumnFormula>
    </tableColumn>
    <tableColumn id="17" name="Performance_Rating" dataDxfId="0">
      <calculatedColumnFormula>IF(G2&gt;=15,"Excellent",IF(G2&gt;=10,"Good",IF(G2&gt;=7,"Average","Poor")))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D25" sqref="D25"/>
    </sheetView>
  </sheetViews>
  <sheetFormatPr defaultColWidth="9" defaultRowHeight="14.4" x14ac:dyDescent="0.3"/>
  <cols>
    <col min="1" max="1" width="31" bestFit="1" customWidth="1"/>
    <col min="2" max="2" width="14.5546875" bestFit="1" customWidth="1"/>
    <col min="3" max="3" width="13.33203125" customWidth="1"/>
    <col min="4" max="4" width="12.5546875" style="9" customWidth="1"/>
    <col min="5" max="5" width="20.33203125" customWidth="1"/>
    <col min="6" max="6" width="7" bestFit="1" customWidth="1"/>
    <col min="7" max="9" width="12.33203125" customWidth="1"/>
    <col min="10" max="10" width="15.109375" customWidth="1"/>
    <col min="11" max="11" width="13.5546875" customWidth="1"/>
    <col min="12" max="12" width="13.6640625" customWidth="1"/>
    <col min="13" max="13" width="13.21875" bestFit="1" customWidth="1"/>
    <col min="14" max="14" width="10.6640625" customWidth="1"/>
    <col min="17" max="17" width="18.44140625" bestFit="1" customWidth="1"/>
  </cols>
  <sheetData>
    <row r="1" spans="1:17" x14ac:dyDescent="0.3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3</v>
      </c>
      <c r="G1" s="1" t="s">
        <v>1</v>
      </c>
      <c r="H1" t="s">
        <v>2</v>
      </c>
      <c r="I1" t="s">
        <v>17</v>
      </c>
      <c r="J1" t="s">
        <v>18</v>
      </c>
      <c r="K1" t="s">
        <v>19</v>
      </c>
      <c r="L1" t="s">
        <v>20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3">
      <c r="A2" s="2" t="s">
        <v>21</v>
      </c>
      <c r="B2" s="2" t="s">
        <v>4</v>
      </c>
      <c r="C2" s="3" t="s">
        <v>22</v>
      </c>
      <c r="D2" s="8" t="s">
        <v>5</v>
      </c>
      <c r="E2" s="2">
        <v>75000</v>
      </c>
      <c r="F2" s="2">
        <v>648.5</v>
      </c>
      <c r="G2" s="2">
        <v>14.2</v>
      </c>
      <c r="H2">
        <v>16.8</v>
      </c>
      <c r="I2">
        <v>13.5</v>
      </c>
      <c r="J2">
        <v>1.05</v>
      </c>
      <c r="K2">
        <v>25000</v>
      </c>
      <c r="L2">
        <v>2007</v>
      </c>
      <c r="M2">
        <f t="shared" ref="M2:M21" si="0">F2*(1+(G2/100))</f>
        <v>740.58699999999999</v>
      </c>
      <c r="N2">
        <f>Table1[[#This Row],[Current_Value]]-Table1[[#This Row],[NAV]]</f>
        <v>92.086999999999989</v>
      </c>
      <c r="O2">
        <f t="shared" ref="O2:O21" si="1">(M2-F2)/F2*100</f>
        <v>14.2</v>
      </c>
      <c r="P2" s="5">
        <f t="shared" ref="P2:P21" si="2">IF(D2="Very High",5,IF(D2="High",4,IF(D2="Medium",3,IF(D2="Low",2,1))))</f>
        <v>4</v>
      </c>
      <c r="Q2" t="str">
        <f t="shared" ref="Q2:Q21" si="3">IF(G2&gt;=15,"Excellent",IF(G2&gt;=10,"Good",IF(G2&gt;=7,"Average","Poor")))</f>
        <v>Good</v>
      </c>
    </row>
    <row r="3" spans="1:17" x14ac:dyDescent="0.3">
      <c r="A3" s="2" t="s">
        <v>6</v>
      </c>
      <c r="B3" s="2" t="s">
        <v>4</v>
      </c>
      <c r="C3" s="3" t="s">
        <v>23</v>
      </c>
      <c r="D3" s="8" t="s">
        <v>5</v>
      </c>
      <c r="E3" s="2">
        <v>60000</v>
      </c>
      <c r="F3" s="2">
        <v>89.45</v>
      </c>
      <c r="G3" s="2">
        <v>12.5</v>
      </c>
      <c r="H3">
        <v>15.2</v>
      </c>
      <c r="I3">
        <v>12.8</v>
      </c>
      <c r="J3">
        <v>0.85</v>
      </c>
      <c r="K3">
        <v>32000</v>
      </c>
      <c r="L3">
        <v>1995</v>
      </c>
      <c r="M3">
        <f t="shared" si="0"/>
        <v>100.63125000000001</v>
      </c>
      <c r="N3">
        <f>Table1[[#This Row],[Current_Value]]-Table1[[#This Row],[NAV]]</f>
        <v>11.181250000000006</v>
      </c>
      <c r="O3">
        <f t="shared" si="1"/>
        <v>12.500000000000005</v>
      </c>
      <c r="P3" s="5">
        <f t="shared" si="2"/>
        <v>4</v>
      </c>
      <c r="Q3" s="5" t="str">
        <f t="shared" si="3"/>
        <v>Good</v>
      </c>
    </row>
    <row r="4" spans="1:17" x14ac:dyDescent="0.3">
      <c r="A4" s="2" t="s">
        <v>24</v>
      </c>
      <c r="B4" s="2" t="s">
        <v>7</v>
      </c>
      <c r="C4" s="3" t="s">
        <v>25</v>
      </c>
      <c r="D4" s="8" t="s">
        <v>8</v>
      </c>
      <c r="E4" s="2">
        <v>50000</v>
      </c>
      <c r="F4" s="2">
        <v>156.80000000000001</v>
      </c>
      <c r="G4" s="2">
        <v>10.5</v>
      </c>
      <c r="H4">
        <v>12.3</v>
      </c>
      <c r="I4">
        <v>10.199999999999999</v>
      </c>
      <c r="J4">
        <v>1.1499999999999999</v>
      </c>
      <c r="K4">
        <v>15000</v>
      </c>
      <c r="L4">
        <v>2008</v>
      </c>
      <c r="M4">
        <f t="shared" si="0"/>
        <v>173.26400000000001</v>
      </c>
      <c r="N4">
        <f>Table1[[#This Row],[Current_Value]]-Table1[[#This Row],[NAV]]</f>
        <v>16.463999999999999</v>
      </c>
      <c r="O4">
        <f t="shared" si="1"/>
        <v>10.499999999999998</v>
      </c>
      <c r="P4" s="5">
        <f t="shared" si="2"/>
        <v>3</v>
      </c>
      <c r="Q4" s="5" t="str">
        <f t="shared" si="3"/>
        <v>Good</v>
      </c>
    </row>
    <row r="5" spans="1:17" x14ac:dyDescent="0.3">
      <c r="A5" s="2" t="s">
        <v>11</v>
      </c>
      <c r="B5" s="2" t="s">
        <v>4</v>
      </c>
      <c r="C5" s="3" t="s">
        <v>26</v>
      </c>
      <c r="D5" s="8" t="s">
        <v>5</v>
      </c>
      <c r="E5" s="2">
        <v>40000</v>
      </c>
      <c r="F5" s="2">
        <v>78.900000000000006</v>
      </c>
      <c r="G5" s="2">
        <v>18.2</v>
      </c>
      <c r="H5">
        <v>22.5</v>
      </c>
      <c r="I5">
        <v>16.5</v>
      </c>
      <c r="J5">
        <v>1.25</v>
      </c>
      <c r="K5">
        <v>8000</v>
      </c>
      <c r="L5">
        <v>2011</v>
      </c>
      <c r="M5">
        <f t="shared" si="0"/>
        <v>93.259799999999998</v>
      </c>
      <c r="N5">
        <f>Table1[[#This Row],[Current_Value]]-Table1[[#This Row],[NAV]]</f>
        <v>14.359799999999993</v>
      </c>
      <c r="O5">
        <f t="shared" si="1"/>
        <v>18.199999999999989</v>
      </c>
      <c r="P5" s="5">
        <f t="shared" si="2"/>
        <v>4</v>
      </c>
      <c r="Q5" s="5" t="str">
        <f t="shared" si="3"/>
        <v>Excellent</v>
      </c>
    </row>
    <row r="6" spans="1:17" x14ac:dyDescent="0.3">
      <c r="A6" s="2" t="s">
        <v>12</v>
      </c>
      <c r="B6" s="2" t="s">
        <v>27</v>
      </c>
      <c r="C6" s="3" t="s">
        <v>28</v>
      </c>
      <c r="D6" s="8" t="s">
        <v>10</v>
      </c>
      <c r="E6" s="2">
        <v>80000</v>
      </c>
      <c r="F6" s="2">
        <v>4125.3999999999996</v>
      </c>
      <c r="G6" s="2">
        <v>4.2</v>
      </c>
      <c r="H6">
        <v>4.8</v>
      </c>
      <c r="I6">
        <v>5.0999999999999996</v>
      </c>
      <c r="J6">
        <v>0.35</v>
      </c>
      <c r="K6">
        <v>18000</v>
      </c>
      <c r="L6">
        <v>2005</v>
      </c>
      <c r="M6">
        <f t="shared" si="0"/>
        <v>4298.6668</v>
      </c>
      <c r="N6">
        <f>Table1[[#This Row],[Current_Value]]-Table1[[#This Row],[NAV]]</f>
        <v>173.26680000000033</v>
      </c>
      <c r="O6">
        <f t="shared" si="1"/>
        <v>4.2000000000000082</v>
      </c>
      <c r="P6" s="5">
        <f t="shared" si="2"/>
        <v>2</v>
      </c>
      <c r="Q6" s="5" t="str">
        <f t="shared" si="3"/>
        <v>Poor</v>
      </c>
    </row>
    <row r="7" spans="1:17" x14ac:dyDescent="0.3">
      <c r="A7" s="2" t="s">
        <v>29</v>
      </c>
      <c r="B7" s="2" t="s">
        <v>82</v>
      </c>
      <c r="C7" s="3" t="s">
        <v>30</v>
      </c>
      <c r="D7" s="8" t="s">
        <v>8</v>
      </c>
      <c r="E7" s="2">
        <v>55000</v>
      </c>
      <c r="F7" s="2">
        <v>245.3</v>
      </c>
      <c r="G7" s="2">
        <v>11.8</v>
      </c>
      <c r="H7">
        <v>13.5</v>
      </c>
      <c r="I7">
        <v>11.9</v>
      </c>
      <c r="J7">
        <v>0.25</v>
      </c>
      <c r="K7">
        <v>12000</v>
      </c>
      <c r="L7">
        <v>2000</v>
      </c>
      <c r="M7">
        <f t="shared" si="0"/>
        <v>274.24540000000002</v>
      </c>
      <c r="N7">
        <f>Table1[[#This Row],[Current_Value]]-Table1[[#This Row],[NAV]]</f>
        <v>28.945400000000006</v>
      </c>
      <c r="O7">
        <f t="shared" si="1"/>
        <v>11.800000000000002</v>
      </c>
      <c r="P7" s="5">
        <f t="shared" si="2"/>
        <v>3</v>
      </c>
      <c r="Q7" s="5" t="str">
        <f t="shared" si="3"/>
        <v>Good</v>
      </c>
    </row>
    <row r="8" spans="1:17" x14ac:dyDescent="0.3">
      <c r="A8" t="s">
        <v>31</v>
      </c>
      <c r="B8" t="s">
        <v>7</v>
      </c>
      <c r="C8" t="s">
        <v>32</v>
      </c>
      <c r="D8" s="9" t="s">
        <v>5</v>
      </c>
      <c r="E8">
        <v>35000</v>
      </c>
      <c r="F8">
        <v>67.89</v>
      </c>
      <c r="G8">
        <v>15.5</v>
      </c>
      <c r="H8">
        <v>17.8</v>
      </c>
      <c r="I8">
        <v>14.2</v>
      </c>
      <c r="J8">
        <v>1.45</v>
      </c>
      <c r="K8">
        <v>9500</v>
      </c>
      <c r="L8">
        <v>2007</v>
      </c>
      <c r="M8">
        <f t="shared" si="0"/>
        <v>78.412950000000009</v>
      </c>
      <c r="N8">
        <f>Table1[[#This Row],[Current_Value]]-Table1[[#This Row],[NAV]]</f>
        <v>10.522950000000009</v>
      </c>
      <c r="O8">
        <f t="shared" si="1"/>
        <v>15.500000000000014</v>
      </c>
      <c r="P8" s="5">
        <f t="shared" si="2"/>
        <v>4</v>
      </c>
      <c r="Q8" s="5" t="str">
        <f t="shared" si="3"/>
        <v>Excellent</v>
      </c>
    </row>
    <row r="9" spans="1:17" x14ac:dyDescent="0.3">
      <c r="A9" t="s">
        <v>33</v>
      </c>
      <c r="B9" t="s">
        <v>4</v>
      </c>
      <c r="C9" t="s">
        <v>34</v>
      </c>
      <c r="D9" s="9" t="s">
        <v>5</v>
      </c>
      <c r="E9">
        <v>45000</v>
      </c>
      <c r="F9">
        <v>78.25</v>
      </c>
      <c r="G9">
        <v>16.8</v>
      </c>
      <c r="H9">
        <v>19.2</v>
      </c>
      <c r="I9">
        <v>15.8</v>
      </c>
      <c r="J9">
        <v>1.95</v>
      </c>
      <c r="K9">
        <v>12000</v>
      </c>
      <c r="L9">
        <v>2013</v>
      </c>
      <c r="M9">
        <f t="shared" si="0"/>
        <v>91.396000000000001</v>
      </c>
      <c r="N9">
        <f>Table1[[#This Row],[Current_Value]]-Table1[[#This Row],[NAV]]</f>
        <v>13.146000000000001</v>
      </c>
      <c r="O9">
        <f t="shared" si="1"/>
        <v>16.8</v>
      </c>
      <c r="P9" s="5">
        <f t="shared" si="2"/>
        <v>4</v>
      </c>
      <c r="Q9" s="5" t="str">
        <f t="shared" si="3"/>
        <v>Excellent</v>
      </c>
    </row>
    <row r="10" spans="1:17" x14ac:dyDescent="0.3">
      <c r="A10" t="s">
        <v>35</v>
      </c>
      <c r="B10" t="s">
        <v>4</v>
      </c>
      <c r="C10" t="s">
        <v>36</v>
      </c>
      <c r="D10" s="9" t="s">
        <v>5</v>
      </c>
      <c r="E10">
        <v>50000</v>
      </c>
      <c r="F10">
        <v>125.6</v>
      </c>
      <c r="G10">
        <v>13.5</v>
      </c>
      <c r="H10">
        <v>16.2</v>
      </c>
      <c r="I10">
        <v>13.8</v>
      </c>
      <c r="J10">
        <v>0.75</v>
      </c>
      <c r="K10">
        <v>22000</v>
      </c>
      <c r="L10">
        <v>2008</v>
      </c>
      <c r="M10">
        <f t="shared" si="0"/>
        <v>142.55599999999998</v>
      </c>
      <c r="N10">
        <f>Table1[[#This Row],[Current_Value]]-Table1[[#This Row],[NAV]]</f>
        <v>16.955999999999989</v>
      </c>
      <c r="O10">
        <f t="shared" si="1"/>
        <v>13.499999999999993</v>
      </c>
      <c r="P10" s="5">
        <f t="shared" si="2"/>
        <v>4</v>
      </c>
      <c r="Q10" s="5" t="str">
        <f t="shared" si="3"/>
        <v>Good</v>
      </c>
    </row>
    <row r="11" spans="1:17" x14ac:dyDescent="0.3">
      <c r="A11" t="s">
        <v>37</v>
      </c>
      <c r="B11" t="s">
        <v>9</v>
      </c>
      <c r="C11" t="s">
        <v>38</v>
      </c>
      <c r="D11" s="9" t="s">
        <v>10</v>
      </c>
      <c r="E11">
        <v>60000</v>
      </c>
      <c r="F11">
        <v>68.45</v>
      </c>
      <c r="G11">
        <v>6.5</v>
      </c>
      <c r="H11">
        <v>7.2</v>
      </c>
      <c r="I11">
        <v>7.8</v>
      </c>
      <c r="J11">
        <v>0.95</v>
      </c>
      <c r="K11">
        <v>8000</v>
      </c>
      <c r="L11">
        <v>2006</v>
      </c>
      <c r="M11">
        <f t="shared" si="0"/>
        <v>72.899249999999995</v>
      </c>
      <c r="N11">
        <f>Table1[[#This Row],[Current_Value]]-Table1[[#This Row],[NAV]]</f>
        <v>4.4492499999999922</v>
      </c>
      <c r="O11">
        <f t="shared" si="1"/>
        <v>6.4999999999999876</v>
      </c>
      <c r="P11" s="5">
        <f t="shared" si="2"/>
        <v>2</v>
      </c>
      <c r="Q11" s="5" t="str">
        <f t="shared" si="3"/>
        <v>Poor</v>
      </c>
    </row>
    <row r="12" spans="1:17" x14ac:dyDescent="0.3">
      <c r="A12" t="s">
        <v>39</v>
      </c>
      <c r="B12" t="s">
        <v>4</v>
      </c>
      <c r="C12" t="s">
        <v>40</v>
      </c>
      <c r="D12" s="9" t="s">
        <v>41</v>
      </c>
      <c r="E12">
        <v>25000</v>
      </c>
      <c r="F12">
        <v>145.80000000000001</v>
      </c>
      <c r="G12">
        <v>22.5</v>
      </c>
      <c r="H12">
        <v>28.5</v>
      </c>
      <c r="I12">
        <v>18.899999999999999</v>
      </c>
      <c r="J12">
        <v>1.85</v>
      </c>
      <c r="K12">
        <v>5000</v>
      </c>
      <c r="L12">
        <v>2007</v>
      </c>
      <c r="M12">
        <f t="shared" si="0"/>
        <v>178.60500000000002</v>
      </c>
      <c r="N12">
        <f>Table1[[#This Row],[Current_Value]]-Table1[[#This Row],[NAV]]</f>
        <v>32.805000000000007</v>
      </c>
      <c r="O12">
        <f t="shared" si="1"/>
        <v>22.500000000000004</v>
      </c>
      <c r="P12" s="5">
        <f t="shared" si="2"/>
        <v>5</v>
      </c>
      <c r="Q12" s="5" t="str">
        <f t="shared" si="3"/>
        <v>Excellent</v>
      </c>
    </row>
    <row r="13" spans="1:17" x14ac:dyDescent="0.3">
      <c r="A13" t="s">
        <v>42</v>
      </c>
      <c r="B13" t="s">
        <v>4</v>
      </c>
      <c r="C13" t="s">
        <v>43</v>
      </c>
      <c r="D13" s="9" t="s">
        <v>5</v>
      </c>
      <c r="E13">
        <v>40000</v>
      </c>
      <c r="F13">
        <v>3256.9</v>
      </c>
      <c r="G13">
        <v>14.8</v>
      </c>
      <c r="H13">
        <v>17.5</v>
      </c>
      <c r="I13">
        <v>13.2</v>
      </c>
      <c r="J13">
        <v>1.25</v>
      </c>
      <c r="K13">
        <v>8500</v>
      </c>
      <c r="L13">
        <v>2005</v>
      </c>
      <c r="M13">
        <f t="shared" si="0"/>
        <v>3738.9212000000007</v>
      </c>
      <c r="N13">
        <f>Table1[[#This Row],[Current_Value]]-Table1[[#This Row],[NAV]]</f>
        <v>482.02120000000059</v>
      </c>
      <c r="O13">
        <f t="shared" si="1"/>
        <v>14.800000000000018</v>
      </c>
      <c r="P13" s="5">
        <f t="shared" si="2"/>
        <v>4</v>
      </c>
      <c r="Q13" s="5" t="str">
        <f t="shared" si="3"/>
        <v>Good</v>
      </c>
    </row>
    <row r="14" spans="1:17" x14ac:dyDescent="0.3">
      <c r="A14" t="s">
        <v>44</v>
      </c>
      <c r="B14" t="s">
        <v>9</v>
      </c>
      <c r="C14" t="s">
        <v>22</v>
      </c>
      <c r="D14" s="9" t="s">
        <v>10</v>
      </c>
      <c r="E14">
        <v>70000</v>
      </c>
      <c r="F14">
        <v>28.56</v>
      </c>
      <c r="G14">
        <v>5.8</v>
      </c>
      <c r="H14">
        <v>6.5</v>
      </c>
      <c r="I14">
        <v>7.2</v>
      </c>
      <c r="J14">
        <v>0.65</v>
      </c>
      <c r="K14">
        <v>15000</v>
      </c>
      <c r="L14">
        <v>2010</v>
      </c>
      <c r="M14">
        <f t="shared" si="0"/>
        <v>30.216480000000001</v>
      </c>
      <c r="N14">
        <f>Table1[[#This Row],[Current_Value]]-Table1[[#This Row],[NAV]]</f>
        <v>1.656480000000002</v>
      </c>
      <c r="O14">
        <f t="shared" si="1"/>
        <v>5.8000000000000069</v>
      </c>
      <c r="P14" s="5">
        <f t="shared" si="2"/>
        <v>2</v>
      </c>
      <c r="Q14" s="5" t="str">
        <f t="shared" si="3"/>
        <v>Poor</v>
      </c>
    </row>
    <row r="15" spans="1:17" x14ac:dyDescent="0.3">
      <c r="A15" t="s">
        <v>45</v>
      </c>
      <c r="B15" t="s">
        <v>4</v>
      </c>
      <c r="C15" t="s">
        <v>23</v>
      </c>
      <c r="D15" s="9" t="s">
        <v>41</v>
      </c>
      <c r="E15">
        <v>30000</v>
      </c>
      <c r="F15">
        <v>156.19999999999999</v>
      </c>
      <c r="G15">
        <v>20.5</v>
      </c>
      <c r="H15">
        <v>25.8</v>
      </c>
      <c r="I15">
        <v>17.5</v>
      </c>
      <c r="J15">
        <v>1.55</v>
      </c>
      <c r="K15">
        <v>6000</v>
      </c>
      <c r="L15">
        <v>2009</v>
      </c>
      <c r="M15">
        <f t="shared" si="0"/>
        <v>188.221</v>
      </c>
      <c r="N15">
        <f>Table1[[#This Row],[Current_Value]]-Table1[[#This Row],[NAV]]</f>
        <v>32.021000000000015</v>
      </c>
      <c r="O15">
        <f t="shared" si="1"/>
        <v>20.500000000000011</v>
      </c>
      <c r="P15" s="5">
        <f t="shared" si="2"/>
        <v>5</v>
      </c>
      <c r="Q15" s="5" t="str">
        <f t="shared" si="3"/>
        <v>Excellent</v>
      </c>
    </row>
    <row r="16" spans="1:17" x14ac:dyDescent="0.3">
      <c r="A16" t="s">
        <v>46</v>
      </c>
      <c r="B16" t="s">
        <v>7</v>
      </c>
      <c r="C16" t="s">
        <v>47</v>
      </c>
      <c r="D16" s="9" t="s">
        <v>5</v>
      </c>
      <c r="E16">
        <v>35000</v>
      </c>
      <c r="F16">
        <v>125.4</v>
      </c>
      <c r="G16">
        <v>14.2</v>
      </c>
      <c r="H16">
        <v>16.5</v>
      </c>
      <c r="I16">
        <v>12.8</v>
      </c>
      <c r="J16">
        <v>1.35</v>
      </c>
      <c r="K16">
        <v>7000</v>
      </c>
      <c r="L16">
        <v>2006</v>
      </c>
      <c r="M16">
        <f t="shared" si="0"/>
        <v>143.20679999999999</v>
      </c>
      <c r="N16">
        <f>Table1[[#This Row],[Current_Value]]-Table1[[#This Row],[NAV]]</f>
        <v>17.806799999999981</v>
      </c>
      <c r="O16">
        <f t="shared" si="1"/>
        <v>14.199999999999985</v>
      </c>
      <c r="P16" s="5">
        <f t="shared" si="2"/>
        <v>4</v>
      </c>
      <c r="Q16" s="5" t="str">
        <f t="shared" si="3"/>
        <v>Good</v>
      </c>
    </row>
    <row r="17" spans="1:17" x14ac:dyDescent="0.3">
      <c r="A17" t="s">
        <v>48</v>
      </c>
      <c r="B17" t="s">
        <v>27</v>
      </c>
      <c r="C17" t="s">
        <v>49</v>
      </c>
      <c r="D17" s="9" t="s">
        <v>10</v>
      </c>
      <c r="E17">
        <v>45000</v>
      </c>
      <c r="F17">
        <v>2458.6</v>
      </c>
      <c r="G17">
        <v>4</v>
      </c>
      <c r="H17">
        <v>4.5</v>
      </c>
      <c r="I17">
        <v>4.8</v>
      </c>
      <c r="J17">
        <v>0.25</v>
      </c>
      <c r="K17">
        <v>3000</v>
      </c>
      <c r="L17">
        <v>2006</v>
      </c>
      <c r="M17">
        <f t="shared" si="0"/>
        <v>2556.944</v>
      </c>
      <c r="N17">
        <f>Table1[[#This Row],[Current_Value]]-Table1[[#This Row],[NAV]]</f>
        <v>98.344000000000051</v>
      </c>
      <c r="O17">
        <f t="shared" si="1"/>
        <v>4.0000000000000018</v>
      </c>
      <c r="P17" s="5">
        <f t="shared" si="2"/>
        <v>2</v>
      </c>
      <c r="Q17" s="5" t="str">
        <f t="shared" si="3"/>
        <v>Poor</v>
      </c>
    </row>
    <row r="18" spans="1:17" x14ac:dyDescent="0.3">
      <c r="A18" t="s">
        <v>50</v>
      </c>
      <c r="B18" t="s">
        <v>4</v>
      </c>
      <c r="C18" t="s">
        <v>25</v>
      </c>
      <c r="D18" s="9" t="s">
        <v>41</v>
      </c>
      <c r="E18">
        <v>20000</v>
      </c>
      <c r="F18">
        <v>145.80000000000001</v>
      </c>
      <c r="G18">
        <v>10.199999999999999</v>
      </c>
      <c r="H18">
        <v>12.5</v>
      </c>
      <c r="I18">
        <v>9.8000000000000007</v>
      </c>
      <c r="J18">
        <v>2.15</v>
      </c>
      <c r="K18">
        <v>4500</v>
      </c>
      <c r="L18">
        <v>2008</v>
      </c>
      <c r="M18">
        <f t="shared" si="0"/>
        <v>160.67160000000001</v>
      </c>
      <c r="N18">
        <f>Table1[[#This Row],[Current_Value]]-Table1[[#This Row],[NAV]]</f>
        <v>14.871600000000001</v>
      </c>
      <c r="O18">
        <f t="shared" si="1"/>
        <v>10.199999999999999</v>
      </c>
      <c r="P18" s="5">
        <f t="shared" si="2"/>
        <v>5</v>
      </c>
      <c r="Q18" s="5" t="str">
        <f t="shared" si="3"/>
        <v>Good</v>
      </c>
    </row>
    <row r="19" spans="1:17" x14ac:dyDescent="0.3">
      <c r="A19" t="s">
        <v>51</v>
      </c>
      <c r="B19" t="s">
        <v>4</v>
      </c>
      <c r="C19" t="s">
        <v>52</v>
      </c>
      <c r="D19" s="9" t="s">
        <v>5</v>
      </c>
      <c r="E19">
        <v>35000</v>
      </c>
      <c r="F19">
        <v>78.900000000000006</v>
      </c>
      <c r="G19">
        <v>19.5</v>
      </c>
      <c r="H19">
        <v>24.2</v>
      </c>
      <c r="I19" t="s">
        <v>53</v>
      </c>
      <c r="J19">
        <v>1.65</v>
      </c>
      <c r="K19">
        <v>3500</v>
      </c>
      <c r="L19">
        <v>2014</v>
      </c>
      <c r="M19">
        <f t="shared" si="0"/>
        <v>94.285500000000013</v>
      </c>
      <c r="N19">
        <f>Table1[[#This Row],[Current_Value]]-Table1[[#This Row],[NAV]]</f>
        <v>15.385500000000008</v>
      </c>
      <c r="O19">
        <f t="shared" si="1"/>
        <v>19.500000000000011</v>
      </c>
      <c r="P19" s="5">
        <f t="shared" si="2"/>
        <v>4</v>
      </c>
      <c r="Q19" s="5" t="str">
        <f t="shared" si="3"/>
        <v>Excellent</v>
      </c>
    </row>
    <row r="20" spans="1:17" x14ac:dyDescent="0.3">
      <c r="A20" t="s">
        <v>54</v>
      </c>
      <c r="B20" t="s">
        <v>7</v>
      </c>
      <c r="C20" t="s">
        <v>55</v>
      </c>
      <c r="D20" s="9" t="s">
        <v>41</v>
      </c>
      <c r="E20">
        <v>15000</v>
      </c>
      <c r="F20">
        <v>56.78</v>
      </c>
      <c r="G20">
        <v>8.5</v>
      </c>
      <c r="H20">
        <v>10.199999999999999</v>
      </c>
      <c r="I20">
        <v>7.5</v>
      </c>
      <c r="J20">
        <v>2.25</v>
      </c>
      <c r="K20">
        <v>2000</v>
      </c>
      <c r="L20">
        <v>2007</v>
      </c>
      <c r="M20">
        <f t="shared" si="0"/>
        <v>61.606299999999997</v>
      </c>
      <c r="N20">
        <f>Table1[[#This Row],[Current_Value]]-Table1[[#This Row],[NAV]]</f>
        <v>4.8262999999999963</v>
      </c>
      <c r="O20">
        <f t="shared" si="1"/>
        <v>8.4999999999999929</v>
      </c>
      <c r="P20" s="5">
        <f t="shared" si="2"/>
        <v>5</v>
      </c>
      <c r="Q20" s="5" t="str">
        <f t="shared" si="3"/>
        <v>Average</v>
      </c>
    </row>
    <row r="21" spans="1:17" x14ac:dyDescent="0.3">
      <c r="A21" t="s">
        <v>56</v>
      </c>
      <c r="B21" t="s">
        <v>7</v>
      </c>
      <c r="C21" t="s">
        <v>57</v>
      </c>
      <c r="D21" s="9" t="s">
        <v>8</v>
      </c>
      <c r="E21">
        <v>55000</v>
      </c>
      <c r="F21">
        <v>89.45</v>
      </c>
      <c r="G21">
        <v>9.8000000000000007</v>
      </c>
      <c r="H21">
        <v>11.5</v>
      </c>
      <c r="I21">
        <v>10.5</v>
      </c>
      <c r="J21">
        <v>1.45</v>
      </c>
      <c r="K21">
        <v>5000</v>
      </c>
      <c r="L21">
        <v>2009</v>
      </c>
      <c r="M21">
        <f t="shared" si="0"/>
        <v>98.216100000000012</v>
      </c>
      <c r="N21">
        <f>Table1[[#This Row],[Current_Value]]-Table1[[#This Row],[NAV]]</f>
        <v>8.7661000000000087</v>
      </c>
      <c r="O21">
        <f t="shared" si="1"/>
        <v>9.8000000000000078</v>
      </c>
      <c r="P21" s="5">
        <f t="shared" si="2"/>
        <v>3</v>
      </c>
      <c r="Q21" s="5" t="str">
        <f t="shared" si="3"/>
        <v>Average</v>
      </c>
    </row>
    <row r="22" spans="1:17" x14ac:dyDescent="0.3">
      <c r="D22"/>
    </row>
    <row r="23" spans="1:17" x14ac:dyDescent="0.3">
      <c r="D23"/>
    </row>
    <row r="24" spans="1:17" x14ac:dyDescent="0.3">
      <c r="D24"/>
    </row>
    <row r="25" spans="1:17" x14ac:dyDescent="0.3">
      <c r="B25" s="4" t="s">
        <v>89</v>
      </c>
      <c r="D25" s="10" t="s">
        <v>41</v>
      </c>
    </row>
  </sheetData>
  <conditionalFormatting sqref="D2">
    <cfRule type="expression" dxfId="10" priority="8">
      <formula>$D$2="Very High"</formula>
    </cfRule>
  </conditionalFormatting>
  <conditionalFormatting sqref="D2:D21 D25">
    <cfRule type="containsText" dxfId="9" priority="4" operator="containsText" text="low">
      <formula>NOT(ISERROR(SEARCH("low",D2)))</formula>
    </cfRule>
    <cfRule type="containsText" dxfId="8" priority="5" operator="containsText" text="medium">
      <formula>NOT(ISERROR(SEARCH("medium",D2)))</formula>
    </cfRule>
    <cfRule type="containsText" dxfId="7" priority="6" operator="containsText" text="very high">
      <formula>NOT(ISERROR(SEARCH("very high",D2)))</formula>
    </cfRule>
    <cfRule type="containsText" dxfId="6" priority="7" operator="containsText" text="High">
      <formula>NOT(ISERROR(SEARCH("High",D2)))</formula>
    </cfRule>
  </conditionalFormatting>
  <conditionalFormatting sqref="G2:G2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:I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2">
    <dataValidation type="list" allowBlank="1" showInputMessage="1" showErrorMessage="1" sqref="B25">
      <formula1>"equity,hybrid,debt,liquid"</formula1>
    </dataValidation>
    <dataValidation type="list" allowBlank="1" showInputMessage="1" showErrorMessage="1" sqref="D25">
      <formula1>"Very High,Medium,High,Low"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131" zoomScaleNormal="131" workbookViewId="0">
      <selection activeCell="B5" sqref="B5"/>
    </sheetView>
  </sheetViews>
  <sheetFormatPr defaultRowHeight="14.4" x14ac:dyDescent="0.3"/>
  <cols>
    <col min="1" max="1" width="26.88671875" bestFit="1" customWidth="1"/>
    <col min="2" max="2" width="12.21875" bestFit="1" customWidth="1"/>
  </cols>
  <sheetData>
    <row r="1" spans="1:16" ht="21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4.4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3">
      <c r="A3" s="11" t="s">
        <v>64</v>
      </c>
      <c r="B3" s="11">
        <f>SUM('Raw Data'!F:F)</f>
        <v>12226.93</v>
      </c>
    </row>
    <row r="4" spans="1:16" x14ac:dyDescent="0.3">
      <c r="A4" s="11" t="s">
        <v>65</v>
      </c>
      <c r="B4" s="11">
        <f>ROUND(SUM('Raw Data'!M:M),2)</f>
        <v>13316.81</v>
      </c>
    </row>
    <row r="5" spans="1:16" x14ac:dyDescent="0.3">
      <c r="A5" s="11" t="s">
        <v>66</v>
      </c>
      <c r="B5" s="11">
        <f>B4-B3</f>
        <v>1089.8799999999992</v>
      </c>
    </row>
    <row r="6" spans="1:16" x14ac:dyDescent="0.3">
      <c r="A6" s="11"/>
      <c r="B6" s="11"/>
    </row>
    <row r="7" spans="1:16" x14ac:dyDescent="0.3">
      <c r="A7" s="11"/>
      <c r="B7" s="11"/>
    </row>
    <row r="8" spans="1:16" x14ac:dyDescent="0.3">
      <c r="A8" s="11" t="s">
        <v>60</v>
      </c>
      <c r="B8" s="11">
        <f>ROUND((B4-B3)/B3*100,2)</f>
        <v>8.91</v>
      </c>
    </row>
    <row r="9" spans="1:16" x14ac:dyDescent="0.3">
      <c r="A9" s="12" t="s">
        <v>67</v>
      </c>
      <c r="B9" s="12" t="s">
        <v>73</v>
      </c>
    </row>
    <row r="10" spans="1:16" x14ac:dyDescent="0.3">
      <c r="A10" s="11" t="s">
        <v>68</v>
      </c>
      <c r="B10" s="11">
        <f>COUNTIF('Raw Data'!D:D,"Very High")</f>
        <v>5</v>
      </c>
    </row>
    <row r="11" spans="1:16" x14ac:dyDescent="0.3">
      <c r="A11" s="11" t="s">
        <v>69</v>
      </c>
      <c r="B11" s="11">
        <f>COUNTIF('Raw Data'!D:D,"High")</f>
        <v>9</v>
      </c>
    </row>
    <row r="12" spans="1:16" x14ac:dyDescent="0.3">
      <c r="A12" s="11" t="s">
        <v>70</v>
      </c>
      <c r="B12" s="11">
        <f>COUNTIF('Raw Data'!D:D,"Medium")</f>
        <v>3</v>
      </c>
    </row>
    <row r="13" spans="1:16" x14ac:dyDescent="0.3">
      <c r="A13" s="11" t="s">
        <v>71</v>
      </c>
      <c r="B13" s="11">
        <f>COUNTIF('Raw Data'!D:D,"Low")</f>
        <v>4</v>
      </c>
    </row>
    <row r="14" spans="1:16" x14ac:dyDescent="0.3">
      <c r="A14" s="12" t="s">
        <v>72</v>
      </c>
      <c r="B14" s="12" t="s">
        <v>73</v>
      </c>
    </row>
    <row r="15" spans="1:16" x14ac:dyDescent="0.3">
      <c r="A15" s="11" t="s">
        <v>74</v>
      </c>
      <c r="B15" s="11">
        <f>SUMIF('Raw Data'!D:D,"very high",'Raw Data'!F:F)</f>
        <v>504.58000000000004</v>
      </c>
    </row>
    <row r="16" spans="1:16" x14ac:dyDescent="0.3">
      <c r="A16" s="11" t="s">
        <v>75</v>
      </c>
      <c r="B16" s="11">
        <f>SUMIF('Raw Data'!D:D,"High",'Raw Data'!F:F)</f>
        <v>4549.7899999999991</v>
      </c>
    </row>
    <row r="17" spans="1:2" x14ac:dyDescent="0.3">
      <c r="A17" s="11" t="s">
        <v>76</v>
      </c>
      <c r="B17" s="11">
        <f>SUMIF('Raw Data'!D:D,"Medium",'Raw Data'!F:F)</f>
        <v>491.55</v>
      </c>
    </row>
    <row r="18" spans="1:2" x14ac:dyDescent="0.3">
      <c r="A18" s="11" t="s">
        <v>77</v>
      </c>
      <c r="B18" s="11">
        <f>SUMIF('Raw Data'!D:D,"Low",'Raw Data'!F:F)</f>
        <v>6681.01</v>
      </c>
    </row>
    <row r="19" spans="1:2" x14ac:dyDescent="0.3">
      <c r="A19" s="12" t="s">
        <v>78</v>
      </c>
      <c r="B19" s="12" t="s">
        <v>73</v>
      </c>
    </row>
    <row r="20" spans="1:2" x14ac:dyDescent="0.3">
      <c r="A20" s="11" t="s">
        <v>79</v>
      </c>
      <c r="B20" s="11">
        <f>COUNTIFS('Raw Data'!B:B,"equity")</f>
        <v>10</v>
      </c>
    </row>
    <row r="21" spans="1:2" x14ac:dyDescent="0.3">
      <c r="A21" s="11" t="s">
        <v>80</v>
      </c>
      <c r="B21" s="11">
        <f>COUNTIFS('Raw Data'!B:B,"debt")+COUNTIF('Raw Data'!B:B,"liquid")</f>
        <v>5</v>
      </c>
    </row>
    <row r="22" spans="1:2" x14ac:dyDescent="0.3">
      <c r="A22" s="11" t="s">
        <v>81</v>
      </c>
      <c r="B22" s="11">
        <f>COUNTIF('Raw Data'!B:B,"hybrid")</f>
        <v>6</v>
      </c>
    </row>
    <row r="23" spans="1:2" x14ac:dyDescent="0.3">
      <c r="A23" s="11" t="s">
        <v>83</v>
      </c>
      <c r="B23" s="11">
        <f>ROUND(SUMPRODUCT('Raw Data'!F:F,'Raw Data'!N:N)/SUM('Raw Data'!F:F),2)</f>
        <v>214.17</v>
      </c>
    </row>
  </sheetData>
  <mergeCells count="1">
    <mergeCell ref="A1:P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Q8" sqref="Q8"/>
    </sheetView>
  </sheetViews>
  <sheetFormatPr defaultRowHeight="14.4" x14ac:dyDescent="0.3"/>
  <cols>
    <col min="1" max="1" width="23.33203125" customWidth="1"/>
    <col min="2" max="2" width="17" bestFit="1" customWidth="1"/>
  </cols>
  <sheetData>
    <row r="3" spans="1:2" x14ac:dyDescent="0.3">
      <c r="A3" s="6" t="s">
        <v>84</v>
      </c>
      <c r="B3" t="s">
        <v>87</v>
      </c>
    </row>
    <row r="4" spans="1:2" x14ac:dyDescent="0.3">
      <c r="A4" s="7" t="s">
        <v>11</v>
      </c>
      <c r="B4" s="5">
        <v>18.2</v>
      </c>
    </row>
    <row r="5" spans="1:2" x14ac:dyDescent="0.3">
      <c r="A5" s="7" t="s">
        <v>39</v>
      </c>
      <c r="B5" s="5">
        <v>22.5</v>
      </c>
    </row>
    <row r="6" spans="1:2" x14ac:dyDescent="0.3">
      <c r="A6" s="7" t="s">
        <v>51</v>
      </c>
      <c r="B6" s="5">
        <v>19.5</v>
      </c>
    </row>
    <row r="7" spans="1:2" x14ac:dyDescent="0.3">
      <c r="A7" s="7" t="s">
        <v>33</v>
      </c>
      <c r="B7" s="5">
        <v>16.8</v>
      </c>
    </row>
    <row r="8" spans="1:2" x14ac:dyDescent="0.3">
      <c r="A8" s="7" t="s">
        <v>45</v>
      </c>
      <c r="B8" s="5">
        <v>20.5</v>
      </c>
    </row>
    <row r="9" spans="1:2" x14ac:dyDescent="0.3">
      <c r="A9" s="7" t="s">
        <v>85</v>
      </c>
      <c r="B9" s="5">
        <v>97.5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Normal="100" workbookViewId="0">
      <selection activeCell="C19" sqref="C19"/>
    </sheetView>
  </sheetViews>
  <sheetFormatPr defaultRowHeight="14.4" x14ac:dyDescent="0.3"/>
  <cols>
    <col min="1" max="1" width="12.5546875" bestFit="1" customWidth="1"/>
    <col min="2" max="2" width="20.21875" bestFit="1" customWidth="1"/>
  </cols>
  <sheetData>
    <row r="3" spans="1:2" x14ac:dyDescent="0.3">
      <c r="A3" s="6" t="s">
        <v>84</v>
      </c>
      <c r="B3" t="s">
        <v>88</v>
      </c>
    </row>
    <row r="4" spans="1:2" x14ac:dyDescent="0.3">
      <c r="A4" s="7" t="s">
        <v>9</v>
      </c>
      <c r="B4" s="5">
        <v>6.15</v>
      </c>
    </row>
    <row r="5" spans="1:2" x14ac:dyDescent="0.3">
      <c r="A5" s="7" t="s">
        <v>4</v>
      </c>
      <c r="B5" s="5">
        <v>16.27</v>
      </c>
    </row>
    <row r="6" spans="1:2" x14ac:dyDescent="0.3">
      <c r="A6" s="7" t="s">
        <v>7</v>
      </c>
      <c r="B6" s="5">
        <v>11.716666666666667</v>
      </c>
    </row>
    <row r="7" spans="1:2" x14ac:dyDescent="0.3">
      <c r="A7" s="7" t="s">
        <v>27</v>
      </c>
      <c r="B7" s="5">
        <v>4.0999999999999996</v>
      </c>
    </row>
    <row r="8" spans="1:2" x14ac:dyDescent="0.3">
      <c r="A8" s="7" t="s">
        <v>85</v>
      </c>
      <c r="B8" s="5">
        <v>12.675000000000001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F26" sqref="F26"/>
    </sheetView>
  </sheetViews>
  <sheetFormatPr defaultRowHeight="14.4" x14ac:dyDescent="0.3"/>
  <cols>
    <col min="1" max="1" width="12.5546875" bestFit="1" customWidth="1"/>
    <col min="2" max="2" width="25.21875" bestFit="1" customWidth="1"/>
    <col min="3" max="3" width="29.5546875" bestFit="1" customWidth="1"/>
  </cols>
  <sheetData>
    <row r="3" spans="1:2" x14ac:dyDescent="0.3">
      <c r="A3" s="6" t="s">
        <v>84</v>
      </c>
      <c r="B3" t="s">
        <v>86</v>
      </c>
    </row>
    <row r="4" spans="1:2" x14ac:dyDescent="0.3">
      <c r="A4" s="7" t="s">
        <v>5</v>
      </c>
      <c r="B4" s="5">
        <v>415000</v>
      </c>
    </row>
    <row r="5" spans="1:2" x14ac:dyDescent="0.3">
      <c r="A5" s="7" t="s">
        <v>10</v>
      </c>
      <c r="B5" s="5">
        <v>255000</v>
      </c>
    </row>
    <row r="6" spans="1:2" x14ac:dyDescent="0.3">
      <c r="A6" s="7" t="s">
        <v>8</v>
      </c>
      <c r="B6" s="5">
        <v>160000</v>
      </c>
    </row>
    <row r="7" spans="1:2" x14ac:dyDescent="0.3">
      <c r="A7" s="7" t="s">
        <v>41</v>
      </c>
      <c r="B7" s="5">
        <v>90000</v>
      </c>
    </row>
    <row r="8" spans="1:2" x14ac:dyDescent="0.3">
      <c r="A8" s="7" t="s">
        <v>85</v>
      </c>
      <c r="B8" s="5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Summary Dashboard</vt:lpstr>
      <vt:lpstr>Pivot_Top5</vt:lpstr>
      <vt:lpstr>pivot_category</vt:lpstr>
      <vt:lpstr>Pivot_Risk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Bharnab Hazarika</dc:creator>
  <cp:lastModifiedBy>Bharnab Hazarika</cp:lastModifiedBy>
  <dcterms:created xsi:type="dcterms:W3CDTF">2025-10-24T06:03:04Z</dcterms:created>
  <dcterms:modified xsi:type="dcterms:W3CDTF">2025-10-24T08:31:04Z</dcterms:modified>
</cp:coreProperties>
</file>