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uce Hartman\OneDrive\Documents\My Latex\Ethanol Transport Khalid\"/>
    </mc:Choice>
  </mc:AlternateContent>
  <bookViews>
    <workbookView xWindow="0" yWindow="0" windowWidth="21570" windowHeight="7545" firstSheet="3" activeTab="8"/>
  </bookViews>
  <sheets>
    <sheet name="Sheet1" sheetId="1" r:id="rId1"/>
    <sheet name="SilverMeal model" sheetId="2" r:id="rId2"/>
    <sheet name="Variable D" sheetId="3" r:id="rId3"/>
    <sheet name="EOQ model" sheetId="4" r:id="rId4"/>
    <sheet name="AGG Plan LP Strategy" sheetId="8" r:id="rId5"/>
    <sheet name="Level Strategy (EOQ)" sheetId="7" r:id="rId6"/>
    <sheet name="Chase Strategy" sheetId="6" r:id="rId7"/>
    <sheet name="SilverMeal 3 Strategy" sheetId="5" r:id="rId8"/>
    <sheet name="Summary" sheetId="9" r:id="rId9"/>
  </sheets>
  <definedNames>
    <definedName name="solver_adj" localSheetId="4" hidden="1">'AGG Plan LP Strategy'!$N$16:$S$20</definedName>
    <definedName name="solver_cvg" localSheetId="4" hidden="1">0.0001</definedName>
    <definedName name="solver_drv" localSheetId="4" hidden="1">1</definedName>
    <definedName name="solver_eng" localSheetId="4" hidden="1">2</definedName>
    <definedName name="solver_est" localSheetId="4" hidden="1">1</definedName>
    <definedName name="solver_itr" localSheetId="4" hidden="1">2147483647</definedName>
    <definedName name="solver_lhs1" localSheetId="4" hidden="1">'AGG Plan LP Strategy'!$T$16:$T$20</definedName>
    <definedName name="solver_lhs2" localSheetId="4" hidden="1">'AGG Plan LP Strategy'!$T$22:$T$26</definedName>
    <definedName name="solver_lhs3" localSheetId="4" hidden="1">'AGG Plan LP Strategy'!$T$28:$T$32</definedName>
    <definedName name="solver_lhs4" localSheetId="4" hidden="1">'AGG Plan LP Strategy'!$T$34:$T$38</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4</definedName>
    <definedName name="solver_nwt" localSheetId="4" hidden="1">1</definedName>
    <definedName name="solver_opt" localSheetId="4" hidden="1">'AGG Plan LP Strategy'!$A$23</definedName>
    <definedName name="solver_pre" localSheetId="4" hidden="1">0.000001</definedName>
    <definedName name="solver_rbv" localSheetId="4" hidden="1">1</definedName>
    <definedName name="solver_rel1" localSheetId="4" hidden="1">2</definedName>
    <definedName name="solver_rel2" localSheetId="4" hidden="1">2</definedName>
    <definedName name="solver_rel3" localSheetId="4" hidden="1">2</definedName>
    <definedName name="solver_rel4" localSheetId="4" hidden="1">2</definedName>
    <definedName name="solver_rhs1" localSheetId="4" hidden="1">'AGG Plan LP Strategy'!$V$16:$V$20</definedName>
    <definedName name="solver_rhs2" localSheetId="4" hidden="1">'AGG Plan LP Strategy'!$V$22:$V$26</definedName>
    <definedName name="solver_rhs3" localSheetId="4" hidden="1">'AGG Plan LP Strategy'!$V$28:$V$32</definedName>
    <definedName name="solver_rhs4" localSheetId="4" hidden="1">'AGG Plan LP Strategy'!$V$34:$V$38</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2</definedName>
    <definedName name="solver_val" localSheetId="4" hidden="1">0</definedName>
    <definedName name="solver_ver" localSheetId="4"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E16" i="9"/>
  <c r="D16" i="9"/>
  <c r="C16" i="9"/>
  <c r="B16" i="9"/>
  <c r="A16" i="9"/>
  <c r="B54" i="5"/>
  <c r="B53" i="5"/>
  <c r="B54" i="6"/>
  <c r="B53" i="6"/>
  <c r="F4" i="9"/>
  <c r="F3" i="9"/>
  <c r="D4" i="9"/>
  <c r="D3" i="9"/>
  <c r="B4" i="9"/>
  <c r="B3" i="9"/>
  <c r="B5" i="9"/>
  <c r="B49" i="5" l="1"/>
  <c r="B52" i="5" s="1"/>
  <c r="B50" i="6"/>
  <c r="B48" i="6"/>
  <c r="B49" i="7"/>
  <c r="B52" i="7" s="1"/>
  <c r="B48" i="7"/>
  <c r="B48" i="5"/>
  <c r="B50" i="5"/>
  <c r="M49" i="5"/>
  <c r="L49" i="5"/>
  <c r="M51" i="5"/>
  <c r="L51" i="5"/>
  <c r="M50" i="5"/>
  <c r="L50" i="5"/>
  <c r="O8" i="6"/>
  <c r="C38" i="5"/>
  <c r="D38" i="5"/>
  <c r="E38" i="5"/>
  <c r="F38" i="5"/>
  <c r="G38" i="5"/>
  <c r="C39" i="5"/>
  <c r="D39" i="5"/>
  <c r="E39" i="5"/>
  <c r="F39" i="5"/>
  <c r="G39" i="5"/>
  <c r="C40" i="5"/>
  <c r="D40" i="5"/>
  <c r="E40" i="5"/>
  <c r="F40" i="5"/>
  <c r="F44" i="5" s="1"/>
  <c r="G40" i="5"/>
  <c r="C41" i="5"/>
  <c r="D41" i="5"/>
  <c r="E41" i="5"/>
  <c r="F41" i="5"/>
  <c r="G41" i="5"/>
  <c r="G44" i="5" s="1"/>
  <c r="C42" i="5"/>
  <c r="D42" i="5"/>
  <c r="E42" i="5"/>
  <c r="F42" i="5"/>
  <c r="G42" i="5"/>
  <c r="C43" i="5"/>
  <c r="D43" i="5"/>
  <c r="E43" i="5"/>
  <c r="F43" i="5"/>
  <c r="G43" i="5"/>
  <c r="B43" i="5"/>
  <c r="B42" i="5"/>
  <c r="B41" i="5"/>
  <c r="B40" i="5"/>
  <c r="B39" i="5"/>
  <c r="B38" i="5"/>
  <c r="B38" i="7"/>
  <c r="B39" i="7"/>
  <c r="B40" i="7"/>
  <c r="B41" i="7"/>
  <c r="B42" i="7"/>
  <c r="K43" i="5"/>
  <c r="J43" i="5"/>
  <c r="I43" i="5"/>
  <c r="H43" i="5"/>
  <c r="K42" i="5"/>
  <c r="J42" i="5"/>
  <c r="I42" i="5"/>
  <c r="H42" i="5"/>
  <c r="K41" i="5"/>
  <c r="J41" i="5"/>
  <c r="I41" i="5"/>
  <c r="H41" i="5"/>
  <c r="K40" i="5"/>
  <c r="J40" i="5"/>
  <c r="I40" i="5"/>
  <c r="H40" i="5"/>
  <c r="K39" i="5"/>
  <c r="J39" i="5"/>
  <c r="J44" i="5" s="1"/>
  <c r="I39" i="5"/>
  <c r="H39" i="5"/>
  <c r="H44" i="5" s="1"/>
  <c r="K38" i="5"/>
  <c r="J38" i="5"/>
  <c r="I38" i="5"/>
  <c r="H38" i="5"/>
  <c r="K44" i="5"/>
  <c r="I44" i="5"/>
  <c r="G33" i="5"/>
  <c r="H33" i="5"/>
  <c r="I33" i="5"/>
  <c r="J33" i="5"/>
  <c r="K33" i="5"/>
  <c r="F33" i="5"/>
  <c r="G22" i="5"/>
  <c r="H22" i="5"/>
  <c r="I22" i="5"/>
  <c r="J22" i="5"/>
  <c r="K22" i="5"/>
  <c r="F22" i="5"/>
  <c r="M21" i="5"/>
  <c r="M20" i="5"/>
  <c r="M19" i="5"/>
  <c r="M18" i="5"/>
  <c r="M17" i="5"/>
  <c r="M16" i="5"/>
  <c r="L17" i="5"/>
  <c r="L18" i="5"/>
  <c r="L19" i="5"/>
  <c r="L20" i="5"/>
  <c r="L21" i="5"/>
  <c r="L16" i="5"/>
  <c r="M3" i="5"/>
  <c r="M4" i="5"/>
  <c r="M5" i="5"/>
  <c r="M6" i="5"/>
  <c r="M2" i="5"/>
  <c r="R4" i="5" s="1"/>
  <c r="L2" i="5"/>
  <c r="F17" i="8"/>
  <c r="F18" i="8"/>
  <c r="F19" i="8"/>
  <c r="F20" i="8"/>
  <c r="F16" i="8"/>
  <c r="G17" i="8"/>
  <c r="G18" i="8"/>
  <c r="G19" i="8"/>
  <c r="G20" i="8"/>
  <c r="F23" i="8" s="1"/>
  <c r="G16" i="8"/>
  <c r="E17" i="8"/>
  <c r="D23" i="8" s="1"/>
  <c r="E18" i="8"/>
  <c r="E19" i="8"/>
  <c r="E20" i="8"/>
  <c r="E16" i="8"/>
  <c r="D16" i="8"/>
  <c r="M16" i="8"/>
  <c r="M17" i="8" s="1"/>
  <c r="M15" i="8"/>
  <c r="S15" i="8"/>
  <c r="T16" i="8" s="1"/>
  <c r="T17" i="8" s="1"/>
  <c r="G8" i="8"/>
  <c r="H8" i="8"/>
  <c r="I8" i="8"/>
  <c r="J8" i="8"/>
  <c r="K8" i="8"/>
  <c r="L8" i="8"/>
  <c r="M8" i="8"/>
  <c r="F8" i="8"/>
  <c r="D17" i="8"/>
  <c r="D18" i="8"/>
  <c r="D19" i="8"/>
  <c r="D20" i="8"/>
  <c r="C23" i="8"/>
  <c r="C17" i="8"/>
  <c r="B23" i="8" s="1"/>
  <c r="C18" i="8"/>
  <c r="C19" i="8"/>
  <c r="C20" i="8"/>
  <c r="C16" i="8"/>
  <c r="T29" i="8"/>
  <c r="V29" i="8"/>
  <c r="T30" i="8"/>
  <c r="V30" i="8"/>
  <c r="T31" i="8"/>
  <c r="V31" i="8"/>
  <c r="T32" i="8"/>
  <c r="V32" i="8"/>
  <c r="V28" i="8"/>
  <c r="T28" i="8"/>
  <c r="V23" i="8"/>
  <c r="V24" i="8"/>
  <c r="V25" i="8"/>
  <c r="V26" i="8"/>
  <c r="V22" i="8"/>
  <c r="T23" i="8"/>
  <c r="T24" i="8"/>
  <c r="T25" i="8"/>
  <c r="T26" i="8"/>
  <c r="T22" i="8"/>
  <c r="V17" i="8"/>
  <c r="V18" i="8"/>
  <c r="V19" i="8"/>
  <c r="V20" i="8"/>
  <c r="V16" i="8"/>
  <c r="T20" i="8"/>
  <c r="T19" i="8"/>
  <c r="T18" i="8"/>
  <c r="X7" i="8"/>
  <c r="W7" i="8"/>
  <c r="O7" i="8"/>
  <c r="M7" i="8"/>
  <c r="X6" i="8"/>
  <c r="W6" i="8"/>
  <c r="S6" i="8"/>
  <c r="T6" i="8" s="1"/>
  <c r="U5" i="8" s="1"/>
  <c r="O6" i="8"/>
  <c r="N6" i="8"/>
  <c r="M6" i="8"/>
  <c r="X5" i="8"/>
  <c r="W5" i="8"/>
  <c r="S5" i="8"/>
  <c r="T5" i="8" s="1"/>
  <c r="O5" i="8"/>
  <c r="N5" i="8"/>
  <c r="M5" i="8"/>
  <c r="X4" i="8"/>
  <c r="W4" i="8"/>
  <c r="S4" i="8"/>
  <c r="T4" i="8" s="1"/>
  <c r="U3" i="8" s="1"/>
  <c r="O4" i="8"/>
  <c r="N4" i="8"/>
  <c r="M4" i="8"/>
  <c r="X3" i="8"/>
  <c r="W3" i="8"/>
  <c r="S3" i="8"/>
  <c r="T3" i="8" s="1"/>
  <c r="O3" i="8"/>
  <c r="N3" i="8"/>
  <c r="M3" i="8"/>
  <c r="X2" i="8"/>
  <c r="W2" i="8"/>
  <c r="O2" i="8"/>
  <c r="N2" i="8"/>
  <c r="S7" i="8" s="1"/>
  <c r="T7" i="8" s="1"/>
  <c r="M2" i="8"/>
  <c r="I2" i="8"/>
  <c r="H2" i="8"/>
  <c r="R4" i="6"/>
  <c r="R5" i="6"/>
  <c r="R6" i="6"/>
  <c r="R7" i="6"/>
  <c r="S7" i="6" s="1"/>
  <c r="R3" i="6"/>
  <c r="S3" i="6" s="1"/>
  <c r="G22" i="6"/>
  <c r="H22" i="6"/>
  <c r="I22" i="6"/>
  <c r="J22" i="6"/>
  <c r="K22" i="6"/>
  <c r="F22" i="6"/>
  <c r="G33" i="6"/>
  <c r="H33" i="6"/>
  <c r="I33" i="6"/>
  <c r="J33" i="6"/>
  <c r="K33" i="6"/>
  <c r="F33" i="6"/>
  <c r="C47" i="7"/>
  <c r="D47" i="7"/>
  <c r="E47" i="7"/>
  <c r="F47" i="7"/>
  <c r="G47" i="7"/>
  <c r="H47" i="7"/>
  <c r="I47" i="7"/>
  <c r="J47" i="7"/>
  <c r="K47" i="7"/>
  <c r="B47" i="7"/>
  <c r="K42" i="7"/>
  <c r="J42" i="7"/>
  <c r="I42" i="7"/>
  <c r="H42" i="7"/>
  <c r="G42" i="7"/>
  <c r="F42" i="7"/>
  <c r="E42" i="7"/>
  <c r="D42" i="7"/>
  <c r="C42" i="7"/>
  <c r="A42" i="7"/>
  <c r="L41" i="7"/>
  <c r="K41" i="7"/>
  <c r="J41" i="7"/>
  <c r="I41" i="7"/>
  <c r="H41" i="7"/>
  <c r="G41" i="7"/>
  <c r="F41" i="7"/>
  <c r="E41" i="7"/>
  <c r="D41" i="7"/>
  <c r="C41" i="7"/>
  <c r="A41" i="7"/>
  <c r="K40" i="7"/>
  <c r="J40" i="7"/>
  <c r="I40" i="7"/>
  <c r="H40" i="7"/>
  <c r="G40" i="7"/>
  <c r="F40" i="7"/>
  <c r="E40" i="7"/>
  <c r="D40" i="7"/>
  <c r="C40" i="7"/>
  <c r="A40" i="7"/>
  <c r="M39" i="7"/>
  <c r="K39" i="7"/>
  <c r="J39" i="7"/>
  <c r="I39" i="7"/>
  <c r="H39" i="7"/>
  <c r="G39" i="7"/>
  <c r="F39" i="7"/>
  <c r="E39" i="7"/>
  <c r="D39" i="7"/>
  <c r="C39" i="7"/>
  <c r="A39" i="7"/>
  <c r="K38" i="7"/>
  <c r="K43" i="7" s="1"/>
  <c r="J38" i="7"/>
  <c r="I38" i="7"/>
  <c r="I43" i="7" s="1"/>
  <c r="H38" i="7"/>
  <c r="H43" i="7" s="1"/>
  <c r="G38" i="7"/>
  <c r="G43" i="7" s="1"/>
  <c r="F38" i="7"/>
  <c r="E38" i="7"/>
  <c r="D38" i="7"/>
  <c r="C38" i="7"/>
  <c r="A38" i="7"/>
  <c r="L37" i="7"/>
  <c r="K37" i="7"/>
  <c r="J37" i="7"/>
  <c r="I37" i="7"/>
  <c r="H37" i="7"/>
  <c r="G37" i="7"/>
  <c r="F37" i="7"/>
  <c r="E37" i="7"/>
  <c r="D37" i="7"/>
  <c r="C37" i="7"/>
  <c r="B37" i="7"/>
  <c r="A37" i="7"/>
  <c r="K32" i="7"/>
  <c r="J32" i="7"/>
  <c r="I32" i="7"/>
  <c r="H32" i="7"/>
  <c r="G32" i="7"/>
  <c r="F32" i="7"/>
  <c r="M31" i="7"/>
  <c r="L31" i="7"/>
  <c r="M30" i="7"/>
  <c r="L30" i="7"/>
  <c r="M29" i="7"/>
  <c r="L29" i="7"/>
  <c r="M28" i="7"/>
  <c r="L28" i="7"/>
  <c r="M27" i="7"/>
  <c r="M33" i="7" s="1"/>
  <c r="L27" i="7"/>
  <c r="L34" i="7" s="1"/>
  <c r="M26" i="7"/>
  <c r="L26" i="7"/>
  <c r="K21" i="7"/>
  <c r="J21" i="7"/>
  <c r="I21" i="7"/>
  <c r="H21" i="7"/>
  <c r="G21" i="7"/>
  <c r="F21" i="7"/>
  <c r="M20" i="7"/>
  <c r="M42" i="7" s="1"/>
  <c r="L20" i="7"/>
  <c r="L42" i="7" s="1"/>
  <c r="M19" i="7"/>
  <c r="M41" i="7" s="1"/>
  <c r="L19" i="7"/>
  <c r="M18" i="7"/>
  <c r="M40" i="7" s="1"/>
  <c r="L18" i="7"/>
  <c r="L40" i="7" s="1"/>
  <c r="M17" i="7"/>
  <c r="L17" i="7"/>
  <c r="L39" i="7" s="1"/>
  <c r="M16" i="7"/>
  <c r="M38" i="7" s="1"/>
  <c r="L16" i="7"/>
  <c r="L23" i="7" s="1"/>
  <c r="L45" i="7" s="1"/>
  <c r="M15" i="7"/>
  <c r="M37" i="7" s="1"/>
  <c r="M47" i="7" s="1"/>
  <c r="L15" i="7"/>
  <c r="B10" i="7"/>
  <c r="D7" i="7" s="1"/>
  <c r="E7" i="7" s="1"/>
  <c r="F7" i="7" s="1"/>
  <c r="D6" i="7"/>
  <c r="E6" i="7" s="1"/>
  <c r="F6" i="7" s="1"/>
  <c r="D5" i="7"/>
  <c r="E5" i="7" s="1"/>
  <c r="F5" i="7" s="1"/>
  <c r="S43" i="6"/>
  <c r="T42" i="6" s="1"/>
  <c r="K43" i="6"/>
  <c r="J43" i="6"/>
  <c r="I43" i="6"/>
  <c r="H43" i="6"/>
  <c r="G43" i="6"/>
  <c r="F43" i="6"/>
  <c r="E43" i="6"/>
  <c r="D43" i="6"/>
  <c r="C43" i="6"/>
  <c r="B43" i="6"/>
  <c r="S42" i="6"/>
  <c r="T41" i="6" s="1"/>
  <c r="K42" i="6"/>
  <c r="J42" i="6"/>
  <c r="I42" i="6"/>
  <c r="H42" i="6"/>
  <c r="G42" i="6"/>
  <c r="F42" i="6"/>
  <c r="E42" i="6"/>
  <c r="D42" i="6"/>
  <c r="C42" i="6"/>
  <c r="B42" i="6"/>
  <c r="S41" i="6"/>
  <c r="T40" i="6" s="1"/>
  <c r="K41" i="6"/>
  <c r="J41" i="6"/>
  <c r="I41" i="6"/>
  <c r="H41" i="6"/>
  <c r="G41" i="6"/>
  <c r="F41" i="6"/>
  <c r="E41" i="6"/>
  <c r="D41" i="6"/>
  <c r="C41" i="6"/>
  <c r="B41" i="6"/>
  <c r="S40" i="6"/>
  <c r="T39" i="6" s="1"/>
  <c r="K40" i="6"/>
  <c r="J40" i="6"/>
  <c r="I40" i="6"/>
  <c r="H40" i="6"/>
  <c r="G40" i="6"/>
  <c r="F40" i="6"/>
  <c r="E40" i="6"/>
  <c r="D40" i="6"/>
  <c r="C40" i="6"/>
  <c r="B40" i="6"/>
  <c r="S39" i="6"/>
  <c r="K39" i="6"/>
  <c r="J39" i="6"/>
  <c r="I39" i="6"/>
  <c r="H39" i="6"/>
  <c r="G39" i="6"/>
  <c r="F39" i="6"/>
  <c r="E39" i="6"/>
  <c r="D39" i="6"/>
  <c r="C39" i="6"/>
  <c r="B39" i="6"/>
  <c r="K38" i="6"/>
  <c r="J38" i="6"/>
  <c r="I38" i="6"/>
  <c r="H38" i="6"/>
  <c r="G38" i="6"/>
  <c r="F38" i="6"/>
  <c r="E38" i="6"/>
  <c r="D38" i="6"/>
  <c r="C38" i="6"/>
  <c r="B38" i="6"/>
  <c r="M32" i="6"/>
  <c r="L32" i="6"/>
  <c r="L43" i="6" s="1"/>
  <c r="M31" i="6"/>
  <c r="M42" i="6" s="1"/>
  <c r="L31" i="6"/>
  <c r="M30" i="6"/>
  <c r="L30" i="6"/>
  <c r="L41" i="6" s="1"/>
  <c r="M29" i="6"/>
  <c r="M35" i="6" s="1"/>
  <c r="L29" i="6"/>
  <c r="M28" i="6"/>
  <c r="M34" i="6" s="1"/>
  <c r="L28" i="6"/>
  <c r="L39" i="6" s="1"/>
  <c r="M27" i="6"/>
  <c r="M38" i="6" s="1"/>
  <c r="L27" i="6"/>
  <c r="L38" i="6" s="1"/>
  <c r="M21" i="6"/>
  <c r="M43" i="6" s="1"/>
  <c r="L21" i="6"/>
  <c r="M20" i="6"/>
  <c r="L20" i="6"/>
  <c r="L42" i="6" s="1"/>
  <c r="M19" i="6"/>
  <c r="M41" i="6" s="1"/>
  <c r="L19" i="6"/>
  <c r="M18" i="6"/>
  <c r="L18" i="6"/>
  <c r="L40" i="6" s="1"/>
  <c r="M17" i="6"/>
  <c r="M39" i="6" s="1"/>
  <c r="L17" i="6"/>
  <c r="L23" i="6" s="1"/>
  <c r="M16" i="6"/>
  <c r="L16" i="6"/>
  <c r="W7" i="6"/>
  <c r="V7" i="6"/>
  <c r="N7" i="6"/>
  <c r="L7" i="6"/>
  <c r="W6" i="6"/>
  <c r="V6" i="6"/>
  <c r="S6" i="6"/>
  <c r="N6" i="6"/>
  <c r="M6" i="6"/>
  <c r="L6" i="6"/>
  <c r="W5" i="6"/>
  <c r="V5" i="6"/>
  <c r="S5" i="6"/>
  <c r="N5" i="6"/>
  <c r="M5" i="6"/>
  <c r="L5" i="6"/>
  <c r="W4" i="6"/>
  <c r="V4" i="6"/>
  <c r="S4" i="6"/>
  <c r="N4" i="6"/>
  <c r="M4" i="6"/>
  <c r="L4" i="6"/>
  <c r="W3" i="6"/>
  <c r="V3" i="6"/>
  <c r="N3" i="6"/>
  <c r="M3" i="6"/>
  <c r="L3" i="6"/>
  <c r="W2" i="6"/>
  <c r="V2" i="6"/>
  <c r="N2" i="6"/>
  <c r="M2" i="6"/>
  <c r="L2" i="6"/>
  <c r="I2" i="6"/>
  <c r="H2" i="6"/>
  <c r="L28" i="5"/>
  <c r="M28" i="5"/>
  <c r="M35" i="5" s="1"/>
  <c r="L29" i="5"/>
  <c r="M29" i="5"/>
  <c r="L30" i="5"/>
  <c r="M30" i="5"/>
  <c r="L31" i="5"/>
  <c r="M31" i="5"/>
  <c r="L32" i="5"/>
  <c r="M32" i="5"/>
  <c r="M27" i="5"/>
  <c r="L27" i="5"/>
  <c r="A37" i="4"/>
  <c r="G21" i="4"/>
  <c r="H21" i="4"/>
  <c r="I21" i="4"/>
  <c r="J21" i="4"/>
  <c r="K21" i="4"/>
  <c r="F21" i="4"/>
  <c r="G32" i="4"/>
  <c r="J32" i="4"/>
  <c r="K32" i="4"/>
  <c r="I32" i="4"/>
  <c r="H32" i="4"/>
  <c r="F32" i="4"/>
  <c r="C13" i="9"/>
  <c r="C12" i="9"/>
  <c r="C11" i="9"/>
  <c r="B6" i="9"/>
  <c r="B7" i="9"/>
  <c r="B11" i="9"/>
  <c r="F7" i="9"/>
  <c r="D6" i="9"/>
  <c r="F12" i="9"/>
  <c r="G12" i="9"/>
  <c r="F5" i="9"/>
  <c r="D5" i="9"/>
  <c r="G13" i="9"/>
  <c r="F6" i="9"/>
  <c r="E12" i="9"/>
  <c r="B13" i="9"/>
  <c r="D12" i="9"/>
  <c r="F11" i="9"/>
  <c r="B12" i="9"/>
  <c r="E13" i="9"/>
  <c r="E11" i="9"/>
  <c r="D13" i="9"/>
  <c r="F13" i="9"/>
  <c r="D11" i="9"/>
  <c r="G11" i="9"/>
  <c r="B8" i="9" l="1"/>
  <c r="R7" i="5"/>
  <c r="F8" i="9"/>
  <c r="B52" i="6"/>
  <c r="L35" i="5"/>
  <c r="L39" i="5"/>
  <c r="M33" i="5"/>
  <c r="L23" i="5"/>
  <c r="L43" i="5"/>
  <c r="L41" i="5"/>
  <c r="L38" i="5"/>
  <c r="M42" i="5"/>
  <c r="M40" i="5"/>
  <c r="M38" i="5"/>
  <c r="L42" i="5"/>
  <c r="L40" i="5"/>
  <c r="M43" i="5"/>
  <c r="M41" i="5"/>
  <c r="M39" i="5"/>
  <c r="M24" i="5"/>
  <c r="L34" i="5"/>
  <c r="R6" i="5"/>
  <c r="M34" i="5"/>
  <c r="R5" i="5"/>
  <c r="L24" i="5"/>
  <c r="L33" i="5"/>
  <c r="R3" i="5"/>
  <c r="E23" i="8"/>
  <c r="A23" i="8" s="1"/>
  <c r="T34" i="8"/>
  <c r="T35" i="8"/>
  <c r="M18" i="8"/>
  <c r="U6" i="8"/>
  <c r="U7" i="8"/>
  <c r="U4" i="8"/>
  <c r="T4" i="6"/>
  <c r="M43" i="7"/>
  <c r="M44" i="7"/>
  <c r="L21" i="7"/>
  <c r="M23" i="7"/>
  <c r="M34" i="7"/>
  <c r="D4" i="7"/>
  <c r="E4" i="7" s="1"/>
  <c r="F4" i="7" s="1"/>
  <c r="D8" i="7"/>
  <c r="E8" i="7" s="1"/>
  <c r="F8" i="7" s="1"/>
  <c r="L22" i="7"/>
  <c r="L33" i="7"/>
  <c r="L38" i="7"/>
  <c r="L32" i="7"/>
  <c r="F43" i="7"/>
  <c r="J43" i="7"/>
  <c r="M21" i="7"/>
  <c r="M32" i="7"/>
  <c r="M22" i="7"/>
  <c r="L46" i="6"/>
  <c r="L44" i="6"/>
  <c r="L45" i="6"/>
  <c r="T6" i="6"/>
  <c r="T7" i="6"/>
  <c r="T3" i="6"/>
  <c r="T5" i="6"/>
  <c r="L22" i="6"/>
  <c r="L24" i="6"/>
  <c r="L34" i="6"/>
  <c r="M22" i="6"/>
  <c r="M24" i="6"/>
  <c r="M40" i="6"/>
  <c r="M46" i="6" s="1"/>
  <c r="T43" i="6"/>
  <c r="L33" i="6"/>
  <c r="L35" i="6"/>
  <c r="M23" i="6"/>
  <c r="M33" i="6"/>
  <c r="M23" i="5"/>
  <c r="L22" i="5"/>
  <c r="M22" i="5"/>
  <c r="L27" i="4"/>
  <c r="M27" i="4"/>
  <c r="L28" i="4"/>
  <c r="M28" i="4"/>
  <c r="L29" i="4"/>
  <c r="M29" i="4"/>
  <c r="L30" i="4"/>
  <c r="M30" i="4"/>
  <c r="L31" i="4"/>
  <c r="M31" i="4"/>
  <c r="M26" i="4"/>
  <c r="L26" i="4"/>
  <c r="M15" i="4"/>
  <c r="M16" i="4"/>
  <c r="M17" i="4"/>
  <c r="M18" i="4"/>
  <c r="M40" i="4" s="1"/>
  <c r="M19" i="4"/>
  <c r="M20" i="4"/>
  <c r="M42" i="4" s="1"/>
  <c r="L16" i="4"/>
  <c r="L17" i="4"/>
  <c r="L39" i="4" s="1"/>
  <c r="L18" i="4"/>
  <c r="L19" i="4"/>
  <c r="L20" i="4"/>
  <c r="L15" i="4"/>
  <c r="L37" i="4" s="1"/>
  <c r="C37" i="4"/>
  <c r="D37" i="4"/>
  <c r="E37" i="4"/>
  <c r="F37" i="4"/>
  <c r="G37" i="4"/>
  <c r="H37" i="4"/>
  <c r="I37" i="4"/>
  <c r="J37" i="4"/>
  <c r="K37" i="4"/>
  <c r="C38" i="4"/>
  <c r="D38" i="4"/>
  <c r="E38" i="4"/>
  <c r="F38" i="4"/>
  <c r="G38" i="4"/>
  <c r="H38" i="4"/>
  <c r="I38" i="4"/>
  <c r="I43" i="4" s="1"/>
  <c r="J38" i="4"/>
  <c r="K38" i="4"/>
  <c r="C39" i="4"/>
  <c r="D39" i="4"/>
  <c r="E39" i="4"/>
  <c r="F39" i="4"/>
  <c r="G39" i="4"/>
  <c r="H39" i="4"/>
  <c r="I39" i="4"/>
  <c r="J39" i="4"/>
  <c r="K39" i="4"/>
  <c r="C40" i="4"/>
  <c r="D40" i="4"/>
  <c r="E40" i="4"/>
  <c r="F40" i="4"/>
  <c r="G40" i="4"/>
  <c r="H40" i="4"/>
  <c r="I40" i="4"/>
  <c r="J40" i="4"/>
  <c r="K40" i="4"/>
  <c r="C41" i="4"/>
  <c r="D41" i="4"/>
  <c r="E41" i="4"/>
  <c r="F41" i="4"/>
  <c r="G41" i="4"/>
  <c r="H41" i="4"/>
  <c r="I41" i="4"/>
  <c r="J41" i="4"/>
  <c r="K41" i="4"/>
  <c r="C42" i="4"/>
  <c r="D42" i="4"/>
  <c r="E42" i="4"/>
  <c r="F42" i="4"/>
  <c r="G42" i="4"/>
  <c r="H42" i="4"/>
  <c r="I42" i="4"/>
  <c r="J42" i="4"/>
  <c r="K42" i="4"/>
  <c r="B38" i="4"/>
  <c r="B39" i="4"/>
  <c r="B40" i="4"/>
  <c r="B41" i="4"/>
  <c r="B42" i="4"/>
  <c r="B37" i="4"/>
  <c r="A38" i="4"/>
  <c r="A39" i="4"/>
  <c r="A40" i="4"/>
  <c r="A41" i="4"/>
  <c r="A42" i="4"/>
  <c r="D7" i="9"/>
  <c r="D8" i="9" l="1"/>
  <c r="M45" i="5"/>
  <c r="L44" i="5"/>
  <c r="L45" i="5"/>
  <c r="L46" i="5"/>
  <c r="M44" i="5"/>
  <c r="M46" i="5"/>
  <c r="M19" i="8"/>
  <c r="T36" i="8"/>
  <c r="L44" i="7"/>
  <c r="L43" i="7"/>
  <c r="L47" i="7"/>
  <c r="M45" i="7"/>
  <c r="M45" i="6"/>
  <c r="M44" i="6"/>
  <c r="I47" i="4"/>
  <c r="M37" i="4"/>
  <c r="L34" i="4"/>
  <c r="M34" i="4"/>
  <c r="K43" i="4"/>
  <c r="K47" i="4"/>
  <c r="J47" i="4"/>
  <c r="J43" i="4"/>
  <c r="H43" i="4"/>
  <c r="H47" i="4"/>
  <c r="G43" i="4"/>
  <c r="G47" i="4"/>
  <c r="F43" i="4"/>
  <c r="F47" i="4"/>
  <c r="L23" i="4"/>
  <c r="L45" i="4" s="1"/>
  <c r="M23" i="4"/>
  <c r="M45" i="4" s="1"/>
  <c r="L40" i="4"/>
  <c r="L33" i="4"/>
  <c r="L32" i="4"/>
  <c r="L42" i="4"/>
  <c r="M32" i="4"/>
  <c r="M33" i="4"/>
  <c r="L38" i="4"/>
  <c r="L21" i="4"/>
  <c r="L22" i="4"/>
  <c r="M38" i="4"/>
  <c r="M21" i="4"/>
  <c r="M22" i="4"/>
  <c r="M39" i="4"/>
  <c r="L41" i="4"/>
  <c r="M41" i="4"/>
  <c r="B47" i="4"/>
  <c r="E47" i="4"/>
  <c r="D47" i="4"/>
  <c r="C47" i="4"/>
  <c r="T39" i="5"/>
  <c r="S40" i="5"/>
  <c r="S41" i="5"/>
  <c r="S42" i="5"/>
  <c r="S43" i="5"/>
  <c r="T42" i="5" s="1"/>
  <c r="S39" i="5"/>
  <c r="V7" i="5"/>
  <c r="U7" i="5"/>
  <c r="N7" i="5"/>
  <c r="L7" i="5"/>
  <c r="V6" i="5"/>
  <c r="U6" i="5"/>
  <c r="N6" i="5"/>
  <c r="L6" i="5"/>
  <c r="V5" i="5"/>
  <c r="U5" i="5"/>
  <c r="N5" i="5"/>
  <c r="L5" i="5"/>
  <c r="V4" i="5"/>
  <c r="U4" i="5"/>
  <c r="N4" i="5"/>
  <c r="L4" i="5"/>
  <c r="V3" i="5"/>
  <c r="U3" i="5"/>
  <c r="N3" i="5"/>
  <c r="L3" i="5"/>
  <c r="N2" i="5"/>
  <c r="R39" i="5"/>
  <c r="D6" i="4"/>
  <c r="B10" i="4"/>
  <c r="D7" i="4" s="1"/>
  <c r="I2" i="3"/>
  <c r="F2" i="3"/>
  <c r="E2" i="3"/>
  <c r="H2" i="3"/>
  <c r="G2" i="3"/>
  <c r="M7" i="2"/>
  <c r="M6" i="2"/>
  <c r="M5" i="2"/>
  <c r="M4" i="2"/>
  <c r="M3" i="2"/>
  <c r="M2" i="2"/>
  <c r="X7" i="2"/>
  <c r="W7" i="2"/>
  <c r="X6" i="2"/>
  <c r="W6" i="2"/>
  <c r="X5" i="2"/>
  <c r="W5" i="2"/>
  <c r="X4" i="2"/>
  <c r="W4" i="2"/>
  <c r="X3" i="2"/>
  <c r="W3" i="2"/>
  <c r="X2" i="2"/>
  <c r="W2" i="2"/>
  <c r="M3" i="1"/>
  <c r="M4" i="1"/>
  <c r="M5" i="1"/>
  <c r="M6" i="1"/>
  <c r="M7" i="1"/>
  <c r="M2" i="1"/>
  <c r="W2" i="1"/>
  <c r="W3" i="1"/>
  <c r="W4" i="1"/>
  <c r="W5" i="1"/>
  <c r="W6" i="1"/>
  <c r="W7" i="1"/>
  <c r="V3" i="1"/>
  <c r="V4" i="1"/>
  <c r="V5" i="1"/>
  <c r="V6" i="1"/>
  <c r="V7" i="1"/>
  <c r="V2" i="1"/>
  <c r="S4" i="2"/>
  <c r="T4" i="2" s="1"/>
  <c r="S5" i="2"/>
  <c r="S6" i="2"/>
  <c r="S7" i="2"/>
  <c r="S3" i="2"/>
  <c r="O7" i="2"/>
  <c r="O6" i="2"/>
  <c r="N6" i="2"/>
  <c r="O5" i="2"/>
  <c r="N5" i="2"/>
  <c r="O4" i="2"/>
  <c r="N4" i="2"/>
  <c r="O3" i="2"/>
  <c r="N3" i="2"/>
  <c r="O2" i="2"/>
  <c r="N2" i="2"/>
  <c r="I2" i="2"/>
  <c r="H2" i="2"/>
  <c r="S4" i="1"/>
  <c r="T4" i="1" s="1"/>
  <c r="S3" i="1"/>
  <c r="T3" i="1" s="1"/>
  <c r="O3" i="1"/>
  <c r="O4" i="1"/>
  <c r="O5" i="1"/>
  <c r="O6" i="1"/>
  <c r="O7" i="1"/>
  <c r="O2" i="1"/>
  <c r="N3" i="1"/>
  <c r="S5" i="1" s="1"/>
  <c r="T5" i="1" s="1"/>
  <c r="N4" i="1"/>
  <c r="N5" i="1"/>
  <c r="N6" i="1"/>
  <c r="N2" i="1"/>
  <c r="S7" i="1" s="1"/>
  <c r="T7" i="1" s="1"/>
  <c r="I2" i="1"/>
  <c r="H2" i="1"/>
  <c r="M20" i="8" l="1"/>
  <c r="T38" i="8" s="1"/>
  <c r="T37" i="8"/>
  <c r="T41" i="5"/>
  <c r="T43" i="5"/>
  <c r="T40" i="5"/>
  <c r="L43" i="4"/>
  <c r="M47" i="4"/>
  <c r="M44" i="4"/>
  <c r="L47" i="4"/>
  <c r="D5" i="4"/>
  <c r="D8" i="4"/>
  <c r="E8" i="4" s="1"/>
  <c r="F8" i="4" s="1"/>
  <c r="M43" i="4"/>
  <c r="D4" i="4"/>
  <c r="E4" i="4" s="1"/>
  <c r="F4" i="4" s="1"/>
  <c r="L44" i="4"/>
  <c r="S5" i="5"/>
  <c r="S7" i="5"/>
  <c r="T7" i="5" s="1"/>
  <c r="S3" i="5"/>
  <c r="S4" i="5"/>
  <c r="S6" i="5"/>
  <c r="E7" i="4"/>
  <c r="F7" i="4" s="1"/>
  <c r="E6" i="4"/>
  <c r="F6" i="4" s="1"/>
  <c r="E5" i="4"/>
  <c r="F5" i="4" s="1"/>
  <c r="T3" i="2"/>
  <c r="U3" i="2"/>
  <c r="T5" i="2"/>
  <c r="U4" i="2" s="1"/>
  <c r="T6" i="2"/>
  <c r="T7" i="2"/>
  <c r="S6" i="1"/>
  <c r="T6" i="1" s="1"/>
  <c r="U6" i="1" s="1"/>
  <c r="U7" i="1"/>
  <c r="U3" i="1"/>
  <c r="U4" i="1"/>
  <c r="T5" i="5" l="1"/>
  <c r="T3" i="5"/>
  <c r="T10" i="5" s="1"/>
  <c r="Q10" i="5" s="1"/>
  <c r="T6" i="5"/>
  <c r="T4" i="5"/>
  <c r="U5" i="2"/>
  <c r="U7" i="2"/>
  <c r="U6" i="2"/>
  <c r="U5" i="1"/>
</calcChain>
</file>

<file path=xl/comments1.xml><?xml version="1.0" encoding="utf-8"?>
<comments xmlns="http://schemas.openxmlformats.org/spreadsheetml/2006/main">
  <authors>
    <author>Bruce Hartman</author>
  </authors>
  <commentList>
    <comment ref="F47" authorId="0" shapeId="0">
      <text>
        <r>
          <rPr>
            <b/>
            <sz val="9"/>
            <color indexed="81"/>
            <rFont val="Tahoma"/>
            <family val="2"/>
          </rPr>
          <t>Bruce Hartman:</t>
        </r>
        <r>
          <rPr>
            <sz val="9"/>
            <color indexed="81"/>
            <rFont val="Tahoma"/>
            <family val="2"/>
          </rPr>
          <t xml:space="preserve">
Strategy: 'INITIAL'
Fix the EOQ based on the average demand over 5 horizons and simply adjust once the number of cars to this value.
Costs incurred: 
Fixed cost of changing once from 69 to 48.
Operating costs of Scheduling and Operating in horizons 1 to 5
Comparison Strategy: 'OPTIMAL'
Change the cars to optimal at each period. 
Costs incurred: 
Fixed cost of changing at start of each horizon
Operating costs of Scheduling and Operating in horizons 1 to 5
Results:
S and O Costs for horizons 1-5 appear in 'DIFFERENCES' yellow row
Fill and Idle Rates avg/SD appear in 'DIFFERENCES' calculation cells
Cost summary:
S&amp;O costs: 'OPTIMAL' is lower than 'INITIAL' by Combinedcost $791
Average F&amp;I rates: 'OPTIMAL' is lower than 'INITIAL' by about 1 to 2%
SD of F&amp;I rates: 'OPTIMAL' is lower than 'INITIAL' by about 10 percentage points.
Max F&amp;I rates: 'OPTIMAL' is lower than 'INITIAL', approximately half as much, 15 and 18 percentage points respectively.
Setup costs: 'OPTIMAL' requires 5 setups, 'INITIAL' only one, a big saving.
Analysis:
'INITIAL' strategy has almost the same S&amp;O costs; almost the same average F&amp;I rates
'INITIAL' strategy has much lower setup costs (not figured above), and much more predictable costs.
'INITIAL' strategy is much worse in max F&amp;I rates, implying:
a greater need for storage space for idle cars, 31% of demand
more and irregular use of oursourcing, from 33% to 52% of demand at most.
Other:
The 'INITIAL' strategy, being an EOQ, is not suited to frequent change and in fact mandates the opposite.  If demand is too volatile, it will be necessary to adjust more often.  It does make adjustments only once in each major lease period of 15 months, saving adjustment costs (major and minor order costs).  And it requires more storage space for idle cars and more dependence, perhaps too much on outsourcing, though the costs of outsourcing runs (and not the cost of procuring outsourced trips) are included in the S&amp;O calculations.  There could be an added administrative fixed cost burden (perhaps including management cost) to the outsourcing.
</t>
        </r>
      </text>
    </comment>
  </commentList>
</comments>
</file>

<file path=xl/comments2.xml><?xml version="1.0" encoding="utf-8"?>
<comments xmlns="http://schemas.openxmlformats.org/spreadsheetml/2006/main">
  <authors>
    <author>Bruce Hartman</author>
  </authors>
  <commentList>
    <comment ref="F47" authorId="0" shapeId="0">
      <text>
        <r>
          <rPr>
            <b/>
            <sz val="9"/>
            <color indexed="81"/>
            <rFont val="Tahoma"/>
            <family val="2"/>
          </rPr>
          <t>Bruce Hartman:</t>
        </r>
        <r>
          <rPr>
            <sz val="9"/>
            <color indexed="81"/>
            <rFont val="Tahoma"/>
            <family val="2"/>
          </rPr>
          <t xml:space="preserve">
Strategy: 'LEVEL'
Fix the EOQ based on the average demand over 5 horizons and simply adjust once the number of cars to this value.
Costs incurred: 
Fixed cost of changing once from 69 to 48.
Operating costs of Scheduling and Operating in horizons 1 to 5
Comparison Strategy: 'OPTIMAL' (SAME AS CHASE STRATEGY)
Change the cars to optimal at each period. 
Costs incurred: 
Fixed cost of changing at start of each horizon
Operating costs of Scheduling and Operating in horizons 1 to 5
Results:
S and O Costs for horizons 1-5 appear in 'INITIAL' yellow row 87630.82
Fill and Idle Rates avg/SD appear in 'INITIAL' calculation cells 
Cost summary:
S&amp;O costs: 'OPTIMAL' is lower than 'INITIAL' by Combinedcost $791 : 87630.28
Average F&amp;I rates: 'OPTIMAL' is lower than 'INITIAL' by about 1 to 2%  14% 27%
SD of F&amp;I rates: 'OPTIMAL' is lower than 'INITIAL' by about 10 percentage points. 10% 14%
Max F&amp;I rates: 'OPTIMAL' is lower than 'INITIAL', approximately half as much, 15 and 18: 32% 52%
Setup costs: 'OPTIMAL' requires 5 setups, 'INITIAL' only one, a big saving. 'INITIAL'  11700.00
Hold costs: accrues in periods 3 and 4 when qty is beyond what is needed. 29500
Analysis:
'LEVEL' ('INITIAL') strategy Overall Costs: 128830 without penalty for variation of F&amp;I rates
'INITIAL' strategy has almost the same S&amp;O costs; almost the same average F&amp;I rates
'INITIAL' strategy has much lower setup costs (not figured above), and much more predictable costs.
'INITIAL' strategy is much worse in max F&amp;I rates, implying:
a greater need for storage space for idle cars, 31% of demand
more and irregular use of oursourcing, from 33% to 52% of demand at most.
Overall:
Overall cost of thsi strategy: 128830.28
Other:
The 'LEVEL' strategy, being an EOQ, is not suited to frequent change and in fact mandates the opposite.  If demand is too volatile, it will be necessary to adjust more often.  It does make adjustments only once in each major lease period of 15 months, saving adjustment costs (major and minor order costs).  And it requires more storage space for idle cars and more dependence, perhaps too much on outsourcing, though the costs of outsourcing runs (and not the cost of procuring outsourced trips) are included in the S&amp;O calculations.  There could be an added administrative fixed cost burden (perhaps including management cost) to the outsourcing.
</t>
        </r>
      </text>
    </comment>
  </commentList>
</comments>
</file>

<file path=xl/comments3.xml><?xml version="1.0" encoding="utf-8"?>
<comments xmlns="http://schemas.openxmlformats.org/spreadsheetml/2006/main">
  <authors>
    <author>Bruce Hartman</author>
  </authors>
  <commentList>
    <comment ref="F33" authorId="0" shapeId="0">
      <text>
        <r>
          <rPr>
            <b/>
            <sz val="9"/>
            <color indexed="81"/>
            <rFont val="Tahoma"/>
            <family val="2"/>
          </rPr>
          <t>Bruce Hartman:</t>
        </r>
        <r>
          <rPr>
            <sz val="9"/>
            <color indexed="81"/>
            <rFont val="Tahoma"/>
            <family val="2"/>
          </rPr>
          <t xml:space="preserve">
Bruce Hartman:
Strategy: 'CHASE'
Adjust to the projected optimal strategy for each period.
Costs incurred: 
Fixed cost of changing 5 times.
Operating costs of Scheduling and Operating in horizons 1 to 5
Comparison Strategy: 'OPTIMAL'
The Chase strategy is the optimal one for operating costs.
Costs incurred: 
Fixed cost of changing at start of each horizon
Operating costs of Scheduling and Operating in horizons 1 to 5
Results:
S and O Costs for horizons 1-5 appear in 'OPTIMAL' yellow row  86175.64
Fill and Idle Rates avg/SD appear in 'DIFFERENCES' calculation cells 
Cost summary:
S&amp;O costs: 'OPTIMAL' 86175.64
Average F&amp;I rates: 'OPTIMAL' 13% 25%
SD of F&amp;I rates: 'OPTIMAL' 2% 4%
Max F&amp;I rates: 'OPTIMAL' 17% 33%
Setup costs: 'OPTIMAL' requires 5 setups 59150.00
Holding Costs: 'OPTIMAL' none required, as we adjust tot he exact quantity needed each time.
Analysis:
Overall cost 145325.64 without penalty for fill and idle rates.
Other:
The 'INITIAL' strategy, being an EOQ, is not suited to frequent change and in fact mandates the opposite.  If demand is too volatile, it will be necessary to adjust more often.  It does make adjustments only once in each major lease period of 15 months, saving adjustment costs (major and minor order costs).  And it requires more storage space for idle cars and more dependence, perhaps too much on outsourcing, though the costs of outsourcing runs (and not the cost of procuring outsourced trips) are included in the S&amp;O calculations.  There could be an added administrative fixed cost burden (perhaps including management cost) to the outsourcing.</t>
        </r>
      </text>
    </comment>
  </commentList>
</comments>
</file>

<file path=xl/comments4.xml><?xml version="1.0" encoding="utf-8"?>
<comments xmlns="http://schemas.openxmlformats.org/spreadsheetml/2006/main">
  <authors>
    <author>Bruce Hartman</author>
  </authors>
  <commentList>
    <comment ref="F22" authorId="0" shapeId="0">
      <text>
        <r>
          <rPr>
            <b/>
            <sz val="9"/>
            <color indexed="81"/>
            <rFont val="Tahoma"/>
            <family val="2"/>
          </rPr>
          <t>Bruce Hartman:</t>
        </r>
        <r>
          <rPr>
            <sz val="9"/>
            <color indexed="81"/>
            <rFont val="Tahoma"/>
            <family val="2"/>
          </rPr>
          <t xml:space="preserve">
Bruce Hartman:
Strategy: 'SILVER-MEAL' or 'ACPP' average cost per period
Adjust when the average cost per period first goes up (Silver-Meal Heuristic).
In this case, balancing cost per period of setup and holding cost says to change for period 
Costs incurred: 
Fixed cost of changing 1 or more times. In this case once at period 3
Operating costs of Scheduling and Operating in horizons 1 to 5
Comparison Strategy: 'OPTIMAL'
The Chase strategy is the optimal one for operating costs.
Costs incurred: 
Fixed cost of changing at start of each horizon
Operating costs of Scheduling and Operating in horizons 1 to 5
Results:
S and O Costs for horizons 1-2, 4-5 appear in 'INITIAL' horizons, horizon 3 in 'OPTIMAL'  
Fill and Idle Rates avg/SD appear in 'INITIAL' calculation cells 
Cost summary:
S&amp;O costs: 'SILVER-MEAL'  94126.37
Average F&amp;I rates: 'SILVER-MEAL'  15.12% 20.48%
SD of F&amp;I rates: 'SILVER-MEAL'  8% 13%
Max F&amp;I rates: 'SILVER-MEAL'  27% 45%
Setup costs: 'SILVER-MEAL' requires 1 setup in period 3 11800
Holding Costs: 'SILVER-MEAL' Holding costs for period 1 for 1 period and period 2 for 2 periods, + period 4 for 1 period 18000
Analysis:
Overall cost  without penalty for fill and idle rates.  123926
Other:
</t>
        </r>
      </text>
    </comment>
    <comment ref="B30" authorId="0" shapeId="0">
      <text>
        <r>
          <rPr>
            <b/>
            <sz val="9"/>
            <color indexed="81"/>
            <rFont val="Tahoma"/>
            <family val="2"/>
          </rPr>
          <t>Bruce Hartman:</t>
        </r>
        <r>
          <rPr>
            <sz val="9"/>
            <color indexed="81"/>
            <rFont val="Tahoma"/>
            <family val="2"/>
          </rPr>
          <t xml:space="preserve">
SHOULD CHANGE TO 42 HERE</t>
        </r>
      </text>
    </comment>
  </commentList>
</comments>
</file>

<file path=xl/sharedStrings.xml><?xml version="1.0" encoding="utf-8"?>
<sst xmlns="http://schemas.openxmlformats.org/spreadsheetml/2006/main" count="506" uniqueCount="120">
  <si>
    <t>LCars</t>
  </si>
  <si>
    <t>PCars</t>
  </si>
  <si>
    <t>SLCars</t>
  </si>
  <si>
    <t>SPCars</t>
  </si>
  <si>
    <t>CombinedCost</t>
  </si>
  <si>
    <t>ERecourseCost</t>
  </si>
  <si>
    <t>IdleCars</t>
  </si>
  <si>
    <t>OutsCars</t>
  </si>
  <si>
    <t>IdleCost</t>
  </si>
  <si>
    <t>OutsCost</t>
  </si>
  <si>
    <t>Dif</t>
  </si>
  <si>
    <t>dif0</t>
  </si>
  <si>
    <t>A</t>
  </si>
  <si>
    <t>a</t>
  </si>
  <si>
    <t>TRC</t>
  </si>
  <si>
    <t>TRCUT</t>
  </si>
  <si>
    <t>HC</t>
  </si>
  <si>
    <t>Stop</t>
  </si>
  <si>
    <t>Decision is to reduce to 33 cars</t>
  </si>
  <si>
    <t>EIRate</t>
  </si>
  <si>
    <t>EORate</t>
  </si>
  <si>
    <t>NetMastercost</t>
  </si>
  <si>
    <t>uses new calculation for TRC by differencing the combined costs; also includes netmastercost column</t>
  </si>
  <si>
    <t>Forecast</t>
  </si>
  <si>
    <t>horizon pd</t>
  </si>
  <si>
    <t>Variability coefficient</t>
  </si>
  <si>
    <t>test</t>
  </si>
  <si>
    <t>result</t>
  </si>
  <si>
    <t xml:space="preserve">Use a heuristic </t>
  </si>
  <si>
    <t>&gt;</t>
  </si>
  <si>
    <t>Use EOQ with average as demand</t>
  </si>
  <si>
    <t>&lt;=</t>
  </si>
  <si>
    <t>Variance</t>
  </si>
  <si>
    <t>Average</t>
  </si>
  <si>
    <t>D</t>
  </si>
  <si>
    <t>EOQ</t>
  </si>
  <si>
    <t>T</t>
  </si>
  <si>
    <t>T(pds)</t>
  </si>
  <si>
    <t>alpha</t>
  </si>
  <si>
    <t>Purchased</t>
  </si>
  <si>
    <t>Subleased_L</t>
  </si>
  <si>
    <t>Subleased_P</t>
  </si>
  <si>
    <t>Leased</t>
  </si>
  <si>
    <t>Minor setup cost a</t>
  </si>
  <si>
    <t>OPTIMAL</t>
  </si>
  <si>
    <t>RESULTS</t>
  </si>
  <si>
    <t>FOR</t>
  </si>
  <si>
    <t>HORIZONS</t>
  </si>
  <si>
    <t>INITIAL</t>
  </si>
  <si>
    <t>SCars</t>
  </si>
  <si>
    <t>INITIAL - OPTIMAL savings FOR HORIZONS</t>
  </si>
  <si>
    <t>MODEL 3</t>
  </si>
  <si>
    <t>OPTIMAL VS INITIAL</t>
  </si>
  <si>
    <t>DIFFERENCES (optimal - initial)</t>
  </si>
  <si>
    <t>EIR</t>
  </si>
  <si>
    <t>OIR</t>
  </si>
  <si>
    <t>Hold Cost v</t>
  </si>
  <si>
    <t>SD</t>
  </si>
  <si>
    <t>AGGREGATE DIFFERENCES</t>
  </si>
  <si>
    <t>Sum of horizons</t>
  </si>
  <si>
    <t>Average of horizons</t>
  </si>
  <si>
    <t>SD of horizons</t>
  </si>
  <si>
    <t>Max of horizons</t>
  </si>
  <si>
    <t>Max</t>
  </si>
  <si>
    <t xml:space="preserve">  h</t>
  </si>
  <si>
    <t xml:space="preserve">IdleCost  </t>
  </si>
  <si>
    <t>h</t>
  </si>
  <si>
    <t>P</t>
  </si>
  <si>
    <t>S</t>
  </si>
  <si>
    <t>H</t>
  </si>
  <si>
    <t>F</t>
  </si>
  <si>
    <t>U</t>
  </si>
  <si>
    <t>W</t>
  </si>
  <si>
    <t>cH</t>
  </si>
  <si>
    <t>cF</t>
  </si>
  <si>
    <t>cP</t>
  </si>
  <si>
    <t>cS</t>
  </si>
  <si>
    <t>cU</t>
  </si>
  <si>
    <t>Wlag</t>
  </si>
  <si>
    <t>=</t>
  </si>
  <si>
    <t>(1)</t>
  </si>
  <si>
    <t>(2)</t>
  </si>
  <si>
    <t>(3)</t>
  </si>
  <si>
    <t>Objective</t>
  </si>
  <si>
    <t>Hcost</t>
  </si>
  <si>
    <t>Fcost</t>
  </si>
  <si>
    <t>Pcost</t>
  </si>
  <si>
    <t>Scost</t>
  </si>
  <si>
    <t>Ucost</t>
  </si>
  <si>
    <t>I</t>
  </si>
  <si>
    <t>(4)</t>
  </si>
  <si>
    <t>Decision is go to</t>
  </si>
  <si>
    <t>cars in period</t>
  </si>
  <si>
    <t>TRC2</t>
  </si>
  <si>
    <t>TRCUT2</t>
  </si>
  <si>
    <t>Hold cost</t>
  </si>
  <si>
    <t>S&amp;O</t>
  </si>
  <si>
    <t>Setup</t>
  </si>
  <si>
    <t>total</t>
  </si>
  <si>
    <t>Hold</t>
  </si>
  <si>
    <t>STRATEGY</t>
  </si>
  <si>
    <t>Worksheet</t>
  </si>
  <si>
    <t>S&amp;O Costs</t>
  </si>
  <si>
    <t>Hold Costs</t>
  </si>
  <si>
    <t>Setup Costs</t>
  </si>
  <si>
    <t>Subtotal</t>
  </si>
  <si>
    <t>LEVEL</t>
  </si>
  <si>
    <t>CHASE</t>
  </si>
  <si>
    <t>ACPP (SM3)</t>
  </si>
  <si>
    <t>Level Strategy (EOQ)</t>
  </si>
  <si>
    <t>Chase Strategy</t>
  </si>
  <si>
    <t>SilverMeal 3 Strategy</t>
  </si>
  <si>
    <t>F&amp;I Rates</t>
  </si>
  <si>
    <t>Stdev</t>
  </si>
  <si>
    <t>Idle</t>
  </si>
  <si>
    <t>Outsource</t>
  </si>
  <si>
    <t>Order</t>
  </si>
  <si>
    <t>Period</t>
  </si>
  <si>
    <t>period</t>
  </si>
  <si>
    <t>In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</si>
</sst>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9" x14ac:knownFonts="1">
    <font>
      <sz val="11"/>
      <color theme="1"/>
      <name val="Calibri"/>
      <family val="2"/>
      <scheme val="minor"/>
    </font>
    <font>
      <sz val="11"/>
      <color theme="1"/>
      <name val="Calibri"/>
      <family val="2"/>
      <scheme val="minor"/>
    </font>
    <font>
      <b/>
      <sz val="11"/>
      <color rgb="FFFA7D00"/>
      <name val="Calibri"/>
      <family val="2"/>
      <scheme val="minor"/>
    </font>
    <font>
      <sz val="9"/>
      <color indexed="81"/>
      <name val="Tahoma"/>
      <family val="2"/>
    </font>
    <font>
      <b/>
      <sz val="9"/>
      <color indexed="81"/>
      <name val="Tahoma"/>
      <family val="2"/>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3" borderId="1" applyNumberFormat="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cellStyleXfs>
  <cellXfs count="32">
    <xf numFmtId="0" fontId="0" fillId="0" borderId="0" xfId="0"/>
    <xf numFmtId="10" fontId="0" fillId="0" borderId="0" xfId="2" applyNumberFormat="1" applyFont="1"/>
    <xf numFmtId="44" fontId="0" fillId="0" borderId="0" xfId="1" applyFont="1"/>
    <xf numFmtId="2" fontId="0" fillId="0" borderId="0" xfId="1" applyNumberFormat="1" applyFont="1"/>
    <xf numFmtId="0" fontId="0" fillId="2" borderId="0" xfId="0" applyFill="1"/>
    <xf numFmtId="44" fontId="0" fillId="2" borderId="0" xfId="1" applyFont="1" applyFill="1"/>
    <xf numFmtId="10" fontId="0" fillId="2" borderId="0" xfId="2" applyNumberFormat="1" applyFont="1" applyFill="1"/>
    <xf numFmtId="1" fontId="0" fillId="0" borderId="0" xfId="1" applyNumberFormat="1" applyFont="1"/>
    <xf numFmtId="164" fontId="0" fillId="0" borderId="0" xfId="2" applyNumberFormat="1" applyFont="1"/>
    <xf numFmtId="10" fontId="2" fillId="3" borderId="1" xfId="3" applyNumberFormat="1"/>
    <xf numFmtId="0" fontId="7" fillId="6" borderId="0" xfId="6"/>
    <xf numFmtId="1" fontId="0" fillId="2" borderId="0" xfId="1" applyNumberFormat="1" applyFont="1" applyFill="1"/>
    <xf numFmtId="164" fontId="0" fillId="2" borderId="0" xfId="2" applyNumberFormat="1" applyFont="1" applyFill="1"/>
    <xf numFmtId="0" fontId="0" fillId="0" borderId="0" xfId="0" applyFill="1"/>
    <xf numFmtId="1" fontId="0" fillId="0" borderId="0" xfId="1" applyNumberFormat="1" applyFont="1" applyFill="1"/>
    <xf numFmtId="10" fontId="0" fillId="0" borderId="0" xfId="2" applyNumberFormat="1" applyFont="1" applyFill="1"/>
    <xf numFmtId="44" fontId="0" fillId="0" borderId="0" xfId="1" applyFont="1" applyFill="1"/>
    <xf numFmtId="0" fontId="5" fillId="4" borderId="0" xfId="4"/>
    <xf numFmtId="0" fontId="0" fillId="7" borderId="0" xfId="0" applyFill="1"/>
    <xf numFmtId="44" fontId="0" fillId="0" borderId="0" xfId="0" applyNumberFormat="1"/>
    <xf numFmtId="0" fontId="0" fillId="0" borderId="0" xfId="0" quotePrefix="1"/>
    <xf numFmtId="0" fontId="6" fillId="5" borderId="0" xfId="5"/>
    <xf numFmtId="0" fontId="6" fillId="5" borderId="0" xfId="5" quotePrefix="1"/>
    <xf numFmtId="44" fontId="7" fillId="6" borderId="0" xfId="6" applyNumberFormat="1"/>
    <xf numFmtId="44" fontId="5" fillId="4" borderId="0" xfId="4" applyNumberFormat="1"/>
    <xf numFmtId="44" fontId="5" fillId="4" borderId="2" xfId="4" applyNumberFormat="1" applyBorder="1"/>
    <xf numFmtId="0" fontId="0" fillId="0" borderId="0" xfId="0" applyAlignment="1">
      <alignment horizontal="center"/>
    </xf>
    <xf numFmtId="44" fontId="0" fillId="0" borderId="0" xfId="0" applyNumberFormat="1" applyAlignment="1">
      <alignment horizontal="center"/>
    </xf>
    <xf numFmtId="0" fontId="8" fillId="0" borderId="0" xfId="0" applyFont="1"/>
    <xf numFmtId="44" fontId="8" fillId="0" borderId="0" xfId="0" applyNumberFormat="1" applyFont="1" applyAlignment="1">
      <alignment horizontal="center"/>
    </xf>
    <xf numFmtId="0" fontId="8" fillId="0" borderId="0" xfId="0" applyFont="1" applyAlignment="1">
      <alignment horizontal="center"/>
    </xf>
    <xf numFmtId="1" fontId="8" fillId="0" borderId="0" xfId="0" applyNumberFormat="1" applyFont="1" applyAlignment="1">
      <alignment horizontal="center"/>
    </xf>
  </cellXfs>
  <cellStyles count="7">
    <cellStyle name="Bad" xfId="5" builtinId="27"/>
    <cellStyle name="Calculation" xfId="3" builtinId="22"/>
    <cellStyle name="Currency" xfId="1" builtinId="4"/>
    <cellStyle name="Good" xfId="4" builtinId="26"/>
    <cellStyle name="Neutral" xfId="6" builtinId="2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ACPP is lowest</a:t>
            </a:r>
            <a:r>
              <a:rPr lang="en-US" baseline="0"/>
              <a:t> cost strategy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Summary!$A$5</c:f>
              <c:strCache>
                <c:ptCount val="1"/>
                <c:pt idx="0">
                  <c:v>S&amp;O Costs</c:v>
                </c:pt>
              </c:strCache>
            </c:strRef>
          </c:tx>
          <c:spPr>
            <a:solidFill>
              <a:schemeClr val="accent1"/>
            </a:solidFill>
            <a:ln>
              <a:noFill/>
            </a:ln>
            <a:effectLst/>
          </c:spPr>
          <c:invertIfNegative val="0"/>
          <c:cat>
            <c:strRef>
              <c:extLst>
                <c:ext xmlns:c15="http://schemas.microsoft.com/office/drawing/2012/chart" uri="{02D57815-91ED-43cb-92C2-25804820EDAC}">
                  <c15:fullRef>
                    <c15:sqref>Summary!$B$1:$G$1</c15:sqref>
                  </c15:fullRef>
                </c:ext>
              </c:extLst>
              <c:f>(Summary!$B$1,Summary!$D$1,Summary!$F$1)</c:f>
              <c:strCache>
                <c:ptCount val="3"/>
                <c:pt idx="0">
                  <c:v>LEVEL</c:v>
                </c:pt>
                <c:pt idx="1">
                  <c:v>CHASE</c:v>
                </c:pt>
                <c:pt idx="2">
                  <c:v>ACPP (SM3)</c:v>
                </c:pt>
              </c:strCache>
            </c:strRef>
          </c:cat>
          <c:val>
            <c:numRef>
              <c:extLst>
                <c:ext xmlns:c15="http://schemas.microsoft.com/office/drawing/2012/chart" uri="{02D57815-91ED-43cb-92C2-25804820EDAC}">
                  <c15:fullRef>
                    <c15:sqref>Summary!$B$5:$G$5</c15:sqref>
                  </c15:fullRef>
                </c:ext>
              </c:extLst>
              <c:f>(Summary!$B$5,Summary!$D$5,Summary!$F$5)</c:f>
              <c:numCache>
                <c:formatCode>_("$"* #,##0.00_);_("$"* \(#,##0.00\);_("$"* "-"??_);_(@_)</c:formatCode>
                <c:ptCount val="3"/>
                <c:pt idx="0">
                  <c:v>87630.28</c:v>
                </c:pt>
                <c:pt idx="1">
                  <c:v>86175.64</c:v>
                </c:pt>
                <c:pt idx="2">
                  <c:v>94126.37</c:v>
                </c:pt>
              </c:numCache>
            </c:numRef>
          </c:val>
        </c:ser>
        <c:ser>
          <c:idx val="1"/>
          <c:order val="1"/>
          <c:tx>
            <c:strRef>
              <c:f>Summary!$A$6</c:f>
              <c:strCache>
                <c:ptCount val="1"/>
                <c:pt idx="0">
                  <c:v>Hold Costs</c:v>
                </c:pt>
              </c:strCache>
            </c:strRef>
          </c:tx>
          <c:spPr>
            <a:solidFill>
              <a:schemeClr val="accent2"/>
            </a:solidFill>
            <a:ln>
              <a:noFill/>
            </a:ln>
            <a:effectLst/>
          </c:spPr>
          <c:invertIfNegative val="0"/>
          <c:cat>
            <c:strRef>
              <c:extLst>
                <c:ext xmlns:c15="http://schemas.microsoft.com/office/drawing/2012/chart" uri="{02D57815-91ED-43cb-92C2-25804820EDAC}">
                  <c15:fullRef>
                    <c15:sqref>Summary!$B$1:$G$1</c15:sqref>
                  </c15:fullRef>
                </c:ext>
              </c:extLst>
              <c:f>(Summary!$B$1,Summary!$D$1,Summary!$F$1)</c:f>
              <c:strCache>
                <c:ptCount val="3"/>
                <c:pt idx="0">
                  <c:v>LEVEL</c:v>
                </c:pt>
                <c:pt idx="1">
                  <c:v>CHASE</c:v>
                </c:pt>
                <c:pt idx="2">
                  <c:v>ACPP (SM3)</c:v>
                </c:pt>
              </c:strCache>
            </c:strRef>
          </c:cat>
          <c:val>
            <c:numRef>
              <c:extLst>
                <c:ext xmlns:c15="http://schemas.microsoft.com/office/drawing/2012/chart" uri="{02D57815-91ED-43cb-92C2-25804820EDAC}">
                  <c15:fullRef>
                    <c15:sqref>Summary!$B$6:$G$6</c15:sqref>
                  </c15:fullRef>
                </c:ext>
              </c:extLst>
              <c:f>(Summary!$B$6,Summary!$D$6,Summary!$F$6)</c:f>
              <c:numCache>
                <c:formatCode>_("$"* #,##0.00_);_("$"* \(#,##0.00\);_("$"* "-"??_);_(@_)</c:formatCode>
                <c:ptCount val="3"/>
                <c:pt idx="0">
                  <c:v>29500</c:v>
                </c:pt>
                <c:pt idx="1">
                  <c:v>0</c:v>
                </c:pt>
                <c:pt idx="2">
                  <c:v>18000</c:v>
                </c:pt>
              </c:numCache>
            </c:numRef>
          </c:val>
        </c:ser>
        <c:ser>
          <c:idx val="2"/>
          <c:order val="2"/>
          <c:tx>
            <c:strRef>
              <c:f>Summary!$A$7</c:f>
              <c:strCache>
                <c:ptCount val="1"/>
                <c:pt idx="0">
                  <c:v>Setup Costs</c:v>
                </c:pt>
              </c:strCache>
            </c:strRef>
          </c:tx>
          <c:spPr>
            <a:solidFill>
              <a:schemeClr val="accent3"/>
            </a:solidFill>
            <a:ln>
              <a:noFill/>
            </a:ln>
            <a:effectLst/>
          </c:spPr>
          <c:invertIfNegative val="0"/>
          <c:cat>
            <c:strRef>
              <c:extLst>
                <c:ext xmlns:c15="http://schemas.microsoft.com/office/drawing/2012/chart" uri="{02D57815-91ED-43cb-92C2-25804820EDAC}">
                  <c15:fullRef>
                    <c15:sqref>Summary!$B$1:$G$1</c15:sqref>
                  </c15:fullRef>
                </c:ext>
              </c:extLst>
              <c:f>(Summary!$B$1,Summary!$D$1,Summary!$F$1)</c:f>
              <c:strCache>
                <c:ptCount val="3"/>
                <c:pt idx="0">
                  <c:v>LEVEL</c:v>
                </c:pt>
                <c:pt idx="1">
                  <c:v>CHASE</c:v>
                </c:pt>
                <c:pt idx="2">
                  <c:v>ACPP (SM3)</c:v>
                </c:pt>
              </c:strCache>
            </c:strRef>
          </c:cat>
          <c:val>
            <c:numRef>
              <c:extLst>
                <c:ext xmlns:c15="http://schemas.microsoft.com/office/drawing/2012/chart" uri="{02D57815-91ED-43cb-92C2-25804820EDAC}">
                  <c15:fullRef>
                    <c15:sqref>Summary!$B$7:$G$7</c15:sqref>
                  </c15:fullRef>
                </c:ext>
              </c:extLst>
              <c:f>(Summary!$B$7,Summary!$D$7,Summary!$F$7)</c:f>
              <c:numCache>
                <c:formatCode>_("$"* #,##0.00_);_("$"* \(#,##0.00\);_("$"* "-"??_);_(@_)</c:formatCode>
                <c:ptCount val="3"/>
                <c:pt idx="0">
                  <c:v>11700</c:v>
                </c:pt>
                <c:pt idx="1">
                  <c:v>59150</c:v>
                </c:pt>
                <c:pt idx="2">
                  <c:v>11800</c:v>
                </c:pt>
              </c:numCache>
            </c:numRef>
          </c:val>
        </c:ser>
        <c:dLbls>
          <c:showLegendKey val="0"/>
          <c:showVal val="0"/>
          <c:showCatName val="0"/>
          <c:showSerName val="0"/>
          <c:showPercent val="0"/>
          <c:showBubbleSize val="0"/>
        </c:dLbls>
        <c:gapWidth val="150"/>
        <c:overlap val="100"/>
        <c:axId val="455922136"/>
        <c:axId val="455926840"/>
        <c:extLst>
          <c:ext xmlns:c15="http://schemas.microsoft.com/office/drawing/2012/chart" uri="{02D57815-91ED-43cb-92C2-25804820EDAC}">
            <c15:filteredBarSeries>
              <c15:ser>
                <c:idx val="3"/>
                <c:order val="3"/>
                <c:tx>
                  <c:strRef>
                    <c:extLst>
                      <c:ext uri="{02D57815-91ED-43cb-92C2-25804820EDAC}">
                        <c15:formulaRef>
                          <c15:sqref>Summary!$A$8</c15:sqref>
                        </c15:formulaRef>
                      </c:ext>
                    </c:extLst>
                    <c:strCache>
                      <c:ptCount val="1"/>
                      <c:pt idx="0">
                        <c:v>Subtotal</c:v>
                      </c:pt>
                    </c:strCache>
                  </c:strRef>
                </c:tx>
                <c:spPr>
                  <a:solidFill>
                    <a:schemeClr val="accent4"/>
                  </a:solidFill>
                  <a:ln>
                    <a:noFill/>
                  </a:ln>
                  <a:effectLst/>
                </c:spPr>
                <c:invertIfNegative val="0"/>
                <c:cat>
                  <c:strRef>
                    <c:extLst>
                      <c:ext uri="{02D57815-91ED-43cb-92C2-25804820EDAC}">
                        <c15:fullRef>
                          <c15:sqref>Summary!$B$1:$G$1</c15:sqref>
                        </c15:fullRef>
                        <c15:formulaRef>
                          <c15:sqref>(Summary!$B$1,Summary!$D$1,Summary!$F$1)</c15:sqref>
                        </c15:formulaRef>
                      </c:ext>
                    </c:extLst>
                    <c:strCache>
                      <c:ptCount val="3"/>
                      <c:pt idx="0">
                        <c:v>LEVEL</c:v>
                      </c:pt>
                      <c:pt idx="1">
                        <c:v>CHASE</c:v>
                      </c:pt>
                      <c:pt idx="2">
                        <c:v>ACPP (SM3)</c:v>
                      </c:pt>
                    </c:strCache>
                  </c:strRef>
                </c:cat>
                <c:val>
                  <c:numRef>
                    <c:extLst>
                      <c:ext uri="{02D57815-91ED-43cb-92C2-25804820EDAC}">
                        <c15:fullRef>
                          <c15:sqref>Summary!$B$8:$G$8</c15:sqref>
                        </c15:fullRef>
                        <c15:formulaRef>
                          <c15:sqref>(Summary!$B$8,Summary!$D$8,Summary!$F$8)</c15:sqref>
                        </c15:formulaRef>
                      </c:ext>
                    </c:extLst>
                    <c:numCache>
                      <c:formatCode>_("$"* #,##0.00_);_("$"* \(#,##0.00\);_("$"* "-"??_);_(@_)</c:formatCode>
                      <c:ptCount val="3"/>
                      <c:pt idx="0">
                        <c:v>128830.28</c:v>
                      </c:pt>
                      <c:pt idx="1">
                        <c:v>145325.64000000001</c:v>
                      </c:pt>
                      <c:pt idx="2">
                        <c:v>123926.37</c:v>
                      </c:pt>
                    </c:numCache>
                  </c:numRef>
                </c:val>
              </c15:ser>
            </c15:filteredBarSeries>
          </c:ext>
        </c:extLst>
      </c:barChart>
      <c:catAx>
        <c:axId val="45592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26840"/>
        <c:crosses val="autoZero"/>
        <c:auto val="0"/>
        <c:lblAlgn val="ctr"/>
        <c:lblOffset val="100"/>
        <c:noMultiLvlLbl val="0"/>
      </c:catAx>
      <c:valAx>
        <c:axId val="4559268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22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Idle and Fill Failure (Outsource) Rates </a:t>
            </a:r>
            <a:endParaRPr lang="en-US">
              <a:effectLst/>
            </a:endParaRPr>
          </a:p>
        </c:rich>
      </c:tx>
      <c:layout>
        <c:manualLayout>
          <c:xMode val="edge"/>
          <c:yMode val="edge"/>
          <c:x val="0.10781755470307565"/>
          <c:y val="3.4346278093970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Summary!$A$11</c:f>
              <c:strCache>
                <c:ptCount val="1"/>
                <c:pt idx="0">
                  <c:v>Average</c:v>
                </c:pt>
              </c:strCache>
            </c:strRef>
          </c:tx>
          <c:spPr>
            <a:solidFill>
              <a:schemeClr val="accent1"/>
            </a:solidFill>
            <a:ln>
              <a:noFill/>
            </a:ln>
            <a:effectLst/>
          </c:spPr>
          <c:invertIfNegative val="0"/>
          <c:cat>
            <c:strRef>
              <c:f>Summary!$A$16:$F$16</c:f>
              <c:strCache>
                <c:ptCount val="6"/>
                <c:pt idx="0">
                  <c:v>LEVEL: Idle</c:v>
                </c:pt>
                <c:pt idx="1">
                  <c:v>LEVEL: Outsource</c:v>
                </c:pt>
                <c:pt idx="2">
                  <c:v>CHASE: Idle</c:v>
                </c:pt>
                <c:pt idx="3">
                  <c:v>CHASE: Outsource</c:v>
                </c:pt>
                <c:pt idx="4">
                  <c:v>ACPP (SM3): Idle</c:v>
                </c:pt>
                <c:pt idx="5">
                  <c:v>ACPP (SM3): Outsource</c:v>
                </c:pt>
              </c:strCache>
            </c:strRef>
          </c:cat>
          <c:val>
            <c:numRef>
              <c:f>Summary!$B$11:$G$11</c:f>
              <c:numCache>
                <c:formatCode>0.00%</c:formatCode>
                <c:ptCount val="6"/>
                <c:pt idx="0">
                  <c:v>0.1423611111111111</c:v>
                </c:pt>
                <c:pt idx="1">
                  <c:v>0.27083333333333331</c:v>
                </c:pt>
                <c:pt idx="2">
                  <c:v>0.12930070331424612</c:v>
                </c:pt>
                <c:pt idx="3">
                  <c:v>0.25376568383734249</c:v>
                </c:pt>
                <c:pt idx="4">
                  <c:v>0.15117322291235333</c:v>
                </c:pt>
                <c:pt idx="5">
                  <c:v>0.20483091787439617</c:v>
                </c:pt>
              </c:numCache>
            </c:numRef>
          </c:val>
        </c:ser>
        <c:ser>
          <c:idx val="1"/>
          <c:order val="1"/>
          <c:tx>
            <c:strRef>
              <c:f>Summary!$A$12</c:f>
              <c:strCache>
                <c:ptCount val="1"/>
                <c:pt idx="0">
                  <c:v>Stdev</c:v>
                </c:pt>
              </c:strCache>
            </c:strRef>
          </c:tx>
          <c:spPr>
            <a:solidFill>
              <a:schemeClr val="accent2"/>
            </a:solidFill>
            <a:ln>
              <a:noFill/>
            </a:ln>
            <a:effectLst/>
          </c:spPr>
          <c:invertIfNegative val="0"/>
          <c:cat>
            <c:strRef>
              <c:f>Summary!$A$16:$F$16</c:f>
              <c:strCache>
                <c:ptCount val="6"/>
                <c:pt idx="0">
                  <c:v>LEVEL: Idle</c:v>
                </c:pt>
                <c:pt idx="1">
                  <c:v>LEVEL: Outsource</c:v>
                </c:pt>
                <c:pt idx="2">
                  <c:v>CHASE: Idle</c:v>
                </c:pt>
                <c:pt idx="3">
                  <c:v>CHASE: Outsource</c:v>
                </c:pt>
                <c:pt idx="4">
                  <c:v>ACPP (SM3): Idle</c:v>
                </c:pt>
                <c:pt idx="5">
                  <c:v>ACPP (SM3): Outsource</c:v>
                </c:pt>
              </c:strCache>
            </c:strRef>
          </c:cat>
          <c:val>
            <c:numRef>
              <c:f>Summary!$B$12:$G$12</c:f>
              <c:numCache>
                <c:formatCode>0.00%</c:formatCode>
                <c:ptCount val="6"/>
                <c:pt idx="0">
                  <c:v>0.10201481071363254</c:v>
                </c:pt>
                <c:pt idx="1">
                  <c:v>0.14203044252884059</c:v>
                </c:pt>
                <c:pt idx="2">
                  <c:v>2.1528049772876163E-2</c:v>
                </c:pt>
                <c:pt idx="3">
                  <c:v>4.2362863060278033E-2</c:v>
                </c:pt>
                <c:pt idx="4">
                  <c:v>7.7017087532192718E-2</c:v>
                </c:pt>
                <c:pt idx="5">
                  <c:v>0.1335887533333833</c:v>
                </c:pt>
              </c:numCache>
            </c:numRef>
          </c:val>
        </c:ser>
        <c:dLbls>
          <c:showLegendKey val="0"/>
          <c:showVal val="0"/>
          <c:showCatName val="0"/>
          <c:showSerName val="0"/>
          <c:showPercent val="0"/>
          <c:showBubbleSize val="0"/>
        </c:dLbls>
        <c:gapWidth val="219"/>
        <c:overlap val="-27"/>
        <c:axId val="455935464"/>
        <c:axId val="455940168"/>
      </c:barChart>
      <c:lineChart>
        <c:grouping val="standard"/>
        <c:varyColors val="0"/>
        <c:ser>
          <c:idx val="2"/>
          <c:order val="2"/>
          <c:tx>
            <c:strRef>
              <c:f>Summary!$A$13</c:f>
              <c:strCache>
                <c:ptCount val="1"/>
                <c:pt idx="0">
                  <c:v>Max</c:v>
                </c:pt>
              </c:strCache>
            </c:strRef>
          </c:tx>
          <c:spPr>
            <a:ln w="28575" cap="rnd">
              <a:solidFill>
                <a:schemeClr val="accent3"/>
              </a:solidFill>
              <a:prstDash val="sysDash"/>
              <a:round/>
            </a:ln>
            <a:effectLst/>
          </c:spPr>
          <c:marker>
            <c:symbol val="circle"/>
            <c:size val="5"/>
            <c:spPr>
              <a:solidFill>
                <a:schemeClr val="accent3"/>
              </a:solidFill>
              <a:ln w="9525">
                <a:solidFill>
                  <a:schemeClr val="accent3"/>
                </a:solidFill>
              </a:ln>
              <a:effectLst/>
            </c:spPr>
          </c:marker>
          <c:cat>
            <c:strRef>
              <c:f>Summary!$B$10:$G$10</c:f>
              <c:strCache>
                <c:ptCount val="6"/>
                <c:pt idx="0">
                  <c:v>Idle</c:v>
                </c:pt>
                <c:pt idx="1">
                  <c:v>Outsource</c:v>
                </c:pt>
                <c:pt idx="2">
                  <c:v>Idle</c:v>
                </c:pt>
                <c:pt idx="3">
                  <c:v>Outsource</c:v>
                </c:pt>
                <c:pt idx="4">
                  <c:v>Idle</c:v>
                </c:pt>
                <c:pt idx="5">
                  <c:v>Outsource</c:v>
                </c:pt>
              </c:strCache>
            </c:strRef>
          </c:cat>
          <c:val>
            <c:numRef>
              <c:f>Summary!$B$13:$G$13</c:f>
              <c:numCache>
                <c:formatCode>0.00%</c:formatCode>
                <c:ptCount val="6"/>
                <c:pt idx="0">
                  <c:v>0.31944444444444448</c:v>
                </c:pt>
                <c:pt idx="1">
                  <c:v>0.52083333333333337</c:v>
                </c:pt>
                <c:pt idx="2">
                  <c:v>0.17171717171717171</c:v>
                </c:pt>
                <c:pt idx="3">
                  <c:v>0.33333333333333331</c:v>
                </c:pt>
                <c:pt idx="4">
                  <c:v>0.26811594202898553</c:v>
                </c:pt>
                <c:pt idx="5">
                  <c:v>0.44841269841269843</c:v>
                </c:pt>
              </c:numCache>
            </c:numRef>
          </c:val>
          <c:smooth val="0"/>
        </c:ser>
        <c:dLbls>
          <c:showLegendKey val="0"/>
          <c:showVal val="0"/>
          <c:showCatName val="0"/>
          <c:showSerName val="0"/>
          <c:showPercent val="0"/>
          <c:showBubbleSize val="0"/>
        </c:dLbls>
        <c:marker val="1"/>
        <c:smooth val="0"/>
        <c:axId val="455935464"/>
        <c:axId val="455940168"/>
      </c:lineChart>
      <c:catAx>
        <c:axId val="45593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40168"/>
        <c:crosses val="autoZero"/>
        <c:auto val="1"/>
        <c:lblAlgn val="ctr"/>
        <c:lblOffset val="100"/>
        <c:noMultiLvlLbl val="0"/>
      </c:catAx>
      <c:valAx>
        <c:axId val="455940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35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303609</xdr:colOff>
      <xdr:row>0</xdr:row>
      <xdr:rowOff>155376</xdr:rowOff>
    </xdr:from>
    <xdr:to>
      <xdr:col>15</xdr:col>
      <xdr:colOff>53577</xdr:colOff>
      <xdr:row>14</xdr:row>
      <xdr:rowOff>101203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327423</xdr:colOff>
      <xdr:row>20</xdr:row>
      <xdr:rowOff>60126</xdr:rowOff>
    </xdr:from>
    <xdr:to>
      <xdr:col>8</xdr:col>
      <xdr:colOff>589359</xdr:colOff>
      <xdr:row>35</xdr:row>
      <xdr:rowOff>160734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
  <sheetViews>
    <sheetView workbookViewId="0">
      <selection activeCell="S17" sqref="S17"/>
    </sheetView>
  </sheetViews>
  <sheetFormatPr defaultRowHeight="15" x14ac:dyDescent="0.25"/>
  <cols>
    <col min="6" max="6" width="11.5703125" bestFit="1" customWidth="1"/>
    <col min="7" max="7" width="10.5703125" bestFit="1" customWidth="1"/>
    <col min="10" max="11" width="10.5703125" bestFit="1" customWidth="1"/>
    <col min="12" max="12" width="0.7109375" customWidth="1"/>
    <col min="13" max="13" width="12.5703125" customWidth="1"/>
    <col min="16" max="16" width="10.5703125" bestFit="1" customWidth="1"/>
    <col min="17" max="17" width="11.5703125" bestFit="1" customWidth="1"/>
    <col min="18" max="18" width="9.28515625" bestFit="1" customWidth="1"/>
    <col min="19" max="19" width="12.7109375" customWidth="1"/>
    <col min="20" max="20" width="11.5703125" bestFit="1" customWidth="1"/>
  </cols>
  <sheetData>
    <row r="1" spans="1:23" x14ac:dyDescent="0.25">
      <c r="B1" t="s">
        <v>0</v>
      </c>
      <c r="C1" t="s">
        <v>1</v>
      </c>
      <c r="D1" t="s">
        <v>2</v>
      </c>
      <c r="E1" t="s">
        <v>3</v>
      </c>
      <c r="F1" t="s">
        <v>4</v>
      </c>
      <c r="G1" t="s">
        <v>5</v>
      </c>
      <c r="H1" t="s">
        <v>6</v>
      </c>
      <c r="I1" t="s">
        <v>7</v>
      </c>
      <c r="J1" t="s">
        <v>8</v>
      </c>
      <c r="K1" t="s">
        <v>9</v>
      </c>
      <c r="M1" t="s">
        <v>21</v>
      </c>
      <c r="N1" t="s">
        <v>10</v>
      </c>
      <c r="O1" t="s">
        <v>11</v>
      </c>
      <c r="P1" t="s">
        <v>12</v>
      </c>
      <c r="Q1" t="s">
        <v>13</v>
      </c>
      <c r="R1" t="s">
        <v>16</v>
      </c>
      <c r="S1" t="s">
        <v>14</v>
      </c>
      <c r="T1" t="s">
        <v>15</v>
      </c>
      <c r="U1" t="s">
        <v>17</v>
      </c>
      <c r="V1" t="s">
        <v>19</v>
      </c>
      <c r="W1" t="s">
        <v>20</v>
      </c>
    </row>
    <row r="2" spans="1:23" x14ac:dyDescent="0.25">
      <c r="A2">
        <v>0</v>
      </c>
      <c r="B2">
        <v>68</v>
      </c>
      <c r="C2">
        <v>0</v>
      </c>
      <c r="D2">
        <v>5</v>
      </c>
      <c r="E2">
        <v>0</v>
      </c>
      <c r="F2" s="2">
        <v>24190.79</v>
      </c>
      <c r="G2" s="2">
        <v>8353.5400000000009</v>
      </c>
      <c r="H2">
        <f>J2/50</f>
        <v>59.1524</v>
      </c>
      <c r="I2">
        <f>K2/30</f>
        <v>75.030666666666676</v>
      </c>
      <c r="J2" s="2">
        <v>2957.62</v>
      </c>
      <c r="K2" s="2">
        <v>2250.92</v>
      </c>
      <c r="L2" s="2"/>
      <c r="M2" s="2">
        <f>F2-G2</f>
        <v>15837.25</v>
      </c>
      <c r="N2">
        <f>B3-B2</f>
        <v>-3</v>
      </c>
      <c r="O2">
        <f>B2-$B$2</f>
        <v>0</v>
      </c>
      <c r="P2" s="2"/>
      <c r="Q2" s="2"/>
      <c r="R2" s="2">
        <v>500</v>
      </c>
      <c r="S2" s="2"/>
      <c r="T2" s="2"/>
      <c r="V2" s="1">
        <f t="shared" ref="V2:W7" si="0">H2/($B2*6)</f>
        <v>0.1449813725490196</v>
      </c>
      <c r="W2" s="1">
        <f t="shared" si="0"/>
        <v>0.18389869281045754</v>
      </c>
    </row>
    <row r="3" spans="1:23" x14ac:dyDescent="0.25">
      <c r="A3">
        <v>1</v>
      </c>
      <c r="B3">
        <v>65</v>
      </c>
      <c r="C3">
        <v>0</v>
      </c>
      <c r="D3">
        <v>5</v>
      </c>
      <c r="E3">
        <v>0</v>
      </c>
      <c r="F3" s="2">
        <v>23044.959999999999</v>
      </c>
      <c r="G3" s="2">
        <v>8044.96</v>
      </c>
      <c r="H3">
        <v>46</v>
      </c>
      <c r="I3">
        <v>86</v>
      </c>
      <c r="J3" s="2">
        <v>2310.6</v>
      </c>
      <c r="K3" s="2">
        <v>2582.71</v>
      </c>
      <c r="L3" s="2"/>
      <c r="M3" s="2">
        <f t="shared" ref="M3:M7" si="1">F3-G3</f>
        <v>15000</v>
      </c>
      <c r="N3">
        <f>B4-B3</f>
        <v>-16</v>
      </c>
      <c r="O3">
        <f t="shared" ref="O3:O7" si="2">B3-$B$2</f>
        <v>-3</v>
      </c>
      <c r="P3" s="2">
        <v>1000</v>
      </c>
      <c r="Q3" s="2">
        <v>10700</v>
      </c>
      <c r="R3" s="2">
        <v>500</v>
      </c>
      <c r="S3" s="2">
        <f>P3+Q3+(J3-$J$2)+(K3-$K$2)+SUMPRODUCT($A$2:A2,$R$2:R2*$N$2:N2)</f>
        <v>11384.77</v>
      </c>
      <c r="T3" s="2">
        <f>S3/A3</f>
        <v>11384.77</v>
      </c>
      <c r="U3" t="b">
        <f>(T4&gt;T3)</f>
        <v>0</v>
      </c>
      <c r="V3" s="1">
        <f t="shared" si="0"/>
        <v>0.11794871794871795</v>
      </c>
      <c r="W3" s="1">
        <f t="shared" si="0"/>
        <v>0.22051282051282051</v>
      </c>
    </row>
    <row r="4" spans="1:23" x14ac:dyDescent="0.25">
      <c r="A4">
        <v>2</v>
      </c>
      <c r="B4">
        <v>49</v>
      </c>
      <c r="C4">
        <v>0</v>
      </c>
      <c r="D4">
        <v>5</v>
      </c>
      <c r="E4">
        <v>0</v>
      </c>
      <c r="F4" s="2">
        <v>17212.02</v>
      </c>
      <c r="G4" s="2">
        <v>6052.02</v>
      </c>
      <c r="H4">
        <v>33</v>
      </c>
      <c r="I4">
        <v>69</v>
      </c>
      <c r="J4" s="2">
        <v>1661.47</v>
      </c>
      <c r="K4" s="2">
        <v>2076.89</v>
      </c>
      <c r="L4" s="2"/>
      <c r="M4" s="2">
        <f t="shared" si="1"/>
        <v>11160</v>
      </c>
      <c r="N4">
        <f>B5-B4</f>
        <v>-8</v>
      </c>
      <c r="O4">
        <f t="shared" si="2"/>
        <v>-19</v>
      </c>
      <c r="P4" s="2">
        <v>1100</v>
      </c>
      <c r="Q4" s="2">
        <v>10700</v>
      </c>
      <c r="R4" s="2">
        <v>500</v>
      </c>
      <c r="S4" s="2">
        <f>P4+Q4+(J4-$J$2)+(K4-$K$2)+SUMPRODUCT($A$2:A3,$R$2:R3*$N$2:N3)</f>
        <v>2329.8199999999997</v>
      </c>
      <c r="T4" s="2">
        <f>S4/A4</f>
        <v>1164.9099999999999</v>
      </c>
      <c r="U4" t="b">
        <f t="shared" ref="U4:U7" si="3">(T5&gt;T4)</f>
        <v>0</v>
      </c>
      <c r="V4" s="1">
        <f t="shared" si="0"/>
        <v>0.11224489795918367</v>
      </c>
      <c r="W4" s="1">
        <f t="shared" si="0"/>
        <v>0.23469387755102042</v>
      </c>
    </row>
    <row r="5" spans="1:23" x14ac:dyDescent="0.25">
      <c r="A5">
        <v>3</v>
      </c>
      <c r="B5">
        <v>41</v>
      </c>
      <c r="C5">
        <v>0</v>
      </c>
      <c r="D5">
        <v>5</v>
      </c>
      <c r="E5">
        <v>0</v>
      </c>
      <c r="F5" s="2">
        <v>14541.71</v>
      </c>
      <c r="G5" s="2">
        <v>5301.71</v>
      </c>
      <c r="H5">
        <v>30</v>
      </c>
      <c r="I5">
        <v>64</v>
      </c>
      <c r="J5" s="2">
        <v>1511.25</v>
      </c>
      <c r="K5" s="2">
        <v>1926.97</v>
      </c>
      <c r="L5" s="2"/>
      <c r="M5" s="2">
        <f t="shared" si="1"/>
        <v>9240</v>
      </c>
      <c r="N5">
        <f>B6-B5</f>
        <v>-8</v>
      </c>
      <c r="O5">
        <f t="shared" si="2"/>
        <v>-27</v>
      </c>
      <c r="P5" s="2">
        <v>1100</v>
      </c>
      <c r="Q5" s="2">
        <v>10700</v>
      </c>
      <c r="R5" s="2">
        <v>500</v>
      </c>
      <c r="S5" s="2">
        <f>P5+Q5+(J5-$J$2)+(K5-$K$2)+SUMPRODUCT($A$2:A4,$R$2:R4*$N$2:N4)</f>
        <v>-5970.32</v>
      </c>
      <c r="T5" s="2">
        <f>S5/A5</f>
        <v>-1990.1066666666666</v>
      </c>
      <c r="U5" t="b">
        <f t="shared" si="3"/>
        <v>0</v>
      </c>
      <c r="V5" s="1">
        <f t="shared" si="0"/>
        <v>0.12195121951219512</v>
      </c>
      <c r="W5" s="1">
        <f t="shared" si="0"/>
        <v>0.26016260162601629</v>
      </c>
    </row>
    <row r="6" spans="1:23" x14ac:dyDescent="0.25">
      <c r="A6">
        <v>4</v>
      </c>
      <c r="B6">
        <v>33</v>
      </c>
      <c r="C6">
        <v>0</v>
      </c>
      <c r="D6">
        <v>5</v>
      </c>
      <c r="E6">
        <v>0</v>
      </c>
      <c r="F6" s="2">
        <v>12400.23</v>
      </c>
      <c r="G6" s="2">
        <v>5080.2299999999996</v>
      </c>
      <c r="H6">
        <v>34</v>
      </c>
      <c r="I6">
        <v>66</v>
      </c>
      <c r="J6" s="2">
        <v>1736.92</v>
      </c>
      <c r="K6" s="2">
        <v>2005.67</v>
      </c>
      <c r="L6" s="2"/>
      <c r="M6" s="2">
        <f t="shared" si="1"/>
        <v>7320</v>
      </c>
      <c r="N6">
        <f>B7-B6</f>
        <v>20</v>
      </c>
      <c r="O6">
        <f t="shared" si="2"/>
        <v>-35</v>
      </c>
      <c r="P6" s="2">
        <v>1200</v>
      </c>
      <c r="Q6" s="2">
        <v>10700</v>
      </c>
      <c r="R6" s="2">
        <v>500</v>
      </c>
      <c r="S6" s="2">
        <f>P6+Q6+(J6-$J$2)+(K6-$K$2)+SUMPRODUCT($A$2:A5,$R$2:R5*$N$2:N5)</f>
        <v>-17565.95</v>
      </c>
      <c r="T6" s="2">
        <f>S6/A6</f>
        <v>-4391.4875000000002</v>
      </c>
      <c r="U6" t="b">
        <f t="shared" si="3"/>
        <v>1</v>
      </c>
      <c r="V6" s="1">
        <f t="shared" si="0"/>
        <v>0.17171717171717171</v>
      </c>
      <c r="W6" s="1">
        <f t="shared" si="0"/>
        <v>0.33333333333333331</v>
      </c>
    </row>
    <row r="7" spans="1:23" x14ac:dyDescent="0.25">
      <c r="A7">
        <v>5</v>
      </c>
      <c r="B7">
        <v>53</v>
      </c>
      <c r="C7">
        <v>0</v>
      </c>
      <c r="D7">
        <v>5</v>
      </c>
      <c r="E7">
        <v>0</v>
      </c>
      <c r="F7" s="2">
        <v>18976.72</v>
      </c>
      <c r="G7" s="2">
        <v>6526.78</v>
      </c>
      <c r="H7">
        <v>39</v>
      </c>
      <c r="I7">
        <v>70</v>
      </c>
      <c r="J7" s="2">
        <v>1957.67</v>
      </c>
      <c r="K7" s="2">
        <v>2104.6</v>
      </c>
      <c r="L7" s="2"/>
      <c r="M7" s="2">
        <f t="shared" si="1"/>
        <v>12449.940000000002</v>
      </c>
      <c r="O7">
        <f t="shared" si="2"/>
        <v>-15</v>
      </c>
      <c r="P7" s="2">
        <v>1250</v>
      </c>
      <c r="Q7" s="2">
        <v>10700</v>
      </c>
      <c r="R7" s="2">
        <v>500</v>
      </c>
      <c r="S7" s="2">
        <f>P7+Q7+(J7-$J$2)+(K7-$K$2)+SUMPRODUCT($A$2:A6,$R$2:R6*$N$2:N6)</f>
        <v>22803.73</v>
      </c>
      <c r="T7" s="2">
        <f>S7/A7</f>
        <v>4560.7460000000001</v>
      </c>
      <c r="U7" t="b">
        <f t="shared" si="3"/>
        <v>0</v>
      </c>
      <c r="V7" s="1">
        <f t="shared" si="0"/>
        <v>0.12264150943396226</v>
      </c>
      <c r="W7" s="1">
        <f t="shared" si="0"/>
        <v>0.22012578616352202</v>
      </c>
    </row>
    <row r="10" spans="1:23" x14ac:dyDescent="0.25">
      <c r="O10"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
  <sheetViews>
    <sheetView workbookViewId="0">
      <selection activeCell="A12" sqref="A12"/>
    </sheetView>
  </sheetViews>
  <sheetFormatPr defaultRowHeight="15" x14ac:dyDescent="0.25"/>
  <cols>
    <col min="6" max="6" width="11.5703125" bestFit="1" customWidth="1"/>
    <col min="7" max="7" width="10.5703125" bestFit="1" customWidth="1"/>
    <col min="10" max="11" width="10.5703125" bestFit="1" customWidth="1"/>
    <col min="12" max="12" width="0.7109375" customWidth="1"/>
    <col min="13" max="13" width="11.85546875" customWidth="1"/>
    <col min="16" max="16" width="10.5703125" bestFit="1" customWidth="1"/>
    <col min="17" max="17" width="11.5703125" bestFit="1" customWidth="1"/>
    <col min="18" max="18" width="9.28515625" bestFit="1" customWidth="1"/>
    <col min="19" max="19" width="13.42578125" customWidth="1"/>
    <col min="20" max="20" width="11.5703125" bestFit="1" customWidth="1"/>
  </cols>
  <sheetData>
    <row r="1" spans="1:24" x14ac:dyDescent="0.25">
      <c r="B1" t="s">
        <v>0</v>
      </c>
      <c r="C1" t="s">
        <v>1</v>
      </c>
      <c r="D1" t="s">
        <v>2</v>
      </c>
      <c r="E1" t="s">
        <v>3</v>
      </c>
      <c r="F1" t="s">
        <v>4</v>
      </c>
      <c r="G1" t="s">
        <v>5</v>
      </c>
      <c r="H1" t="s">
        <v>6</v>
      </c>
      <c r="I1" t="s">
        <v>7</v>
      </c>
      <c r="J1" t="s">
        <v>8</v>
      </c>
      <c r="K1" t="s">
        <v>9</v>
      </c>
      <c r="M1" t="s">
        <v>21</v>
      </c>
      <c r="N1" t="s">
        <v>10</v>
      </c>
      <c r="O1" t="s">
        <v>11</v>
      </c>
      <c r="P1" t="s">
        <v>12</v>
      </c>
      <c r="Q1" t="s">
        <v>13</v>
      </c>
      <c r="R1" t="s">
        <v>16</v>
      </c>
      <c r="S1" t="s">
        <v>14</v>
      </c>
      <c r="T1" t="s">
        <v>15</v>
      </c>
      <c r="U1" t="s">
        <v>17</v>
      </c>
      <c r="W1" t="s">
        <v>19</v>
      </c>
      <c r="X1" t="s">
        <v>20</v>
      </c>
    </row>
    <row r="2" spans="1:24" x14ac:dyDescent="0.25">
      <c r="A2">
        <v>0</v>
      </c>
      <c r="B2">
        <v>68</v>
      </c>
      <c r="C2">
        <v>0</v>
      </c>
      <c r="D2">
        <v>5</v>
      </c>
      <c r="E2">
        <v>0</v>
      </c>
      <c r="F2" s="2">
        <v>24190.79</v>
      </c>
      <c r="G2" s="2">
        <v>8353.5400000000009</v>
      </c>
      <c r="H2">
        <f>J2/50</f>
        <v>59.1524</v>
      </c>
      <c r="I2">
        <f>K2/30</f>
        <v>75.030666666666676</v>
      </c>
      <c r="J2" s="2">
        <v>2957.62</v>
      </c>
      <c r="K2" s="2">
        <v>2250.92</v>
      </c>
      <c r="M2" s="2">
        <f>F2-G2</f>
        <v>15837.25</v>
      </c>
      <c r="N2">
        <f>B3-B2</f>
        <v>-3</v>
      </c>
      <c r="O2">
        <f>B2-$B$2</f>
        <v>0</v>
      </c>
      <c r="P2" s="2"/>
      <c r="Q2" s="2"/>
      <c r="R2" s="2">
        <v>500</v>
      </c>
      <c r="W2" s="1">
        <f t="shared" ref="W2:X7" si="0">H2/($B2*6)</f>
        <v>0.1449813725490196</v>
      </c>
      <c r="X2" s="1">
        <f t="shared" si="0"/>
        <v>0.18389869281045754</v>
      </c>
    </row>
    <row r="3" spans="1:24" x14ac:dyDescent="0.25">
      <c r="A3">
        <v>1</v>
      </c>
      <c r="B3">
        <v>65</v>
      </c>
      <c r="C3">
        <v>0</v>
      </c>
      <c r="D3">
        <v>5</v>
      </c>
      <c r="E3">
        <v>0</v>
      </c>
      <c r="F3" s="2">
        <v>23044.959999999999</v>
      </c>
      <c r="G3" s="2">
        <v>8044.96</v>
      </c>
      <c r="H3">
        <v>46</v>
      </c>
      <c r="I3">
        <v>86</v>
      </c>
      <c r="J3" s="2">
        <v>2310.6</v>
      </c>
      <c r="K3" s="2">
        <v>2582.71</v>
      </c>
      <c r="M3" s="2">
        <f t="shared" ref="M3:M7" si="1">F3-G3</f>
        <v>15000</v>
      </c>
      <c r="N3">
        <f>B4-B3</f>
        <v>-16</v>
      </c>
      <c r="O3">
        <f t="shared" ref="O3:O7" si="2">B3-$B$2</f>
        <v>-3</v>
      </c>
      <c r="P3" s="2">
        <v>1000</v>
      </c>
      <c r="Q3" s="2">
        <v>10700</v>
      </c>
      <c r="R3" s="2">
        <v>500</v>
      </c>
      <c r="S3" s="2">
        <f>P3+Q3+(F3-$F$2)+SUMPRODUCT($A$2:A2,$R$2:R2*$N$2:N2)</f>
        <v>10554.169999999998</v>
      </c>
      <c r="T3" s="2">
        <f>S3/A3</f>
        <v>10554.169999999998</v>
      </c>
      <c r="U3" t="b">
        <f>(T4&gt;T3)</f>
        <v>0</v>
      </c>
      <c r="W3" s="1">
        <f t="shared" si="0"/>
        <v>0.11794871794871795</v>
      </c>
      <c r="X3" s="1">
        <f t="shared" si="0"/>
        <v>0.22051282051282051</v>
      </c>
    </row>
    <row r="4" spans="1:24" x14ac:dyDescent="0.25">
      <c r="A4">
        <v>2</v>
      </c>
      <c r="B4">
        <v>49</v>
      </c>
      <c r="C4">
        <v>0</v>
      </c>
      <c r="D4">
        <v>5</v>
      </c>
      <c r="E4">
        <v>0</v>
      </c>
      <c r="F4" s="2">
        <v>17212.02</v>
      </c>
      <c r="G4" s="2">
        <v>6052.02</v>
      </c>
      <c r="H4">
        <v>33</v>
      </c>
      <c r="I4">
        <v>69</v>
      </c>
      <c r="J4" s="2">
        <v>1661.47</v>
      </c>
      <c r="K4" s="2">
        <v>2076.89</v>
      </c>
      <c r="M4" s="2">
        <f t="shared" si="1"/>
        <v>11160</v>
      </c>
      <c r="N4">
        <f>B5-B4</f>
        <v>-8</v>
      </c>
      <c r="O4">
        <f t="shared" si="2"/>
        <v>-19</v>
      </c>
      <c r="P4" s="2">
        <v>1100</v>
      </c>
      <c r="Q4" s="2">
        <v>10700</v>
      </c>
      <c r="R4" s="2">
        <v>500</v>
      </c>
      <c r="S4" s="2">
        <f>P4+Q4+(F4-$F$2)+SUMPRODUCT($A$2:A3,$R$2:R3*$N$2:N3)</f>
        <v>-3178.7700000000004</v>
      </c>
      <c r="T4" s="2">
        <f>S4/A4</f>
        <v>-1589.3850000000002</v>
      </c>
      <c r="U4" t="b">
        <f t="shared" ref="U4:U7" si="3">(T5&gt;T4)</f>
        <v>0</v>
      </c>
      <c r="W4" s="1">
        <f t="shared" si="0"/>
        <v>0.11224489795918367</v>
      </c>
      <c r="X4" s="1">
        <f t="shared" si="0"/>
        <v>0.23469387755102042</v>
      </c>
    </row>
    <row r="5" spans="1:24" x14ac:dyDescent="0.25">
      <c r="A5">
        <v>3</v>
      </c>
      <c r="B5">
        <v>41</v>
      </c>
      <c r="C5">
        <v>0</v>
      </c>
      <c r="D5">
        <v>5</v>
      </c>
      <c r="E5">
        <v>0</v>
      </c>
      <c r="F5" s="2">
        <v>14541.71</v>
      </c>
      <c r="G5" s="2">
        <v>5301.71</v>
      </c>
      <c r="H5">
        <v>30</v>
      </c>
      <c r="I5">
        <v>64</v>
      </c>
      <c r="J5" s="2">
        <v>1511.25</v>
      </c>
      <c r="K5" s="2">
        <v>1926.97</v>
      </c>
      <c r="M5" s="2">
        <f t="shared" si="1"/>
        <v>9240</v>
      </c>
      <c r="N5">
        <f>B6-B5</f>
        <v>-8</v>
      </c>
      <c r="O5">
        <f t="shared" si="2"/>
        <v>-27</v>
      </c>
      <c r="P5" s="2">
        <v>1100</v>
      </c>
      <c r="Q5" s="2">
        <v>10700</v>
      </c>
      <c r="R5" s="2">
        <v>500</v>
      </c>
      <c r="S5" s="2">
        <f>P5+Q5+(F5-$F$2)+SUMPRODUCT($A$2:A4,$R$2:R4*$N$2:N4)</f>
        <v>-13849.080000000002</v>
      </c>
      <c r="T5" s="2">
        <f>S5/A5</f>
        <v>-4616.3600000000006</v>
      </c>
      <c r="U5" t="b">
        <f t="shared" si="3"/>
        <v>0</v>
      </c>
      <c r="W5" s="1">
        <f t="shared" si="0"/>
        <v>0.12195121951219512</v>
      </c>
      <c r="X5" s="1">
        <f t="shared" si="0"/>
        <v>0.26016260162601629</v>
      </c>
    </row>
    <row r="6" spans="1:24" x14ac:dyDescent="0.25">
      <c r="A6">
        <v>4</v>
      </c>
      <c r="B6">
        <v>33</v>
      </c>
      <c r="C6">
        <v>0</v>
      </c>
      <c r="D6">
        <v>5</v>
      </c>
      <c r="E6">
        <v>0</v>
      </c>
      <c r="F6" s="2">
        <v>12400.23</v>
      </c>
      <c r="G6" s="2">
        <v>5080.2299999999996</v>
      </c>
      <c r="H6">
        <v>34</v>
      </c>
      <c r="I6">
        <v>66</v>
      </c>
      <c r="J6" s="2">
        <v>1736.92</v>
      </c>
      <c r="K6" s="2">
        <v>2005.67</v>
      </c>
      <c r="M6" s="2">
        <f t="shared" si="1"/>
        <v>7320</v>
      </c>
      <c r="N6">
        <f>B7-B6</f>
        <v>20</v>
      </c>
      <c r="O6">
        <f t="shared" si="2"/>
        <v>-35</v>
      </c>
      <c r="P6" s="2">
        <v>1200</v>
      </c>
      <c r="Q6" s="2">
        <v>10700</v>
      </c>
      <c r="R6" s="2">
        <v>500</v>
      </c>
      <c r="S6" s="2">
        <f>P6+Q6+(F6-$F$2)+SUMPRODUCT($A$2:A5,$R$2:R5*$N$2:N5)</f>
        <v>-27890.560000000001</v>
      </c>
      <c r="T6" s="2">
        <f>S6/A6</f>
        <v>-6972.64</v>
      </c>
      <c r="U6" t="b">
        <f t="shared" si="3"/>
        <v>1</v>
      </c>
      <c r="W6" s="1">
        <f t="shared" si="0"/>
        <v>0.17171717171717171</v>
      </c>
      <c r="X6" s="1">
        <f t="shared" si="0"/>
        <v>0.33333333333333331</v>
      </c>
    </row>
    <row r="7" spans="1:24" x14ac:dyDescent="0.25">
      <c r="A7">
        <v>5</v>
      </c>
      <c r="B7">
        <v>53</v>
      </c>
      <c r="C7">
        <v>0</v>
      </c>
      <c r="D7">
        <v>5</v>
      </c>
      <c r="E7">
        <v>0</v>
      </c>
      <c r="F7" s="2">
        <v>18976.72</v>
      </c>
      <c r="G7" s="2">
        <v>6526.78</v>
      </c>
      <c r="H7">
        <v>39</v>
      </c>
      <c r="I7">
        <v>70</v>
      </c>
      <c r="J7" s="2">
        <v>1957.67</v>
      </c>
      <c r="K7" s="2">
        <v>2104.6</v>
      </c>
      <c r="M7" s="2">
        <f t="shared" si="1"/>
        <v>12449.940000000002</v>
      </c>
      <c r="O7">
        <f t="shared" si="2"/>
        <v>-15</v>
      </c>
      <c r="P7" s="2">
        <v>1250</v>
      </c>
      <c r="Q7" s="2">
        <v>10700</v>
      </c>
      <c r="R7" s="2">
        <v>500</v>
      </c>
      <c r="S7" s="2">
        <f>P7+Q7+(F7-$F$2)+SUMPRODUCT($A$2:A6,$R$2:R6*$N$2:N6)</f>
        <v>18735.93</v>
      </c>
      <c r="T7" s="2">
        <f>S7/A7</f>
        <v>3747.1860000000001</v>
      </c>
      <c r="U7" t="b">
        <f t="shared" si="3"/>
        <v>0</v>
      </c>
      <c r="W7" s="1">
        <f t="shared" si="0"/>
        <v>0.12264150943396226</v>
      </c>
      <c r="X7" s="1">
        <f t="shared" si="0"/>
        <v>0.22012578616352202</v>
      </c>
    </row>
    <row r="10" spans="1:24" x14ac:dyDescent="0.25">
      <c r="O10" t="s">
        <v>18</v>
      </c>
    </row>
    <row r="12" spans="1:24" x14ac:dyDescent="0.25">
      <c r="A12"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zoomScale="115" zoomScaleNormal="115" workbookViewId="0">
      <selection sqref="A1:B6"/>
    </sheetView>
  </sheetViews>
  <sheetFormatPr defaultRowHeight="15" x14ac:dyDescent="0.25"/>
  <cols>
    <col min="1" max="2" width="12.5703125" customWidth="1"/>
    <col min="7" max="7" width="19.28515625" customWidth="1"/>
  </cols>
  <sheetData>
    <row r="1" spans="1:10" x14ac:dyDescent="0.25">
      <c r="A1" t="s">
        <v>24</v>
      </c>
      <c r="B1" t="s">
        <v>23</v>
      </c>
      <c r="E1" t="s">
        <v>33</v>
      </c>
      <c r="F1" t="s">
        <v>32</v>
      </c>
      <c r="G1" t="s">
        <v>25</v>
      </c>
      <c r="H1" t="s">
        <v>26</v>
      </c>
      <c r="I1" t="s">
        <v>27</v>
      </c>
    </row>
    <row r="2" spans="1:10" x14ac:dyDescent="0.25">
      <c r="A2">
        <v>1</v>
      </c>
      <c r="B2">
        <v>400</v>
      </c>
      <c r="E2">
        <f>AVERAGE(B2:B6)</f>
        <v>295</v>
      </c>
      <c r="F2">
        <f>_xlfn.VAR.P(B2:B6)</f>
        <v>4600</v>
      </c>
      <c r="G2">
        <f>_xlfn.VAR.P(B2:B6)/AVERAGE(B2:B6)^2</f>
        <v>5.2858374030451023E-2</v>
      </c>
      <c r="H2">
        <f>H4</f>
        <v>0.2</v>
      </c>
      <c r="I2" t="str">
        <f>IF(G2&gt;H5,INDEX($J$4:$J$4,1,2),INDEX($J$4:$J$4,1,1))</f>
        <v>Use EOQ with average as demand</v>
      </c>
    </row>
    <row r="3" spans="1:10" x14ac:dyDescent="0.25">
      <c r="A3">
        <v>2</v>
      </c>
      <c r="B3">
        <v>300</v>
      </c>
    </row>
    <row r="4" spans="1:10" x14ac:dyDescent="0.25">
      <c r="A4">
        <v>3</v>
      </c>
      <c r="B4">
        <v>250</v>
      </c>
      <c r="H4">
        <v>0.2</v>
      </c>
      <c r="I4" t="s">
        <v>31</v>
      </c>
      <c r="J4" t="s">
        <v>30</v>
      </c>
    </row>
    <row r="5" spans="1:10" x14ac:dyDescent="0.25">
      <c r="A5">
        <v>4</v>
      </c>
      <c r="B5">
        <v>200</v>
      </c>
      <c r="H5">
        <v>0.2</v>
      </c>
      <c r="I5" t="s">
        <v>29</v>
      </c>
      <c r="J5" t="s">
        <v>28</v>
      </c>
    </row>
    <row r="6" spans="1:10" x14ac:dyDescent="0.25">
      <c r="A6">
        <v>5</v>
      </c>
      <c r="B6">
        <v>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8"/>
  <sheetViews>
    <sheetView zoomScale="115" zoomScaleNormal="115" workbookViewId="0">
      <selection activeCell="L45" sqref="L45"/>
    </sheetView>
  </sheetViews>
  <sheetFormatPr defaultRowHeight="15" x14ac:dyDescent="0.25"/>
  <cols>
    <col min="3" max="3" width="12.42578125" customWidth="1"/>
    <col min="4" max="4" width="11.5703125" bestFit="1" customWidth="1"/>
    <col min="5" max="5" width="6.28515625" customWidth="1"/>
    <col min="6" max="6" width="19.140625" customWidth="1"/>
    <col min="7" max="7" width="10.5703125" bestFit="1" customWidth="1"/>
    <col min="9" max="9" width="12.7109375" customWidth="1"/>
    <col min="10" max="10" width="12.5703125" customWidth="1"/>
    <col min="11" max="14" width="12.42578125" customWidth="1"/>
    <col min="15" max="15" width="12.42578125" style="2" customWidth="1"/>
    <col min="16" max="16" width="11.5703125" style="2" customWidth="1"/>
    <col min="17" max="17" width="11.5703125" style="2" bestFit="1" customWidth="1"/>
    <col min="18" max="18" width="10.85546875" style="2" customWidth="1"/>
  </cols>
  <sheetData>
    <row r="1" spans="1:20" x14ac:dyDescent="0.25">
      <c r="D1" t="s">
        <v>40</v>
      </c>
      <c r="K1" t="s">
        <v>43</v>
      </c>
      <c r="O1" s="2" t="s">
        <v>56</v>
      </c>
    </row>
    <row r="2" spans="1:20" x14ac:dyDescent="0.25">
      <c r="A2" t="s">
        <v>24</v>
      </c>
      <c r="B2" t="s">
        <v>23</v>
      </c>
      <c r="C2" t="s">
        <v>12</v>
      </c>
      <c r="D2" t="s">
        <v>35</v>
      </c>
      <c r="E2" t="s">
        <v>36</v>
      </c>
      <c r="F2" t="s">
        <v>37</v>
      </c>
      <c r="G2" t="s">
        <v>38</v>
      </c>
      <c r="J2" t="s">
        <v>24</v>
      </c>
      <c r="K2" t="s">
        <v>42</v>
      </c>
      <c r="L2" t="s">
        <v>39</v>
      </c>
      <c r="M2" t="s">
        <v>40</v>
      </c>
      <c r="N2" t="s">
        <v>41</v>
      </c>
      <c r="O2" s="2" t="s">
        <v>42</v>
      </c>
      <c r="P2" s="2" t="s">
        <v>39</v>
      </c>
      <c r="Q2" s="2" t="s">
        <v>40</v>
      </c>
      <c r="R2" s="2" t="s">
        <v>41</v>
      </c>
    </row>
    <row r="3" spans="1:20" x14ac:dyDescent="0.25">
      <c r="C3" s="2"/>
      <c r="D3" s="2"/>
      <c r="E3" s="2"/>
      <c r="G3" s="2"/>
      <c r="I3" s="2"/>
      <c r="K3" s="2">
        <v>10700</v>
      </c>
      <c r="L3" s="2">
        <v>10500</v>
      </c>
      <c r="M3" s="2">
        <v>8000</v>
      </c>
      <c r="N3" s="2">
        <v>6000</v>
      </c>
      <c r="O3" s="2">
        <v>500</v>
      </c>
      <c r="P3" s="2">
        <v>700</v>
      </c>
      <c r="Q3" s="2">
        <v>300</v>
      </c>
      <c r="R3" s="2">
        <v>500</v>
      </c>
      <c r="T3" s="1"/>
    </row>
    <row r="4" spans="1:20" x14ac:dyDescent="0.25">
      <c r="A4">
        <v>1</v>
      </c>
      <c r="B4">
        <v>400</v>
      </c>
      <c r="C4" s="2">
        <v>1000</v>
      </c>
      <c r="D4" s="3">
        <f>SQRT(2*INDEX($K$4:$N$8,$A4,MATCH(D$1,$K$2:$N$2,0))*$B$10/INDEX($O$4:$R$8,$A4,MATCH(D$1,$O$2:$R$2,0)))</f>
        <v>280.47578623950176</v>
      </c>
      <c r="E4" s="3">
        <f>D4/$B$10</f>
        <v>0.19015307541661136</v>
      </c>
      <c r="F4">
        <f>ROUND(E4*MAX($A$4:$A$8)*3,0)</f>
        <v>3</v>
      </c>
      <c r="G4" s="3"/>
      <c r="I4" s="2"/>
      <c r="J4">
        <v>1</v>
      </c>
      <c r="K4" s="2">
        <v>10700</v>
      </c>
      <c r="L4" s="2">
        <v>10500</v>
      </c>
      <c r="M4" s="2">
        <v>8000</v>
      </c>
      <c r="N4" s="2">
        <v>6000</v>
      </c>
      <c r="O4" s="2">
        <v>500</v>
      </c>
      <c r="P4" s="2">
        <v>700</v>
      </c>
      <c r="Q4" s="2">
        <v>300</v>
      </c>
      <c r="R4" s="2">
        <v>500</v>
      </c>
      <c r="T4" s="1"/>
    </row>
    <row r="5" spans="1:20" x14ac:dyDescent="0.25">
      <c r="A5">
        <v>2</v>
      </c>
      <c r="B5">
        <v>300</v>
      </c>
      <c r="C5" s="2">
        <v>1100</v>
      </c>
      <c r="D5" s="3">
        <f t="shared" ref="D5:D8" si="0">SQRT(2*INDEX($K$4:$N$8,$A5,MATCH(D$1,$K$2:$N$2,0))*$B$10/INDEX($O$4:$R$8,$A5,MATCH(D$1,$O$2:$R$2,0)))</f>
        <v>280.47578623950176</v>
      </c>
      <c r="E5" s="3">
        <f t="shared" ref="E5:E8" si="1">D5/$B$10</f>
        <v>0.19015307541661136</v>
      </c>
      <c r="F5">
        <f t="shared" ref="F5:F8" si="2">ROUND(E5*MAX($A$4:$A$8)*3,0)</f>
        <v>3</v>
      </c>
      <c r="G5" s="3"/>
      <c r="I5" s="2"/>
      <c r="J5">
        <v>2</v>
      </c>
      <c r="K5" s="2">
        <v>10700</v>
      </c>
      <c r="L5" s="2">
        <v>10500</v>
      </c>
      <c r="M5" s="2">
        <v>8000</v>
      </c>
      <c r="N5" s="2">
        <v>6000</v>
      </c>
      <c r="O5" s="2">
        <v>500</v>
      </c>
      <c r="P5" s="2">
        <v>700</v>
      </c>
      <c r="Q5" s="2">
        <v>300</v>
      </c>
      <c r="R5" s="2">
        <v>500</v>
      </c>
      <c r="T5" s="1"/>
    </row>
    <row r="6" spans="1:20" x14ac:dyDescent="0.25">
      <c r="A6">
        <v>3</v>
      </c>
      <c r="B6">
        <v>250</v>
      </c>
      <c r="C6" s="2">
        <v>1100</v>
      </c>
      <c r="D6" s="3">
        <f t="shared" si="0"/>
        <v>280.47578623950176</v>
      </c>
      <c r="E6" s="3">
        <f t="shared" si="1"/>
        <v>0.19015307541661136</v>
      </c>
      <c r="F6">
        <f t="shared" si="2"/>
        <v>3</v>
      </c>
      <c r="G6" s="3"/>
      <c r="I6" s="2"/>
      <c r="J6">
        <v>3</v>
      </c>
      <c r="K6" s="2">
        <v>10700</v>
      </c>
      <c r="L6" s="2">
        <v>10500</v>
      </c>
      <c r="M6" s="2">
        <v>8000</v>
      </c>
      <c r="N6" s="2">
        <v>6000</v>
      </c>
      <c r="O6" s="2">
        <v>500</v>
      </c>
      <c r="P6" s="2">
        <v>700</v>
      </c>
      <c r="Q6" s="2">
        <v>300</v>
      </c>
      <c r="R6" s="2">
        <v>500</v>
      </c>
      <c r="T6" s="1"/>
    </row>
    <row r="7" spans="1:20" x14ac:dyDescent="0.25">
      <c r="A7">
        <v>4</v>
      </c>
      <c r="B7">
        <v>200</v>
      </c>
      <c r="C7" s="2">
        <v>1200</v>
      </c>
      <c r="D7" s="3">
        <f t="shared" si="0"/>
        <v>280.47578623950176</v>
      </c>
      <c r="E7" s="3">
        <f t="shared" si="1"/>
        <v>0.19015307541661136</v>
      </c>
      <c r="F7">
        <f t="shared" si="2"/>
        <v>3</v>
      </c>
      <c r="G7" s="3"/>
      <c r="I7" s="2"/>
      <c r="J7">
        <v>4</v>
      </c>
      <c r="K7" s="2">
        <v>10700</v>
      </c>
      <c r="L7" s="2">
        <v>10500</v>
      </c>
      <c r="M7" s="2">
        <v>8000</v>
      </c>
      <c r="N7" s="2">
        <v>6000</v>
      </c>
      <c r="O7" s="2">
        <v>500</v>
      </c>
      <c r="P7" s="2">
        <v>700</v>
      </c>
      <c r="Q7" s="2">
        <v>300</v>
      </c>
      <c r="R7" s="2">
        <v>500</v>
      </c>
      <c r="T7" s="1"/>
    </row>
    <row r="8" spans="1:20" x14ac:dyDescent="0.25">
      <c r="A8">
        <v>5</v>
      </c>
      <c r="B8">
        <v>325</v>
      </c>
      <c r="C8" s="2">
        <v>1250</v>
      </c>
      <c r="D8" s="3">
        <f t="shared" si="0"/>
        <v>280.47578623950176</v>
      </c>
      <c r="E8" s="3">
        <f t="shared" si="1"/>
        <v>0.19015307541661136</v>
      </c>
      <c r="F8">
        <f t="shared" si="2"/>
        <v>3</v>
      </c>
      <c r="G8" s="3"/>
      <c r="I8" s="2"/>
      <c r="J8">
        <v>5</v>
      </c>
      <c r="K8" s="2">
        <v>10700</v>
      </c>
      <c r="L8" s="2">
        <v>10500</v>
      </c>
      <c r="M8" s="2">
        <v>8000</v>
      </c>
      <c r="N8" s="2">
        <v>6000</v>
      </c>
      <c r="O8" s="2">
        <v>500</v>
      </c>
      <c r="P8" s="2">
        <v>700</v>
      </c>
      <c r="Q8" s="2">
        <v>300</v>
      </c>
      <c r="R8" s="2">
        <v>500</v>
      </c>
      <c r="T8" s="1"/>
    </row>
    <row r="10" spans="1:20" x14ac:dyDescent="0.25">
      <c r="A10" t="s">
        <v>34</v>
      </c>
      <c r="B10">
        <f>SUM(B4:B8)</f>
        <v>1475</v>
      </c>
    </row>
    <row r="13" spans="1:20" x14ac:dyDescent="0.25">
      <c r="A13" t="s">
        <v>44</v>
      </c>
      <c r="B13" t="s">
        <v>45</v>
      </c>
      <c r="C13" t="s">
        <v>46</v>
      </c>
      <c r="D13" t="s">
        <v>47</v>
      </c>
    </row>
    <row r="14" spans="1:20" x14ac:dyDescent="0.25">
      <c r="A14" t="s">
        <v>64</v>
      </c>
      <c r="B14" t="s">
        <v>0</v>
      </c>
      <c r="C14" t="s">
        <v>1</v>
      </c>
      <c r="D14" t="s">
        <v>2</v>
      </c>
      <c r="E14" t="s">
        <v>3</v>
      </c>
      <c r="F14" t="s">
        <v>4</v>
      </c>
      <c r="G14" t="s">
        <v>5</v>
      </c>
      <c r="H14" t="s">
        <v>6</v>
      </c>
      <c r="I14" t="s">
        <v>7</v>
      </c>
      <c r="J14" t="s">
        <v>65</v>
      </c>
      <c r="K14" t="s">
        <v>9</v>
      </c>
      <c r="L14" t="s">
        <v>54</v>
      </c>
      <c r="M14" t="s">
        <v>55</v>
      </c>
    </row>
    <row r="15" spans="1:20" s="4" customFormat="1" x14ac:dyDescent="0.25">
      <c r="A15" s="4">
        <v>0</v>
      </c>
      <c r="B15" s="4">
        <v>48</v>
      </c>
      <c r="C15" s="4">
        <v>0</v>
      </c>
      <c r="D15" s="4">
        <v>5</v>
      </c>
      <c r="E15" s="4">
        <v>0</v>
      </c>
      <c r="F15" s="4">
        <v>16865.71</v>
      </c>
      <c r="G15" s="4">
        <v>5945.71</v>
      </c>
      <c r="H15" s="11">
        <v>32</v>
      </c>
      <c r="I15" s="4">
        <v>69</v>
      </c>
      <c r="J15" s="4">
        <v>1606.96</v>
      </c>
      <c r="K15" s="4">
        <v>2074.19</v>
      </c>
      <c r="L15" s="6">
        <f>H15/$B15/6</f>
        <v>0.1111111111111111</v>
      </c>
      <c r="M15" s="6">
        <f>I15/$B15/6</f>
        <v>0.23958333333333334</v>
      </c>
      <c r="O15" s="5"/>
      <c r="P15" s="5"/>
      <c r="Q15" s="5"/>
      <c r="R15" s="5"/>
    </row>
    <row r="16" spans="1:20" x14ac:dyDescent="0.25">
      <c r="A16">
        <v>1</v>
      </c>
      <c r="B16">
        <v>65</v>
      </c>
      <c r="C16">
        <v>0</v>
      </c>
      <c r="D16">
        <v>5</v>
      </c>
      <c r="E16">
        <v>0</v>
      </c>
      <c r="F16">
        <v>23380.43</v>
      </c>
      <c r="G16">
        <v>8044.96</v>
      </c>
      <c r="H16" s="7">
        <v>49</v>
      </c>
      <c r="I16">
        <v>83</v>
      </c>
      <c r="J16">
        <v>2464.5</v>
      </c>
      <c r="K16">
        <v>2495.0500000000002</v>
      </c>
      <c r="L16" s="1">
        <f t="shared" ref="L16:M20" si="3">H16/$B16/6</f>
        <v>0.12564102564102564</v>
      </c>
      <c r="M16" s="1">
        <f t="shared" si="3"/>
        <v>0.21282051282051281</v>
      </c>
    </row>
    <row r="17" spans="1:18" x14ac:dyDescent="0.25">
      <c r="A17">
        <v>2</v>
      </c>
      <c r="B17">
        <v>49</v>
      </c>
      <c r="C17">
        <v>0</v>
      </c>
      <c r="D17">
        <v>5</v>
      </c>
      <c r="E17">
        <v>0</v>
      </c>
      <c r="F17">
        <v>17539.689999999999</v>
      </c>
      <c r="G17">
        <v>6052.02</v>
      </c>
      <c r="H17" s="7">
        <v>36</v>
      </c>
      <c r="I17">
        <v>66</v>
      </c>
      <c r="J17">
        <v>1809.81</v>
      </c>
      <c r="K17">
        <v>1985.89</v>
      </c>
      <c r="L17" s="1">
        <f t="shared" si="3"/>
        <v>0.12244897959183675</v>
      </c>
      <c r="M17" s="1">
        <f t="shared" si="3"/>
        <v>0.22448979591836735</v>
      </c>
    </row>
    <row r="18" spans="1:18" x14ac:dyDescent="0.25">
      <c r="A18">
        <v>3</v>
      </c>
      <c r="B18">
        <v>41</v>
      </c>
      <c r="C18">
        <v>0</v>
      </c>
      <c r="D18">
        <v>5</v>
      </c>
      <c r="E18">
        <v>0</v>
      </c>
      <c r="F18">
        <v>14541.71</v>
      </c>
      <c r="G18">
        <v>5301.71</v>
      </c>
      <c r="H18" s="7">
        <v>30</v>
      </c>
      <c r="I18">
        <v>64</v>
      </c>
      <c r="J18">
        <v>1511.25</v>
      </c>
      <c r="K18">
        <v>1926.97</v>
      </c>
      <c r="L18" s="1">
        <f t="shared" si="3"/>
        <v>0.12195121951219512</v>
      </c>
      <c r="M18" s="1">
        <f t="shared" si="3"/>
        <v>0.26016260162601629</v>
      </c>
    </row>
    <row r="19" spans="1:18" x14ac:dyDescent="0.25">
      <c r="A19">
        <v>4</v>
      </c>
      <c r="B19">
        <v>33</v>
      </c>
      <c r="C19">
        <v>0</v>
      </c>
      <c r="D19">
        <v>5</v>
      </c>
      <c r="E19">
        <v>0</v>
      </c>
      <c r="F19">
        <v>12400.23</v>
      </c>
      <c r="G19">
        <v>5080.2299999999996</v>
      </c>
      <c r="H19" s="7">
        <v>34</v>
      </c>
      <c r="I19">
        <v>66</v>
      </c>
      <c r="J19">
        <v>1736.92</v>
      </c>
      <c r="K19">
        <v>2005.67</v>
      </c>
      <c r="L19" s="1">
        <f t="shared" si="3"/>
        <v>0.17171717171717171</v>
      </c>
      <c r="M19" s="1">
        <f t="shared" si="3"/>
        <v>0.33333333333333331</v>
      </c>
    </row>
    <row r="20" spans="1:18" x14ac:dyDescent="0.25">
      <c r="A20">
        <v>5</v>
      </c>
      <c r="B20">
        <v>53</v>
      </c>
      <c r="C20">
        <v>0</v>
      </c>
      <c r="D20">
        <v>5</v>
      </c>
      <c r="E20">
        <v>0</v>
      </c>
      <c r="F20">
        <v>18976.72</v>
      </c>
      <c r="G20">
        <v>6526.78</v>
      </c>
      <c r="H20" s="7">
        <v>39</v>
      </c>
      <c r="I20">
        <v>70</v>
      </c>
      <c r="J20">
        <v>1957.67</v>
      </c>
      <c r="K20">
        <v>2104.6</v>
      </c>
      <c r="L20" s="1">
        <f t="shared" si="3"/>
        <v>0.12264150943396225</v>
      </c>
      <c r="M20" s="1">
        <f t="shared" si="3"/>
        <v>0.22012578616352199</v>
      </c>
    </row>
    <row r="21" spans="1:18" x14ac:dyDescent="0.25">
      <c r="A21" t="s">
        <v>59</v>
      </c>
      <c r="F21" s="10">
        <f>SUM(F16:F20)</f>
        <v>86838.78</v>
      </c>
      <c r="G21" s="10">
        <f t="shared" ref="G21:K21" si="4">SUM(G16:G20)</f>
        <v>31005.699999999997</v>
      </c>
      <c r="H21" s="10">
        <f t="shared" si="4"/>
        <v>188</v>
      </c>
      <c r="I21" s="10">
        <f t="shared" si="4"/>
        <v>349</v>
      </c>
      <c r="J21" s="10">
        <f t="shared" si="4"/>
        <v>9480.15</v>
      </c>
      <c r="K21" s="10">
        <f t="shared" si="4"/>
        <v>10518.180000000002</v>
      </c>
      <c r="L21" s="9">
        <f>AVERAGE(L16:L20)</f>
        <v>0.1328799811792383</v>
      </c>
      <c r="M21" s="9">
        <f>AVERAGE(M16:M20)</f>
        <v>0.25018640597235031</v>
      </c>
      <c r="N21" t="s">
        <v>60</v>
      </c>
    </row>
    <row r="22" spans="1:18" x14ac:dyDescent="0.25">
      <c r="H22" s="7"/>
      <c r="L22" s="9">
        <f>_xlfn.STDEV.P(L16:L20)</f>
        <v>1.9461756218461829E-2</v>
      </c>
      <c r="M22" s="9">
        <f>_xlfn.STDEV.P(M16:M20)</f>
        <v>4.4661174664096727E-2</v>
      </c>
      <c r="N22" t="s">
        <v>61</v>
      </c>
    </row>
    <row r="23" spans="1:18" x14ac:dyDescent="0.25">
      <c r="H23" s="7"/>
      <c r="L23" s="9">
        <f>MAX(L16:L20)</f>
        <v>0.17171717171717171</v>
      </c>
      <c r="M23" s="9">
        <f>MAX(M16:M20)</f>
        <v>0.33333333333333331</v>
      </c>
      <c r="N23" t="s">
        <v>62</v>
      </c>
    </row>
    <row r="24" spans="1:18" x14ac:dyDescent="0.25">
      <c r="A24" t="s">
        <v>48</v>
      </c>
      <c r="B24" t="s">
        <v>45</v>
      </c>
      <c r="C24" t="s">
        <v>46</v>
      </c>
      <c r="D24" t="s">
        <v>47</v>
      </c>
    </row>
    <row r="25" spans="1:18" x14ac:dyDescent="0.25">
      <c r="A25" t="s">
        <v>64</v>
      </c>
      <c r="B25" t="s">
        <v>0</v>
      </c>
      <c r="C25" t="s">
        <v>1</v>
      </c>
      <c r="D25" t="s">
        <v>49</v>
      </c>
      <c r="E25" t="s">
        <v>3</v>
      </c>
      <c r="F25" t="s">
        <v>4</v>
      </c>
      <c r="G25" t="s">
        <v>5</v>
      </c>
      <c r="H25" t="s">
        <v>6</v>
      </c>
      <c r="I25" t="s">
        <v>7</v>
      </c>
      <c r="J25" t="s">
        <v>8</v>
      </c>
      <c r="K25" t="s">
        <v>9</v>
      </c>
      <c r="L25" t="s">
        <v>54</v>
      </c>
      <c r="M25" t="s">
        <v>55</v>
      </c>
    </row>
    <row r="26" spans="1:18" s="4" customFormat="1" x14ac:dyDescent="0.25">
      <c r="A26" s="4">
        <v>0</v>
      </c>
      <c r="B26" s="4">
        <v>69</v>
      </c>
      <c r="C26" s="4">
        <v>0</v>
      </c>
      <c r="D26" s="4">
        <v>5</v>
      </c>
      <c r="E26" s="4">
        <v>0</v>
      </c>
      <c r="F26" s="4">
        <v>25238.68</v>
      </c>
      <c r="G26" s="4">
        <v>9278.68</v>
      </c>
      <c r="H26" s="11">
        <v>115</v>
      </c>
      <c r="I26" s="4">
        <v>26</v>
      </c>
      <c r="J26" s="4">
        <v>5784.49</v>
      </c>
      <c r="K26" s="4">
        <v>800.71</v>
      </c>
      <c r="L26" s="6">
        <f>H26/$B26/6</f>
        <v>0.27777777777777779</v>
      </c>
      <c r="M26" s="6">
        <f>I26/$B26/6</f>
        <v>6.280193236714976E-2</v>
      </c>
      <c r="O26" s="5"/>
      <c r="P26" s="5"/>
      <c r="Q26" s="5"/>
      <c r="R26" s="5"/>
    </row>
    <row r="27" spans="1:18" s="13" customFormat="1" x14ac:dyDescent="0.25">
      <c r="A27" s="13">
        <v>1</v>
      </c>
      <c r="B27" s="13">
        <v>48</v>
      </c>
      <c r="C27" s="13">
        <v>0</v>
      </c>
      <c r="D27" s="13">
        <v>5</v>
      </c>
      <c r="E27" s="13">
        <v>0</v>
      </c>
      <c r="F27" s="13">
        <v>18371.87</v>
      </c>
      <c r="G27" s="13">
        <v>7451.87</v>
      </c>
      <c r="H27" s="14">
        <v>8</v>
      </c>
      <c r="I27" s="13">
        <v>150</v>
      </c>
      <c r="J27" s="13">
        <v>435.37</v>
      </c>
      <c r="K27" s="13">
        <v>4517.57</v>
      </c>
      <c r="L27" s="15">
        <f t="shared" ref="L27:L31" si="5">H27/$B27/6</f>
        <v>2.7777777777777776E-2</v>
      </c>
      <c r="M27" s="15">
        <f t="shared" ref="M27:M31" si="6">I27/$B27/6</f>
        <v>0.52083333333333337</v>
      </c>
      <c r="O27" s="16"/>
      <c r="P27" s="16"/>
      <c r="Q27" s="16"/>
      <c r="R27" s="16"/>
    </row>
    <row r="28" spans="1:18" x14ac:dyDescent="0.25">
      <c r="A28">
        <v>2</v>
      </c>
      <c r="B28">
        <v>48</v>
      </c>
      <c r="C28">
        <v>0</v>
      </c>
      <c r="D28">
        <v>5</v>
      </c>
      <c r="E28">
        <v>0</v>
      </c>
      <c r="F28">
        <v>16893.54</v>
      </c>
      <c r="G28">
        <v>5973.54</v>
      </c>
      <c r="H28" s="7">
        <v>30</v>
      </c>
      <c r="I28">
        <v>72</v>
      </c>
      <c r="J28">
        <v>1519.7</v>
      </c>
      <c r="K28">
        <v>2171.83</v>
      </c>
      <c r="L28" s="1">
        <f t="shared" si="5"/>
        <v>0.10416666666666667</v>
      </c>
      <c r="M28" s="1">
        <f t="shared" si="6"/>
        <v>0.25</v>
      </c>
    </row>
    <row r="29" spans="1:18" x14ac:dyDescent="0.25">
      <c r="A29">
        <v>3</v>
      </c>
      <c r="B29">
        <v>48</v>
      </c>
      <c r="C29">
        <v>0</v>
      </c>
      <c r="D29">
        <v>5</v>
      </c>
      <c r="E29">
        <v>0</v>
      </c>
      <c r="F29">
        <v>17009.48</v>
      </c>
      <c r="G29">
        <v>6089.48</v>
      </c>
      <c r="H29" s="7">
        <v>53</v>
      </c>
      <c r="I29">
        <v>45</v>
      </c>
      <c r="J29">
        <v>2673.95</v>
      </c>
      <c r="K29">
        <v>1364.59</v>
      </c>
      <c r="L29" s="1">
        <f t="shared" si="5"/>
        <v>0.18402777777777779</v>
      </c>
      <c r="M29" s="1">
        <f t="shared" si="6"/>
        <v>0.15625</v>
      </c>
    </row>
    <row r="30" spans="1:18" x14ac:dyDescent="0.25">
      <c r="A30">
        <v>4</v>
      </c>
      <c r="B30">
        <v>48</v>
      </c>
      <c r="C30">
        <v>0</v>
      </c>
      <c r="D30">
        <v>5</v>
      </c>
      <c r="E30">
        <v>0</v>
      </c>
      <c r="F30">
        <v>18230.509999999998</v>
      </c>
      <c r="G30">
        <v>7310.51</v>
      </c>
      <c r="H30" s="7">
        <v>92</v>
      </c>
      <c r="I30">
        <v>34</v>
      </c>
      <c r="J30">
        <v>4615.6899999999996</v>
      </c>
      <c r="K30">
        <v>1032.93</v>
      </c>
      <c r="L30" s="1">
        <f t="shared" si="5"/>
        <v>0.31944444444444448</v>
      </c>
      <c r="M30" s="1">
        <f t="shared" si="6"/>
        <v>0.11805555555555557</v>
      </c>
    </row>
    <row r="31" spans="1:18" x14ac:dyDescent="0.25">
      <c r="A31">
        <v>5</v>
      </c>
      <c r="B31">
        <v>48</v>
      </c>
      <c r="C31">
        <v>0</v>
      </c>
      <c r="D31">
        <v>5</v>
      </c>
      <c r="E31">
        <v>0</v>
      </c>
      <c r="F31">
        <v>17124.88</v>
      </c>
      <c r="G31">
        <v>6204.88</v>
      </c>
      <c r="H31" s="7">
        <v>22</v>
      </c>
      <c r="I31">
        <v>89</v>
      </c>
      <c r="J31">
        <v>1149.21</v>
      </c>
      <c r="K31">
        <v>2699.53</v>
      </c>
      <c r="L31" s="1">
        <f t="shared" si="5"/>
        <v>7.6388888888888881E-2</v>
      </c>
      <c r="M31" s="1">
        <f t="shared" si="6"/>
        <v>0.30902777777777779</v>
      </c>
    </row>
    <row r="32" spans="1:18" x14ac:dyDescent="0.25">
      <c r="A32" t="s">
        <v>59</v>
      </c>
      <c r="F32" s="10">
        <f>SUM(F27:F31)</f>
        <v>87630.28</v>
      </c>
      <c r="G32" s="10">
        <f t="shared" ref="G32:I32" si="7">SUM(G27:G31)</f>
        <v>33030.28</v>
      </c>
      <c r="H32" s="10">
        <f t="shared" si="7"/>
        <v>205</v>
      </c>
      <c r="I32" s="10">
        <f t="shared" si="7"/>
        <v>390</v>
      </c>
      <c r="J32" s="10">
        <f t="shared" ref="J32" si="8">SUM(J27:J31)</f>
        <v>10393.919999999998</v>
      </c>
      <c r="K32" s="10">
        <f t="shared" ref="K32" si="9">SUM(K27:K31)</f>
        <v>11786.45</v>
      </c>
      <c r="L32" s="9">
        <f>AVERAGE(L27:L31)</f>
        <v>0.1423611111111111</v>
      </c>
      <c r="M32" s="9">
        <f>AVERAGE(M27:M31)</f>
        <v>0.27083333333333331</v>
      </c>
      <c r="N32" t="s">
        <v>60</v>
      </c>
    </row>
    <row r="33" spans="1:18" x14ac:dyDescent="0.25">
      <c r="H33" s="7"/>
      <c r="L33" s="9">
        <f>_xlfn.STDEV.P(L27:L31)</f>
        <v>0.10201481071363254</v>
      </c>
      <c r="M33" s="9">
        <f>_xlfn.STDEV.P(M27:M31)</f>
        <v>0.14203044252884059</v>
      </c>
      <c r="N33" t="s">
        <v>61</v>
      </c>
    </row>
    <row r="34" spans="1:18" x14ac:dyDescent="0.25">
      <c r="H34" s="7"/>
      <c r="L34" s="9">
        <f>MAX(L27:L31)</f>
        <v>0.31944444444444448</v>
      </c>
      <c r="M34" s="9">
        <f>MAX(M27:M31)</f>
        <v>0.52083333333333337</v>
      </c>
      <c r="N34" t="s">
        <v>62</v>
      </c>
    </row>
    <row r="35" spans="1:18" x14ac:dyDescent="0.25">
      <c r="A35" t="s">
        <v>53</v>
      </c>
    </row>
    <row r="36" spans="1:18" x14ac:dyDescent="0.25">
      <c r="B36" t="s">
        <v>0</v>
      </c>
      <c r="C36" t="s">
        <v>1</v>
      </c>
      <c r="D36" t="s">
        <v>49</v>
      </c>
      <c r="E36" t="s">
        <v>3</v>
      </c>
      <c r="F36" t="s">
        <v>4</v>
      </c>
      <c r="G36" t="s">
        <v>5</v>
      </c>
      <c r="H36" t="s">
        <v>6</v>
      </c>
      <c r="I36" t="s">
        <v>7</v>
      </c>
      <c r="J36" t="s">
        <v>8</v>
      </c>
      <c r="K36" t="s">
        <v>9</v>
      </c>
      <c r="L36" t="s">
        <v>54</v>
      </c>
      <c r="M36" t="s">
        <v>55</v>
      </c>
    </row>
    <row r="37" spans="1:18" s="4" customFormat="1" x14ac:dyDescent="0.25">
      <c r="A37" s="4">
        <f t="shared" ref="A37:A42" si="10">A15</f>
        <v>0</v>
      </c>
      <c r="B37" s="4">
        <f t="shared" ref="B37:B42" si="11">B15-B26</f>
        <v>-21</v>
      </c>
      <c r="C37" s="4">
        <f t="shared" ref="C37:M37" si="12">C15-C26</f>
        <v>0</v>
      </c>
      <c r="D37" s="4">
        <f t="shared" si="12"/>
        <v>0</v>
      </c>
      <c r="E37" s="4">
        <f t="shared" si="12"/>
        <v>0</v>
      </c>
      <c r="F37" s="4">
        <f t="shared" si="12"/>
        <v>-8372.9700000000012</v>
      </c>
      <c r="G37" s="4">
        <f t="shared" si="12"/>
        <v>-3332.9700000000003</v>
      </c>
      <c r="H37" s="4">
        <f t="shared" si="12"/>
        <v>-83</v>
      </c>
      <c r="I37" s="4">
        <f t="shared" si="12"/>
        <v>43</v>
      </c>
      <c r="J37" s="4">
        <f t="shared" si="12"/>
        <v>-4177.53</v>
      </c>
      <c r="K37" s="4">
        <f t="shared" si="12"/>
        <v>1273.48</v>
      </c>
      <c r="L37" s="12">
        <f t="shared" si="12"/>
        <v>-0.16666666666666669</v>
      </c>
      <c r="M37" s="12">
        <f t="shared" si="12"/>
        <v>0.17678140096618358</v>
      </c>
      <c r="O37" s="5"/>
      <c r="P37" s="5"/>
      <c r="Q37" s="5"/>
      <c r="R37" s="5"/>
    </row>
    <row r="38" spans="1:18" x14ac:dyDescent="0.25">
      <c r="A38">
        <f t="shared" si="10"/>
        <v>1</v>
      </c>
      <c r="B38">
        <f t="shared" si="11"/>
        <v>17</v>
      </c>
      <c r="C38">
        <f t="shared" ref="C38:M38" si="13">C16-C27</f>
        <v>0</v>
      </c>
      <c r="D38">
        <f t="shared" si="13"/>
        <v>0</v>
      </c>
      <c r="E38">
        <f t="shared" si="13"/>
        <v>0</v>
      </c>
      <c r="F38">
        <f t="shared" si="13"/>
        <v>5008.5600000000013</v>
      </c>
      <c r="G38">
        <f t="shared" si="13"/>
        <v>593.09000000000015</v>
      </c>
      <c r="H38">
        <f t="shared" si="13"/>
        <v>41</v>
      </c>
      <c r="I38">
        <f t="shared" si="13"/>
        <v>-67</v>
      </c>
      <c r="J38">
        <f t="shared" si="13"/>
        <v>2029.13</v>
      </c>
      <c r="K38">
        <f t="shared" si="13"/>
        <v>-2022.5199999999995</v>
      </c>
      <c r="L38" s="8">
        <f t="shared" si="13"/>
        <v>9.7863247863247863E-2</v>
      </c>
      <c r="M38" s="8">
        <f t="shared" si="13"/>
        <v>-0.30801282051282053</v>
      </c>
    </row>
    <row r="39" spans="1:18" x14ac:dyDescent="0.25">
      <c r="A39">
        <f t="shared" si="10"/>
        <v>2</v>
      </c>
      <c r="B39">
        <f t="shared" si="11"/>
        <v>1</v>
      </c>
      <c r="C39">
        <f t="shared" ref="C39:M39" si="14">C17-C28</f>
        <v>0</v>
      </c>
      <c r="D39">
        <f t="shared" si="14"/>
        <v>0</v>
      </c>
      <c r="E39">
        <f t="shared" si="14"/>
        <v>0</v>
      </c>
      <c r="F39">
        <f t="shared" si="14"/>
        <v>646.14999999999782</v>
      </c>
      <c r="G39">
        <f t="shared" si="14"/>
        <v>78.480000000000473</v>
      </c>
      <c r="H39">
        <f t="shared" si="14"/>
        <v>6</v>
      </c>
      <c r="I39">
        <f t="shared" si="14"/>
        <v>-6</v>
      </c>
      <c r="J39">
        <f t="shared" si="14"/>
        <v>290.1099999999999</v>
      </c>
      <c r="K39">
        <f t="shared" si="14"/>
        <v>-185.93999999999983</v>
      </c>
      <c r="L39" s="8">
        <f t="shared" si="14"/>
        <v>1.8282312925170074E-2</v>
      </c>
      <c r="M39" s="8">
        <f t="shared" si="14"/>
        <v>-2.5510204081632654E-2</v>
      </c>
    </row>
    <row r="40" spans="1:18" x14ac:dyDescent="0.25">
      <c r="A40">
        <f t="shared" si="10"/>
        <v>3</v>
      </c>
      <c r="B40">
        <f t="shared" si="11"/>
        <v>-7</v>
      </c>
      <c r="C40">
        <f t="shared" ref="C40:M40" si="15">C18-C29</f>
        <v>0</v>
      </c>
      <c r="D40">
        <f t="shared" si="15"/>
        <v>0</v>
      </c>
      <c r="E40">
        <f t="shared" si="15"/>
        <v>0</v>
      </c>
      <c r="F40">
        <f t="shared" si="15"/>
        <v>-2467.7700000000004</v>
      </c>
      <c r="G40">
        <f t="shared" si="15"/>
        <v>-787.76999999999953</v>
      </c>
      <c r="H40">
        <f t="shared" si="15"/>
        <v>-23</v>
      </c>
      <c r="I40">
        <f t="shared" si="15"/>
        <v>19</v>
      </c>
      <c r="J40">
        <f t="shared" si="15"/>
        <v>-1162.6999999999998</v>
      </c>
      <c r="K40">
        <f t="shared" si="15"/>
        <v>562.38000000000011</v>
      </c>
      <c r="L40" s="8">
        <f t="shared" si="15"/>
        <v>-6.2076558265582671E-2</v>
      </c>
      <c r="M40" s="8">
        <f t="shared" si="15"/>
        <v>0.10391260162601629</v>
      </c>
    </row>
    <row r="41" spans="1:18" x14ac:dyDescent="0.25">
      <c r="A41">
        <f t="shared" si="10"/>
        <v>4</v>
      </c>
      <c r="B41">
        <f t="shared" si="11"/>
        <v>-15</v>
      </c>
      <c r="C41">
        <f t="shared" ref="C41:M41" si="16">C19-C30</f>
        <v>0</v>
      </c>
      <c r="D41">
        <f t="shared" si="16"/>
        <v>0</v>
      </c>
      <c r="E41">
        <f t="shared" si="16"/>
        <v>0</v>
      </c>
      <c r="F41">
        <f t="shared" si="16"/>
        <v>-5830.2799999999988</v>
      </c>
      <c r="G41">
        <f t="shared" si="16"/>
        <v>-2230.2800000000007</v>
      </c>
      <c r="H41">
        <f t="shared" si="16"/>
        <v>-58</v>
      </c>
      <c r="I41">
        <f t="shared" si="16"/>
        <v>32</v>
      </c>
      <c r="J41">
        <f t="shared" si="16"/>
        <v>-2878.7699999999995</v>
      </c>
      <c r="K41">
        <f t="shared" si="16"/>
        <v>972.74</v>
      </c>
      <c r="L41" s="8">
        <f t="shared" si="16"/>
        <v>-0.14772727272727276</v>
      </c>
      <c r="M41" s="8">
        <f t="shared" si="16"/>
        <v>0.21527777777777773</v>
      </c>
    </row>
    <row r="42" spans="1:18" x14ac:dyDescent="0.25">
      <c r="A42">
        <f t="shared" si="10"/>
        <v>5</v>
      </c>
      <c r="B42">
        <f t="shared" si="11"/>
        <v>5</v>
      </c>
      <c r="C42">
        <f t="shared" ref="C42:M42" si="17">C20-C31</f>
        <v>0</v>
      </c>
      <c r="D42">
        <f t="shared" si="17"/>
        <v>0</v>
      </c>
      <c r="E42">
        <f t="shared" si="17"/>
        <v>0</v>
      </c>
      <c r="F42">
        <f t="shared" si="17"/>
        <v>1851.8400000000001</v>
      </c>
      <c r="G42">
        <f t="shared" si="17"/>
        <v>321.89999999999964</v>
      </c>
      <c r="H42">
        <f t="shared" si="17"/>
        <v>17</v>
      </c>
      <c r="I42">
        <f t="shared" si="17"/>
        <v>-19</v>
      </c>
      <c r="J42">
        <f t="shared" si="17"/>
        <v>808.46</v>
      </c>
      <c r="K42">
        <f t="shared" si="17"/>
        <v>-594.93000000000029</v>
      </c>
      <c r="L42" s="8">
        <f t="shared" si="17"/>
        <v>4.625262054507337E-2</v>
      </c>
      <c r="M42" s="8">
        <f t="shared" si="17"/>
        <v>-8.8901991614255799E-2</v>
      </c>
    </row>
    <row r="43" spans="1:18" x14ac:dyDescent="0.25">
      <c r="F43" s="10">
        <f>SUM(F38:F42)</f>
        <v>-791.5</v>
      </c>
      <c r="G43" s="10">
        <f t="shared" ref="G43:K43" si="18">SUM(G38:G42)</f>
        <v>-2024.58</v>
      </c>
      <c r="H43" s="10">
        <f t="shared" si="18"/>
        <v>-17</v>
      </c>
      <c r="I43" s="10">
        <f t="shared" si="18"/>
        <v>-41</v>
      </c>
      <c r="J43" s="10">
        <f t="shared" si="18"/>
        <v>-913.76999999999953</v>
      </c>
      <c r="K43" s="10">
        <f t="shared" si="18"/>
        <v>-1268.2699999999993</v>
      </c>
      <c r="L43" s="9">
        <f>AVERAGE(L38:L42)</f>
        <v>-9.481129931872825E-3</v>
      </c>
      <c r="M43" s="9">
        <f>AVERAGE(M38:M42)</f>
        <v>-2.0646927360982986E-2</v>
      </c>
      <c r="N43" t="s">
        <v>33</v>
      </c>
    </row>
    <row r="44" spans="1:18" x14ac:dyDescent="0.25">
      <c r="L44" s="9">
        <f>_xlfn.STDEV.P(L38:L42)</f>
        <v>8.63459903239715E-2</v>
      </c>
      <c r="M44" s="9">
        <f>_xlfn.STDEV.P(M38:M42)</f>
        <v>0.17800960904395449</v>
      </c>
      <c r="N44" t="s">
        <v>57</v>
      </c>
    </row>
    <row r="45" spans="1:18" x14ac:dyDescent="0.25">
      <c r="A45" t="s">
        <v>58</v>
      </c>
      <c r="L45" s="9">
        <f>L23-L34</f>
        <v>-0.14772727272727276</v>
      </c>
      <c r="M45" s="9">
        <f>M23-M34</f>
        <v>-0.18750000000000006</v>
      </c>
      <c r="N45" t="s">
        <v>63</v>
      </c>
    </row>
    <row r="46" spans="1:18" x14ac:dyDescent="0.25">
      <c r="B46" t="s">
        <v>0</v>
      </c>
      <c r="C46" t="s">
        <v>1</v>
      </c>
      <c r="D46" t="s">
        <v>49</v>
      </c>
      <c r="E46" t="s">
        <v>3</v>
      </c>
      <c r="F46" t="s">
        <v>4</v>
      </c>
      <c r="G46" t="s">
        <v>5</v>
      </c>
      <c r="H46" t="s">
        <v>6</v>
      </c>
      <c r="I46" t="s">
        <v>7</v>
      </c>
      <c r="J46" t="s">
        <v>8</v>
      </c>
      <c r="K46" t="s">
        <v>9</v>
      </c>
      <c r="L46" t="s">
        <v>54</v>
      </c>
      <c r="M46" t="s">
        <v>55</v>
      </c>
    </row>
    <row r="47" spans="1:18" x14ac:dyDescent="0.25">
      <c r="B47">
        <f t="shared" ref="B47:K47" si="19">SUM(B37:B42)</f>
        <v>-20</v>
      </c>
      <c r="C47">
        <f t="shared" si="19"/>
        <v>0</v>
      </c>
      <c r="D47">
        <f t="shared" si="19"/>
        <v>0</v>
      </c>
      <c r="E47">
        <f t="shared" si="19"/>
        <v>0</v>
      </c>
      <c r="F47">
        <f t="shared" si="19"/>
        <v>-9164.4700000000012</v>
      </c>
      <c r="G47">
        <f t="shared" si="19"/>
        <v>-5357.55</v>
      </c>
      <c r="H47">
        <f t="shared" si="19"/>
        <v>-100</v>
      </c>
      <c r="I47">
        <f t="shared" si="19"/>
        <v>2</v>
      </c>
      <c r="J47">
        <f t="shared" si="19"/>
        <v>-5091.2999999999993</v>
      </c>
      <c r="K47">
        <f t="shared" si="19"/>
        <v>5.2100000000004911</v>
      </c>
      <c r="L47" s="8">
        <f t="shared" ref="L47:M47" si="20">SUM(L37:L42)</f>
        <v>-0.21407231632603083</v>
      </c>
      <c r="M47" s="8">
        <f t="shared" si="20"/>
        <v>7.3546764161268624E-2</v>
      </c>
    </row>
    <row r="48" spans="1:18" x14ac:dyDescent="0.25">
      <c r="F48" s="10"/>
      <c r="G48" s="10"/>
      <c r="H48" s="10"/>
      <c r="I48" s="10"/>
      <c r="J48" s="10"/>
      <c r="K48" s="10"/>
      <c r="L48" s="9"/>
      <c r="M48" s="9"/>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
  <sheetViews>
    <sheetView workbookViewId="0">
      <selection activeCell="Q35" sqref="Q35"/>
    </sheetView>
  </sheetViews>
  <sheetFormatPr defaultRowHeight="15" x14ac:dyDescent="0.25"/>
  <cols>
    <col min="3" max="4" width="11.5703125" bestFit="1" customWidth="1"/>
    <col min="6" max="6" width="11.5703125" bestFit="1" customWidth="1"/>
    <col min="7" max="7" width="12.28515625" customWidth="1"/>
    <col min="10" max="10" width="10.5703125" bestFit="1" customWidth="1"/>
    <col min="11" max="11" width="12.85546875" customWidth="1"/>
    <col min="12" max="12" width="0.7109375" customWidth="1"/>
    <col min="13" max="13" width="11.85546875" customWidth="1"/>
    <col min="16" max="16" width="10.5703125" bestFit="1" customWidth="1"/>
    <col min="17" max="17" width="11.5703125" bestFit="1" customWidth="1"/>
    <col min="18" max="18" width="9.28515625" bestFit="1" customWidth="1"/>
    <col min="19" max="19" width="13.42578125" customWidth="1"/>
    <col min="20" max="20" width="11.5703125" bestFit="1" customWidth="1"/>
  </cols>
  <sheetData>
    <row r="1" spans="1:24" x14ac:dyDescent="0.25">
      <c r="B1" t="s">
        <v>0</v>
      </c>
      <c r="C1" t="s">
        <v>1</v>
      </c>
      <c r="D1" t="s">
        <v>2</v>
      </c>
      <c r="E1" t="s">
        <v>3</v>
      </c>
      <c r="F1" t="s">
        <v>4</v>
      </c>
      <c r="G1" t="s">
        <v>5</v>
      </c>
      <c r="H1" t="s">
        <v>6</v>
      </c>
      <c r="I1" t="s">
        <v>7</v>
      </c>
      <c r="J1" t="s">
        <v>8</v>
      </c>
      <c r="K1" t="s">
        <v>9</v>
      </c>
      <c r="M1" t="s">
        <v>21</v>
      </c>
      <c r="N1" t="s">
        <v>10</v>
      </c>
      <c r="O1" t="s">
        <v>11</v>
      </c>
      <c r="P1" t="s">
        <v>12</v>
      </c>
      <c r="Q1" t="s">
        <v>13</v>
      </c>
      <c r="R1" t="s">
        <v>16</v>
      </c>
      <c r="S1" t="s">
        <v>14</v>
      </c>
      <c r="T1" t="s">
        <v>15</v>
      </c>
      <c r="U1" t="s">
        <v>17</v>
      </c>
      <c r="W1" t="s">
        <v>19</v>
      </c>
      <c r="X1" t="s">
        <v>20</v>
      </c>
    </row>
    <row r="2" spans="1:24" x14ac:dyDescent="0.25">
      <c r="A2">
        <v>0</v>
      </c>
      <c r="B2">
        <v>68</v>
      </c>
      <c r="C2">
        <v>0</v>
      </c>
      <c r="D2">
        <v>5</v>
      </c>
      <c r="E2">
        <v>0</v>
      </c>
      <c r="F2" s="2">
        <v>24190.79</v>
      </c>
      <c r="G2" s="2">
        <v>8353.5400000000009</v>
      </c>
      <c r="H2">
        <f>J2/50</f>
        <v>59.1524</v>
      </c>
      <c r="I2">
        <f>K2/30</f>
        <v>75.030666666666676</v>
      </c>
      <c r="J2" s="2">
        <v>2957.62</v>
      </c>
      <c r="K2" s="2">
        <v>2250.92</v>
      </c>
      <c r="M2" s="2">
        <f>F2-G2</f>
        <v>15837.25</v>
      </c>
      <c r="N2">
        <f>B3-B2</f>
        <v>-3</v>
      </c>
      <c r="O2">
        <f>B2-$B$2</f>
        <v>0</v>
      </c>
      <c r="P2" s="2"/>
      <c r="Q2" s="2"/>
      <c r="R2" s="2">
        <v>500</v>
      </c>
      <c r="W2" s="1">
        <f t="shared" ref="W2:X7" si="0">H2/($B2*6)</f>
        <v>0.1449813725490196</v>
      </c>
      <c r="X2" s="1">
        <f t="shared" si="0"/>
        <v>0.18389869281045754</v>
      </c>
    </row>
    <row r="3" spans="1:24" x14ac:dyDescent="0.25">
      <c r="A3">
        <v>1</v>
      </c>
      <c r="B3">
        <v>65</v>
      </c>
      <c r="C3">
        <v>0</v>
      </c>
      <c r="D3">
        <v>5</v>
      </c>
      <c r="E3">
        <v>0</v>
      </c>
      <c r="F3" s="2">
        <v>23044.959999999999</v>
      </c>
      <c r="G3" s="2">
        <v>8044.96</v>
      </c>
      <c r="H3">
        <v>46</v>
      </c>
      <c r="I3">
        <v>86</v>
      </c>
      <c r="J3" s="2">
        <v>2310.6</v>
      </c>
      <c r="K3" s="2">
        <v>2582.71</v>
      </c>
      <c r="M3" s="2">
        <f t="shared" ref="M3:M7" si="1">F3-G3</f>
        <v>15000</v>
      </c>
      <c r="N3">
        <f>B4-B3</f>
        <v>-16</v>
      </c>
      <c r="O3">
        <f t="shared" ref="O3:O7" si="2">B3-$B$2</f>
        <v>-3</v>
      </c>
      <c r="P3" s="2">
        <v>1000</v>
      </c>
      <c r="Q3" s="2">
        <v>10700</v>
      </c>
      <c r="R3" s="2">
        <v>500</v>
      </c>
      <c r="S3" s="2">
        <f>P3+Q3+(F3-$F$2)+SUMPRODUCT($A$2:A2,$R$2:R2*$N$2:N2)</f>
        <v>10554.169999999998</v>
      </c>
      <c r="T3" s="2">
        <f>S3/A3</f>
        <v>10554.169999999998</v>
      </c>
      <c r="U3" t="b">
        <f>(T4&gt;T3)</f>
        <v>0</v>
      </c>
      <c r="W3" s="1">
        <f t="shared" si="0"/>
        <v>0.11794871794871795</v>
      </c>
      <c r="X3" s="1">
        <f t="shared" si="0"/>
        <v>0.22051282051282051</v>
      </c>
    </row>
    <row r="4" spans="1:24" x14ac:dyDescent="0.25">
      <c r="A4">
        <v>2</v>
      </c>
      <c r="B4">
        <v>49</v>
      </c>
      <c r="C4">
        <v>0</v>
      </c>
      <c r="D4">
        <v>5</v>
      </c>
      <c r="E4">
        <v>0</v>
      </c>
      <c r="F4" s="2">
        <v>17212.02</v>
      </c>
      <c r="G4" s="2">
        <v>6052.02</v>
      </c>
      <c r="H4">
        <v>33</v>
      </c>
      <c r="I4">
        <v>69</v>
      </c>
      <c r="J4" s="2">
        <v>1661.47</v>
      </c>
      <c r="K4" s="2">
        <v>2076.89</v>
      </c>
      <c r="M4" s="2">
        <f t="shared" si="1"/>
        <v>11160</v>
      </c>
      <c r="N4">
        <f>B5-B4</f>
        <v>-8</v>
      </c>
      <c r="O4">
        <f t="shared" si="2"/>
        <v>-19</v>
      </c>
      <c r="P4" s="2">
        <v>1100</v>
      </c>
      <c r="Q4" s="2">
        <v>10700</v>
      </c>
      <c r="R4" s="2">
        <v>500</v>
      </c>
      <c r="S4" s="2">
        <f>P4+Q4+(F4-$F$2)+SUMPRODUCT($A$2:A3,$R$2:R3*$N$2:N3)</f>
        <v>-3178.7700000000004</v>
      </c>
      <c r="T4" s="2">
        <f>S4/A4</f>
        <v>-1589.3850000000002</v>
      </c>
      <c r="U4" t="b">
        <f t="shared" ref="U4:U7" si="3">(T5&gt;T4)</f>
        <v>0</v>
      </c>
      <c r="W4" s="1">
        <f t="shared" si="0"/>
        <v>0.11224489795918367</v>
      </c>
      <c r="X4" s="1">
        <f t="shared" si="0"/>
        <v>0.23469387755102042</v>
      </c>
    </row>
    <row r="5" spans="1:24" x14ac:dyDescent="0.25">
      <c r="A5">
        <v>3</v>
      </c>
      <c r="B5">
        <v>41</v>
      </c>
      <c r="C5">
        <v>0</v>
      </c>
      <c r="D5">
        <v>5</v>
      </c>
      <c r="E5">
        <v>0</v>
      </c>
      <c r="F5" s="2">
        <v>14541.71</v>
      </c>
      <c r="G5" s="2">
        <v>5301.71</v>
      </c>
      <c r="H5">
        <v>30</v>
      </c>
      <c r="I5">
        <v>64</v>
      </c>
      <c r="J5" s="2">
        <v>1511.25</v>
      </c>
      <c r="K5" s="2">
        <v>1926.97</v>
      </c>
      <c r="M5" s="2">
        <f t="shared" si="1"/>
        <v>9240</v>
      </c>
      <c r="N5">
        <f>B6-B5</f>
        <v>-8</v>
      </c>
      <c r="O5">
        <f t="shared" si="2"/>
        <v>-27</v>
      </c>
      <c r="P5" s="2">
        <v>1100</v>
      </c>
      <c r="Q5" s="2">
        <v>10700</v>
      </c>
      <c r="R5" s="2">
        <v>500</v>
      </c>
      <c r="S5" s="2">
        <f>P5+Q5+(F5-$F$2)+SUMPRODUCT($A$2:A4,$R$2:R4*$N$2:N4)</f>
        <v>-13849.080000000002</v>
      </c>
      <c r="T5" s="2">
        <f>S5/A5</f>
        <v>-4616.3600000000006</v>
      </c>
      <c r="U5" t="b">
        <f t="shared" si="3"/>
        <v>0</v>
      </c>
      <c r="W5" s="1">
        <f t="shared" si="0"/>
        <v>0.12195121951219512</v>
      </c>
      <c r="X5" s="1">
        <f t="shared" si="0"/>
        <v>0.26016260162601629</v>
      </c>
    </row>
    <row r="6" spans="1:24" x14ac:dyDescent="0.25">
      <c r="A6">
        <v>4</v>
      </c>
      <c r="B6">
        <v>33</v>
      </c>
      <c r="C6">
        <v>0</v>
      </c>
      <c r="D6">
        <v>5</v>
      </c>
      <c r="E6">
        <v>0</v>
      </c>
      <c r="F6" s="2">
        <v>12400.23</v>
      </c>
      <c r="G6" s="2">
        <v>5080.2299999999996</v>
      </c>
      <c r="H6">
        <v>34</v>
      </c>
      <c r="I6">
        <v>66</v>
      </c>
      <c r="J6" s="2">
        <v>1736.92</v>
      </c>
      <c r="K6" s="2">
        <v>2005.67</v>
      </c>
      <c r="M6" s="2">
        <f t="shared" si="1"/>
        <v>7320</v>
      </c>
      <c r="N6">
        <f>B7-B6</f>
        <v>20</v>
      </c>
      <c r="O6">
        <f t="shared" si="2"/>
        <v>-35</v>
      </c>
      <c r="P6" s="2">
        <v>1200</v>
      </c>
      <c r="Q6" s="2">
        <v>10700</v>
      </c>
      <c r="R6" s="2">
        <v>500</v>
      </c>
      <c r="S6" s="2">
        <f>P6+Q6+(F6-$F$2)+SUMPRODUCT($A$2:A5,$R$2:R5*$N$2:N5)</f>
        <v>-27890.560000000001</v>
      </c>
      <c r="T6" s="2">
        <f>S6/A6</f>
        <v>-6972.64</v>
      </c>
      <c r="U6" t="b">
        <f t="shared" si="3"/>
        <v>1</v>
      </c>
      <c r="W6" s="1">
        <f t="shared" si="0"/>
        <v>0.17171717171717171</v>
      </c>
      <c r="X6" s="1">
        <f t="shared" si="0"/>
        <v>0.33333333333333331</v>
      </c>
    </row>
    <row r="7" spans="1:24" x14ac:dyDescent="0.25">
      <c r="A7">
        <v>5</v>
      </c>
      <c r="B7">
        <v>53</v>
      </c>
      <c r="C7">
        <v>0</v>
      </c>
      <c r="D7">
        <v>5</v>
      </c>
      <c r="E7">
        <v>0</v>
      </c>
      <c r="F7" s="2">
        <v>18976.72</v>
      </c>
      <c r="G7" s="2">
        <v>6526.78</v>
      </c>
      <c r="H7">
        <v>39</v>
      </c>
      <c r="I7">
        <v>70</v>
      </c>
      <c r="J7" s="2">
        <v>1957.67</v>
      </c>
      <c r="K7" s="2">
        <v>2104.6</v>
      </c>
      <c r="M7" s="2">
        <f t="shared" si="1"/>
        <v>12449.940000000002</v>
      </c>
      <c r="O7">
        <f t="shared" si="2"/>
        <v>-15</v>
      </c>
      <c r="P7" s="2">
        <v>1250</v>
      </c>
      <c r="Q7" s="2">
        <v>10700</v>
      </c>
      <c r="R7" s="2">
        <v>500</v>
      </c>
      <c r="S7" s="2">
        <f>P7+Q7+(F7-$F$2)+SUMPRODUCT($A$2:A6,$R$2:R6*$N$2:N6)</f>
        <v>18735.93</v>
      </c>
      <c r="T7" s="2">
        <f>S7/A7</f>
        <v>3747.1860000000001</v>
      </c>
      <c r="U7" t="b">
        <f t="shared" si="3"/>
        <v>0</v>
      </c>
      <c r="W7" s="1">
        <f t="shared" si="0"/>
        <v>0.12264150943396226</v>
      </c>
      <c r="X7" s="1">
        <f t="shared" si="0"/>
        <v>0.22012578616352202</v>
      </c>
    </row>
    <row r="8" spans="1:24" x14ac:dyDescent="0.25">
      <c r="F8" s="23">
        <f>SUM(F3:F7)</f>
        <v>86175.64</v>
      </c>
      <c r="G8" s="23">
        <f t="shared" ref="G8:M8" si="4">SUM(G3:G7)</f>
        <v>31005.699999999997</v>
      </c>
      <c r="H8" s="23">
        <f t="shared" si="4"/>
        <v>182</v>
      </c>
      <c r="I8" s="23">
        <f t="shared" si="4"/>
        <v>355</v>
      </c>
      <c r="J8" s="23">
        <f t="shared" si="4"/>
        <v>9177.91</v>
      </c>
      <c r="K8" s="23">
        <f t="shared" si="4"/>
        <v>10696.840000000002</v>
      </c>
      <c r="L8" s="23">
        <f t="shared" si="4"/>
        <v>0</v>
      </c>
      <c r="M8" s="23">
        <f t="shared" si="4"/>
        <v>55169.94</v>
      </c>
    </row>
    <row r="10" spans="1:24" x14ac:dyDescent="0.25">
      <c r="O10" t="s">
        <v>18</v>
      </c>
    </row>
    <row r="12" spans="1:24" x14ac:dyDescent="0.25">
      <c r="A12" t="s">
        <v>22</v>
      </c>
    </row>
    <row r="14" spans="1:24" x14ac:dyDescent="0.25">
      <c r="A14" t="s">
        <v>66</v>
      </c>
      <c r="B14" t="s">
        <v>23</v>
      </c>
      <c r="C14" t="s">
        <v>73</v>
      </c>
      <c r="D14" t="s">
        <v>74</v>
      </c>
      <c r="E14" t="s">
        <v>75</v>
      </c>
      <c r="F14" t="s">
        <v>76</v>
      </c>
      <c r="G14" t="s">
        <v>77</v>
      </c>
      <c r="M14" t="s">
        <v>89</v>
      </c>
      <c r="N14" t="s">
        <v>69</v>
      </c>
      <c r="O14" t="s">
        <v>70</v>
      </c>
      <c r="P14" t="s">
        <v>67</v>
      </c>
      <c r="Q14" t="s">
        <v>68</v>
      </c>
      <c r="R14" t="s">
        <v>71</v>
      </c>
      <c r="S14" t="s">
        <v>72</v>
      </c>
      <c r="T14" t="s">
        <v>78</v>
      </c>
      <c r="V14" s="20" t="s">
        <v>80</v>
      </c>
    </row>
    <row r="15" spans="1:24" x14ac:dyDescent="0.25">
      <c r="A15">
        <v>0</v>
      </c>
      <c r="M15">
        <f>S15</f>
        <v>408</v>
      </c>
      <c r="S15">
        <f>B2*6</f>
        <v>408</v>
      </c>
    </row>
    <row r="16" spans="1:24" x14ac:dyDescent="0.25">
      <c r="A16">
        <v>1</v>
      </c>
      <c r="B16">
        <v>400</v>
      </c>
      <c r="C16" s="19">
        <f>P3</f>
        <v>1000</v>
      </c>
      <c r="D16" s="19">
        <f>0.25*Q3</f>
        <v>2675</v>
      </c>
      <c r="E16" s="19">
        <f>F3/B3/6</f>
        <v>59.089641025641022</v>
      </c>
      <c r="F16" s="19">
        <f>K3/I3</f>
        <v>30.031511627906976</v>
      </c>
      <c r="G16" s="19">
        <f>J2/H2</f>
        <v>50</v>
      </c>
      <c r="M16">
        <f>M15+P16+Q16-S16</f>
        <v>0</v>
      </c>
      <c r="N16" s="18">
        <v>66.666666666666657</v>
      </c>
      <c r="O16" s="18">
        <v>0</v>
      </c>
      <c r="P16" s="18">
        <v>399.99999999999994</v>
      </c>
      <c r="Q16" s="18">
        <v>0</v>
      </c>
      <c r="R16" s="18">
        <v>408</v>
      </c>
      <c r="S16" s="18">
        <v>808</v>
      </c>
      <c r="T16" s="21">
        <f>S16-S15</f>
        <v>400</v>
      </c>
      <c r="U16" s="22" t="s">
        <v>79</v>
      </c>
      <c r="V16" s="21">
        <f>6*(N16-O16)</f>
        <v>399.99999999999994</v>
      </c>
    </row>
    <row r="17" spans="1:22" x14ac:dyDescent="0.25">
      <c r="A17">
        <v>2</v>
      </c>
      <c r="B17">
        <v>300</v>
      </c>
      <c r="C17" s="19">
        <f t="shared" ref="C17:C20" si="5">P4</f>
        <v>1100</v>
      </c>
      <c r="D17" s="19">
        <f t="shared" ref="D17:D20" si="6">0.25*Q4</f>
        <v>2675</v>
      </c>
      <c r="E17" s="19">
        <f t="shared" ref="E17:E20" si="7">F4/B4/6</f>
        <v>58.544285714285714</v>
      </c>
      <c r="F17" s="19">
        <f t="shared" ref="F17:F20" si="8">K4/I4</f>
        <v>30.099855072463765</v>
      </c>
      <c r="G17" s="19">
        <f t="shared" ref="G17:G20" si="9">J3/H3</f>
        <v>50.230434782608697</v>
      </c>
      <c r="M17">
        <f t="shared" ref="M17:M20" si="10">M16+P17+Q17-S17</f>
        <v>0</v>
      </c>
      <c r="N17" s="18">
        <v>0</v>
      </c>
      <c r="O17" s="18">
        <v>16.666666666666661</v>
      </c>
      <c r="P17" s="18">
        <v>300</v>
      </c>
      <c r="Q17" s="18">
        <v>0</v>
      </c>
      <c r="R17" s="18">
        <v>0</v>
      </c>
      <c r="S17" s="18">
        <v>300</v>
      </c>
      <c r="T17" s="21">
        <f>S17-T16</f>
        <v>-100</v>
      </c>
      <c r="U17" s="22" t="s">
        <v>79</v>
      </c>
      <c r="V17" s="21">
        <f t="shared" ref="V17:V20" si="11">6*(N17-O17)</f>
        <v>-99.999999999999972</v>
      </c>
    </row>
    <row r="18" spans="1:22" x14ac:dyDescent="0.25">
      <c r="A18">
        <v>3</v>
      </c>
      <c r="B18">
        <v>250</v>
      </c>
      <c r="C18" s="19">
        <f t="shared" si="5"/>
        <v>1100</v>
      </c>
      <c r="D18" s="19">
        <f t="shared" si="6"/>
        <v>2675</v>
      </c>
      <c r="E18" s="19">
        <f t="shared" si="7"/>
        <v>59.112642276422754</v>
      </c>
      <c r="F18" s="19">
        <f t="shared" si="8"/>
        <v>30.10890625</v>
      </c>
      <c r="G18" s="19">
        <f t="shared" si="9"/>
        <v>50.347575757575761</v>
      </c>
      <c r="M18">
        <f t="shared" si="10"/>
        <v>0</v>
      </c>
      <c r="N18" s="18">
        <v>0</v>
      </c>
      <c r="O18" s="18">
        <v>8.3333333333333321</v>
      </c>
      <c r="P18" s="18">
        <v>250</v>
      </c>
      <c r="Q18" s="18">
        <v>0</v>
      </c>
      <c r="R18" s="18">
        <v>0</v>
      </c>
      <c r="S18" s="18">
        <v>250</v>
      </c>
      <c r="T18" s="21">
        <f>S18-S17</f>
        <v>-50</v>
      </c>
      <c r="U18" s="22" t="s">
        <v>79</v>
      </c>
      <c r="V18" s="21">
        <f t="shared" si="11"/>
        <v>-49.999999999999993</v>
      </c>
    </row>
    <row r="19" spans="1:22" x14ac:dyDescent="0.25">
      <c r="A19">
        <v>4</v>
      </c>
      <c r="B19">
        <v>200</v>
      </c>
      <c r="C19" s="19">
        <f t="shared" si="5"/>
        <v>1200</v>
      </c>
      <c r="D19" s="19">
        <f t="shared" si="6"/>
        <v>2675</v>
      </c>
      <c r="E19" s="19">
        <f t="shared" si="7"/>
        <v>62.62742424242424</v>
      </c>
      <c r="F19" s="19">
        <f t="shared" si="8"/>
        <v>30.388939393939395</v>
      </c>
      <c r="G19" s="19">
        <f t="shared" si="9"/>
        <v>50.375</v>
      </c>
      <c r="M19">
        <f t="shared" si="10"/>
        <v>0</v>
      </c>
      <c r="N19" s="18">
        <v>0</v>
      </c>
      <c r="O19" s="18">
        <v>8.3333333333333357</v>
      </c>
      <c r="P19" s="18">
        <v>200</v>
      </c>
      <c r="Q19" s="18">
        <v>0</v>
      </c>
      <c r="R19" s="18">
        <v>0</v>
      </c>
      <c r="S19" s="18">
        <v>200</v>
      </c>
      <c r="T19" s="21">
        <f>S19-S18</f>
        <v>-50</v>
      </c>
      <c r="U19" s="22" t="s">
        <v>79</v>
      </c>
      <c r="V19" s="21">
        <f t="shared" si="11"/>
        <v>-50.000000000000014</v>
      </c>
    </row>
    <row r="20" spans="1:22" x14ac:dyDescent="0.25">
      <c r="A20">
        <v>5</v>
      </c>
      <c r="B20">
        <v>325</v>
      </c>
      <c r="C20" s="19">
        <f t="shared" si="5"/>
        <v>1250</v>
      </c>
      <c r="D20" s="19">
        <f t="shared" si="6"/>
        <v>2675</v>
      </c>
      <c r="E20" s="19">
        <f t="shared" si="7"/>
        <v>59.675220125786161</v>
      </c>
      <c r="F20" s="19">
        <f t="shared" si="8"/>
        <v>30.065714285714286</v>
      </c>
      <c r="G20" s="19">
        <f t="shared" si="9"/>
        <v>51.085882352941177</v>
      </c>
      <c r="M20">
        <f t="shared" si="10"/>
        <v>0</v>
      </c>
      <c r="N20" s="18">
        <v>20.833333333333336</v>
      </c>
      <c r="O20" s="18">
        <v>0</v>
      </c>
      <c r="P20" s="18">
        <v>325</v>
      </c>
      <c r="Q20" s="18">
        <v>0</v>
      </c>
      <c r="R20" s="18">
        <v>0</v>
      </c>
      <c r="S20" s="18">
        <v>325</v>
      </c>
      <c r="T20" s="21">
        <f>S20-S19</f>
        <v>125</v>
      </c>
      <c r="U20" s="22" t="s">
        <v>79</v>
      </c>
      <c r="V20" s="21">
        <f t="shared" si="11"/>
        <v>125.00000000000001</v>
      </c>
    </row>
    <row r="21" spans="1:22" x14ac:dyDescent="0.25">
      <c r="V21" s="20" t="s">
        <v>82</v>
      </c>
    </row>
    <row r="22" spans="1:22" x14ac:dyDescent="0.25">
      <c r="A22" t="s">
        <v>83</v>
      </c>
      <c r="B22" t="s">
        <v>84</v>
      </c>
      <c r="C22" t="s">
        <v>85</v>
      </c>
      <c r="D22" t="s">
        <v>86</v>
      </c>
      <c r="E22" t="s">
        <v>87</v>
      </c>
      <c r="F22" t="s">
        <v>88</v>
      </c>
      <c r="T22" s="21">
        <f>P16+Q16</f>
        <v>399.99999999999994</v>
      </c>
      <c r="U22" s="22" t="s">
        <v>79</v>
      </c>
      <c r="V22" s="21">
        <f>B16</f>
        <v>400</v>
      </c>
    </row>
    <row r="23" spans="1:22" x14ac:dyDescent="0.25">
      <c r="A23" s="17">
        <f>SUM(B23:F23)</f>
        <v>290172.23408301314</v>
      </c>
      <c r="B23">
        <f>SUMPRODUCT(C16:C20,N16:N20)</f>
        <v>92708.333333333328</v>
      </c>
      <c r="C23">
        <f>SUMPRODUCT(D16:D20,O16:O20)</f>
        <v>89166.666666666642</v>
      </c>
      <c r="D23">
        <f>SUMPRODUCT(E16:E20,P16:P20)</f>
        <v>87897.234083013158</v>
      </c>
      <c r="E23">
        <f>SUMPRODUCT(F16:F20,Q16:Q20)</f>
        <v>0</v>
      </c>
      <c r="F23">
        <f>SUMPRODUCT(G16:G20,R16:R20)</f>
        <v>20400</v>
      </c>
      <c r="T23" s="21">
        <f>P17+Q17</f>
        <v>300</v>
      </c>
      <c r="U23" s="22" t="s">
        <v>79</v>
      </c>
      <c r="V23" s="21">
        <f t="shared" ref="V23:V26" si="12">B17</f>
        <v>300</v>
      </c>
    </row>
    <row r="24" spans="1:22" x14ac:dyDescent="0.25">
      <c r="T24" s="21">
        <f>P18+Q18</f>
        <v>250</v>
      </c>
      <c r="U24" s="22" t="s">
        <v>79</v>
      </c>
      <c r="V24" s="21">
        <f t="shared" si="12"/>
        <v>250</v>
      </c>
    </row>
    <row r="25" spans="1:22" x14ac:dyDescent="0.25">
      <c r="T25" s="21">
        <f>P19+Q19</f>
        <v>200</v>
      </c>
      <c r="U25" s="22" t="s">
        <v>79</v>
      </c>
      <c r="V25" s="21">
        <f t="shared" si="12"/>
        <v>200</v>
      </c>
    </row>
    <row r="26" spans="1:22" x14ac:dyDescent="0.25">
      <c r="T26" s="21">
        <f>P20+Q20</f>
        <v>325</v>
      </c>
      <c r="U26" s="22" t="s">
        <v>79</v>
      </c>
      <c r="V26" s="21">
        <f t="shared" si="12"/>
        <v>325</v>
      </c>
    </row>
    <row r="27" spans="1:22" x14ac:dyDescent="0.25">
      <c r="V27" s="20" t="s">
        <v>81</v>
      </c>
    </row>
    <row r="28" spans="1:22" x14ac:dyDescent="0.25">
      <c r="T28" s="21">
        <f>P16</f>
        <v>399.99999999999994</v>
      </c>
      <c r="U28" s="22" t="s">
        <v>79</v>
      </c>
      <c r="V28" s="21">
        <f>S16-R16</f>
        <v>400</v>
      </c>
    </row>
    <row r="29" spans="1:22" x14ac:dyDescent="0.25">
      <c r="T29" s="21">
        <f t="shared" ref="T29:T32" si="13">P17</f>
        <v>300</v>
      </c>
      <c r="U29" s="22" t="s">
        <v>79</v>
      </c>
      <c r="V29" s="21">
        <f t="shared" ref="V29:V32" si="14">S17-R17</f>
        <v>300</v>
      </c>
    </row>
    <row r="30" spans="1:22" x14ac:dyDescent="0.25">
      <c r="T30" s="21">
        <f t="shared" si="13"/>
        <v>250</v>
      </c>
      <c r="U30" s="22" t="s">
        <v>79</v>
      </c>
      <c r="V30" s="21">
        <f t="shared" si="14"/>
        <v>250</v>
      </c>
    </row>
    <row r="31" spans="1:22" x14ac:dyDescent="0.25">
      <c r="T31" s="21">
        <f t="shared" si="13"/>
        <v>200</v>
      </c>
      <c r="U31" s="22" t="s">
        <v>79</v>
      </c>
      <c r="V31" s="21">
        <f t="shared" si="14"/>
        <v>200</v>
      </c>
    </row>
    <row r="32" spans="1:22" x14ac:dyDescent="0.25">
      <c r="T32" s="21">
        <f t="shared" si="13"/>
        <v>325</v>
      </c>
      <c r="U32" s="22" t="s">
        <v>79</v>
      </c>
      <c r="V32" s="21">
        <f t="shared" si="14"/>
        <v>325</v>
      </c>
    </row>
    <row r="33" spans="20:22" x14ac:dyDescent="0.25">
      <c r="V33" s="20" t="s">
        <v>90</v>
      </c>
    </row>
    <row r="34" spans="20:22" x14ac:dyDescent="0.25">
      <c r="T34" s="21">
        <f>M16</f>
        <v>0</v>
      </c>
      <c r="U34" s="22" t="s">
        <v>79</v>
      </c>
      <c r="V34" s="21">
        <v>0</v>
      </c>
    </row>
    <row r="35" spans="20:22" x14ac:dyDescent="0.25">
      <c r="T35" s="21">
        <f t="shared" ref="T35:T38" si="15">M17</f>
        <v>0</v>
      </c>
      <c r="U35" s="22" t="s">
        <v>79</v>
      </c>
      <c r="V35" s="21">
        <v>0</v>
      </c>
    </row>
    <row r="36" spans="20:22" x14ac:dyDescent="0.25">
      <c r="T36" s="21">
        <f t="shared" si="15"/>
        <v>0</v>
      </c>
      <c r="U36" s="22" t="s">
        <v>79</v>
      </c>
      <c r="V36" s="21">
        <v>0</v>
      </c>
    </row>
    <row r="37" spans="20:22" x14ac:dyDescent="0.25">
      <c r="T37" s="21">
        <f t="shared" si="15"/>
        <v>0</v>
      </c>
      <c r="U37" s="22" t="s">
        <v>79</v>
      </c>
      <c r="V37" s="21">
        <v>0</v>
      </c>
    </row>
    <row r="38" spans="20:22" x14ac:dyDescent="0.25">
      <c r="T38" s="21">
        <f t="shared" si="15"/>
        <v>0</v>
      </c>
      <c r="U38" s="22" t="s">
        <v>79</v>
      </c>
      <c r="V38" s="2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4"/>
  <sheetViews>
    <sheetView topLeftCell="A20" zoomScaleNormal="100" workbookViewId="0">
      <selection activeCell="B53" sqref="B53:B54"/>
    </sheetView>
  </sheetViews>
  <sheetFormatPr defaultRowHeight="15" x14ac:dyDescent="0.25"/>
  <cols>
    <col min="2" max="2" width="12.5703125" bestFit="1" customWidth="1"/>
    <col min="3" max="3" width="12.42578125" customWidth="1"/>
    <col min="4" max="4" width="11.5703125" bestFit="1" customWidth="1"/>
    <col min="5" max="5" width="6.28515625" customWidth="1"/>
    <col min="6" max="6" width="19.140625" customWidth="1"/>
    <col min="7" max="7" width="10.5703125" bestFit="1" customWidth="1"/>
    <col min="9" max="9" width="12.7109375" customWidth="1"/>
    <col min="10" max="10" width="12.5703125" customWidth="1"/>
    <col min="11" max="14" width="12.42578125" customWidth="1"/>
    <col min="15" max="15" width="12.42578125" style="2" customWidth="1"/>
    <col min="16" max="16" width="11.5703125" style="2" customWidth="1"/>
    <col min="17" max="17" width="11.5703125" style="2" bestFit="1" customWidth="1"/>
    <col min="18" max="18" width="10.85546875" style="2" customWidth="1"/>
  </cols>
  <sheetData>
    <row r="1" spans="1:20" x14ac:dyDescent="0.25">
      <c r="D1" t="s">
        <v>40</v>
      </c>
      <c r="K1" t="s">
        <v>43</v>
      </c>
      <c r="O1" s="2" t="s">
        <v>56</v>
      </c>
    </row>
    <row r="2" spans="1:20" x14ac:dyDescent="0.25">
      <c r="A2" t="s">
        <v>24</v>
      </c>
      <c r="B2" t="s">
        <v>23</v>
      </c>
      <c r="C2" t="s">
        <v>12</v>
      </c>
      <c r="D2" t="s">
        <v>35</v>
      </c>
      <c r="E2" t="s">
        <v>36</v>
      </c>
      <c r="F2" t="s">
        <v>37</v>
      </c>
      <c r="G2" t="s">
        <v>38</v>
      </c>
      <c r="J2" t="s">
        <v>24</v>
      </c>
      <c r="K2" t="s">
        <v>42</v>
      </c>
      <c r="L2" t="s">
        <v>39</v>
      </c>
      <c r="M2" t="s">
        <v>40</v>
      </c>
      <c r="N2" t="s">
        <v>41</v>
      </c>
      <c r="O2" s="2" t="s">
        <v>42</v>
      </c>
      <c r="P2" s="2" t="s">
        <v>39</v>
      </c>
      <c r="Q2" s="2" t="s">
        <v>40</v>
      </c>
      <c r="R2" s="2" t="s">
        <v>41</v>
      </c>
    </row>
    <row r="3" spans="1:20" x14ac:dyDescent="0.25">
      <c r="C3" s="2"/>
      <c r="D3" s="2"/>
      <c r="E3" s="2"/>
      <c r="G3" s="2"/>
      <c r="I3" s="2"/>
      <c r="K3" s="2">
        <v>10700</v>
      </c>
      <c r="L3" s="2">
        <v>10500</v>
      </c>
      <c r="M3" s="2">
        <v>8000</v>
      </c>
      <c r="N3" s="2">
        <v>6000</v>
      </c>
      <c r="O3" s="2">
        <v>500</v>
      </c>
      <c r="P3" s="2">
        <v>700</v>
      </c>
      <c r="Q3" s="2">
        <v>300</v>
      </c>
      <c r="R3" s="2">
        <v>500</v>
      </c>
      <c r="T3" s="1"/>
    </row>
    <row r="4" spans="1:20" x14ac:dyDescent="0.25">
      <c r="A4">
        <v>1</v>
      </c>
      <c r="B4">
        <v>400</v>
      </c>
      <c r="C4" s="2">
        <v>1000</v>
      </c>
      <c r="D4" s="3">
        <f>SQRT(2*INDEX($K$4:$N$8,$A4,MATCH(D$1,$K$2:$N$2,0))*$B$10/INDEX($O$4:$R$8,$A4,MATCH(D$1,$O$2:$R$2,0)))</f>
        <v>280.47578623950176</v>
      </c>
      <c r="E4" s="3">
        <f>D4/$B$10</f>
        <v>0.19015307541661136</v>
      </c>
      <c r="F4">
        <f>ROUND(E4*MAX($A$4:$A$8)*3,0)</f>
        <v>3</v>
      </c>
      <c r="G4" s="3"/>
      <c r="I4" s="2"/>
      <c r="J4">
        <v>1</v>
      </c>
      <c r="K4" s="2">
        <v>10700</v>
      </c>
      <c r="L4" s="2">
        <v>10500</v>
      </c>
      <c r="M4" s="2">
        <v>8000</v>
      </c>
      <c r="N4" s="2">
        <v>6000</v>
      </c>
      <c r="O4" s="2">
        <v>500</v>
      </c>
      <c r="P4" s="2">
        <v>700</v>
      </c>
      <c r="Q4" s="2">
        <v>300</v>
      </c>
      <c r="R4" s="2">
        <v>500</v>
      </c>
      <c r="T4" s="1"/>
    </row>
    <row r="5" spans="1:20" x14ac:dyDescent="0.25">
      <c r="A5">
        <v>2</v>
      </c>
      <c r="B5">
        <v>300</v>
      </c>
      <c r="C5" s="2">
        <v>1100</v>
      </c>
      <c r="D5" s="3">
        <f t="shared" ref="D5:D8" si="0">SQRT(2*INDEX($K$4:$N$8,$A5,MATCH(D$1,$K$2:$N$2,0))*$B$10/INDEX($O$4:$R$8,$A5,MATCH(D$1,$O$2:$R$2,0)))</f>
        <v>280.47578623950176</v>
      </c>
      <c r="E5" s="3">
        <f t="shared" ref="E5:E8" si="1">D5/$B$10</f>
        <v>0.19015307541661136</v>
      </c>
      <c r="F5">
        <f t="shared" ref="F5:F8" si="2">ROUND(E5*MAX($A$4:$A$8)*3,0)</f>
        <v>3</v>
      </c>
      <c r="G5" s="3"/>
      <c r="I5" s="2"/>
      <c r="J5">
        <v>2</v>
      </c>
      <c r="K5" s="2">
        <v>10700</v>
      </c>
      <c r="L5" s="2">
        <v>10500</v>
      </c>
      <c r="M5" s="2">
        <v>8000</v>
      </c>
      <c r="N5" s="2">
        <v>6000</v>
      </c>
      <c r="O5" s="2">
        <v>500</v>
      </c>
      <c r="P5" s="2">
        <v>700</v>
      </c>
      <c r="Q5" s="2">
        <v>300</v>
      </c>
      <c r="R5" s="2">
        <v>500</v>
      </c>
      <c r="T5" s="1"/>
    </row>
    <row r="6" spans="1:20" x14ac:dyDescent="0.25">
      <c r="A6">
        <v>3</v>
      </c>
      <c r="B6">
        <v>250</v>
      </c>
      <c r="C6" s="2">
        <v>1100</v>
      </c>
      <c r="D6" s="3">
        <f t="shared" si="0"/>
        <v>280.47578623950176</v>
      </c>
      <c r="E6" s="3">
        <f t="shared" si="1"/>
        <v>0.19015307541661136</v>
      </c>
      <c r="F6">
        <f t="shared" si="2"/>
        <v>3</v>
      </c>
      <c r="G6" s="3"/>
      <c r="I6" s="2"/>
      <c r="J6">
        <v>3</v>
      </c>
      <c r="K6" s="2">
        <v>10700</v>
      </c>
      <c r="L6" s="2">
        <v>10500</v>
      </c>
      <c r="M6" s="2">
        <v>8000</v>
      </c>
      <c r="N6" s="2">
        <v>6000</v>
      </c>
      <c r="O6" s="2">
        <v>500</v>
      </c>
      <c r="P6" s="2">
        <v>700</v>
      </c>
      <c r="Q6" s="2">
        <v>300</v>
      </c>
      <c r="R6" s="2">
        <v>500</v>
      </c>
      <c r="T6" s="1"/>
    </row>
    <row r="7" spans="1:20" x14ac:dyDescent="0.25">
      <c r="A7">
        <v>4</v>
      </c>
      <c r="B7">
        <v>200</v>
      </c>
      <c r="C7" s="2">
        <v>1200</v>
      </c>
      <c r="D7" s="3">
        <f t="shared" si="0"/>
        <v>280.47578623950176</v>
      </c>
      <c r="E7" s="3">
        <f t="shared" si="1"/>
        <v>0.19015307541661136</v>
      </c>
      <c r="F7">
        <f t="shared" si="2"/>
        <v>3</v>
      </c>
      <c r="G7" s="3"/>
      <c r="I7" s="2"/>
      <c r="J7">
        <v>4</v>
      </c>
      <c r="K7" s="2">
        <v>10700</v>
      </c>
      <c r="L7" s="2">
        <v>10500</v>
      </c>
      <c r="M7" s="2">
        <v>8000</v>
      </c>
      <c r="N7" s="2">
        <v>6000</v>
      </c>
      <c r="O7" s="2">
        <v>500</v>
      </c>
      <c r="P7" s="2">
        <v>700</v>
      </c>
      <c r="Q7" s="2">
        <v>300</v>
      </c>
      <c r="R7" s="2">
        <v>500</v>
      </c>
      <c r="T7" s="1"/>
    </row>
    <row r="8" spans="1:20" x14ac:dyDescent="0.25">
      <c r="A8">
        <v>5</v>
      </c>
      <c r="B8">
        <v>325</v>
      </c>
      <c r="C8" s="2">
        <v>1250</v>
      </c>
      <c r="D8" s="3">
        <f t="shared" si="0"/>
        <v>280.47578623950176</v>
      </c>
      <c r="E8" s="3">
        <f t="shared" si="1"/>
        <v>0.19015307541661136</v>
      </c>
      <c r="F8">
        <f t="shared" si="2"/>
        <v>3</v>
      </c>
      <c r="G8" s="3"/>
      <c r="I8" s="2"/>
      <c r="J8">
        <v>5</v>
      </c>
      <c r="K8" s="2">
        <v>10700</v>
      </c>
      <c r="L8" s="2">
        <v>10500</v>
      </c>
      <c r="M8" s="2">
        <v>8000</v>
      </c>
      <c r="N8" s="2">
        <v>6000</v>
      </c>
      <c r="O8" s="2">
        <v>500</v>
      </c>
      <c r="P8" s="2">
        <v>700</v>
      </c>
      <c r="Q8" s="2">
        <v>300</v>
      </c>
      <c r="R8" s="2">
        <v>500</v>
      </c>
      <c r="T8" s="1"/>
    </row>
    <row r="10" spans="1:20" x14ac:dyDescent="0.25">
      <c r="A10" t="s">
        <v>34</v>
      </c>
      <c r="B10">
        <f>SUM(B4:B8)</f>
        <v>1475</v>
      </c>
    </row>
    <row r="13" spans="1:20" x14ac:dyDescent="0.25">
      <c r="A13" t="s">
        <v>44</v>
      </c>
      <c r="B13" t="s">
        <v>45</v>
      </c>
      <c r="C13" t="s">
        <v>46</v>
      </c>
      <c r="D13" t="s">
        <v>47</v>
      </c>
    </row>
    <row r="14" spans="1:20" x14ac:dyDescent="0.25">
      <c r="A14" t="s">
        <v>64</v>
      </c>
      <c r="B14" t="s">
        <v>0</v>
      </c>
      <c r="C14" t="s">
        <v>1</v>
      </c>
      <c r="D14" t="s">
        <v>2</v>
      </c>
      <c r="E14" t="s">
        <v>3</v>
      </c>
      <c r="F14" t="s">
        <v>4</v>
      </c>
      <c r="G14" t="s">
        <v>5</v>
      </c>
      <c r="H14" t="s">
        <v>6</v>
      </c>
      <c r="I14" t="s">
        <v>7</v>
      </c>
      <c r="J14" t="s">
        <v>65</v>
      </c>
      <c r="K14" t="s">
        <v>9</v>
      </c>
      <c r="L14" t="s">
        <v>54</v>
      </c>
      <c r="M14" t="s">
        <v>55</v>
      </c>
    </row>
    <row r="15" spans="1:20" s="4" customFormat="1" x14ac:dyDescent="0.25">
      <c r="A15" s="4">
        <v>0</v>
      </c>
      <c r="B15" s="4">
        <v>48</v>
      </c>
      <c r="C15" s="4">
        <v>0</v>
      </c>
      <c r="D15" s="4">
        <v>5</v>
      </c>
      <c r="E15" s="4">
        <v>0</v>
      </c>
      <c r="F15" s="4">
        <v>16865.71</v>
      </c>
      <c r="G15" s="4">
        <v>5945.71</v>
      </c>
      <c r="H15" s="11">
        <v>32</v>
      </c>
      <c r="I15" s="4">
        <v>69</v>
      </c>
      <c r="J15" s="4">
        <v>1606.96</v>
      </c>
      <c r="K15" s="4">
        <v>2074.19</v>
      </c>
      <c r="L15" s="6">
        <f>H15/$B15/6</f>
        <v>0.1111111111111111</v>
      </c>
      <c r="M15" s="6">
        <f>I15/$B15/6</f>
        <v>0.23958333333333334</v>
      </c>
      <c r="O15" s="5"/>
      <c r="P15" s="5"/>
      <c r="Q15" s="5"/>
      <c r="R15" s="5"/>
    </row>
    <row r="16" spans="1:20" x14ac:dyDescent="0.25">
      <c r="A16">
        <v>1</v>
      </c>
      <c r="B16">
        <v>65</v>
      </c>
      <c r="C16">
        <v>0</v>
      </c>
      <c r="D16">
        <v>5</v>
      </c>
      <c r="E16">
        <v>0</v>
      </c>
      <c r="F16">
        <v>23380.43</v>
      </c>
      <c r="G16">
        <v>8044.96</v>
      </c>
      <c r="H16" s="7">
        <v>49</v>
      </c>
      <c r="I16">
        <v>83</v>
      </c>
      <c r="J16">
        <v>2464.5</v>
      </c>
      <c r="K16">
        <v>2495.0500000000002</v>
      </c>
      <c r="L16" s="1">
        <f t="shared" ref="L16:M20" si="3">H16/$B16/6</f>
        <v>0.12564102564102564</v>
      </c>
      <c r="M16" s="1">
        <f t="shared" si="3"/>
        <v>0.21282051282051281</v>
      </c>
    </row>
    <row r="17" spans="1:18" x14ac:dyDescent="0.25">
      <c r="A17">
        <v>2</v>
      </c>
      <c r="B17">
        <v>49</v>
      </c>
      <c r="C17">
        <v>0</v>
      </c>
      <c r="D17">
        <v>5</v>
      </c>
      <c r="E17">
        <v>0</v>
      </c>
      <c r="F17">
        <v>17539.689999999999</v>
      </c>
      <c r="G17">
        <v>6052.02</v>
      </c>
      <c r="H17" s="7">
        <v>36</v>
      </c>
      <c r="I17">
        <v>66</v>
      </c>
      <c r="J17">
        <v>1809.81</v>
      </c>
      <c r="K17">
        <v>1985.89</v>
      </c>
      <c r="L17" s="1">
        <f t="shared" si="3"/>
        <v>0.12244897959183675</v>
      </c>
      <c r="M17" s="1">
        <f t="shared" si="3"/>
        <v>0.22448979591836735</v>
      </c>
    </row>
    <row r="18" spans="1:18" x14ac:dyDescent="0.25">
      <c r="A18">
        <v>3</v>
      </c>
      <c r="B18">
        <v>41</v>
      </c>
      <c r="C18">
        <v>0</v>
      </c>
      <c r="D18">
        <v>5</v>
      </c>
      <c r="E18">
        <v>0</v>
      </c>
      <c r="F18">
        <v>14541.71</v>
      </c>
      <c r="G18">
        <v>5301.71</v>
      </c>
      <c r="H18" s="7">
        <v>30</v>
      </c>
      <c r="I18">
        <v>64</v>
      </c>
      <c r="J18">
        <v>1511.25</v>
      </c>
      <c r="K18">
        <v>1926.97</v>
      </c>
      <c r="L18" s="1">
        <f t="shared" si="3"/>
        <v>0.12195121951219512</v>
      </c>
      <c r="M18" s="1">
        <f t="shared" si="3"/>
        <v>0.26016260162601629</v>
      </c>
    </row>
    <row r="19" spans="1:18" x14ac:dyDescent="0.25">
      <c r="A19">
        <v>4</v>
      </c>
      <c r="B19">
        <v>33</v>
      </c>
      <c r="C19">
        <v>0</v>
      </c>
      <c r="D19">
        <v>5</v>
      </c>
      <c r="E19">
        <v>0</v>
      </c>
      <c r="F19">
        <v>12400.23</v>
      </c>
      <c r="G19">
        <v>5080.2299999999996</v>
      </c>
      <c r="H19" s="7">
        <v>34</v>
      </c>
      <c r="I19">
        <v>66</v>
      </c>
      <c r="J19">
        <v>1736.92</v>
      </c>
      <c r="K19">
        <v>2005.67</v>
      </c>
      <c r="L19" s="1">
        <f t="shared" si="3"/>
        <v>0.17171717171717171</v>
      </c>
      <c r="M19" s="1">
        <f t="shared" si="3"/>
        <v>0.33333333333333331</v>
      </c>
    </row>
    <row r="20" spans="1:18" x14ac:dyDescent="0.25">
      <c r="A20">
        <v>5</v>
      </c>
      <c r="B20">
        <v>53</v>
      </c>
      <c r="C20">
        <v>0</v>
      </c>
      <c r="D20">
        <v>5</v>
      </c>
      <c r="E20">
        <v>0</v>
      </c>
      <c r="F20">
        <v>18976.72</v>
      </c>
      <c r="G20">
        <v>6526.78</v>
      </c>
      <c r="H20" s="7">
        <v>39</v>
      </c>
      <c r="I20">
        <v>70</v>
      </c>
      <c r="J20">
        <v>1957.67</v>
      </c>
      <c r="K20">
        <v>2104.6</v>
      </c>
      <c r="L20" s="1">
        <f t="shared" si="3"/>
        <v>0.12264150943396225</v>
      </c>
      <c r="M20" s="1">
        <f t="shared" si="3"/>
        <v>0.22012578616352199</v>
      </c>
    </row>
    <row r="21" spans="1:18" x14ac:dyDescent="0.25">
      <c r="A21" t="s">
        <v>59</v>
      </c>
      <c r="F21" s="10">
        <f>SUM(F16:F20)</f>
        <v>86838.78</v>
      </c>
      <c r="G21" s="10">
        <f t="shared" ref="G21:K21" si="4">SUM(G16:G20)</f>
        <v>31005.699999999997</v>
      </c>
      <c r="H21" s="10">
        <f t="shared" si="4"/>
        <v>188</v>
      </c>
      <c r="I21" s="10">
        <f t="shared" si="4"/>
        <v>349</v>
      </c>
      <c r="J21" s="10">
        <f t="shared" si="4"/>
        <v>9480.15</v>
      </c>
      <c r="K21" s="10">
        <f t="shared" si="4"/>
        <v>10518.180000000002</v>
      </c>
      <c r="L21" s="9">
        <f>AVERAGE(L16:L20)</f>
        <v>0.1328799811792383</v>
      </c>
      <c r="M21" s="9">
        <f>AVERAGE(M16:M20)</f>
        <v>0.25018640597235031</v>
      </c>
      <c r="N21" t="s">
        <v>60</v>
      </c>
    </row>
    <row r="22" spans="1:18" x14ac:dyDescent="0.25">
      <c r="H22" s="7"/>
      <c r="L22" s="9">
        <f>_xlfn.STDEV.P(L16:L20)</f>
        <v>1.9461756218461829E-2</v>
      </c>
      <c r="M22" s="9">
        <f>_xlfn.STDEV.P(M16:M20)</f>
        <v>4.4661174664096727E-2</v>
      </c>
      <c r="N22" t="s">
        <v>61</v>
      </c>
    </row>
    <row r="23" spans="1:18" x14ac:dyDescent="0.25">
      <c r="H23" s="7"/>
      <c r="L23" s="9">
        <f>MAX(L16:L20)</f>
        <v>0.17171717171717171</v>
      </c>
      <c r="M23" s="9">
        <f>MAX(M16:M20)</f>
        <v>0.33333333333333331</v>
      </c>
      <c r="N23" t="s">
        <v>62</v>
      </c>
    </row>
    <row r="24" spans="1:18" x14ac:dyDescent="0.25">
      <c r="A24" t="s">
        <v>48</v>
      </c>
      <c r="B24" t="s">
        <v>45</v>
      </c>
      <c r="C24" t="s">
        <v>46</v>
      </c>
      <c r="D24" t="s">
        <v>47</v>
      </c>
    </row>
    <row r="25" spans="1:18" x14ac:dyDescent="0.25">
      <c r="A25" t="s">
        <v>64</v>
      </c>
      <c r="B25" t="s">
        <v>0</v>
      </c>
      <c r="C25" t="s">
        <v>1</v>
      </c>
      <c r="D25" t="s">
        <v>49</v>
      </c>
      <c r="E25" t="s">
        <v>3</v>
      </c>
      <c r="F25" t="s">
        <v>4</v>
      </c>
      <c r="G25" t="s">
        <v>5</v>
      </c>
      <c r="H25" t="s">
        <v>6</v>
      </c>
      <c r="I25" t="s">
        <v>7</v>
      </c>
      <c r="J25" t="s">
        <v>8</v>
      </c>
      <c r="K25" t="s">
        <v>9</v>
      </c>
      <c r="L25" t="s">
        <v>54</v>
      </c>
      <c r="M25" t="s">
        <v>55</v>
      </c>
    </row>
    <row r="26" spans="1:18" s="4" customFormat="1" x14ac:dyDescent="0.25">
      <c r="A26" s="4">
        <v>0</v>
      </c>
      <c r="B26" s="4">
        <v>69</v>
      </c>
      <c r="C26" s="4">
        <v>0</v>
      </c>
      <c r="D26" s="4">
        <v>5</v>
      </c>
      <c r="E26" s="4">
        <v>0</v>
      </c>
      <c r="F26" s="4">
        <v>25238.68</v>
      </c>
      <c r="G26" s="4">
        <v>9278.68</v>
      </c>
      <c r="H26" s="11">
        <v>115</v>
      </c>
      <c r="I26" s="4">
        <v>26</v>
      </c>
      <c r="J26" s="4">
        <v>5784.49</v>
      </c>
      <c r="K26" s="4">
        <v>800.71</v>
      </c>
      <c r="L26" s="6">
        <f>H26/$B26/6</f>
        <v>0.27777777777777779</v>
      </c>
      <c r="M26" s="6">
        <f>I26/$B26/6</f>
        <v>6.280193236714976E-2</v>
      </c>
      <c r="O26" s="5"/>
      <c r="P26" s="5"/>
      <c r="Q26" s="5"/>
      <c r="R26" s="5"/>
    </row>
    <row r="27" spans="1:18" s="13" customFormat="1" x14ac:dyDescent="0.25">
      <c r="A27" s="13">
        <v>1</v>
      </c>
      <c r="B27" s="13">
        <v>48</v>
      </c>
      <c r="C27" s="13">
        <v>0</v>
      </c>
      <c r="D27" s="13">
        <v>5</v>
      </c>
      <c r="E27" s="13">
        <v>0</v>
      </c>
      <c r="F27" s="13">
        <v>18371.87</v>
      </c>
      <c r="G27" s="13">
        <v>7451.87</v>
      </c>
      <c r="H27" s="14">
        <v>8</v>
      </c>
      <c r="I27" s="13">
        <v>150</v>
      </c>
      <c r="J27" s="13">
        <v>435.37</v>
      </c>
      <c r="K27" s="13">
        <v>4517.57</v>
      </c>
      <c r="L27" s="15">
        <f t="shared" ref="L27:M31" si="5">H27/$B27/6</f>
        <v>2.7777777777777776E-2</v>
      </c>
      <c r="M27" s="15">
        <f t="shared" si="5"/>
        <v>0.52083333333333337</v>
      </c>
      <c r="O27" s="16"/>
      <c r="P27" s="16"/>
      <c r="Q27" s="16"/>
      <c r="R27" s="16"/>
    </row>
    <row r="28" spans="1:18" x14ac:dyDescent="0.25">
      <c r="A28">
        <v>2</v>
      </c>
      <c r="B28">
        <v>48</v>
      </c>
      <c r="C28">
        <v>0</v>
      </c>
      <c r="D28">
        <v>5</v>
      </c>
      <c r="E28">
        <v>0</v>
      </c>
      <c r="F28">
        <v>16893.54</v>
      </c>
      <c r="G28">
        <v>5973.54</v>
      </c>
      <c r="H28" s="7">
        <v>30</v>
      </c>
      <c r="I28">
        <v>72</v>
      </c>
      <c r="J28">
        <v>1519.7</v>
      </c>
      <c r="K28">
        <v>2171.83</v>
      </c>
      <c r="L28" s="1">
        <f t="shared" si="5"/>
        <v>0.10416666666666667</v>
      </c>
      <c r="M28" s="1">
        <f t="shared" si="5"/>
        <v>0.25</v>
      </c>
    </row>
    <row r="29" spans="1:18" x14ac:dyDescent="0.25">
      <c r="A29">
        <v>3</v>
      </c>
      <c r="B29">
        <v>48</v>
      </c>
      <c r="C29">
        <v>0</v>
      </c>
      <c r="D29">
        <v>5</v>
      </c>
      <c r="E29">
        <v>0</v>
      </c>
      <c r="F29">
        <v>17009.48</v>
      </c>
      <c r="G29">
        <v>6089.48</v>
      </c>
      <c r="H29" s="7">
        <v>53</v>
      </c>
      <c r="I29">
        <v>45</v>
      </c>
      <c r="J29">
        <v>2673.95</v>
      </c>
      <c r="K29">
        <v>1364.59</v>
      </c>
      <c r="L29" s="1">
        <f t="shared" si="5"/>
        <v>0.18402777777777779</v>
      </c>
      <c r="M29" s="1">
        <f t="shared" si="5"/>
        <v>0.15625</v>
      </c>
    </row>
    <row r="30" spans="1:18" x14ac:dyDescent="0.25">
      <c r="A30">
        <v>4</v>
      </c>
      <c r="B30">
        <v>48</v>
      </c>
      <c r="C30">
        <v>0</v>
      </c>
      <c r="D30">
        <v>5</v>
      </c>
      <c r="E30">
        <v>0</v>
      </c>
      <c r="F30">
        <v>18230.509999999998</v>
      </c>
      <c r="G30">
        <v>7310.51</v>
      </c>
      <c r="H30" s="7">
        <v>92</v>
      </c>
      <c r="I30">
        <v>34</v>
      </c>
      <c r="J30">
        <v>4615.6899999999996</v>
      </c>
      <c r="K30">
        <v>1032.93</v>
      </c>
      <c r="L30" s="1">
        <f t="shared" si="5"/>
        <v>0.31944444444444448</v>
      </c>
      <c r="M30" s="1">
        <f t="shared" si="5"/>
        <v>0.11805555555555557</v>
      </c>
    </row>
    <row r="31" spans="1:18" x14ac:dyDescent="0.25">
      <c r="A31">
        <v>5</v>
      </c>
      <c r="B31">
        <v>48</v>
      </c>
      <c r="C31">
        <v>0</v>
      </c>
      <c r="D31">
        <v>5</v>
      </c>
      <c r="E31">
        <v>0</v>
      </c>
      <c r="F31">
        <v>17124.88</v>
      </c>
      <c r="G31">
        <v>6204.88</v>
      </c>
      <c r="H31" s="7">
        <v>22</v>
      </c>
      <c r="I31">
        <v>89</v>
      </c>
      <c r="J31">
        <v>1149.21</v>
      </c>
      <c r="K31">
        <v>2699.53</v>
      </c>
      <c r="L31" s="1">
        <f t="shared" si="5"/>
        <v>7.6388888888888881E-2</v>
      </c>
      <c r="M31" s="1">
        <f t="shared" si="5"/>
        <v>0.30902777777777779</v>
      </c>
    </row>
    <row r="32" spans="1:18" x14ac:dyDescent="0.25">
      <c r="A32" t="s">
        <v>59</v>
      </c>
      <c r="F32" s="10">
        <f>SUM(F27:F31)</f>
        <v>87630.28</v>
      </c>
      <c r="G32" s="10">
        <f t="shared" ref="G32:K32" si="6">SUM(G27:G31)</f>
        <v>33030.28</v>
      </c>
      <c r="H32" s="10">
        <f t="shared" si="6"/>
        <v>205</v>
      </c>
      <c r="I32" s="10">
        <f t="shared" si="6"/>
        <v>390</v>
      </c>
      <c r="J32" s="10">
        <f t="shared" si="6"/>
        <v>10393.919999999998</v>
      </c>
      <c r="K32" s="10">
        <f t="shared" si="6"/>
        <v>11786.45</v>
      </c>
      <c r="L32" s="9">
        <f>AVERAGE(L27:L31)</f>
        <v>0.1423611111111111</v>
      </c>
      <c r="M32" s="9">
        <f>AVERAGE(M27:M31)</f>
        <v>0.27083333333333331</v>
      </c>
      <c r="N32" t="s">
        <v>60</v>
      </c>
    </row>
    <row r="33" spans="1:18" x14ac:dyDescent="0.25">
      <c r="H33" s="7"/>
      <c r="L33" s="9">
        <f>_xlfn.STDEV.P(L27:L31)</f>
        <v>0.10201481071363254</v>
      </c>
      <c r="M33" s="9">
        <f>_xlfn.STDEV.P(M27:M31)</f>
        <v>0.14203044252884059</v>
      </c>
      <c r="N33" t="s">
        <v>61</v>
      </c>
    </row>
    <row r="34" spans="1:18" x14ac:dyDescent="0.25">
      <c r="H34" s="7"/>
      <c r="L34" s="9">
        <f>MAX(L27:L31)</f>
        <v>0.31944444444444448</v>
      </c>
      <c r="M34" s="9">
        <f>MAX(M27:M31)</f>
        <v>0.52083333333333337</v>
      </c>
      <c r="N34" t="s">
        <v>62</v>
      </c>
    </row>
    <row r="35" spans="1:18" x14ac:dyDescent="0.25">
      <c r="A35" t="s">
        <v>53</v>
      </c>
    </row>
    <row r="36" spans="1:18" x14ac:dyDescent="0.25">
      <c r="B36" t="s">
        <v>0</v>
      </c>
      <c r="C36" t="s">
        <v>1</v>
      </c>
      <c r="D36" t="s">
        <v>49</v>
      </c>
      <c r="E36" t="s">
        <v>3</v>
      </c>
      <c r="F36" t="s">
        <v>4</v>
      </c>
      <c r="G36" t="s">
        <v>5</v>
      </c>
      <c r="H36" t="s">
        <v>6</v>
      </c>
      <c r="I36" t="s">
        <v>7</v>
      </c>
      <c r="J36" t="s">
        <v>8</v>
      </c>
      <c r="K36" t="s">
        <v>9</v>
      </c>
      <c r="L36" t="s">
        <v>54</v>
      </c>
      <c r="M36" t="s">
        <v>55</v>
      </c>
    </row>
    <row r="37" spans="1:18" s="4" customFormat="1" x14ac:dyDescent="0.25">
      <c r="A37" s="4">
        <f t="shared" ref="A37:A42" si="7">A15</f>
        <v>0</v>
      </c>
      <c r="B37" s="4">
        <f>B15-B26</f>
        <v>-21</v>
      </c>
      <c r="C37" s="4">
        <f t="shared" ref="C37:M42" si="8">C15-C26</f>
        <v>0</v>
      </c>
      <c r="D37" s="4">
        <f t="shared" si="8"/>
        <v>0</v>
      </c>
      <c r="E37" s="4">
        <f t="shared" si="8"/>
        <v>0</v>
      </c>
      <c r="F37" s="4">
        <f t="shared" si="8"/>
        <v>-8372.9700000000012</v>
      </c>
      <c r="G37" s="4">
        <f t="shared" si="8"/>
        <v>-3332.9700000000003</v>
      </c>
      <c r="H37" s="4">
        <f t="shared" si="8"/>
        <v>-83</v>
      </c>
      <c r="I37" s="4">
        <f t="shared" si="8"/>
        <v>43</v>
      </c>
      <c r="J37" s="4">
        <f t="shared" si="8"/>
        <v>-4177.53</v>
      </c>
      <c r="K37" s="4">
        <f t="shared" si="8"/>
        <v>1273.48</v>
      </c>
      <c r="L37" s="12">
        <f t="shared" si="8"/>
        <v>-0.16666666666666669</v>
      </c>
      <c r="M37" s="12">
        <f t="shared" si="8"/>
        <v>0.17678140096618358</v>
      </c>
      <c r="O37" s="5"/>
      <c r="P37" s="5"/>
      <c r="Q37" s="5"/>
      <c r="R37" s="5"/>
    </row>
    <row r="38" spans="1:18" x14ac:dyDescent="0.25">
      <c r="A38">
        <f t="shared" si="7"/>
        <v>1</v>
      </c>
      <c r="B38" s="4">
        <f t="shared" ref="B38:B42" si="9">B16-B27</f>
        <v>17</v>
      </c>
      <c r="C38">
        <f t="shared" si="8"/>
        <v>0</v>
      </c>
      <c r="D38">
        <f t="shared" si="8"/>
        <v>0</v>
      </c>
      <c r="E38">
        <f t="shared" si="8"/>
        <v>0</v>
      </c>
      <c r="F38">
        <f t="shared" si="8"/>
        <v>5008.5600000000013</v>
      </c>
      <c r="G38">
        <f t="shared" si="8"/>
        <v>593.09000000000015</v>
      </c>
      <c r="H38">
        <f t="shared" si="8"/>
        <v>41</v>
      </c>
      <c r="I38">
        <f t="shared" si="8"/>
        <v>-67</v>
      </c>
      <c r="J38">
        <f t="shared" si="8"/>
        <v>2029.13</v>
      </c>
      <c r="K38">
        <f t="shared" si="8"/>
        <v>-2022.5199999999995</v>
      </c>
      <c r="L38" s="8">
        <f t="shared" si="8"/>
        <v>9.7863247863247863E-2</v>
      </c>
      <c r="M38" s="8">
        <f t="shared" si="8"/>
        <v>-0.30801282051282053</v>
      </c>
    </row>
    <row r="39" spans="1:18" x14ac:dyDescent="0.25">
      <c r="A39">
        <f t="shared" si="7"/>
        <v>2</v>
      </c>
      <c r="B39" s="4">
        <f t="shared" si="9"/>
        <v>1</v>
      </c>
      <c r="C39">
        <f t="shared" si="8"/>
        <v>0</v>
      </c>
      <c r="D39">
        <f t="shared" si="8"/>
        <v>0</v>
      </c>
      <c r="E39">
        <f t="shared" si="8"/>
        <v>0</v>
      </c>
      <c r="F39">
        <f t="shared" si="8"/>
        <v>646.14999999999782</v>
      </c>
      <c r="G39">
        <f t="shared" si="8"/>
        <v>78.480000000000473</v>
      </c>
      <c r="H39">
        <f t="shared" si="8"/>
        <v>6</v>
      </c>
      <c r="I39">
        <f t="shared" si="8"/>
        <v>-6</v>
      </c>
      <c r="J39">
        <f t="shared" si="8"/>
        <v>290.1099999999999</v>
      </c>
      <c r="K39">
        <f t="shared" si="8"/>
        <v>-185.93999999999983</v>
      </c>
      <c r="L39" s="8">
        <f t="shared" si="8"/>
        <v>1.8282312925170074E-2</v>
      </c>
      <c r="M39" s="8">
        <f t="shared" si="8"/>
        <v>-2.5510204081632654E-2</v>
      </c>
    </row>
    <row r="40" spans="1:18" x14ac:dyDescent="0.25">
      <c r="A40">
        <f t="shared" si="7"/>
        <v>3</v>
      </c>
      <c r="B40" s="4">
        <f t="shared" si="9"/>
        <v>-7</v>
      </c>
      <c r="C40">
        <f t="shared" si="8"/>
        <v>0</v>
      </c>
      <c r="D40">
        <f t="shared" si="8"/>
        <v>0</v>
      </c>
      <c r="E40">
        <f t="shared" si="8"/>
        <v>0</v>
      </c>
      <c r="F40">
        <f t="shared" si="8"/>
        <v>-2467.7700000000004</v>
      </c>
      <c r="G40">
        <f t="shared" si="8"/>
        <v>-787.76999999999953</v>
      </c>
      <c r="H40">
        <f t="shared" si="8"/>
        <v>-23</v>
      </c>
      <c r="I40">
        <f t="shared" si="8"/>
        <v>19</v>
      </c>
      <c r="J40">
        <f t="shared" si="8"/>
        <v>-1162.6999999999998</v>
      </c>
      <c r="K40">
        <f t="shared" si="8"/>
        <v>562.38000000000011</v>
      </c>
      <c r="L40" s="8">
        <f t="shared" si="8"/>
        <v>-6.2076558265582671E-2</v>
      </c>
      <c r="M40" s="8">
        <f t="shared" si="8"/>
        <v>0.10391260162601629</v>
      </c>
    </row>
    <row r="41" spans="1:18" x14ac:dyDescent="0.25">
      <c r="A41">
        <f t="shared" si="7"/>
        <v>4</v>
      </c>
      <c r="B41" s="4">
        <f t="shared" si="9"/>
        <v>-15</v>
      </c>
      <c r="C41">
        <f t="shared" si="8"/>
        <v>0</v>
      </c>
      <c r="D41">
        <f t="shared" si="8"/>
        <v>0</v>
      </c>
      <c r="E41">
        <f t="shared" si="8"/>
        <v>0</v>
      </c>
      <c r="F41">
        <f t="shared" si="8"/>
        <v>-5830.2799999999988</v>
      </c>
      <c r="G41">
        <f t="shared" si="8"/>
        <v>-2230.2800000000007</v>
      </c>
      <c r="H41">
        <f t="shared" si="8"/>
        <v>-58</v>
      </c>
      <c r="I41">
        <f t="shared" si="8"/>
        <v>32</v>
      </c>
      <c r="J41">
        <f t="shared" si="8"/>
        <v>-2878.7699999999995</v>
      </c>
      <c r="K41">
        <f t="shared" si="8"/>
        <v>972.74</v>
      </c>
      <c r="L41" s="8">
        <f t="shared" si="8"/>
        <v>-0.14772727272727276</v>
      </c>
      <c r="M41" s="8">
        <f t="shared" si="8"/>
        <v>0.21527777777777773</v>
      </c>
    </row>
    <row r="42" spans="1:18" x14ac:dyDescent="0.25">
      <c r="A42">
        <f t="shared" si="7"/>
        <v>5</v>
      </c>
      <c r="B42" s="4">
        <f t="shared" si="9"/>
        <v>5</v>
      </c>
      <c r="C42">
        <f t="shared" si="8"/>
        <v>0</v>
      </c>
      <c r="D42">
        <f t="shared" si="8"/>
        <v>0</v>
      </c>
      <c r="E42">
        <f t="shared" si="8"/>
        <v>0</v>
      </c>
      <c r="F42">
        <f t="shared" si="8"/>
        <v>1851.8400000000001</v>
      </c>
      <c r="G42">
        <f t="shared" si="8"/>
        <v>321.89999999999964</v>
      </c>
      <c r="H42">
        <f t="shared" si="8"/>
        <v>17</v>
      </c>
      <c r="I42">
        <f t="shared" si="8"/>
        <v>-19</v>
      </c>
      <c r="J42">
        <f t="shared" si="8"/>
        <v>808.46</v>
      </c>
      <c r="K42">
        <f t="shared" si="8"/>
        <v>-594.93000000000029</v>
      </c>
      <c r="L42" s="8">
        <f t="shared" si="8"/>
        <v>4.625262054507337E-2</v>
      </c>
      <c r="M42" s="8">
        <f t="shared" si="8"/>
        <v>-8.8901991614255799E-2</v>
      </c>
    </row>
    <row r="43" spans="1:18" x14ac:dyDescent="0.25">
      <c r="F43" s="10">
        <f>SUM(F38:F42)</f>
        <v>-791.5</v>
      </c>
      <c r="G43" s="10">
        <f t="shared" ref="G43:K43" si="10">SUM(G38:G42)</f>
        <v>-2024.58</v>
      </c>
      <c r="H43" s="10">
        <f t="shared" si="10"/>
        <v>-17</v>
      </c>
      <c r="I43" s="10">
        <f t="shared" si="10"/>
        <v>-41</v>
      </c>
      <c r="J43" s="10">
        <f t="shared" si="10"/>
        <v>-913.76999999999953</v>
      </c>
      <c r="K43" s="10">
        <f t="shared" si="10"/>
        <v>-1268.2699999999993</v>
      </c>
      <c r="L43" s="9">
        <f>AVERAGE(L38:L42)</f>
        <v>-9.481129931872825E-3</v>
      </c>
      <c r="M43" s="9">
        <f>AVERAGE(M38:M42)</f>
        <v>-2.0646927360982986E-2</v>
      </c>
      <c r="N43" t="s">
        <v>33</v>
      </c>
    </row>
    <row r="44" spans="1:18" x14ac:dyDescent="0.25">
      <c r="L44" s="9">
        <f>_xlfn.STDEV.P(L38:L42)</f>
        <v>8.63459903239715E-2</v>
      </c>
      <c r="M44" s="9">
        <f>_xlfn.STDEV.P(M38:M42)</f>
        <v>0.17800960904395449</v>
      </c>
      <c r="N44" t="s">
        <v>57</v>
      </c>
    </row>
    <row r="45" spans="1:18" x14ac:dyDescent="0.25">
      <c r="A45" t="s">
        <v>58</v>
      </c>
      <c r="L45" s="9">
        <f>L23-L34</f>
        <v>-0.14772727272727276</v>
      </c>
      <c r="M45" s="9">
        <f>M23-M34</f>
        <v>-0.18750000000000006</v>
      </c>
      <c r="N45" t="s">
        <v>63</v>
      </c>
    </row>
    <row r="46" spans="1:18" x14ac:dyDescent="0.25">
      <c r="B46" t="s">
        <v>0</v>
      </c>
      <c r="C46" t="s">
        <v>1</v>
      </c>
      <c r="D46" t="s">
        <v>49</v>
      </c>
      <c r="E46" t="s">
        <v>3</v>
      </c>
      <c r="F46" t="s">
        <v>4</v>
      </c>
      <c r="G46" t="s">
        <v>5</v>
      </c>
      <c r="H46" t="s">
        <v>6</v>
      </c>
      <c r="I46" t="s">
        <v>7</v>
      </c>
      <c r="J46" t="s">
        <v>8</v>
      </c>
      <c r="K46" t="s">
        <v>9</v>
      </c>
      <c r="L46" t="s">
        <v>54</v>
      </c>
      <c r="M46" t="s">
        <v>55</v>
      </c>
    </row>
    <row r="47" spans="1:18" x14ac:dyDescent="0.25">
      <c r="B47">
        <f>SUM(B37:B42)</f>
        <v>-20</v>
      </c>
      <c r="C47">
        <f t="shared" ref="C47:K47" si="11">SUM(C37:C42)</f>
        <v>0</v>
      </c>
      <c r="D47">
        <f t="shared" si="11"/>
        <v>0</v>
      </c>
      <c r="E47">
        <f t="shared" si="11"/>
        <v>0</v>
      </c>
      <c r="F47">
        <f t="shared" si="11"/>
        <v>-9164.4700000000012</v>
      </c>
      <c r="G47">
        <f t="shared" si="11"/>
        <v>-5357.55</v>
      </c>
      <c r="H47">
        <f t="shared" si="11"/>
        <v>-100</v>
      </c>
      <c r="I47">
        <f t="shared" si="11"/>
        <v>2</v>
      </c>
      <c r="J47">
        <f t="shared" si="11"/>
        <v>-5091.2999999999993</v>
      </c>
      <c r="K47">
        <f t="shared" si="11"/>
        <v>5.2100000000004911</v>
      </c>
      <c r="L47" s="8">
        <f t="shared" ref="L47:M47" si="12">SUM(L37:L42)</f>
        <v>-0.21407231632603083</v>
      </c>
      <c r="M47" s="8">
        <f t="shared" si="12"/>
        <v>7.3546764161268624E-2</v>
      </c>
    </row>
    <row r="48" spans="1:18" x14ac:dyDescent="0.25">
      <c r="A48" s="17" t="s">
        <v>96</v>
      </c>
      <c r="B48" s="24">
        <f>F32</f>
        <v>87630.28</v>
      </c>
      <c r="F48" s="10"/>
      <c r="G48" s="10"/>
      <c r="H48" s="10"/>
      <c r="I48" s="10"/>
      <c r="J48" s="10"/>
      <c r="K48" s="10"/>
      <c r="L48" s="9"/>
      <c r="M48" s="9"/>
    </row>
    <row r="49" spans="1:2" x14ac:dyDescent="0.25">
      <c r="A49" s="17" t="s">
        <v>99</v>
      </c>
      <c r="B49" s="24">
        <f>-SUMPRODUCT(A39:A40,B40:B41*O4:O5)</f>
        <v>29500</v>
      </c>
    </row>
    <row r="50" spans="1:2" x14ac:dyDescent="0.25">
      <c r="A50" s="17" t="s">
        <v>97</v>
      </c>
      <c r="B50" s="24">
        <v>11700</v>
      </c>
    </row>
    <row r="51" spans="1:2" x14ac:dyDescent="0.25">
      <c r="A51" s="17"/>
      <c r="B51" s="24"/>
    </row>
    <row r="52" spans="1:2" x14ac:dyDescent="0.25">
      <c r="A52" s="17" t="s">
        <v>98</v>
      </c>
      <c r="B52" s="24">
        <f>SUM(B48:B51)</f>
        <v>128830.28</v>
      </c>
    </row>
    <row r="53" spans="1:2" x14ac:dyDescent="0.25">
      <c r="A53" s="17" t="s">
        <v>116</v>
      </c>
      <c r="B53" s="17">
        <v>48</v>
      </c>
    </row>
    <row r="54" spans="1:2" x14ac:dyDescent="0.25">
      <c r="A54" s="17" t="s">
        <v>118</v>
      </c>
      <c r="B54" s="17">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54"/>
  <sheetViews>
    <sheetView topLeftCell="A35" zoomScaleNormal="100" workbookViewId="0">
      <selection activeCell="F64" sqref="F64"/>
    </sheetView>
  </sheetViews>
  <sheetFormatPr defaultRowHeight="15" x14ac:dyDescent="0.25"/>
  <cols>
    <col min="2" max="2" width="12.85546875" customWidth="1"/>
    <col min="6" max="6" width="11.5703125" bestFit="1" customWidth="1"/>
    <col min="7" max="7" width="10.5703125" bestFit="1" customWidth="1"/>
    <col min="10" max="11" width="10.5703125" bestFit="1" customWidth="1"/>
    <col min="12" max="12" width="11.85546875" customWidth="1"/>
    <col min="15" max="16" width="11.5703125" bestFit="1" customWidth="1"/>
    <col min="17" max="17" width="9.28515625" bestFit="1" customWidth="1"/>
    <col min="18" max="18" width="13.42578125" customWidth="1"/>
    <col min="19" max="19" width="11.5703125" bestFit="1" customWidth="1"/>
  </cols>
  <sheetData>
    <row r="1" spans="1:23" x14ac:dyDescent="0.25">
      <c r="B1" t="s">
        <v>0</v>
      </c>
      <c r="C1" t="s">
        <v>1</v>
      </c>
      <c r="D1" t="s">
        <v>2</v>
      </c>
      <c r="E1" t="s">
        <v>3</v>
      </c>
      <c r="F1" t="s">
        <v>4</v>
      </c>
      <c r="G1" t="s">
        <v>5</v>
      </c>
      <c r="H1" t="s">
        <v>6</v>
      </c>
      <c r="I1" t="s">
        <v>7</v>
      </c>
      <c r="J1" t="s">
        <v>8</v>
      </c>
      <c r="K1" t="s">
        <v>9</v>
      </c>
      <c r="L1" t="s">
        <v>21</v>
      </c>
      <c r="M1" t="s">
        <v>10</v>
      </c>
      <c r="N1" t="s">
        <v>11</v>
      </c>
      <c r="O1" t="s">
        <v>12</v>
      </c>
      <c r="P1" t="s">
        <v>13</v>
      </c>
      <c r="Q1" t="s">
        <v>16</v>
      </c>
      <c r="R1" t="s">
        <v>14</v>
      </c>
      <c r="S1" t="s">
        <v>15</v>
      </c>
      <c r="T1" t="s">
        <v>17</v>
      </c>
      <c r="V1" t="s">
        <v>19</v>
      </c>
      <c r="W1" t="s">
        <v>20</v>
      </c>
    </row>
    <row r="2" spans="1:23" x14ac:dyDescent="0.25">
      <c r="A2">
        <v>0</v>
      </c>
      <c r="B2">
        <v>69</v>
      </c>
      <c r="C2">
        <v>0</v>
      </c>
      <c r="D2">
        <v>5</v>
      </c>
      <c r="E2">
        <v>0</v>
      </c>
      <c r="F2" s="2">
        <v>24190.79</v>
      </c>
      <c r="G2" s="2">
        <v>8353.5400000000009</v>
      </c>
      <c r="H2">
        <f>J2/50</f>
        <v>59.1524</v>
      </c>
      <c r="I2">
        <f>K2/30</f>
        <v>75.030666666666676</v>
      </c>
      <c r="J2" s="2">
        <v>2957.62</v>
      </c>
      <c r="K2" s="2">
        <v>2250.92</v>
      </c>
      <c r="L2" s="2">
        <f t="shared" ref="L2:L7" si="0">F2-G2</f>
        <v>15837.25</v>
      </c>
      <c r="M2">
        <f>B3-B2</f>
        <v>-4</v>
      </c>
      <c r="N2">
        <f t="shared" ref="N2:N7" si="1">B2-$B$2</f>
        <v>0</v>
      </c>
      <c r="O2" s="2"/>
      <c r="P2" s="2"/>
      <c r="Q2" s="2">
        <v>500</v>
      </c>
      <c r="V2" s="1">
        <f t="shared" ref="V2:W7" si="2">H2/($B2*6)</f>
        <v>0.14288019323671497</v>
      </c>
      <c r="W2" s="1">
        <f t="shared" si="2"/>
        <v>0.18123349436392916</v>
      </c>
    </row>
    <row r="3" spans="1:23" x14ac:dyDescent="0.25">
      <c r="A3">
        <v>1</v>
      </c>
      <c r="B3">
        <v>65</v>
      </c>
      <c r="C3">
        <v>0</v>
      </c>
      <c r="D3">
        <v>5</v>
      </c>
      <c r="E3">
        <v>0</v>
      </c>
      <c r="F3" s="2">
        <v>23044.959999999999</v>
      </c>
      <c r="G3" s="2">
        <v>8044.96</v>
      </c>
      <c r="H3">
        <v>46</v>
      </c>
      <c r="I3">
        <v>86</v>
      </c>
      <c r="J3" s="2">
        <v>2310.6</v>
      </c>
      <c r="K3" s="2">
        <v>2582.71</v>
      </c>
      <c r="L3" s="2">
        <f t="shared" si="0"/>
        <v>15000</v>
      </c>
      <c r="M3">
        <f>B4-B3</f>
        <v>-16</v>
      </c>
      <c r="N3">
        <f t="shared" si="1"/>
        <v>-4</v>
      </c>
      <c r="O3" s="2">
        <v>1000</v>
      </c>
      <c r="P3" s="2">
        <v>10700</v>
      </c>
      <c r="Q3" s="2">
        <v>500</v>
      </c>
      <c r="R3" s="2">
        <f>O3+P3+SUMPRODUCT($A$2:A2,$Q$38:Q38*$M$2:M2)</f>
        <v>11700</v>
      </c>
      <c r="S3" s="2">
        <f>R3/A3</f>
        <v>11700</v>
      </c>
      <c r="T3" t="b">
        <f>(S4&gt;S3)</f>
        <v>0</v>
      </c>
      <c r="V3" s="1">
        <f t="shared" si="2"/>
        <v>0.11794871794871795</v>
      </c>
      <c r="W3" s="1">
        <f t="shared" si="2"/>
        <v>0.22051282051282051</v>
      </c>
    </row>
    <row r="4" spans="1:23" x14ac:dyDescent="0.25">
      <c r="A4">
        <v>2</v>
      </c>
      <c r="B4">
        <v>49</v>
      </c>
      <c r="C4">
        <v>0</v>
      </c>
      <c r="D4">
        <v>5</v>
      </c>
      <c r="E4">
        <v>0</v>
      </c>
      <c r="F4" s="2">
        <v>17212.02</v>
      </c>
      <c r="G4" s="2">
        <v>6052.02</v>
      </c>
      <c r="H4">
        <v>33</v>
      </c>
      <c r="I4">
        <v>69</v>
      </c>
      <c r="J4" s="2">
        <v>1661.47</v>
      </c>
      <c r="K4" s="2">
        <v>2076.89</v>
      </c>
      <c r="L4" s="2">
        <f t="shared" si="0"/>
        <v>11160</v>
      </c>
      <c r="M4">
        <f>B5-B4</f>
        <v>-8</v>
      </c>
      <c r="N4">
        <f t="shared" si="1"/>
        <v>-20</v>
      </c>
      <c r="O4" s="2">
        <v>1100</v>
      </c>
      <c r="P4" s="2">
        <v>10700</v>
      </c>
      <c r="Q4" s="2">
        <v>500</v>
      </c>
      <c r="R4" s="2">
        <f>O4+P4+SUMPRODUCT($A$2:A3,$Q$38:Q39*$M$2:M3)</f>
        <v>3800</v>
      </c>
      <c r="S4" s="2">
        <f>R4/A4</f>
        <v>1900</v>
      </c>
      <c r="T4" t="b">
        <f t="shared" ref="T4:T7" si="3">(S5&gt;S4)</f>
        <v>0</v>
      </c>
      <c r="V4" s="1">
        <f t="shared" si="2"/>
        <v>0.11224489795918367</v>
      </c>
      <c r="W4" s="1">
        <f t="shared" si="2"/>
        <v>0.23469387755102042</v>
      </c>
    </row>
    <row r="5" spans="1:23" x14ac:dyDescent="0.25">
      <c r="A5">
        <v>3</v>
      </c>
      <c r="B5">
        <v>41</v>
      </c>
      <c r="C5">
        <v>0</v>
      </c>
      <c r="D5">
        <v>5</v>
      </c>
      <c r="E5">
        <v>0</v>
      </c>
      <c r="F5" s="2">
        <v>14541.71</v>
      </c>
      <c r="G5" s="2">
        <v>5301.71</v>
      </c>
      <c r="H5">
        <v>30</v>
      </c>
      <c r="I5">
        <v>64</v>
      </c>
      <c r="J5" s="2">
        <v>1511.25</v>
      </c>
      <c r="K5" s="2">
        <v>1926.97</v>
      </c>
      <c r="L5" s="2">
        <f t="shared" si="0"/>
        <v>9240</v>
      </c>
      <c r="M5">
        <f>B6-B5</f>
        <v>-8</v>
      </c>
      <c r="N5">
        <f t="shared" si="1"/>
        <v>-28</v>
      </c>
      <c r="O5" s="2">
        <v>1100</v>
      </c>
      <c r="P5" s="2">
        <v>10700</v>
      </c>
      <c r="Q5" s="2">
        <v>500</v>
      </c>
      <c r="R5" s="2">
        <f>O5+P5+SUMPRODUCT($A$2:A4,$Q$38:Q40*$M$2:M4)</f>
        <v>-4200</v>
      </c>
      <c r="S5" s="2">
        <f>R5/A5</f>
        <v>-1400</v>
      </c>
      <c r="T5" t="b">
        <f t="shared" si="3"/>
        <v>0</v>
      </c>
      <c r="V5" s="1">
        <f t="shared" si="2"/>
        <v>0.12195121951219512</v>
      </c>
      <c r="W5" s="1">
        <f t="shared" si="2"/>
        <v>0.26016260162601629</v>
      </c>
    </row>
    <row r="6" spans="1:23" x14ac:dyDescent="0.25">
      <c r="A6">
        <v>4</v>
      </c>
      <c r="B6">
        <v>33</v>
      </c>
      <c r="C6">
        <v>0</v>
      </c>
      <c r="D6">
        <v>5</v>
      </c>
      <c r="E6">
        <v>0</v>
      </c>
      <c r="F6" s="2">
        <v>12400.23</v>
      </c>
      <c r="G6" s="2">
        <v>5080.2299999999996</v>
      </c>
      <c r="H6">
        <v>34</v>
      </c>
      <c r="I6">
        <v>66</v>
      </c>
      <c r="J6" s="2">
        <v>1736.92</v>
      </c>
      <c r="K6" s="2">
        <v>2005.67</v>
      </c>
      <c r="L6" s="2">
        <f t="shared" si="0"/>
        <v>7320</v>
      </c>
      <c r="M6">
        <f>B7-B6</f>
        <v>20</v>
      </c>
      <c r="N6">
        <f t="shared" si="1"/>
        <v>-36</v>
      </c>
      <c r="O6" s="2">
        <v>1200</v>
      </c>
      <c r="P6" s="2">
        <v>10700</v>
      </c>
      <c r="Q6" s="2">
        <v>500</v>
      </c>
      <c r="R6" s="2">
        <f>O6+P6+SUMPRODUCT($A$2:A5,$Q$38:Q41*$M$2:M5)</f>
        <v>-16100</v>
      </c>
      <c r="S6" s="2">
        <f>R6/A6</f>
        <v>-4025</v>
      </c>
      <c r="T6" t="b">
        <f t="shared" si="3"/>
        <v>1</v>
      </c>
      <c r="V6" s="1">
        <f t="shared" si="2"/>
        <v>0.17171717171717171</v>
      </c>
      <c r="W6" s="1">
        <f t="shared" si="2"/>
        <v>0.33333333333333331</v>
      </c>
    </row>
    <row r="7" spans="1:23" x14ac:dyDescent="0.25">
      <c r="A7">
        <v>5</v>
      </c>
      <c r="B7">
        <v>53</v>
      </c>
      <c r="C7">
        <v>0</v>
      </c>
      <c r="D7">
        <v>5</v>
      </c>
      <c r="E7">
        <v>0</v>
      </c>
      <c r="F7" s="2">
        <v>18976.72</v>
      </c>
      <c r="G7" s="2">
        <v>6526.78</v>
      </c>
      <c r="H7">
        <v>39</v>
      </c>
      <c r="I7">
        <v>70</v>
      </c>
      <c r="J7" s="2">
        <v>1957.67</v>
      </c>
      <c r="K7" s="2">
        <v>2104.6</v>
      </c>
      <c r="L7" s="2">
        <f t="shared" si="0"/>
        <v>12449.940000000002</v>
      </c>
      <c r="N7">
        <f t="shared" si="1"/>
        <v>-16</v>
      </c>
      <c r="O7" s="2">
        <v>1250</v>
      </c>
      <c r="P7" s="2">
        <v>10700</v>
      </c>
      <c r="Q7" s="2">
        <v>500</v>
      </c>
      <c r="R7" s="2">
        <f>O7+P7+SUMPRODUCT($A$2:A6,$Q$38:Q42*$M$2:M6)</f>
        <v>23950</v>
      </c>
      <c r="S7" s="2">
        <f>R7/A7</f>
        <v>4790</v>
      </c>
      <c r="T7" t="b">
        <f t="shared" si="3"/>
        <v>0</v>
      </c>
      <c r="V7" s="1">
        <f t="shared" si="2"/>
        <v>0.12264150943396226</v>
      </c>
      <c r="W7" s="1">
        <f t="shared" si="2"/>
        <v>0.22012578616352202</v>
      </c>
    </row>
    <row r="8" spans="1:23" x14ac:dyDescent="0.25">
      <c r="O8" s="19">
        <f>SUM(O3:P7)</f>
        <v>59150</v>
      </c>
    </row>
    <row r="10" spans="1:23" x14ac:dyDescent="0.25">
      <c r="A10" t="s">
        <v>22</v>
      </c>
      <c r="N10" t="s">
        <v>18</v>
      </c>
    </row>
    <row r="13" spans="1:23" x14ac:dyDescent="0.25">
      <c r="A13" t="s">
        <v>51</v>
      </c>
      <c r="B13" t="s">
        <v>52</v>
      </c>
    </row>
    <row r="14" spans="1:23" x14ac:dyDescent="0.25">
      <c r="A14" t="s">
        <v>44</v>
      </c>
      <c r="B14" t="s">
        <v>45</v>
      </c>
      <c r="C14" t="s">
        <v>46</v>
      </c>
      <c r="D14" t="s">
        <v>47</v>
      </c>
    </row>
    <row r="15" spans="1:23" x14ac:dyDescent="0.25">
      <c r="A15" t="s">
        <v>66</v>
      </c>
      <c r="B15" t="s">
        <v>0</v>
      </c>
      <c r="C15" t="s">
        <v>1</v>
      </c>
      <c r="D15" t="s">
        <v>2</v>
      </c>
      <c r="E15" t="s">
        <v>3</v>
      </c>
      <c r="F15" t="s">
        <v>4</v>
      </c>
      <c r="G15" t="s">
        <v>5</v>
      </c>
      <c r="H15" t="s">
        <v>6</v>
      </c>
      <c r="I15" t="s">
        <v>7</v>
      </c>
      <c r="J15" t="s">
        <v>8</v>
      </c>
      <c r="K15" t="s">
        <v>9</v>
      </c>
      <c r="L15" t="s">
        <v>19</v>
      </c>
      <c r="M15" t="s">
        <v>20</v>
      </c>
    </row>
    <row r="16" spans="1:23" s="4" customFormat="1" x14ac:dyDescent="0.25">
      <c r="A16" s="4">
        <v>0</v>
      </c>
      <c r="B16" s="4">
        <v>48</v>
      </c>
      <c r="C16" s="4">
        <v>0</v>
      </c>
      <c r="D16" s="4">
        <v>5</v>
      </c>
      <c r="E16" s="4">
        <v>0</v>
      </c>
      <c r="F16" s="4">
        <v>16865.71</v>
      </c>
      <c r="G16" s="4">
        <v>5945.71</v>
      </c>
      <c r="H16" s="4">
        <v>32</v>
      </c>
      <c r="I16" s="4">
        <v>69</v>
      </c>
      <c r="J16" s="4">
        <v>1606.96</v>
      </c>
      <c r="K16" s="4">
        <v>2074.19</v>
      </c>
      <c r="L16" s="6">
        <f t="shared" ref="L16:M21" si="4">H16/($B16*6)</f>
        <v>0.1111111111111111</v>
      </c>
      <c r="M16" s="6">
        <f t="shared" si="4"/>
        <v>0.23958333333333334</v>
      </c>
    </row>
    <row r="17" spans="1:23" x14ac:dyDescent="0.25">
      <c r="A17">
        <v>1</v>
      </c>
      <c r="B17">
        <v>65</v>
      </c>
      <c r="C17">
        <v>0</v>
      </c>
      <c r="D17">
        <v>5</v>
      </c>
      <c r="E17">
        <v>0</v>
      </c>
      <c r="F17">
        <v>23044.959999999999</v>
      </c>
      <c r="G17">
        <v>8044.96</v>
      </c>
      <c r="H17">
        <v>46</v>
      </c>
      <c r="I17">
        <v>86</v>
      </c>
      <c r="J17">
        <v>2310.6</v>
      </c>
      <c r="K17">
        <v>2582.71</v>
      </c>
      <c r="L17" s="1">
        <f t="shared" si="4"/>
        <v>0.11794871794871795</v>
      </c>
      <c r="M17" s="1">
        <f t="shared" si="4"/>
        <v>0.22051282051282051</v>
      </c>
      <c r="Q17" s="2"/>
    </row>
    <row r="18" spans="1:23" x14ac:dyDescent="0.25">
      <c r="A18">
        <v>2</v>
      </c>
      <c r="B18">
        <v>49</v>
      </c>
      <c r="C18">
        <v>0</v>
      </c>
      <c r="D18">
        <v>5</v>
      </c>
      <c r="E18">
        <v>0</v>
      </c>
      <c r="F18">
        <v>17212.02</v>
      </c>
      <c r="G18">
        <v>6052.02</v>
      </c>
      <c r="H18">
        <v>33</v>
      </c>
      <c r="I18">
        <v>69</v>
      </c>
      <c r="J18">
        <v>1661.47</v>
      </c>
      <c r="K18">
        <v>2076.89</v>
      </c>
      <c r="L18" s="1">
        <f t="shared" si="4"/>
        <v>0.11224489795918367</v>
      </c>
      <c r="M18" s="1">
        <f t="shared" si="4"/>
        <v>0.23469387755102042</v>
      </c>
    </row>
    <row r="19" spans="1:23" x14ac:dyDescent="0.25">
      <c r="A19">
        <v>3</v>
      </c>
      <c r="B19">
        <v>41</v>
      </c>
      <c r="C19">
        <v>0</v>
      </c>
      <c r="D19">
        <v>5</v>
      </c>
      <c r="E19">
        <v>0</v>
      </c>
      <c r="F19">
        <v>14541.71</v>
      </c>
      <c r="G19">
        <v>5301.71</v>
      </c>
      <c r="H19">
        <v>30</v>
      </c>
      <c r="I19">
        <v>64</v>
      </c>
      <c r="J19">
        <v>1511.25</v>
      </c>
      <c r="K19">
        <v>1926.97</v>
      </c>
      <c r="L19" s="1">
        <f t="shared" si="4"/>
        <v>0.12195121951219512</v>
      </c>
      <c r="M19" s="1">
        <f t="shared" si="4"/>
        <v>0.26016260162601629</v>
      </c>
    </row>
    <row r="20" spans="1:23" x14ac:dyDescent="0.25">
      <c r="A20">
        <v>4</v>
      </c>
      <c r="B20">
        <v>33</v>
      </c>
      <c r="C20">
        <v>0</v>
      </c>
      <c r="D20">
        <v>5</v>
      </c>
      <c r="E20">
        <v>0</v>
      </c>
      <c r="F20">
        <v>12400.23</v>
      </c>
      <c r="G20">
        <v>5080.2299999999996</v>
      </c>
      <c r="H20">
        <v>34</v>
      </c>
      <c r="I20">
        <v>66</v>
      </c>
      <c r="J20">
        <v>1736.92</v>
      </c>
      <c r="K20">
        <v>2005.67</v>
      </c>
      <c r="L20" s="1">
        <f t="shared" si="4"/>
        <v>0.17171717171717171</v>
      </c>
      <c r="M20" s="1">
        <f t="shared" si="4"/>
        <v>0.33333333333333331</v>
      </c>
    </row>
    <row r="21" spans="1:23" x14ac:dyDescent="0.25">
      <c r="A21">
        <v>5</v>
      </c>
      <c r="B21">
        <v>53</v>
      </c>
      <c r="C21">
        <v>0</v>
      </c>
      <c r="D21">
        <v>5</v>
      </c>
      <c r="E21">
        <v>0</v>
      </c>
      <c r="F21">
        <v>18976.72</v>
      </c>
      <c r="G21">
        <v>6526.78</v>
      </c>
      <c r="H21">
        <v>39</v>
      </c>
      <c r="I21">
        <v>70</v>
      </c>
      <c r="J21">
        <v>1957.67</v>
      </c>
      <c r="K21">
        <v>2104.6</v>
      </c>
      <c r="L21" s="1">
        <f t="shared" si="4"/>
        <v>0.12264150943396226</v>
      </c>
      <c r="M21" s="1">
        <f t="shared" si="4"/>
        <v>0.22012578616352202</v>
      </c>
    </row>
    <row r="22" spans="1:23" x14ac:dyDescent="0.25">
      <c r="F22" s="10">
        <f>SUM(F17:F21)</f>
        <v>86175.64</v>
      </c>
      <c r="G22" s="10">
        <f t="shared" ref="G22:K22" si="5">SUM(G17:G21)</f>
        <v>31005.699999999997</v>
      </c>
      <c r="H22" s="10">
        <f t="shared" si="5"/>
        <v>182</v>
      </c>
      <c r="I22" s="10">
        <f t="shared" si="5"/>
        <v>355</v>
      </c>
      <c r="J22" s="10">
        <f t="shared" si="5"/>
        <v>9177.91</v>
      </c>
      <c r="K22" s="10">
        <f t="shared" si="5"/>
        <v>10696.840000000002</v>
      </c>
      <c r="L22" s="9">
        <f>AVERAGE(L17:L21)</f>
        <v>0.12930070331424612</v>
      </c>
      <c r="M22" s="9">
        <f>AVERAGE(M17:M21)</f>
        <v>0.25376568383734249</v>
      </c>
      <c r="V22" s="1"/>
      <c r="W22" s="1"/>
    </row>
    <row r="23" spans="1:23" x14ac:dyDescent="0.25">
      <c r="L23" s="9">
        <f>_xlfn.STDEV.P(L17:L21)</f>
        <v>2.1528049772876163E-2</v>
      </c>
      <c r="M23" s="9">
        <f>_xlfn.STDEV.P(M17:M21)</f>
        <v>4.2362863060278033E-2</v>
      </c>
      <c r="V23" s="1"/>
      <c r="W23" s="1"/>
    </row>
    <row r="24" spans="1:23" x14ac:dyDescent="0.25">
      <c r="L24" s="9">
        <f>MAX(L17:L21)</f>
        <v>0.17171717171717171</v>
      </c>
      <c r="M24" s="9">
        <f>MAX(M17:M21)</f>
        <v>0.33333333333333331</v>
      </c>
      <c r="V24" s="1"/>
      <c r="W24" s="1"/>
    </row>
    <row r="25" spans="1:23" x14ac:dyDescent="0.25">
      <c r="A25" t="s">
        <v>48</v>
      </c>
      <c r="B25" t="s">
        <v>45</v>
      </c>
      <c r="C25" t="s">
        <v>46</v>
      </c>
      <c r="D25" t="s">
        <v>47</v>
      </c>
    </row>
    <row r="26" spans="1:23" x14ac:dyDescent="0.25">
      <c r="A26" t="s">
        <v>66</v>
      </c>
      <c r="B26" t="s">
        <v>0</v>
      </c>
      <c r="C26" t="s">
        <v>1</v>
      </c>
      <c r="D26" t="s">
        <v>49</v>
      </c>
      <c r="E26" t="s">
        <v>3</v>
      </c>
      <c r="F26" t="s">
        <v>4</v>
      </c>
      <c r="G26" t="s">
        <v>5</v>
      </c>
      <c r="H26" t="s">
        <v>6</v>
      </c>
      <c r="I26" t="s">
        <v>7</v>
      </c>
      <c r="J26" t="s">
        <v>8</v>
      </c>
      <c r="K26" t="s">
        <v>9</v>
      </c>
      <c r="L26" t="s">
        <v>19</v>
      </c>
      <c r="M26" t="s">
        <v>20</v>
      </c>
    </row>
    <row r="27" spans="1:23" s="4" customFormat="1" x14ac:dyDescent="0.25">
      <c r="A27" s="4">
        <v>0</v>
      </c>
      <c r="B27" s="4">
        <v>69</v>
      </c>
      <c r="C27" s="4">
        <v>0</v>
      </c>
      <c r="D27" s="4">
        <v>5</v>
      </c>
      <c r="E27" s="4">
        <v>0</v>
      </c>
      <c r="F27" s="4">
        <v>25238.68</v>
      </c>
      <c r="G27" s="4">
        <v>9278.68</v>
      </c>
      <c r="H27" s="4">
        <v>115</v>
      </c>
      <c r="I27" s="4">
        <v>26</v>
      </c>
      <c r="J27" s="4">
        <v>5784.49</v>
      </c>
      <c r="K27" s="4">
        <v>800.71</v>
      </c>
      <c r="L27" s="6">
        <f t="shared" ref="L27:M32" si="6">H27/($B27*6)</f>
        <v>0.27777777777777779</v>
      </c>
      <c r="M27" s="6">
        <f t="shared" si="6"/>
        <v>6.280193236714976E-2</v>
      </c>
    </row>
    <row r="28" spans="1:23" s="13" customFormat="1" x14ac:dyDescent="0.25">
      <c r="A28" s="13">
        <v>1</v>
      </c>
      <c r="B28" s="13">
        <v>69</v>
      </c>
      <c r="C28" s="13">
        <v>0</v>
      </c>
      <c r="D28" s="13">
        <v>5</v>
      </c>
      <c r="E28" s="13">
        <v>0</v>
      </c>
      <c r="F28" s="13">
        <v>24430.79</v>
      </c>
      <c r="G28" s="13">
        <v>8470.7900000000009</v>
      </c>
      <c r="H28" s="13">
        <v>59</v>
      </c>
      <c r="I28" s="13">
        <v>75</v>
      </c>
      <c r="J28" s="13">
        <v>2957.62</v>
      </c>
      <c r="K28" s="13">
        <v>2250.92</v>
      </c>
      <c r="L28" s="15">
        <f t="shared" si="6"/>
        <v>0.14251207729468598</v>
      </c>
      <c r="M28" s="15">
        <f t="shared" si="6"/>
        <v>0.18115942028985507</v>
      </c>
    </row>
    <row r="29" spans="1:23" x14ac:dyDescent="0.25">
      <c r="A29">
        <v>2</v>
      </c>
      <c r="B29">
        <v>65</v>
      </c>
      <c r="C29">
        <v>0</v>
      </c>
      <c r="D29">
        <v>5</v>
      </c>
      <c r="E29">
        <v>0</v>
      </c>
      <c r="F29">
        <v>23386.83</v>
      </c>
      <c r="G29">
        <v>8386.83</v>
      </c>
      <c r="H29">
        <v>93</v>
      </c>
      <c r="I29">
        <v>33</v>
      </c>
      <c r="J29">
        <v>4697.33</v>
      </c>
      <c r="K29">
        <v>1018.41</v>
      </c>
      <c r="L29" s="15">
        <f t="shared" si="6"/>
        <v>0.23846153846153847</v>
      </c>
      <c r="M29" s="15">
        <f t="shared" si="6"/>
        <v>8.461538461538462E-2</v>
      </c>
      <c r="Q29" s="2"/>
    </row>
    <row r="30" spans="1:23" x14ac:dyDescent="0.25">
      <c r="A30">
        <v>3</v>
      </c>
      <c r="B30">
        <v>49</v>
      </c>
      <c r="C30">
        <v>0</v>
      </c>
      <c r="D30">
        <v>5</v>
      </c>
      <c r="E30">
        <v>0</v>
      </c>
      <c r="F30">
        <v>17399.18</v>
      </c>
      <c r="G30">
        <v>6239.18</v>
      </c>
      <c r="H30">
        <v>57</v>
      </c>
      <c r="I30">
        <v>43</v>
      </c>
      <c r="J30">
        <v>2866.59</v>
      </c>
      <c r="K30">
        <v>1300.18</v>
      </c>
      <c r="L30" s="15">
        <f t="shared" si="6"/>
        <v>0.19387755102040816</v>
      </c>
      <c r="M30" s="15">
        <f t="shared" si="6"/>
        <v>0.14625850340136054</v>
      </c>
    </row>
    <row r="31" spans="1:23" x14ac:dyDescent="0.25">
      <c r="A31">
        <v>4</v>
      </c>
      <c r="B31">
        <v>41</v>
      </c>
      <c r="C31">
        <v>0</v>
      </c>
      <c r="D31">
        <v>5</v>
      </c>
      <c r="E31">
        <v>0</v>
      </c>
      <c r="F31">
        <v>15248.63</v>
      </c>
      <c r="G31">
        <v>6008.63</v>
      </c>
      <c r="H31">
        <v>61</v>
      </c>
      <c r="I31">
        <v>45</v>
      </c>
      <c r="J31">
        <v>3085.78</v>
      </c>
      <c r="K31">
        <v>1374.99</v>
      </c>
      <c r="L31" s="15">
        <f t="shared" si="6"/>
        <v>0.24796747967479674</v>
      </c>
      <c r="M31" s="15">
        <f t="shared" si="6"/>
        <v>0.18292682926829268</v>
      </c>
    </row>
    <row r="32" spans="1:23" x14ac:dyDescent="0.25">
      <c r="A32">
        <v>5</v>
      </c>
      <c r="B32">
        <v>33</v>
      </c>
      <c r="C32">
        <v>0</v>
      </c>
      <c r="D32">
        <v>5</v>
      </c>
      <c r="E32">
        <v>0</v>
      </c>
      <c r="F32">
        <v>13826.45</v>
      </c>
      <c r="G32">
        <v>6506.45</v>
      </c>
      <c r="H32">
        <v>1</v>
      </c>
      <c r="I32">
        <v>158</v>
      </c>
      <c r="J32">
        <v>78.900000000000006</v>
      </c>
      <c r="K32">
        <v>4757.34</v>
      </c>
      <c r="L32" s="15">
        <f t="shared" si="6"/>
        <v>5.0505050505050509E-3</v>
      </c>
      <c r="M32" s="15">
        <f t="shared" si="6"/>
        <v>0.79797979797979801</v>
      </c>
    </row>
    <row r="33" spans="1:23" x14ac:dyDescent="0.25">
      <c r="F33" s="10">
        <f>SUM(F28:F32)</f>
        <v>94291.88</v>
      </c>
      <c r="G33" s="10">
        <f t="shared" ref="G33:K33" si="7">SUM(G28:G32)</f>
        <v>35611.880000000005</v>
      </c>
      <c r="H33" s="10">
        <f t="shared" si="7"/>
        <v>271</v>
      </c>
      <c r="I33" s="10">
        <f t="shared" si="7"/>
        <v>354</v>
      </c>
      <c r="J33" s="10">
        <f t="shared" si="7"/>
        <v>13686.220000000001</v>
      </c>
      <c r="K33" s="10">
        <f t="shared" si="7"/>
        <v>10701.84</v>
      </c>
      <c r="L33" s="9">
        <f>AVERAGE(L28:L32)</f>
        <v>0.16557383030038689</v>
      </c>
      <c r="M33" s="9">
        <f>AVERAGE(M28:M32)</f>
        <v>0.27858798711093818</v>
      </c>
    </row>
    <row r="34" spans="1:23" x14ac:dyDescent="0.25">
      <c r="L34" s="9">
        <f>_xlfn.STDEV.P(L28:L32)</f>
        <v>8.8546049562688744E-2</v>
      </c>
      <c r="M34" s="9">
        <f>_xlfn.STDEV.P(M28:M32)</f>
        <v>0.26212504600971676</v>
      </c>
    </row>
    <row r="35" spans="1:23" x14ac:dyDescent="0.25">
      <c r="L35" s="9">
        <f>MAX(L28:L32)</f>
        <v>0.24796747967479674</v>
      </c>
      <c r="M35" s="9">
        <f>MAX(M28:M32)</f>
        <v>0.79797979797979801</v>
      </c>
    </row>
    <row r="36" spans="1:23" x14ac:dyDescent="0.25">
      <c r="A36" t="s">
        <v>50</v>
      </c>
    </row>
    <row r="37" spans="1:23" x14ac:dyDescent="0.25">
      <c r="B37" t="s">
        <v>0</v>
      </c>
      <c r="C37" t="s">
        <v>1</v>
      </c>
      <c r="D37" t="s">
        <v>49</v>
      </c>
      <c r="E37" t="s">
        <v>3</v>
      </c>
      <c r="F37" t="s">
        <v>4</v>
      </c>
      <c r="G37" t="s">
        <v>5</v>
      </c>
      <c r="H37" t="s">
        <v>6</v>
      </c>
      <c r="I37" t="s">
        <v>7</v>
      </c>
      <c r="J37" t="s">
        <v>8</v>
      </c>
      <c r="K37" t="s">
        <v>9</v>
      </c>
      <c r="L37" t="s">
        <v>19</v>
      </c>
      <c r="M37" t="s">
        <v>20</v>
      </c>
      <c r="O37" t="s">
        <v>12</v>
      </c>
      <c r="P37" t="s">
        <v>13</v>
      </c>
      <c r="Q37" t="s">
        <v>16</v>
      </c>
      <c r="R37" t="s">
        <v>14</v>
      </c>
      <c r="S37" t="s">
        <v>15</v>
      </c>
      <c r="T37" t="s">
        <v>17</v>
      </c>
    </row>
    <row r="38" spans="1:23" s="4" customFormat="1" x14ac:dyDescent="0.25">
      <c r="A38" s="4">
        <v>0</v>
      </c>
      <c r="B38" s="4">
        <f t="shared" ref="B38:E42" si="8">A28-A16</f>
        <v>1</v>
      </c>
      <c r="C38" s="4">
        <f t="shared" si="8"/>
        <v>21</v>
      </c>
      <c r="D38" s="4">
        <f t="shared" si="8"/>
        <v>0</v>
      </c>
      <c r="E38" s="4">
        <f t="shared" si="8"/>
        <v>0</v>
      </c>
      <c r="F38" s="4">
        <f t="shared" ref="F38:F43" si="9">F27-F16</f>
        <v>8372.9700000000012</v>
      </c>
      <c r="G38" s="4">
        <f t="shared" ref="G38:M43" si="10">G27-G16</f>
        <v>3332.9700000000003</v>
      </c>
      <c r="H38" s="4">
        <f t="shared" si="10"/>
        <v>83</v>
      </c>
      <c r="I38" s="4">
        <f t="shared" si="10"/>
        <v>-43</v>
      </c>
      <c r="J38" s="4">
        <f t="shared" si="10"/>
        <v>4177.53</v>
      </c>
      <c r="K38" s="4">
        <f t="shared" si="10"/>
        <v>-1273.48</v>
      </c>
      <c r="L38" s="6">
        <f t="shared" si="10"/>
        <v>0.16666666666666669</v>
      </c>
      <c r="M38" s="6">
        <f t="shared" si="10"/>
        <v>-0.17678140096618358</v>
      </c>
      <c r="O38" s="5"/>
      <c r="P38" s="5"/>
      <c r="Q38" s="5">
        <v>500</v>
      </c>
      <c r="V38" s="6"/>
      <c r="W38" s="6"/>
    </row>
    <row r="39" spans="1:23" x14ac:dyDescent="0.25">
      <c r="A39">
        <v>1</v>
      </c>
      <c r="B39">
        <f t="shared" si="8"/>
        <v>1</v>
      </c>
      <c r="C39">
        <f t="shared" si="8"/>
        <v>0</v>
      </c>
      <c r="D39">
        <f t="shared" si="8"/>
        <v>0</v>
      </c>
      <c r="E39">
        <f t="shared" si="8"/>
        <v>0</v>
      </c>
      <c r="F39">
        <f t="shared" si="9"/>
        <v>1385.8300000000017</v>
      </c>
      <c r="G39">
        <f t="shared" si="10"/>
        <v>425.83000000000084</v>
      </c>
      <c r="H39">
        <f t="shared" si="10"/>
        <v>13</v>
      </c>
      <c r="I39">
        <f t="shared" si="10"/>
        <v>-11</v>
      </c>
      <c r="J39">
        <f t="shared" si="10"/>
        <v>647.02</v>
      </c>
      <c r="K39">
        <f t="shared" si="10"/>
        <v>-331.78999999999996</v>
      </c>
      <c r="L39" s="1">
        <f t="shared" si="10"/>
        <v>2.4563359345968039E-2</v>
      </c>
      <c r="M39" s="1">
        <f t="shared" si="10"/>
        <v>-3.9353400222965434E-2</v>
      </c>
      <c r="O39" s="2">
        <v>1000</v>
      </c>
      <c r="P39" s="2">
        <v>10700</v>
      </c>
      <c r="Q39" s="2">
        <v>500</v>
      </c>
      <c r="S39" s="2" t="e">
        <f>Q17/#REF!</f>
        <v>#REF!</v>
      </c>
      <c r="T39" t="e">
        <f>(S40&gt;S39)</f>
        <v>#REF!</v>
      </c>
      <c r="V39" s="1"/>
      <c r="W39" s="1"/>
    </row>
    <row r="40" spans="1:23" x14ac:dyDescent="0.25">
      <c r="A40">
        <v>2</v>
      </c>
      <c r="B40">
        <f t="shared" si="8"/>
        <v>1</v>
      </c>
      <c r="C40">
        <f t="shared" si="8"/>
        <v>0</v>
      </c>
      <c r="D40">
        <f t="shared" si="8"/>
        <v>0</v>
      </c>
      <c r="E40">
        <f t="shared" si="8"/>
        <v>0</v>
      </c>
      <c r="F40">
        <f t="shared" si="9"/>
        <v>6174.8100000000013</v>
      </c>
      <c r="G40">
        <f t="shared" ref="G40:K43" si="11">G29-G18</f>
        <v>2334.8099999999995</v>
      </c>
      <c r="H40">
        <f t="shared" si="11"/>
        <v>60</v>
      </c>
      <c r="I40">
        <f t="shared" si="11"/>
        <v>-36</v>
      </c>
      <c r="J40">
        <f t="shared" si="11"/>
        <v>3035.8599999999997</v>
      </c>
      <c r="K40">
        <f t="shared" si="11"/>
        <v>-1058.48</v>
      </c>
      <c r="L40" s="1">
        <f t="shared" si="10"/>
        <v>0.12621664050235482</v>
      </c>
      <c r="M40" s="1">
        <f t="shared" si="10"/>
        <v>-0.1500784929356358</v>
      </c>
      <c r="O40" s="2">
        <v>1100</v>
      </c>
      <c r="P40" s="2">
        <v>10700</v>
      </c>
      <c r="Q40" s="2">
        <v>500</v>
      </c>
      <c r="S40" s="2" t="e">
        <f>Q18/#REF!</f>
        <v>#REF!</v>
      </c>
      <c r="T40" t="e">
        <f t="shared" ref="T40:T43" si="12">(S41&gt;S40)</f>
        <v>#REF!</v>
      </c>
      <c r="V40" s="1"/>
      <c r="W40" s="1"/>
    </row>
    <row r="41" spans="1:23" x14ac:dyDescent="0.25">
      <c r="A41">
        <v>3</v>
      </c>
      <c r="B41">
        <f t="shared" si="8"/>
        <v>1</v>
      </c>
      <c r="C41">
        <f t="shared" si="8"/>
        <v>0</v>
      </c>
      <c r="D41">
        <f t="shared" si="8"/>
        <v>0</v>
      </c>
      <c r="E41">
        <f t="shared" si="8"/>
        <v>0</v>
      </c>
      <c r="F41">
        <f t="shared" si="9"/>
        <v>2857.4700000000012</v>
      </c>
      <c r="G41">
        <f t="shared" si="11"/>
        <v>937.47000000000025</v>
      </c>
      <c r="H41">
        <f t="shared" si="11"/>
        <v>27</v>
      </c>
      <c r="I41">
        <f t="shared" si="11"/>
        <v>-21</v>
      </c>
      <c r="J41">
        <f t="shared" si="11"/>
        <v>1355.3400000000001</v>
      </c>
      <c r="K41">
        <f t="shared" si="11"/>
        <v>-626.79</v>
      </c>
      <c r="L41" s="1">
        <f t="shared" si="10"/>
        <v>7.1926331508213037E-2</v>
      </c>
      <c r="M41" s="1">
        <f t="shared" si="10"/>
        <v>-0.11390409822465575</v>
      </c>
      <c r="O41" s="2">
        <v>1100</v>
      </c>
      <c r="P41" s="2">
        <v>10700</v>
      </c>
      <c r="Q41" s="2">
        <v>500</v>
      </c>
      <c r="S41" s="2" t="e">
        <f>Q19/#REF!</f>
        <v>#REF!</v>
      </c>
      <c r="T41" t="e">
        <f t="shared" si="12"/>
        <v>#REF!</v>
      </c>
      <c r="V41" s="1"/>
      <c r="W41" s="1"/>
    </row>
    <row r="42" spans="1:23" x14ac:dyDescent="0.25">
      <c r="A42">
        <v>4</v>
      </c>
      <c r="B42">
        <f t="shared" si="8"/>
        <v>1</v>
      </c>
      <c r="C42">
        <f t="shared" si="8"/>
        <v>0</v>
      </c>
      <c r="D42">
        <f t="shared" si="8"/>
        <v>0</v>
      </c>
      <c r="E42">
        <f t="shared" si="8"/>
        <v>0</v>
      </c>
      <c r="F42">
        <f t="shared" si="9"/>
        <v>2848.3999999999996</v>
      </c>
      <c r="G42">
        <f t="shared" si="11"/>
        <v>928.40000000000055</v>
      </c>
      <c r="H42">
        <f t="shared" si="11"/>
        <v>27</v>
      </c>
      <c r="I42">
        <f t="shared" si="11"/>
        <v>-21</v>
      </c>
      <c r="J42">
        <f t="shared" si="11"/>
        <v>1348.8600000000001</v>
      </c>
      <c r="K42">
        <f t="shared" si="11"/>
        <v>-630.68000000000006</v>
      </c>
      <c r="L42" s="1">
        <f t="shared" si="10"/>
        <v>7.6250307957625024E-2</v>
      </c>
      <c r="M42" s="1">
        <f t="shared" si="10"/>
        <v>-0.15040650406504064</v>
      </c>
      <c r="O42" s="2">
        <v>1200</v>
      </c>
      <c r="P42" s="2">
        <v>10700</v>
      </c>
      <c r="Q42" s="2">
        <v>500</v>
      </c>
      <c r="S42" s="2" t="e">
        <f>Q20/#REF!</f>
        <v>#REF!</v>
      </c>
      <c r="T42" t="e">
        <f t="shared" si="12"/>
        <v>#REF!</v>
      </c>
      <c r="V42" s="1"/>
      <c r="W42" s="1"/>
    </row>
    <row r="43" spans="1:23" x14ac:dyDescent="0.25">
      <c r="A43">
        <v>5</v>
      </c>
      <c r="B43">
        <f>B34-A21</f>
        <v>-5</v>
      </c>
      <c r="C43">
        <f>C34-B21</f>
        <v>-53</v>
      </c>
      <c r="D43">
        <f>D34-C21</f>
        <v>0</v>
      </c>
      <c r="E43">
        <f>E34-D21</f>
        <v>-5</v>
      </c>
      <c r="F43">
        <f t="shared" si="9"/>
        <v>-5150.2700000000004</v>
      </c>
      <c r="G43">
        <f t="shared" si="11"/>
        <v>-20.329999999999927</v>
      </c>
      <c r="H43">
        <f t="shared" si="11"/>
        <v>-38</v>
      </c>
      <c r="I43">
        <f t="shared" si="11"/>
        <v>88</v>
      </c>
      <c r="J43">
        <f t="shared" si="11"/>
        <v>-1878.77</v>
      </c>
      <c r="K43">
        <f t="shared" si="11"/>
        <v>2652.7400000000002</v>
      </c>
      <c r="L43" s="1">
        <f t="shared" si="10"/>
        <v>-0.11759100438345721</v>
      </c>
      <c r="M43" s="1">
        <f t="shared" si="10"/>
        <v>0.57785401181627605</v>
      </c>
      <c r="O43" s="2">
        <v>1250</v>
      </c>
      <c r="P43" s="2">
        <v>10700</v>
      </c>
      <c r="Q43" s="2">
        <v>500</v>
      </c>
      <c r="S43" s="2" t="e">
        <f>Q21/#REF!</f>
        <v>#REF!</v>
      </c>
      <c r="T43" t="e">
        <f t="shared" si="12"/>
        <v>#REF!</v>
      </c>
      <c r="V43" s="1"/>
      <c r="W43" s="1"/>
    </row>
    <row r="44" spans="1:23" x14ac:dyDescent="0.25">
      <c r="L44" s="9">
        <f>AVERAGE(L39:L43)</f>
        <v>3.6273126986140748E-2</v>
      </c>
      <c r="M44" s="9">
        <f>AVERAGE(M39:M43)</f>
        <v>2.4822303273595692E-2</v>
      </c>
    </row>
    <row r="45" spans="1:23" x14ac:dyDescent="0.25">
      <c r="L45" s="9">
        <f>_xlfn.STDEV.P(L39:L43)</f>
        <v>8.3391188017761964E-2</v>
      </c>
      <c r="M45" s="9">
        <f>_xlfn.STDEV.P(M39:M43)</f>
        <v>0.27946485628125511</v>
      </c>
    </row>
    <row r="46" spans="1:23" x14ac:dyDescent="0.25">
      <c r="L46" s="9">
        <f>MAX(L39:L43)</f>
        <v>0.12621664050235482</v>
      </c>
      <c r="M46" s="9">
        <f>MAX(M39:M43)</f>
        <v>0.57785401181627605</v>
      </c>
    </row>
    <row r="48" spans="1:23" x14ac:dyDescent="0.25">
      <c r="A48" s="17" t="s">
        <v>96</v>
      </c>
      <c r="B48" s="24">
        <f>F22</f>
        <v>86175.64</v>
      </c>
    </row>
    <row r="49" spans="1:2" x14ac:dyDescent="0.25">
      <c r="A49" s="17" t="s">
        <v>99</v>
      </c>
      <c r="B49" s="24">
        <v>0</v>
      </c>
    </row>
    <row r="50" spans="1:2" x14ac:dyDescent="0.25">
      <c r="A50" s="17" t="s">
        <v>97</v>
      </c>
      <c r="B50" s="24">
        <f>SUM(O3:P7)</f>
        <v>59150</v>
      </c>
    </row>
    <row r="51" spans="1:2" x14ac:dyDescent="0.25">
      <c r="A51" s="17"/>
      <c r="B51" s="24"/>
    </row>
    <row r="52" spans="1:2" x14ac:dyDescent="0.25">
      <c r="A52" s="17" t="s">
        <v>98</v>
      </c>
      <c r="B52" s="24">
        <f>SUM(B48:B51)</f>
        <v>145325.64000000001</v>
      </c>
    </row>
    <row r="53" spans="1:2" x14ac:dyDescent="0.25">
      <c r="A53" s="17" t="s">
        <v>116</v>
      </c>
      <c r="B53" s="17" t="str">
        <f>CONCATENATE(B17,",",B18,",",B19,",",B20,",",B21)</f>
        <v>65,49,41,33,53</v>
      </c>
    </row>
    <row r="54" spans="1:2" x14ac:dyDescent="0.25">
      <c r="A54" s="17" t="s">
        <v>117</v>
      </c>
      <c r="B54" s="17" t="str">
        <f>CONCATENATE(A17,",",A18,",",A19,",",A20,",",A21)</f>
        <v>1,2,3,4,5</v>
      </c>
    </row>
  </sheetData>
  <printOptions gridLines="1"/>
  <pageMargins left="0.7" right="0.7" top="0.75" bottom="0.75" header="0.3" footer="0.3"/>
  <pageSetup scale="52" orientation="landscape" horizontalDpi="4294967293" verticalDpi="4294967293"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54"/>
  <sheetViews>
    <sheetView topLeftCell="A34" workbookViewId="0">
      <selection activeCell="B54" sqref="B54"/>
    </sheetView>
  </sheetViews>
  <sheetFormatPr defaultRowHeight="15" x14ac:dyDescent="0.25"/>
  <cols>
    <col min="2" max="2" width="12.5703125" bestFit="1" customWidth="1"/>
    <col min="6" max="6" width="11.5703125" bestFit="1" customWidth="1"/>
    <col min="7" max="7" width="10.5703125" bestFit="1" customWidth="1"/>
    <col min="10" max="10" width="10.5703125" bestFit="1" customWidth="1"/>
    <col min="11" max="11" width="12.85546875" customWidth="1"/>
    <col min="12" max="12" width="11.85546875" customWidth="1"/>
    <col min="15" max="15" width="10.5703125" bestFit="1" customWidth="1"/>
    <col min="16" max="16" width="11.5703125" bestFit="1" customWidth="1"/>
    <col min="17" max="17" width="9.28515625" bestFit="1" customWidth="1"/>
    <col min="18" max="18" width="13.42578125" customWidth="1"/>
    <col min="19" max="19" width="11.5703125" bestFit="1" customWidth="1"/>
  </cols>
  <sheetData>
    <row r="1" spans="1:24" x14ac:dyDescent="0.25">
      <c r="B1" t="s">
        <v>0</v>
      </c>
      <c r="C1" t="s">
        <v>1</v>
      </c>
      <c r="D1" t="s">
        <v>2</v>
      </c>
      <c r="E1" t="s">
        <v>3</v>
      </c>
      <c r="F1" t="s">
        <v>4</v>
      </c>
      <c r="G1" t="s">
        <v>5</v>
      </c>
      <c r="H1" t="s">
        <v>6</v>
      </c>
      <c r="I1" t="s">
        <v>7</v>
      </c>
      <c r="J1" t="s">
        <v>8</v>
      </c>
      <c r="K1" t="s">
        <v>9</v>
      </c>
      <c r="L1" t="s">
        <v>21</v>
      </c>
      <c r="M1" t="s">
        <v>10</v>
      </c>
      <c r="N1" t="s">
        <v>11</v>
      </c>
      <c r="O1" t="s">
        <v>12</v>
      </c>
      <c r="P1" t="s">
        <v>13</v>
      </c>
      <c r="Q1" t="s">
        <v>16</v>
      </c>
      <c r="R1" t="s">
        <v>14</v>
      </c>
      <c r="S1" t="s">
        <v>15</v>
      </c>
      <c r="T1" t="s">
        <v>17</v>
      </c>
      <c r="U1" t="s">
        <v>19</v>
      </c>
      <c r="V1" t="s">
        <v>20</v>
      </c>
      <c r="W1" t="s">
        <v>93</v>
      </c>
      <c r="X1" t="s">
        <v>94</v>
      </c>
    </row>
    <row r="2" spans="1:24" x14ac:dyDescent="0.25">
      <c r="A2" s="4">
        <v>0</v>
      </c>
      <c r="B2" s="4">
        <v>69</v>
      </c>
      <c r="C2" s="4">
        <v>0</v>
      </c>
      <c r="D2" s="4">
        <v>5</v>
      </c>
      <c r="E2" s="4">
        <v>0</v>
      </c>
      <c r="F2" s="4">
        <v>25167.79</v>
      </c>
      <c r="G2" s="4">
        <v>9207.7900000000009</v>
      </c>
      <c r="H2" s="4">
        <v>114</v>
      </c>
      <c r="I2" s="4">
        <v>25</v>
      </c>
      <c r="J2" s="4">
        <v>5737.08</v>
      </c>
      <c r="K2" s="4">
        <v>772.26</v>
      </c>
      <c r="L2" s="2">
        <f t="shared" ref="L2:L7" si="0">F2-G2</f>
        <v>15960</v>
      </c>
      <c r="M2">
        <f>B2-B3</f>
        <v>4</v>
      </c>
      <c r="N2">
        <f>A2-$A$2</f>
        <v>0</v>
      </c>
      <c r="O2" s="2"/>
      <c r="P2" s="2"/>
      <c r="Q2" s="2">
        <v>500</v>
      </c>
      <c r="U2" s="1"/>
      <c r="V2" s="1"/>
    </row>
    <row r="3" spans="1:24" x14ac:dyDescent="0.25">
      <c r="A3">
        <v>1</v>
      </c>
      <c r="B3">
        <v>65</v>
      </c>
      <c r="C3">
        <v>0</v>
      </c>
      <c r="D3">
        <v>5</v>
      </c>
      <c r="E3">
        <v>0</v>
      </c>
      <c r="F3">
        <v>23037.71</v>
      </c>
      <c r="G3">
        <v>8037.71</v>
      </c>
      <c r="H3">
        <v>46</v>
      </c>
      <c r="I3">
        <v>86</v>
      </c>
      <c r="J3">
        <v>2310.2800000000002</v>
      </c>
      <c r="K3">
        <v>2582.5100000000002</v>
      </c>
      <c r="L3" s="2">
        <f t="shared" si="0"/>
        <v>15000</v>
      </c>
      <c r="M3">
        <f t="shared" ref="M3:M6" si="1">B3-B4</f>
        <v>16</v>
      </c>
      <c r="N3">
        <f>B3-$A$2</f>
        <v>65</v>
      </c>
      <c r="O3" s="2">
        <v>1000</v>
      </c>
      <c r="P3" s="2">
        <v>10700</v>
      </c>
      <c r="Q3" s="2">
        <v>500</v>
      </c>
      <c r="R3" s="2">
        <f>O3+P3+SUMPRODUCT($A$2:A2,$Q$2:Q2*$M$2:M2)</f>
        <v>11700</v>
      </c>
      <c r="S3" s="2">
        <f>R3/A3</f>
        <v>11700</v>
      </c>
      <c r="T3" t="b">
        <f>(S4&gt;S3)</f>
        <v>0</v>
      </c>
      <c r="U3" s="1">
        <f t="shared" ref="U3:V7" si="2">H3/($B3*6)</f>
        <v>0.11794871794871795</v>
      </c>
      <c r="V3" s="1">
        <f t="shared" si="2"/>
        <v>0.22051282051282051</v>
      </c>
    </row>
    <row r="4" spans="1:24" x14ac:dyDescent="0.25">
      <c r="A4">
        <v>2</v>
      </c>
      <c r="B4">
        <v>49</v>
      </c>
      <c r="C4">
        <v>0</v>
      </c>
      <c r="D4">
        <v>5</v>
      </c>
      <c r="E4">
        <v>0</v>
      </c>
      <c r="F4">
        <v>17156.36</v>
      </c>
      <c r="G4">
        <v>5996.36</v>
      </c>
      <c r="H4">
        <v>32</v>
      </c>
      <c r="I4">
        <v>68</v>
      </c>
      <c r="J4">
        <v>1622.66</v>
      </c>
      <c r="K4">
        <v>2053.6</v>
      </c>
      <c r="L4" s="2">
        <f t="shared" si="0"/>
        <v>11160</v>
      </c>
      <c r="M4">
        <f t="shared" si="1"/>
        <v>7</v>
      </c>
      <c r="N4">
        <f>B4-$A$2</f>
        <v>49</v>
      </c>
      <c r="O4" s="2">
        <v>1100</v>
      </c>
      <c r="P4" s="2">
        <v>10700</v>
      </c>
      <c r="Q4" s="2">
        <v>500</v>
      </c>
      <c r="R4" s="2">
        <f>O4+P4+SUMPRODUCT($A$2:A3,$Q$2:Q3*$M$2:M3)</f>
        <v>19800</v>
      </c>
      <c r="S4" s="2">
        <f>R4/A4</f>
        <v>9900</v>
      </c>
      <c r="T4" t="b">
        <f t="shared" ref="T4:T7" si="3">(S5&gt;S4)</f>
        <v>0</v>
      </c>
      <c r="U4" s="1">
        <f t="shared" si="2"/>
        <v>0.10884353741496598</v>
      </c>
      <c r="V4" s="1">
        <f t="shared" si="2"/>
        <v>0.23129251700680273</v>
      </c>
    </row>
    <row r="5" spans="1:24" x14ac:dyDescent="0.25">
      <c r="A5">
        <v>3</v>
      </c>
      <c r="B5">
        <v>42</v>
      </c>
      <c r="C5">
        <v>0</v>
      </c>
      <c r="D5">
        <v>5</v>
      </c>
      <c r="E5">
        <v>0</v>
      </c>
      <c r="F5">
        <v>14538.23</v>
      </c>
      <c r="G5">
        <v>5058.2299999999996</v>
      </c>
      <c r="H5">
        <v>28</v>
      </c>
      <c r="I5">
        <v>56</v>
      </c>
      <c r="J5">
        <v>1424.38</v>
      </c>
      <c r="K5">
        <v>1694.85</v>
      </c>
      <c r="L5" s="2">
        <f t="shared" si="0"/>
        <v>9480</v>
      </c>
      <c r="M5">
        <f t="shared" si="1"/>
        <v>8</v>
      </c>
      <c r="N5">
        <f>B5-$A$2</f>
        <v>42</v>
      </c>
      <c r="O5" s="2">
        <v>1100</v>
      </c>
      <c r="P5" s="2">
        <v>10700</v>
      </c>
      <c r="Q5" s="2">
        <v>500</v>
      </c>
      <c r="R5" s="2">
        <f>O5+P5+SUMPRODUCT($A$2:A4,$Q$2:Q4*$M$2:M4)</f>
        <v>26800</v>
      </c>
      <c r="S5" s="2">
        <f>R5/A5</f>
        <v>8933.3333333333339</v>
      </c>
      <c r="T5" t="b">
        <f t="shared" si="3"/>
        <v>1</v>
      </c>
      <c r="U5" s="1">
        <f t="shared" si="2"/>
        <v>0.1111111111111111</v>
      </c>
      <c r="V5" s="1">
        <f t="shared" si="2"/>
        <v>0.22222222222222221</v>
      </c>
    </row>
    <row r="6" spans="1:24" x14ac:dyDescent="0.25">
      <c r="A6">
        <v>4</v>
      </c>
      <c r="B6">
        <v>34</v>
      </c>
      <c r="C6">
        <v>0</v>
      </c>
      <c r="D6">
        <v>5</v>
      </c>
      <c r="E6">
        <v>0</v>
      </c>
      <c r="F6">
        <v>11589.91</v>
      </c>
      <c r="G6">
        <v>4029.91</v>
      </c>
      <c r="H6">
        <v>21</v>
      </c>
      <c r="I6">
        <v>47</v>
      </c>
      <c r="J6">
        <v>1073.82</v>
      </c>
      <c r="K6">
        <v>1427.81</v>
      </c>
      <c r="L6" s="2">
        <f t="shared" si="0"/>
        <v>7560</v>
      </c>
      <c r="M6">
        <f t="shared" si="1"/>
        <v>-19</v>
      </c>
      <c r="N6">
        <f>B6-$A$2</f>
        <v>34</v>
      </c>
      <c r="O6" s="2">
        <v>1200</v>
      </c>
      <c r="P6" s="2">
        <v>10700</v>
      </c>
      <c r="Q6" s="2">
        <v>500</v>
      </c>
      <c r="R6" s="2">
        <f>O6+P6+SUMPRODUCT($A$2:A5,$Q$2:Q5*$M$2:M5)</f>
        <v>38900</v>
      </c>
      <c r="S6" s="2">
        <f>R6/A6</f>
        <v>9725</v>
      </c>
      <c r="T6" t="b">
        <f t="shared" si="3"/>
        <v>0</v>
      </c>
      <c r="U6" s="1">
        <f t="shared" si="2"/>
        <v>0.10294117647058823</v>
      </c>
      <c r="V6" s="1">
        <f t="shared" si="2"/>
        <v>0.23039215686274508</v>
      </c>
    </row>
    <row r="7" spans="1:24" x14ac:dyDescent="0.25">
      <c r="A7">
        <v>5</v>
      </c>
      <c r="B7">
        <v>53</v>
      </c>
      <c r="C7">
        <v>0</v>
      </c>
      <c r="D7">
        <v>5</v>
      </c>
      <c r="E7">
        <v>0</v>
      </c>
      <c r="F7">
        <v>18957.099999999999</v>
      </c>
      <c r="G7">
        <v>6507.1</v>
      </c>
      <c r="H7">
        <v>38</v>
      </c>
      <c r="I7">
        <v>69</v>
      </c>
      <c r="J7">
        <v>1944.28</v>
      </c>
      <c r="K7">
        <v>2096.5700000000002</v>
      </c>
      <c r="L7" s="2">
        <f t="shared" si="0"/>
        <v>12449.999999999998</v>
      </c>
      <c r="N7">
        <f>B7-$A$2</f>
        <v>53</v>
      </c>
      <c r="O7" s="2">
        <v>1250</v>
      </c>
      <c r="P7" s="2">
        <v>10700</v>
      </c>
      <c r="Q7" s="2">
        <v>500</v>
      </c>
      <c r="R7" s="2">
        <f>O7+P7+SUMPRODUCT($A$2:A6,$Q$2:Q6*$M$2:M6)</f>
        <v>950</v>
      </c>
      <c r="S7" s="2">
        <f>R7/A7</f>
        <v>190</v>
      </c>
      <c r="T7" t="b">
        <f t="shared" si="3"/>
        <v>0</v>
      </c>
      <c r="U7" s="1">
        <f t="shared" si="2"/>
        <v>0.11949685534591195</v>
      </c>
      <c r="V7" s="1">
        <f t="shared" si="2"/>
        <v>0.21698113207547171</v>
      </c>
    </row>
    <row r="10" spans="1:24" x14ac:dyDescent="0.25">
      <c r="O10" t="s">
        <v>91</v>
      </c>
      <c r="Q10" s="17">
        <f>INDEX($B$3:$B$7,T10,1)</f>
        <v>42</v>
      </c>
      <c r="R10" t="s">
        <v>92</v>
      </c>
      <c r="T10" s="17">
        <f>MATCH(TRUE, $T$3:$T$7,0)</f>
        <v>3</v>
      </c>
    </row>
    <row r="13" spans="1:24" x14ac:dyDescent="0.25">
      <c r="A13" t="s">
        <v>51</v>
      </c>
      <c r="B13" t="s">
        <v>52</v>
      </c>
    </row>
    <row r="14" spans="1:24" x14ac:dyDescent="0.25">
      <c r="A14" t="s">
        <v>44</v>
      </c>
      <c r="B14" t="s">
        <v>45</v>
      </c>
      <c r="C14" t="s">
        <v>46</v>
      </c>
      <c r="D14" t="s">
        <v>47</v>
      </c>
    </row>
    <row r="15" spans="1:24" x14ac:dyDescent="0.25">
      <c r="A15" t="s">
        <v>66</v>
      </c>
      <c r="B15" t="s">
        <v>0</v>
      </c>
      <c r="C15" t="s">
        <v>1</v>
      </c>
      <c r="D15" t="s">
        <v>2</v>
      </c>
      <c r="E15" t="s">
        <v>3</v>
      </c>
      <c r="F15" t="s">
        <v>4</v>
      </c>
      <c r="G15" t="s">
        <v>5</v>
      </c>
      <c r="H15" t="s">
        <v>6</v>
      </c>
      <c r="I15" t="s">
        <v>7</v>
      </c>
      <c r="J15" t="s">
        <v>8</v>
      </c>
      <c r="K15" t="s">
        <v>9</v>
      </c>
      <c r="L15" t="s">
        <v>19</v>
      </c>
      <c r="M15" t="s">
        <v>20</v>
      </c>
    </row>
    <row r="16" spans="1:24" s="4" customFormat="1" x14ac:dyDescent="0.25">
      <c r="A16" s="4">
        <v>0</v>
      </c>
      <c r="B16" s="4">
        <v>49</v>
      </c>
      <c r="C16" s="4">
        <v>0</v>
      </c>
      <c r="D16" s="4">
        <v>5</v>
      </c>
      <c r="E16" s="4">
        <v>0</v>
      </c>
      <c r="F16" s="4">
        <v>17123.310000000001</v>
      </c>
      <c r="G16" s="4">
        <v>5963.31</v>
      </c>
      <c r="H16" s="4">
        <v>34</v>
      </c>
      <c r="I16" s="4">
        <v>65</v>
      </c>
      <c r="J16" s="4">
        <v>1706.21</v>
      </c>
      <c r="K16" s="4">
        <v>1953.74</v>
      </c>
      <c r="L16" s="6">
        <f>H16/($B16*6)</f>
        <v>0.11564625850340136</v>
      </c>
      <c r="M16" s="6">
        <f>I16/($B16*6)</f>
        <v>0.22108843537414966</v>
      </c>
      <c r="N16"/>
    </row>
    <row r="17" spans="1:22" x14ac:dyDescent="0.25">
      <c r="A17">
        <v>1</v>
      </c>
      <c r="B17">
        <v>65</v>
      </c>
      <c r="C17">
        <v>0</v>
      </c>
      <c r="D17">
        <v>5</v>
      </c>
      <c r="E17">
        <v>0</v>
      </c>
      <c r="F17">
        <v>23037.71</v>
      </c>
      <c r="G17">
        <v>8037.71</v>
      </c>
      <c r="H17">
        <v>46</v>
      </c>
      <c r="I17">
        <v>86</v>
      </c>
      <c r="J17">
        <v>2310.2800000000002</v>
      </c>
      <c r="K17">
        <v>2582.5100000000002</v>
      </c>
      <c r="L17" s="6">
        <f t="shared" ref="L17:L21" si="4">H17/($B17*6)</f>
        <v>0.11794871794871795</v>
      </c>
      <c r="M17" s="6">
        <f t="shared" ref="M17:M21" si="5">I17/($B17*6)</f>
        <v>0.22051282051282051</v>
      </c>
      <c r="O17" s="2">
        <v>1000</v>
      </c>
      <c r="P17" s="2">
        <v>10700</v>
      </c>
      <c r="Q17" s="2">
        <v>500</v>
      </c>
    </row>
    <row r="18" spans="1:22" x14ac:dyDescent="0.25">
      <c r="A18">
        <v>2</v>
      </c>
      <c r="B18">
        <v>49</v>
      </c>
      <c r="C18">
        <v>0</v>
      </c>
      <c r="D18">
        <v>5</v>
      </c>
      <c r="E18">
        <v>0</v>
      </c>
      <c r="F18">
        <v>17156.36</v>
      </c>
      <c r="G18">
        <v>5996.36</v>
      </c>
      <c r="H18">
        <v>32</v>
      </c>
      <c r="I18">
        <v>68</v>
      </c>
      <c r="J18">
        <v>1622.66</v>
      </c>
      <c r="K18">
        <v>2053.6</v>
      </c>
      <c r="L18" s="6">
        <f t="shared" si="4"/>
        <v>0.10884353741496598</v>
      </c>
      <c r="M18" s="6">
        <f t="shared" si="5"/>
        <v>0.23129251700680273</v>
      </c>
      <c r="O18" s="2">
        <v>1100</v>
      </c>
      <c r="P18" s="2">
        <v>10700</v>
      </c>
      <c r="Q18" s="2">
        <v>500</v>
      </c>
    </row>
    <row r="19" spans="1:22" x14ac:dyDescent="0.25">
      <c r="A19">
        <v>3</v>
      </c>
      <c r="B19">
        <v>42</v>
      </c>
      <c r="C19">
        <v>0</v>
      </c>
      <c r="D19">
        <v>5</v>
      </c>
      <c r="E19">
        <v>0</v>
      </c>
      <c r="F19">
        <v>14538.23</v>
      </c>
      <c r="G19">
        <v>5058.2299999999996</v>
      </c>
      <c r="H19">
        <v>28</v>
      </c>
      <c r="I19">
        <v>56</v>
      </c>
      <c r="J19">
        <v>1424.38</v>
      </c>
      <c r="K19">
        <v>1694.85</v>
      </c>
      <c r="L19" s="6">
        <f t="shared" si="4"/>
        <v>0.1111111111111111</v>
      </c>
      <c r="M19" s="6">
        <f t="shared" si="5"/>
        <v>0.22222222222222221</v>
      </c>
      <c r="O19" s="2">
        <v>1100</v>
      </c>
      <c r="P19" s="2">
        <v>10700</v>
      </c>
      <c r="Q19" s="2">
        <v>500</v>
      </c>
    </row>
    <row r="20" spans="1:22" x14ac:dyDescent="0.25">
      <c r="A20">
        <v>4</v>
      </c>
      <c r="B20">
        <v>34</v>
      </c>
      <c r="C20">
        <v>0</v>
      </c>
      <c r="D20">
        <v>5</v>
      </c>
      <c r="E20">
        <v>0</v>
      </c>
      <c r="F20">
        <v>11589.91</v>
      </c>
      <c r="G20">
        <v>4029.91</v>
      </c>
      <c r="H20">
        <v>21</v>
      </c>
      <c r="I20">
        <v>47</v>
      </c>
      <c r="J20">
        <v>1073.82</v>
      </c>
      <c r="K20">
        <v>1427.81</v>
      </c>
      <c r="L20" s="6">
        <f t="shared" si="4"/>
        <v>0.10294117647058823</v>
      </c>
      <c r="M20" s="6">
        <f t="shared" si="5"/>
        <v>0.23039215686274508</v>
      </c>
      <c r="O20" s="2">
        <v>1200</v>
      </c>
      <c r="P20" s="2">
        <v>10700</v>
      </c>
      <c r="Q20" s="2">
        <v>500</v>
      </c>
    </row>
    <row r="21" spans="1:22" x14ac:dyDescent="0.25">
      <c r="A21">
        <v>5</v>
      </c>
      <c r="B21">
        <v>53</v>
      </c>
      <c r="C21">
        <v>0</v>
      </c>
      <c r="D21">
        <v>5</v>
      </c>
      <c r="E21">
        <v>0</v>
      </c>
      <c r="F21">
        <v>18957.099999999999</v>
      </c>
      <c r="G21">
        <v>6507.1</v>
      </c>
      <c r="H21">
        <v>38</v>
      </c>
      <c r="I21">
        <v>69</v>
      </c>
      <c r="J21">
        <v>1944.28</v>
      </c>
      <c r="K21">
        <v>2096.5700000000002</v>
      </c>
      <c r="L21" s="6">
        <f t="shared" si="4"/>
        <v>0.11949685534591195</v>
      </c>
      <c r="M21" s="6">
        <f t="shared" si="5"/>
        <v>0.21698113207547171</v>
      </c>
      <c r="O21" s="2">
        <v>1250</v>
      </c>
      <c r="P21" s="2">
        <v>10700</v>
      </c>
      <c r="Q21" s="2">
        <v>500</v>
      </c>
    </row>
    <row r="22" spans="1:22" x14ac:dyDescent="0.25">
      <c r="F22" s="10">
        <f>SUM(F17:F21)</f>
        <v>85279.31</v>
      </c>
      <c r="G22" s="10">
        <f t="shared" ref="G22:K22" si="6">SUM(G17:G21)</f>
        <v>29629.309999999998</v>
      </c>
      <c r="H22" s="10">
        <f t="shared" si="6"/>
        <v>165</v>
      </c>
      <c r="I22" s="10">
        <f t="shared" si="6"/>
        <v>326</v>
      </c>
      <c r="J22" s="10">
        <f t="shared" si="6"/>
        <v>8375.42</v>
      </c>
      <c r="K22" s="10">
        <f t="shared" si="6"/>
        <v>9855.34</v>
      </c>
      <c r="L22" s="9">
        <f>AVERAGE(L17:L21)</f>
        <v>0.11206827965825902</v>
      </c>
      <c r="M22" s="9">
        <f>AVERAGE(M17:M21)</f>
        <v>0.22428016973601245</v>
      </c>
      <c r="U22" s="1"/>
      <c r="V22" s="1"/>
    </row>
    <row r="23" spans="1:22" x14ac:dyDescent="0.25">
      <c r="L23" s="9">
        <f>_xlfn.STDEV.P(L17:L21)</f>
        <v>6.0726013865031823E-3</v>
      </c>
      <c r="M23" s="9">
        <f>_xlfn.STDEV.P(M17:M21)</f>
        <v>5.6255385483080242E-3</v>
      </c>
      <c r="U23" s="1"/>
      <c r="V23" s="1"/>
    </row>
    <row r="24" spans="1:22" x14ac:dyDescent="0.25">
      <c r="L24" s="9">
        <f>MAX(L17:L21)</f>
        <v>0.11949685534591195</v>
      </c>
      <c r="M24" s="9">
        <f>MAX(M17:M21)</f>
        <v>0.23129251700680273</v>
      </c>
      <c r="U24" s="1"/>
      <c r="V24" s="1"/>
    </row>
    <row r="25" spans="1:22" x14ac:dyDescent="0.25">
      <c r="A25" t="s">
        <v>48</v>
      </c>
      <c r="B25" t="s">
        <v>45</v>
      </c>
      <c r="C25" t="s">
        <v>46</v>
      </c>
      <c r="D25" t="s">
        <v>47</v>
      </c>
    </row>
    <row r="26" spans="1:22" x14ac:dyDescent="0.25">
      <c r="A26" t="s">
        <v>66</v>
      </c>
      <c r="B26" t="s">
        <v>0</v>
      </c>
      <c r="C26" t="s">
        <v>1</v>
      </c>
      <c r="D26" t="s">
        <v>49</v>
      </c>
      <c r="E26" t="s">
        <v>3</v>
      </c>
      <c r="F26" t="s">
        <v>4</v>
      </c>
      <c r="G26" t="s">
        <v>5</v>
      </c>
      <c r="H26" t="s">
        <v>6</v>
      </c>
      <c r="I26" t="s">
        <v>7</v>
      </c>
      <c r="J26" t="s">
        <v>8</v>
      </c>
      <c r="K26" t="s">
        <v>9</v>
      </c>
      <c r="L26" t="s">
        <v>19</v>
      </c>
      <c r="M26" t="s">
        <v>20</v>
      </c>
    </row>
    <row r="27" spans="1:22" s="4" customFormat="1" x14ac:dyDescent="0.25">
      <c r="A27" s="4">
        <v>0</v>
      </c>
      <c r="B27" s="4">
        <v>69</v>
      </c>
      <c r="C27" s="4">
        <v>0</v>
      </c>
      <c r="D27" s="4">
        <v>5</v>
      </c>
      <c r="E27" s="4">
        <v>0</v>
      </c>
      <c r="F27" s="4">
        <v>25167.79</v>
      </c>
      <c r="G27" s="4">
        <v>9207.7900000000009</v>
      </c>
      <c r="H27" s="4">
        <v>114</v>
      </c>
      <c r="I27" s="4">
        <v>25</v>
      </c>
      <c r="J27" s="4">
        <v>5737.08</v>
      </c>
      <c r="K27" s="4">
        <v>772.26</v>
      </c>
      <c r="L27" s="6">
        <f t="shared" ref="L27:M32" si="7">H27/($B27*6)</f>
        <v>0.27536231884057971</v>
      </c>
      <c r="M27" s="6">
        <f t="shared" si="7"/>
        <v>6.0386473429951688E-2</v>
      </c>
    </row>
    <row r="28" spans="1:22" s="13" customFormat="1" x14ac:dyDescent="0.25">
      <c r="A28" s="13">
        <v>1</v>
      </c>
      <c r="B28" s="13">
        <v>69</v>
      </c>
      <c r="C28" s="13">
        <v>0</v>
      </c>
      <c r="D28" s="13">
        <v>5</v>
      </c>
      <c r="E28" s="13">
        <v>0</v>
      </c>
      <c r="F28" s="13">
        <v>24423.98</v>
      </c>
      <c r="G28" s="13">
        <v>8463.98</v>
      </c>
      <c r="H28" s="13">
        <v>59</v>
      </c>
      <c r="I28" s="13">
        <v>75</v>
      </c>
      <c r="J28" s="13">
        <v>2957.3</v>
      </c>
      <c r="K28" s="13">
        <v>2250.73</v>
      </c>
      <c r="L28" s="15">
        <f t="shared" si="7"/>
        <v>0.14251207729468598</v>
      </c>
      <c r="M28" s="15">
        <f t="shared" si="7"/>
        <v>0.18115942028985507</v>
      </c>
    </row>
    <row r="29" spans="1:22" x14ac:dyDescent="0.25">
      <c r="A29">
        <v>2</v>
      </c>
      <c r="B29">
        <v>69</v>
      </c>
      <c r="C29">
        <v>0</v>
      </c>
      <c r="D29">
        <v>5</v>
      </c>
      <c r="E29">
        <v>0</v>
      </c>
      <c r="F29">
        <v>25093.81</v>
      </c>
      <c r="G29">
        <v>9133.81</v>
      </c>
      <c r="H29">
        <v>111</v>
      </c>
      <c r="I29">
        <v>27</v>
      </c>
      <c r="J29">
        <v>5577.04</v>
      </c>
      <c r="K29">
        <v>826.23</v>
      </c>
      <c r="L29" s="15">
        <f t="shared" si="7"/>
        <v>0.26811594202898553</v>
      </c>
      <c r="M29" s="15">
        <f t="shared" si="7"/>
        <v>6.5217391304347824E-2</v>
      </c>
      <c r="Q29" s="2"/>
    </row>
    <row r="30" spans="1:22" x14ac:dyDescent="0.25">
      <c r="A30">
        <v>3</v>
      </c>
      <c r="B30">
        <v>69</v>
      </c>
      <c r="C30">
        <v>0</v>
      </c>
      <c r="D30">
        <v>5</v>
      </c>
      <c r="E30">
        <v>0</v>
      </c>
      <c r="F30">
        <v>25967.11</v>
      </c>
      <c r="G30">
        <v>10007.11</v>
      </c>
      <c r="H30">
        <v>145</v>
      </c>
      <c r="I30">
        <v>11</v>
      </c>
      <c r="J30">
        <v>7272.71</v>
      </c>
      <c r="K30">
        <v>343.85</v>
      </c>
      <c r="L30" s="15">
        <f t="shared" si="7"/>
        <v>0.35024154589371981</v>
      </c>
      <c r="M30" s="15">
        <f t="shared" si="7"/>
        <v>2.6570048309178744E-2</v>
      </c>
    </row>
    <row r="31" spans="1:22" x14ac:dyDescent="0.25">
      <c r="A31">
        <v>4</v>
      </c>
      <c r="B31">
        <v>42</v>
      </c>
      <c r="C31">
        <v>0</v>
      </c>
      <c r="D31">
        <v>5</v>
      </c>
      <c r="E31">
        <v>0</v>
      </c>
      <c r="F31">
        <v>14529.03</v>
      </c>
      <c r="G31">
        <v>5049.03</v>
      </c>
      <c r="H31">
        <v>49</v>
      </c>
      <c r="I31">
        <v>27</v>
      </c>
      <c r="J31">
        <v>2487.19</v>
      </c>
      <c r="K31">
        <v>835.83</v>
      </c>
      <c r="L31" s="15">
        <f t="shared" si="7"/>
        <v>0.19444444444444445</v>
      </c>
      <c r="M31" s="15">
        <f t="shared" si="7"/>
        <v>0.10714285714285714</v>
      </c>
    </row>
    <row r="32" spans="1:22" x14ac:dyDescent="0.25">
      <c r="A32">
        <v>5</v>
      </c>
      <c r="B32">
        <v>42</v>
      </c>
      <c r="C32">
        <v>0</v>
      </c>
      <c r="D32">
        <v>5</v>
      </c>
      <c r="E32">
        <v>0</v>
      </c>
      <c r="F32">
        <v>15541.32</v>
      </c>
      <c r="G32">
        <v>6061.32</v>
      </c>
      <c r="H32">
        <v>10</v>
      </c>
      <c r="I32">
        <v>113</v>
      </c>
      <c r="J32">
        <v>533.64</v>
      </c>
      <c r="K32">
        <v>3410.18</v>
      </c>
      <c r="L32" s="15">
        <f t="shared" si="7"/>
        <v>3.968253968253968E-2</v>
      </c>
      <c r="M32" s="15">
        <f t="shared" si="7"/>
        <v>0.44841269841269843</v>
      </c>
    </row>
    <row r="33" spans="1:22" x14ac:dyDescent="0.25">
      <c r="F33" s="10">
        <f>SUM(F28:F32)</f>
        <v>105555.25</v>
      </c>
      <c r="G33" s="10">
        <f t="shared" ref="G33:K33" si="8">SUM(G28:G32)</f>
        <v>38715.25</v>
      </c>
      <c r="H33" s="10">
        <f t="shared" si="8"/>
        <v>374</v>
      </c>
      <c r="I33" s="10">
        <f t="shared" si="8"/>
        <v>253</v>
      </c>
      <c r="J33" s="10">
        <f t="shared" si="8"/>
        <v>18827.879999999997</v>
      </c>
      <c r="K33" s="10">
        <f t="shared" si="8"/>
        <v>7666.82</v>
      </c>
      <c r="L33" s="9">
        <f>AVERAGE(L28:L32)</f>
        <v>0.1989993098688751</v>
      </c>
      <c r="M33" s="9">
        <f>AVERAGE(M28:M32)</f>
        <v>0.16570048309178745</v>
      </c>
    </row>
    <row r="34" spans="1:22" x14ac:dyDescent="0.25">
      <c r="L34" s="9">
        <f>_xlfn.STDEV.P(L28:L32)</f>
        <v>0.10606102988796749</v>
      </c>
      <c r="M34" s="9">
        <f>_xlfn.STDEV.P(M28:M32)</f>
        <v>0.15036508943613644</v>
      </c>
    </row>
    <row r="35" spans="1:22" x14ac:dyDescent="0.25">
      <c r="L35" s="9">
        <f>MAX(L28:L32)</f>
        <v>0.35024154589371981</v>
      </c>
      <c r="M35" s="9">
        <f>MAX(M28:M32)</f>
        <v>0.44841269841269843</v>
      </c>
    </row>
    <row r="36" spans="1:22" x14ac:dyDescent="0.25">
      <c r="A36" t="s">
        <v>50</v>
      </c>
    </row>
    <row r="37" spans="1:22" x14ac:dyDescent="0.25">
      <c r="B37" t="s">
        <v>0</v>
      </c>
      <c r="C37" t="s">
        <v>1</v>
      </c>
      <c r="D37" t="s">
        <v>49</v>
      </c>
      <c r="E37" t="s">
        <v>3</v>
      </c>
      <c r="F37" t="s">
        <v>4</v>
      </c>
      <c r="G37" t="s">
        <v>5</v>
      </c>
      <c r="H37" t="s">
        <v>6</v>
      </c>
      <c r="I37" t="s">
        <v>7</v>
      </c>
      <c r="J37" t="s">
        <v>8</v>
      </c>
      <c r="K37" t="s">
        <v>9</v>
      </c>
      <c r="L37" t="s">
        <v>19</v>
      </c>
      <c r="M37" t="s">
        <v>20</v>
      </c>
      <c r="O37" t="s">
        <v>12</v>
      </c>
      <c r="P37" t="s">
        <v>13</v>
      </c>
      <c r="Q37" t="s">
        <v>16</v>
      </c>
      <c r="R37" t="s">
        <v>14</v>
      </c>
      <c r="S37" t="s">
        <v>15</v>
      </c>
      <c r="T37" t="s">
        <v>17</v>
      </c>
    </row>
    <row r="38" spans="1:22" s="4" customFormat="1" x14ac:dyDescent="0.25">
      <c r="A38" s="4">
        <v>0</v>
      </c>
      <c r="B38" s="4">
        <f>B16-B27</f>
        <v>-20</v>
      </c>
      <c r="C38" s="4">
        <f t="shared" ref="C38:G38" si="9">C16-C27</f>
        <v>0</v>
      </c>
      <c r="D38" s="4">
        <f t="shared" si="9"/>
        <v>0</v>
      </c>
      <c r="E38" s="4">
        <f t="shared" si="9"/>
        <v>0</v>
      </c>
      <c r="F38" s="4">
        <f t="shared" si="9"/>
        <v>-8044.48</v>
      </c>
      <c r="G38" s="4">
        <f t="shared" si="9"/>
        <v>-3244.4800000000005</v>
      </c>
      <c r="H38" s="4">
        <f t="shared" ref="H38:K39" si="10">H27-H16</f>
        <v>80</v>
      </c>
      <c r="I38" s="4">
        <f t="shared" si="10"/>
        <v>-40</v>
      </c>
      <c r="J38" s="4">
        <f t="shared" si="10"/>
        <v>4030.87</v>
      </c>
      <c r="K38" s="4">
        <f t="shared" si="10"/>
        <v>-1181.48</v>
      </c>
      <c r="L38" s="6">
        <f t="shared" ref="L38:M38" si="11">L27-L16</f>
        <v>0.15971606033717833</v>
      </c>
      <c r="M38" s="6">
        <f t="shared" si="11"/>
        <v>-0.16070196194419797</v>
      </c>
      <c r="O38" s="5"/>
      <c r="P38" s="5"/>
      <c r="Q38" s="5">
        <v>500</v>
      </c>
      <c r="U38" s="6"/>
      <c r="V38" s="6"/>
    </row>
    <row r="39" spans="1:22" x14ac:dyDescent="0.25">
      <c r="A39">
        <v>1</v>
      </c>
      <c r="B39" s="4">
        <f t="shared" ref="B39:G43" si="12">B17-B28</f>
        <v>-4</v>
      </c>
      <c r="C39" s="4">
        <f t="shared" si="12"/>
        <v>0</v>
      </c>
      <c r="D39" s="4">
        <f t="shared" si="12"/>
        <v>0</v>
      </c>
      <c r="E39" s="4">
        <f t="shared" si="12"/>
        <v>0</v>
      </c>
      <c r="F39" s="4">
        <f t="shared" si="12"/>
        <v>-1386.2700000000004</v>
      </c>
      <c r="G39" s="4">
        <f t="shared" si="12"/>
        <v>-426.26999999999953</v>
      </c>
      <c r="H39">
        <f t="shared" si="10"/>
        <v>13</v>
      </c>
      <c r="I39">
        <f t="shared" si="10"/>
        <v>-11</v>
      </c>
      <c r="J39">
        <f t="shared" si="10"/>
        <v>647.02</v>
      </c>
      <c r="K39">
        <f t="shared" si="10"/>
        <v>-331.7800000000002</v>
      </c>
      <c r="L39" s="1">
        <f t="shared" ref="L39:M39" si="13">L28-L17</f>
        <v>2.4563359345968039E-2</v>
      </c>
      <c r="M39" s="1">
        <f t="shared" si="13"/>
        <v>-3.9353400222965434E-2</v>
      </c>
      <c r="O39" s="2">
        <v>1000</v>
      </c>
      <c r="P39" s="2">
        <v>10700</v>
      </c>
      <c r="Q39" s="2">
        <v>500</v>
      </c>
      <c r="R39" s="2" t="e">
        <f>O75+P75+(F39-$E$2)+SUMPRODUCT($A$2:A38,$Q$38:Q74*$M$2:M38)</f>
        <v>#VALUE!</v>
      </c>
      <c r="S39" s="2" t="e">
        <f>Q17/#REF!</f>
        <v>#REF!</v>
      </c>
      <c r="T39" t="e">
        <f>(S40&gt;S39)</f>
        <v>#REF!</v>
      </c>
      <c r="U39" s="1"/>
      <c r="V39" s="1"/>
    </row>
    <row r="40" spans="1:22" x14ac:dyDescent="0.25">
      <c r="A40">
        <v>2</v>
      </c>
      <c r="B40" s="4">
        <f t="shared" si="12"/>
        <v>-20</v>
      </c>
      <c r="C40" s="4">
        <f t="shared" si="12"/>
        <v>0</v>
      </c>
      <c r="D40" s="4">
        <f t="shared" si="12"/>
        <v>0</v>
      </c>
      <c r="E40" s="4">
        <f t="shared" si="12"/>
        <v>0</v>
      </c>
      <c r="F40" s="4">
        <f t="shared" si="12"/>
        <v>-7937.4500000000007</v>
      </c>
      <c r="G40" s="4">
        <f t="shared" si="12"/>
        <v>-3137.45</v>
      </c>
      <c r="H40">
        <f t="shared" ref="H40:K43" si="14">H29-H18</f>
        <v>79</v>
      </c>
      <c r="I40">
        <f t="shared" si="14"/>
        <v>-41</v>
      </c>
      <c r="J40">
        <f t="shared" si="14"/>
        <v>3954.38</v>
      </c>
      <c r="K40">
        <f t="shared" si="14"/>
        <v>-1227.3699999999999</v>
      </c>
      <c r="L40" s="1">
        <f t="shared" ref="L40:M40" si="15">L29-L18</f>
        <v>0.15927240461401954</v>
      </c>
      <c r="M40" s="1">
        <f t="shared" si="15"/>
        <v>-0.16607512570245492</v>
      </c>
      <c r="O40" s="2">
        <v>1100</v>
      </c>
      <c r="P40" s="2">
        <v>10700</v>
      </c>
      <c r="Q40" s="2">
        <v>500</v>
      </c>
      <c r="S40" s="2" t="e">
        <f>Q18/#REF!</f>
        <v>#REF!</v>
      </c>
      <c r="T40" t="e">
        <f t="shared" ref="T40:T43" si="16">(S41&gt;S40)</f>
        <v>#REF!</v>
      </c>
      <c r="U40" s="1"/>
      <c r="V40" s="1"/>
    </row>
    <row r="41" spans="1:22" x14ac:dyDescent="0.25">
      <c r="A41">
        <v>3</v>
      </c>
      <c r="B41" s="4">
        <f t="shared" si="12"/>
        <v>-27</v>
      </c>
      <c r="C41" s="4">
        <f t="shared" si="12"/>
        <v>0</v>
      </c>
      <c r="D41" s="4">
        <f t="shared" si="12"/>
        <v>0</v>
      </c>
      <c r="E41" s="4">
        <f t="shared" si="12"/>
        <v>0</v>
      </c>
      <c r="F41" s="4">
        <f t="shared" si="12"/>
        <v>-11428.880000000001</v>
      </c>
      <c r="G41" s="4">
        <f t="shared" si="12"/>
        <v>-4948.880000000001</v>
      </c>
      <c r="H41">
        <f t="shared" si="14"/>
        <v>117</v>
      </c>
      <c r="I41">
        <f t="shared" si="14"/>
        <v>-45</v>
      </c>
      <c r="J41">
        <f t="shared" si="14"/>
        <v>5848.33</v>
      </c>
      <c r="K41">
        <f t="shared" si="14"/>
        <v>-1351</v>
      </c>
      <c r="L41" s="1">
        <f t="shared" ref="L41:M41" si="17">L30-L19</f>
        <v>0.2391304347826087</v>
      </c>
      <c r="M41" s="1">
        <f t="shared" si="17"/>
        <v>-0.19565217391304346</v>
      </c>
      <c r="O41" s="2">
        <v>1100</v>
      </c>
      <c r="P41" s="2">
        <v>10700</v>
      </c>
      <c r="Q41" s="2">
        <v>500</v>
      </c>
      <c r="S41" s="2" t="e">
        <f>Q19/#REF!</f>
        <v>#REF!</v>
      </c>
      <c r="T41" t="e">
        <f t="shared" si="16"/>
        <v>#REF!</v>
      </c>
      <c r="U41" s="1"/>
      <c r="V41" s="1"/>
    </row>
    <row r="42" spans="1:22" x14ac:dyDescent="0.25">
      <c r="A42">
        <v>4</v>
      </c>
      <c r="B42" s="4">
        <f t="shared" si="12"/>
        <v>-8</v>
      </c>
      <c r="C42" s="4">
        <f t="shared" si="12"/>
        <v>0</v>
      </c>
      <c r="D42" s="4">
        <f t="shared" si="12"/>
        <v>0</v>
      </c>
      <c r="E42" s="4">
        <f t="shared" si="12"/>
        <v>0</v>
      </c>
      <c r="F42" s="4">
        <f t="shared" si="12"/>
        <v>-2939.1200000000008</v>
      </c>
      <c r="G42" s="4">
        <f t="shared" si="12"/>
        <v>-1019.1199999999999</v>
      </c>
      <c r="H42">
        <f t="shared" si="14"/>
        <v>28</v>
      </c>
      <c r="I42">
        <f t="shared" si="14"/>
        <v>-20</v>
      </c>
      <c r="J42">
        <f t="shared" si="14"/>
        <v>1413.3700000000001</v>
      </c>
      <c r="K42">
        <f t="shared" si="14"/>
        <v>-591.9799999999999</v>
      </c>
      <c r="L42" s="1">
        <f t="shared" ref="L42:M42" si="18">L31-L20</f>
        <v>9.1503267973856217E-2</v>
      </c>
      <c r="M42" s="1">
        <f t="shared" si="18"/>
        <v>-0.12324929971988795</v>
      </c>
      <c r="O42" s="2">
        <v>1200</v>
      </c>
      <c r="P42" s="2">
        <v>10700</v>
      </c>
      <c r="Q42" s="2">
        <v>500</v>
      </c>
      <c r="S42" s="2" t="e">
        <f>Q20/#REF!</f>
        <v>#REF!</v>
      </c>
      <c r="T42" t="e">
        <f t="shared" si="16"/>
        <v>#REF!</v>
      </c>
      <c r="U42" s="1"/>
      <c r="V42" s="1"/>
    </row>
    <row r="43" spans="1:22" x14ac:dyDescent="0.25">
      <c r="A43">
        <v>5</v>
      </c>
      <c r="B43" s="4">
        <f t="shared" si="12"/>
        <v>11</v>
      </c>
      <c r="C43" s="4">
        <f t="shared" si="12"/>
        <v>0</v>
      </c>
      <c r="D43" s="4">
        <f t="shared" si="12"/>
        <v>0</v>
      </c>
      <c r="E43" s="4">
        <f t="shared" si="12"/>
        <v>0</v>
      </c>
      <c r="F43" s="4">
        <f t="shared" si="12"/>
        <v>3415.7799999999988</v>
      </c>
      <c r="G43" s="4">
        <f t="shared" si="12"/>
        <v>445.78000000000065</v>
      </c>
      <c r="H43">
        <f t="shared" si="14"/>
        <v>-28</v>
      </c>
      <c r="I43">
        <f t="shared" si="14"/>
        <v>44</v>
      </c>
      <c r="J43">
        <f t="shared" si="14"/>
        <v>-1410.6399999999999</v>
      </c>
      <c r="K43">
        <f t="shared" si="14"/>
        <v>1313.6099999999997</v>
      </c>
      <c r="L43" s="1">
        <f t="shared" ref="L43:M43" si="19">L32-L21</f>
        <v>-7.9814315663372271E-2</v>
      </c>
      <c r="M43" s="1">
        <f t="shared" si="19"/>
        <v>0.23143156633722672</v>
      </c>
      <c r="O43" s="2">
        <v>1250</v>
      </c>
      <c r="P43" s="2">
        <v>10700</v>
      </c>
      <c r="Q43" s="2">
        <v>500</v>
      </c>
      <c r="S43" s="2" t="e">
        <f>Q21/#REF!</f>
        <v>#REF!</v>
      </c>
      <c r="T43" t="e">
        <f t="shared" si="16"/>
        <v>#REF!</v>
      </c>
      <c r="U43" s="1"/>
      <c r="V43" s="1"/>
    </row>
    <row r="44" spans="1:22" x14ac:dyDescent="0.25">
      <c r="F44" s="10">
        <f>SUM(F39:F43)</f>
        <v>-20275.940000000002</v>
      </c>
      <c r="G44" s="10">
        <f t="shared" ref="G44:K44" si="20">SUM(G39:G43)</f>
        <v>-9085.94</v>
      </c>
      <c r="H44" s="10">
        <f t="shared" si="20"/>
        <v>209</v>
      </c>
      <c r="I44" s="10">
        <f t="shared" si="20"/>
        <v>-73</v>
      </c>
      <c r="J44" s="10">
        <f t="shared" si="20"/>
        <v>10452.460000000001</v>
      </c>
      <c r="K44" s="10">
        <f t="shared" si="20"/>
        <v>-2188.5200000000004</v>
      </c>
      <c r="L44" s="9">
        <f>AVERAGE(L39:L43)</f>
        <v>8.6931030210616031E-2</v>
      </c>
      <c r="M44" s="9">
        <f>AVERAGE(M39:M43)</f>
        <v>-5.8579686644225012E-2</v>
      </c>
    </row>
    <row r="45" spans="1:22" x14ac:dyDescent="0.25">
      <c r="L45" s="9">
        <f>_xlfn.STDEV.P(L39:L43)</f>
        <v>0.10964723006124975</v>
      </c>
      <c r="M45" s="9">
        <f>_xlfn.STDEV.P(M39:M43)</f>
        <v>0.1542740885470803</v>
      </c>
    </row>
    <row r="46" spans="1:22" x14ac:dyDescent="0.25">
      <c r="L46" s="9">
        <f>MAX(L39:L43)</f>
        <v>0.2391304347826087</v>
      </c>
      <c r="M46" s="9">
        <f>MAX(M39:M43)</f>
        <v>0.23143156633722672</v>
      </c>
    </row>
    <row r="48" spans="1:22" x14ac:dyDescent="0.25">
      <c r="A48" s="17" t="s">
        <v>96</v>
      </c>
      <c r="B48" s="24">
        <f>SUM(F28:F29,F31:F32,F19)</f>
        <v>94126.37</v>
      </c>
    </row>
    <row r="49" spans="1:13" ht="15.75" thickBot="1" x14ac:dyDescent="0.3">
      <c r="A49" s="17" t="s">
        <v>95</v>
      </c>
      <c r="B49" s="25">
        <f>-SUMPRODUCT(A39:A40,B39:B40*Q17:Q18)+B42*Q20</f>
        <v>18000</v>
      </c>
      <c r="L49" s="9">
        <f>AVERAGE(L28:L29,L31:L32,L19)</f>
        <v>0.15117322291235333</v>
      </c>
      <c r="M49" s="9">
        <f>AVERAGE(M28:M29,M31:M32,M19)</f>
        <v>0.20483091787439617</v>
      </c>
    </row>
    <row r="50" spans="1:13" ht="15.75" thickTop="1" x14ac:dyDescent="0.25">
      <c r="A50" s="17" t="s">
        <v>97</v>
      </c>
      <c r="B50" s="24">
        <f>SUM(O19:P19)</f>
        <v>11800</v>
      </c>
      <c r="L50" s="9">
        <f>_xlfn.STDEV.P(L28:L29,L31:L32,L19)</f>
        <v>7.7017087532192718E-2</v>
      </c>
      <c r="M50" s="9">
        <f>_xlfn.STDEV.P(M28:M29,M31:M32,M19)</f>
        <v>0.1335887533333833</v>
      </c>
    </row>
    <row r="51" spans="1:13" x14ac:dyDescent="0.25">
      <c r="A51" s="17"/>
      <c r="B51" s="17"/>
      <c r="L51" s="9">
        <f>MAX(L28:L29,L31:L32,L19)</f>
        <v>0.26811594202898553</v>
      </c>
      <c r="M51" s="9">
        <f>MAX(M28:M29,M31:M32,M19)</f>
        <v>0.44841269841269843</v>
      </c>
    </row>
    <row r="52" spans="1:13" x14ac:dyDescent="0.25">
      <c r="A52" s="17" t="s">
        <v>98</v>
      </c>
      <c r="B52" s="24">
        <f>SUM(B48:B51)</f>
        <v>123926.37</v>
      </c>
    </row>
    <row r="53" spans="1:13" x14ac:dyDescent="0.25">
      <c r="A53" s="17" t="s">
        <v>116</v>
      </c>
      <c r="B53" s="17">
        <f>Q10</f>
        <v>42</v>
      </c>
    </row>
    <row r="54" spans="1:13" x14ac:dyDescent="0.25">
      <c r="A54" s="17" t="s">
        <v>118</v>
      </c>
      <c r="B54" s="17">
        <f>T10</f>
        <v>3</v>
      </c>
    </row>
  </sheetData>
  <printOptions gridLines="1"/>
  <pageMargins left="0.7" right="0.7" top="0.75" bottom="0.75" header="0.3" footer="0.3"/>
  <pageSetup scale="52" orientation="landscape" horizontalDpi="4294967293" verticalDpi="4294967293"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topLeftCell="A16" zoomScale="160" zoomScaleNormal="160" workbookViewId="0">
      <selection activeCell="F16" sqref="F16"/>
    </sheetView>
  </sheetViews>
  <sheetFormatPr defaultRowHeight="15" x14ac:dyDescent="0.25"/>
  <cols>
    <col min="1" max="1" width="15.85546875" customWidth="1"/>
    <col min="2" max="2" width="7.5703125" customWidth="1"/>
    <col min="3" max="3" width="10" customWidth="1"/>
    <col min="4" max="4" width="7.5703125" customWidth="1"/>
    <col min="5" max="5" width="10" customWidth="1"/>
    <col min="6" max="6" width="7.5703125" customWidth="1"/>
    <col min="7" max="7" width="10.5703125" customWidth="1"/>
  </cols>
  <sheetData>
    <row r="1" spans="1:7" x14ac:dyDescent="0.25">
      <c r="A1" s="28" t="s">
        <v>100</v>
      </c>
      <c r="B1" s="30" t="s">
        <v>106</v>
      </c>
      <c r="C1" s="30"/>
      <c r="D1" s="30" t="s">
        <v>107</v>
      </c>
      <c r="E1" s="30"/>
      <c r="F1" s="30" t="s">
        <v>108</v>
      </c>
      <c r="G1" s="30"/>
    </row>
    <row r="2" spans="1:7" x14ac:dyDescent="0.25">
      <c r="A2" t="s">
        <v>101</v>
      </c>
      <c r="B2" s="26" t="s">
        <v>109</v>
      </c>
      <c r="C2" s="26"/>
      <c r="D2" s="26" t="s">
        <v>110</v>
      </c>
      <c r="E2" s="26"/>
      <c r="F2" s="26" t="s">
        <v>111</v>
      </c>
      <c r="G2" s="26"/>
    </row>
    <row r="3" spans="1:7" x14ac:dyDescent="0.25">
      <c r="A3" s="28" t="s">
        <v>116</v>
      </c>
      <c r="B3" s="31">
        <f ca="1">INDIRECT(CONCATENATE("'",B2,"'!","b53"))</f>
        <v>48</v>
      </c>
      <c r="C3" s="31"/>
      <c r="D3" s="31" t="str">
        <f ca="1">INDIRECT(CONCATENATE("'",D2,"'!","b53"))</f>
        <v>65,49,41,33,53</v>
      </c>
      <c r="E3" s="31"/>
      <c r="F3" s="31">
        <f ca="1">INDIRECT(CONCATENATE("'",F2,"'!","b53"))</f>
        <v>42</v>
      </c>
      <c r="G3" s="31"/>
    </row>
    <row r="4" spans="1:7" x14ac:dyDescent="0.25">
      <c r="A4" s="28" t="s">
        <v>119</v>
      </c>
      <c r="B4" s="31">
        <f ca="1">INDIRECT(CONCATENATE("'",B2,"'!","b54"))</f>
        <v>1</v>
      </c>
      <c r="C4" s="31"/>
      <c r="D4" s="31" t="str">
        <f ca="1">INDIRECT(CONCATENATE("'",D2,"'!","b54"))</f>
        <v>1,2,3,4,5</v>
      </c>
      <c r="E4" s="31"/>
      <c r="F4" s="31">
        <f ca="1">INDIRECT(CONCATENATE("'",F2,"'!","b54"))</f>
        <v>3</v>
      </c>
      <c r="G4" s="31"/>
    </row>
    <row r="5" spans="1:7" x14ac:dyDescent="0.25">
      <c r="A5" t="s">
        <v>102</v>
      </c>
      <c r="B5" s="27">
        <f ca="1">INDIRECT(CONCATENATE("'",B2,"'!","b48"))</f>
        <v>87630.28</v>
      </c>
      <c r="C5" s="27"/>
      <c r="D5" s="27">
        <f ca="1">INDIRECT(CONCATENATE("'",D2,"'!","b48"))</f>
        <v>86175.64</v>
      </c>
      <c r="E5" s="27"/>
      <c r="F5" s="27">
        <f t="shared" ref="F5" ca="1" si="0">INDIRECT(CONCATENATE("'",F2,"'!","b48"))</f>
        <v>94126.37</v>
      </c>
      <c r="G5" s="27"/>
    </row>
    <row r="6" spans="1:7" x14ac:dyDescent="0.25">
      <c r="A6" t="s">
        <v>103</v>
      </c>
      <c r="B6" s="27">
        <f ca="1">INDIRECT(CONCATENATE("'",B$2,"'!","b49"))</f>
        <v>29500</v>
      </c>
      <c r="C6" s="27"/>
      <c r="D6" s="27">
        <f ca="1">INDIRECT(CONCATENATE("'",D$2,"'!","b49"))</f>
        <v>0</v>
      </c>
      <c r="E6" s="27"/>
      <c r="F6" s="27">
        <f ca="1">INDIRECT(CONCATENATE("'",F$2,"'!","b49"))</f>
        <v>18000</v>
      </c>
      <c r="G6" s="27"/>
    </row>
    <row r="7" spans="1:7" x14ac:dyDescent="0.25">
      <c r="A7" t="s">
        <v>104</v>
      </c>
      <c r="B7" s="27">
        <f ca="1">INDIRECT(CONCATENATE("'",B$2,"'!","b50"))</f>
        <v>11700</v>
      </c>
      <c r="C7" s="27"/>
      <c r="D7" s="27">
        <f ca="1">INDIRECT(CONCATENATE("'",D$2,"'!","b50"))</f>
        <v>59150</v>
      </c>
      <c r="E7" s="27"/>
      <c r="F7" s="27">
        <f ca="1">INDIRECT(CONCATENATE("'",F$2,"'!","b50"))</f>
        <v>11800</v>
      </c>
      <c r="G7" s="27"/>
    </row>
    <row r="8" spans="1:7" s="28" customFormat="1" x14ac:dyDescent="0.25">
      <c r="A8" s="28" t="s">
        <v>105</v>
      </c>
      <c r="B8" s="29">
        <f ca="1">SUM(B5:B7)</f>
        <v>128830.28</v>
      </c>
      <c r="C8" s="29"/>
      <c r="D8" s="29">
        <f ca="1">SUM(D5:D7)</f>
        <v>145325.64000000001</v>
      </c>
      <c r="E8" s="29"/>
      <c r="F8" s="29">
        <f ca="1">SUM(F5:F7)</f>
        <v>123926.37</v>
      </c>
      <c r="G8" s="29"/>
    </row>
    <row r="10" spans="1:7" x14ac:dyDescent="0.25">
      <c r="A10" s="28" t="s">
        <v>112</v>
      </c>
      <c r="B10" s="28" t="s">
        <v>114</v>
      </c>
      <c r="C10" s="28" t="s">
        <v>115</v>
      </c>
      <c r="D10" s="28" t="s">
        <v>114</v>
      </c>
      <c r="E10" s="28" t="s">
        <v>115</v>
      </c>
      <c r="F10" s="28" t="s">
        <v>114</v>
      </c>
      <c r="G10" s="28" t="s">
        <v>115</v>
      </c>
    </row>
    <row r="11" spans="1:7" x14ac:dyDescent="0.25">
      <c r="A11" t="s">
        <v>33</v>
      </c>
      <c r="B11" s="1">
        <f ca="1">INDIRECT(CONCATENATE("'",B$2,"'!","l32"))</f>
        <v>0.1423611111111111</v>
      </c>
      <c r="C11" s="1">
        <f ca="1">INDIRECT(CONCATENATE("'",B$2,"'!","m32"))</f>
        <v>0.27083333333333331</v>
      </c>
      <c r="D11" s="1">
        <f ca="1">INDIRECT(CONCATENATE("'",D$2,"'!","l22"))</f>
        <v>0.12930070331424612</v>
      </c>
      <c r="E11" s="1">
        <f ca="1">INDIRECT(CONCATENATE("'",D$2,"'!","m22"))</f>
        <v>0.25376568383734249</v>
      </c>
      <c r="F11" s="1">
        <f ca="1">INDIRECT(CONCATENATE("'",F$2,"'!","l49"))</f>
        <v>0.15117322291235333</v>
      </c>
      <c r="G11" s="1">
        <f ca="1">INDIRECT(CONCATENATE("'",F$2,"'!","m49"))</f>
        <v>0.20483091787439617</v>
      </c>
    </row>
    <row r="12" spans="1:7" x14ac:dyDescent="0.25">
      <c r="A12" t="s">
        <v>113</v>
      </c>
      <c r="B12" s="1">
        <f ca="1">INDIRECT(CONCATENATE("'",B$2,"'!","l33"))</f>
        <v>0.10201481071363254</v>
      </c>
      <c r="C12" s="1">
        <f ca="1">INDIRECT(CONCATENATE("'",B$2,"'!","M33"))</f>
        <v>0.14203044252884059</v>
      </c>
      <c r="D12" s="1">
        <f ca="1">INDIRECT(CONCATENATE("'",D$2,"'!","l23"))</f>
        <v>2.1528049772876163E-2</v>
      </c>
      <c r="E12" s="1">
        <f ca="1">INDIRECT(CONCATENATE("'",D$2,"'!","M23"))</f>
        <v>4.2362863060278033E-2</v>
      </c>
      <c r="F12" s="1">
        <f ca="1">INDIRECT(CONCATENATE("'",F$2,"'!","l50"))</f>
        <v>7.7017087532192718E-2</v>
      </c>
      <c r="G12" s="1">
        <f ca="1">INDIRECT(CONCATENATE("'",F$2,"'!","M50"))</f>
        <v>0.1335887533333833</v>
      </c>
    </row>
    <row r="13" spans="1:7" x14ac:dyDescent="0.25">
      <c r="A13" t="s">
        <v>63</v>
      </c>
      <c r="B13" s="1">
        <f ca="1">INDIRECT(CONCATENATE("'",B$2,"'!","l34"))</f>
        <v>0.31944444444444448</v>
      </c>
      <c r="C13" s="1">
        <f ca="1">INDIRECT(CONCATENATE("'",B$2,"'!","M34"))</f>
        <v>0.52083333333333337</v>
      </c>
      <c r="D13" s="1">
        <f ca="1">INDIRECT(CONCATENATE("'",D$2,"'!","l24"))</f>
        <v>0.17171717171717171</v>
      </c>
      <c r="E13" s="1">
        <f ca="1">INDIRECT(CONCATENATE("'",D$2,"'!","M24"))</f>
        <v>0.33333333333333331</v>
      </c>
      <c r="F13" s="1">
        <f ca="1">INDIRECT(CONCATENATE("'",F$2,"'!","l51"))</f>
        <v>0.26811594202898553</v>
      </c>
      <c r="G13" s="1">
        <f ca="1">INDIRECT(CONCATENATE("'",F$2,"'!","M51"))</f>
        <v>0.44841269841269843</v>
      </c>
    </row>
    <row r="14" spans="1:7" x14ac:dyDescent="0.25">
      <c r="B14" s="1"/>
      <c r="D14" s="1"/>
      <c r="F14" s="1"/>
    </row>
    <row r="15" spans="1:7" x14ac:dyDescent="0.25">
      <c r="B15" s="1"/>
      <c r="D15" s="1"/>
      <c r="F15" s="1"/>
    </row>
    <row r="16" spans="1:7" x14ac:dyDescent="0.25">
      <c r="A16" t="str">
        <f>B1&amp;": "&amp;B10</f>
        <v>LEVEL: Idle</v>
      </c>
      <c r="B16" t="str">
        <f>B1&amp;": "&amp;C10</f>
        <v>LEVEL: Outsource</v>
      </c>
      <c r="C16" t="str">
        <f>D1&amp;": "&amp;D10</f>
        <v>CHASE: Idle</v>
      </c>
      <c r="D16" t="str">
        <f>D1&amp;": "&amp;E10</f>
        <v>CHASE: Outsource</v>
      </c>
      <c r="E16" t="str">
        <f>F1&amp;": "&amp;F10</f>
        <v>ACPP (SM3): Idle</v>
      </c>
      <c r="F16" t="str">
        <f>F1&amp;": "&amp;G10</f>
        <v>ACPP (SM3): Outsource</v>
      </c>
    </row>
  </sheetData>
  <mergeCells count="24">
    <mergeCell ref="B8:C8"/>
    <mergeCell ref="B3:C3"/>
    <mergeCell ref="B4:C4"/>
    <mergeCell ref="B1:C1"/>
    <mergeCell ref="B2:C2"/>
    <mergeCell ref="B5:C5"/>
    <mergeCell ref="B6:C6"/>
    <mergeCell ref="B7:C7"/>
    <mergeCell ref="F8:G8"/>
    <mergeCell ref="D1:E1"/>
    <mergeCell ref="D2:E2"/>
    <mergeCell ref="D5:E5"/>
    <mergeCell ref="D6:E6"/>
    <mergeCell ref="D7:E7"/>
    <mergeCell ref="D8:E8"/>
    <mergeCell ref="D3:E3"/>
    <mergeCell ref="D4:E4"/>
    <mergeCell ref="F3:G3"/>
    <mergeCell ref="F4:G4"/>
    <mergeCell ref="F1:G1"/>
    <mergeCell ref="F2:G2"/>
    <mergeCell ref="F5:G5"/>
    <mergeCell ref="F6:G6"/>
    <mergeCell ref="F7:G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SilverMeal model</vt:lpstr>
      <vt:lpstr>Variable D</vt:lpstr>
      <vt:lpstr>EOQ model</vt:lpstr>
      <vt:lpstr>AGG Plan LP Strategy</vt:lpstr>
      <vt:lpstr>Level Strategy (EOQ)</vt:lpstr>
      <vt:lpstr>Chase Strategy</vt:lpstr>
      <vt:lpstr>SilverMeal 3 Strategy</vt:lpstr>
      <vt:lpstr>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Hartman</dc:creator>
  <cp:lastModifiedBy>Bruce Hartman</cp:lastModifiedBy>
  <cp:lastPrinted>2016-06-20T01:01:16Z</cp:lastPrinted>
  <dcterms:created xsi:type="dcterms:W3CDTF">2016-06-17T22:10:46Z</dcterms:created>
  <dcterms:modified xsi:type="dcterms:W3CDTF">2016-07-09T03:50:48Z</dcterms:modified>
</cp:coreProperties>
</file>