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AAA Entwicklung HEV 2018/Berechnung/2 Bundesländer/2.1. 1-2 FH/2.1.1. Einzelne Bundesländer/2.1.1.3. Berlin/2.1.1.3.1. Entwicklung HEV/2019 03 08/"/>
    </mc:Choice>
  </mc:AlternateContent>
  <xr:revisionPtr revIDLastSave="0" documentId="13_ncr:1_{611207C3-5008-2743-94C3-CC7652A7BF76}" xr6:coauthVersionLast="38" xr6:coauthVersionMax="38" xr10:uidLastSave="{00000000-0000-0000-0000-000000000000}"/>
  <bookViews>
    <workbookView xWindow="0" yWindow="0" windowWidth="38400" windowHeight="21600" activeTab="11" xr2:uid="{5AD167B3-EFEC-044B-AA3D-DDDB1C993424}"/>
  </bookViews>
  <sheets>
    <sheet name="Diagrammtitel" sheetId="32" r:id="rId1"/>
    <sheet name="Dia 1" sheetId="6" r:id="rId2"/>
    <sheet name="Dia 2" sheetId="4" r:id="rId3"/>
    <sheet name="Dia 3" sheetId="7" r:id="rId4"/>
    <sheet name="Dia 4" sheetId="19" r:id="rId5"/>
    <sheet name="Dia 5" sheetId="20" r:id="rId6"/>
    <sheet name="Dia 6" sheetId="21" r:id="rId7"/>
    <sheet name="Dia 7" sheetId="22" r:id="rId8"/>
    <sheet name="Dia 8" sheetId="25" r:id="rId9"/>
    <sheet name="Dia 9" sheetId="23" r:id="rId10"/>
    <sheet name="Dia 10" sheetId="24" r:id="rId11"/>
    <sheet name="Reg Entwicklung HEV" sheetId="2" r:id="rId12"/>
    <sheet name="Rohdaten" sheetId="31" r:id="rId13"/>
  </sheets>
  <externalReferences>
    <externalReference r:id="rId14"/>
  </externalReferences>
  <definedNames>
    <definedName name="Anzahl">Diagrammtitel!$D$2</definedName>
    <definedName name="Gebäudetyp">Diagrammtitel!$D$1</definedName>
    <definedName name="Ort">Diagrammtitel!$D$3</definedName>
    <definedName name="Zeitraum">Diagrammtitel!$D$4</definedName>
    <definedName name="Zwei">'[1]Variablen für REG'!$A$6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11" i="2" l="1"/>
  <c r="AE111" i="2" s="1"/>
  <c r="AC111" i="2"/>
  <c r="AD110" i="2"/>
  <c r="AE110" i="2" s="1"/>
  <c r="AC110" i="2"/>
  <c r="AD109" i="2"/>
  <c r="AE109" i="2" s="1"/>
  <c r="AC109" i="2"/>
  <c r="AD108" i="2"/>
  <c r="AE108" i="2" s="1"/>
  <c r="AC108" i="2"/>
  <c r="AD107" i="2"/>
  <c r="AE107" i="2" s="1"/>
  <c r="AC107" i="2"/>
  <c r="X103" i="2"/>
  <c r="X104" i="2"/>
  <c r="X105" i="2"/>
  <c r="X106" i="2"/>
  <c r="X107" i="2"/>
  <c r="X108" i="2"/>
  <c r="X109" i="2"/>
  <c r="X110" i="2"/>
  <c r="X111" i="2"/>
  <c r="A10" i="32"/>
  <c r="A9" i="32"/>
  <c r="A8" i="32"/>
  <c r="A7" i="32"/>
  <c r="A6" i="32"/>
  <c r="A5" i="32"/>
  <c r="A4" i="32"/>
  <c r="A3" i="32"/>
  <c r="A2" i="32"/>
  <c r="A1" i="32"/>
  <c r="X102" i="2" l="1"/>
  <c r="X101" i="2"/>
  <c r="X100" i="2"/>
  <c r="X99" i="2"/>
  <c r="H99" i="2"/>
  <c r="G99" i="2"/>
  <c r="F99" i="2"/>
  <c r="E99" i="2"/>
  <c r="D99" i="2"/>
  <c r="X98" i="2"/>
  <c r="H98" i="2"/>
  <c r="G98" i="2"/>
  <c r="F98" i="2"/>
  <c r="E98" i="2"/>
  <c r="D98" i="2"/>
  <c r="X97" i="2"/>
  <c r="H97" i="2"/>
  <c r="G97" i="2"/>
  <c r="F97" i="2"/>
  <c r="E97" i="2"/>
  <c r="D97" i="2"/>
  <c r="X96" i="2"/>
  <c r="H96" i="2"/>
  <c r="G96" i="2"/>
  <c r="F96" i="2"/>
  <c r="E96" i="2"/>
  <c r="D96" i="2"/>
  <c r="X95" i="2"/>
  <c r="H95" i="2"/>
  <c r="G95" i="2"/>
  <c r="F95" i="2"/>
  <c r="E95" i="2"/>
  <c r="D95" i="2"/>
  <c r="H94" i="2"/>
  <c r="G94" i="2"/>
  <c r="F94" i="2"/>
  <c r="E94" i="2"/>
  <c r="D94" i="2"/>
  <c r="H93" i="2"/>
  <c r="G93" i="2"/>
  <c r="F93" i="2"/>
  <c r="E93" i="2"/>
  <c r="D93" i="2"/>
  <c r="H92" i="2"/>
  <c r="G92" i="2"/>
  <c r="F92" i="2"/>
  <c r="E92" i="2"/>
  <c r="D92" i="2"/>
  <c r="H91" i="2"/>
  <c r="G91" i="2"/>
  <c r="F91" i="2"/>
  <c r="E91" i="2"/>
  <c r="D91" i="2"/>
  <c r="H90" i="2"/>
  <c r="G90" i="2"/>
  <c r="F90" i="2"/>
  <c r="E90" i="2"/>
  <c r="D90" i="2"/>
  <c r="H89" i="2"/>
  <c r="G89" i="2"/>
  <c r="F89" i="2"/>
  <c r="E89" i="2"/>
  <c r="D89" i="2"/>
  <c r="H88" i="2"/>
  <c r="G88" i="2"/>
  <c r="F88" i="2"/>
  <c r="E88" i="2"/>
  <c r="D88" i="2"/>
  <c r="H87" i="2"/>
  <c r="G87" i="2"/>
  <c r="F87" i="2"/>
  <c r="E87" i="2"/>
  <c r="D87" i="2"/>
  <c r="H86" i="2"/>
  <c r="G86" i="2"/>
  <c r="F86" i="2"/>
  <c r="E86" i="2"/>
  <c r="D86" i="2"/>
  <c r="H85" i="2"/>
  <c r="G85" i="2"/>
  <c r="F85" i="2"/>
  <c r="E85" i="2"/>
  <c r="D85" i="2"/>
  <c r="H84" i="2"/>
  <c r="G84" i="2"/>
  <c r="F84" i="2"/>
  <c r="E84" i="2"/>
  <c r="D84" i="2"/>
  <c r="H83" i="2"/>
  <c r="G83" i="2"/>
  <c r="F83" i="2"/>
  <c r="E83" i="2"/>
  <c r="D83" i="2"/>
  <c r="G79" i="2"/>
  <c r="F79" i="2"/>
  <c r="E79" i="2"/>
  <c r="D79" i="2"/>
  <c r="G78" i="2"/>
  <c r="F78" i="2"/>
  <c r="E78" i="2"/>
  <c r="D78" i="2"/>
  <c r="G77" i="2"/>
  <c r="F77" i="2"/>
  <c r="E77" i="2"/>
  <c r="D77" i="2"/>
  <c r="G76" i="2"/>
  <c r="F76" i="2"/>
  <c r="E76" i="2"/>
  <c r="D76" i="2"/>
  <c r="G75" i="2"/>
  <c r="F75" i="2"/>
  <c r="E75" i="2"/>
  <c r="D75" i="2"/>
  <c r="G74" i="2"/>
  <c r="F74" i="2"/>
  <c r="E74" i="2"/>
  <c r="D74" i="2"/>
  <c r="G73" i="2"/>
  <c r="F73" i="2"/>
  <c r="E73" i="2"/>
  <c r="D73" i="2"/>
  <c r="G72" i="2"/>
  <c r="F72" i="2"/>
  <c r="E72" i="2"/>
  <c r="D72" i="2"/>
  <c r="G71" i="2"/>
  <c r="F71" i="2"/>
  <c r="E71" i="2"/>
  <c r="D71" i="2"/>
  <c r="G70" i="2"/>
  <c r="F70" i="2"/>
  <c r="E70" i="2"/>
  <c r="D70" i="2"/>
  <c r="G69" i="2"/>
  <c r="F69" i="2"/>
  <c r="E69" i="2"/>
  <c r="D69" i="2"/>
  <c r="G68" i="2"/>
  <c r="F68" i="2"/>
  <c r="E68" i="2"/>
  <c r="D68" i="2"/>
  <c r="G67" i="2"/>
  <c r="F67" i="2"/>
  <c r="E67" i="2"/>
  <c r="D67" i="2"/>
  <c r="G66" i="2"/>
  <c r="F66" i="2"/>
  <c r="E66" i="2"/>
  <c r="D66" i="2"/>
  <c r="G65" i="2"/>
  <c r="F65" i="2"/>
  <c r="E65" i="2"/>
  <c r="D65" i="2"/>
  <c r="G64" i="2"/>
  <c r="F64" i="2"/>
  <c r="E64" i="2"/>
  <c r="D64" i="2"/>
  <c r="G63" i="2"/>
  <c r="F63" i="2"/>
  <c r="E63" i="2"/>
  <c r="D63" i="2"/>
  <c r="N62" i="2"/>
  <c r="K62" i="2"/>
  <c r="J62" i="2"/>
  <c r="I62" i="2"/>
  <c r="I59" i="2"/>
  <c r="H59" i="2"/>
  <c r="G59" i="2"/>
  <c r="F59" i="2"/>
  <c r="I58" i="2"/>
  <c r="H58" i="2"/>
  <c r="G58" i="2"/>
  <c r="F58" i="2"/>
  <c r="I57" i="2"/>
  <c r="H57" i="2"/>
  <c r="G57" i="2"/>
  <c r="F57" i="2"/>
  <c r="E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D53" i="2"/>
  <c r="I52" i="2"/>
  <c r="H52" i="2"/>
  <c r="G52" i="2"/>
  <c r="F52" i="2"/>
  <c r="I51" i="2"/>
  <c r="H51" i="2"/>
  <c r="G51" i="2"/>
  <c r="F51" i="2"/>
  <c r="E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E44" i="2"/>
  <c r="I43" i="2"/>
  <c r="H43" i="2"/>
  <c r="G43" i="2"/>
  <c r="F43" i="2"/>
  <c r="M42" i="2"/>
  <c r="L42" i="2"/>
  <c r="K42" i="2"/>
  <c r="J42" i="2"/>
  <c r="I39" i="2"/>
  <c r="H39" i="2"/>
  <c r="G39" i="2"/>
  <c r="F39" i="2"/>
  <c r="E39" i="2"/>
  <c r="E59" i="2" s="1"/>
  <c r="D39" i="2"/>
  <c r="D59" i="2" s="1"/>
  <c r="B39" i="2"/>
  <c r="I38" i="2"/>
  <c r="H38" i="2"/>
  <c r="G38" i="2"/>
  <c r="F38" i="2"/>
  <c r="E38" i="2"/>
  <c r="E58" i="2" s="1"/>
  <c r="D38" i="2"/>
  <c r="D58" i="2" s="1"/>
  <c r="B38" i="2"/>
  <c r="I37" i="2"/>
  <c r="H37" i="2"/>
  <c r="G37" i="2"/>
  <c r="F37" i="2"/>
  <c r="E37" i="2"/>
  <c r="D37" i="2"/>
  <c r="D57" i="2" s="1"/>
  <c r="B37" i="2"/>
  <c r="I36" i="2"/>
  <c r="H36" i="2"/>
  <c r="G36" i="2"/>
  <c r="F36" i="2"/>
  <c r="E36" i="2"/>
  <c r="E56" i="2" s="1"/>
  <c r="D36" i="2"/>
  <c r="D56" i="2" s="1"/>
  <c r="B36" i="2"/>
  <c r="I35" i="2"/>
  <c r="H35" i="2"/>
  <c r="G35" i="2"/>
  <c r="F35" i="2"/>
  <c r="E35" i="2"/>
  <c r="E55" i="2" s="1"/>
  <c r="D35" i="2"/>
  <c r="D55" i="2" s="1"/>
  <c r="B35" i="2"/>
  <c r="I34" i="2"/>
  <c r="H34" i="2"/>
  <c r="G34" i="2"/>
  <c r="F34" i="2"/>
  <c r="E34" i="2"/>
  <c r="E54" i="2" s="1"/>
  <c r="D34" i="2"/>
  <c r="D54" i="2" s="1"/>
  <c r="B34" i="2"/>
  <c r="I33" i="2"/>
  <c r="H33" i="2"/>
  <c r="G33" i="2"/>
  <c r="F33" i="2"/>
  <c r="E33" i="2"/>
  <c r="E53" i="2" s="1"/>
  <c r="D33" i="2"/>
  <c r="B33" i="2"/>
  <c r="I32" i="2"/>
  <c r="H32" i="2"/>
  <c r="G32" i="2"/>
  <c r="F32" i="2"/>
  <c r="E32" i="2"/>
  <c r="E52" i="2" s="1"/>
  <c r="D32" i="2"/>
  <c r="D52" i="2" s="1"/>
  <c r="B32" i="2"/>
  <c r="I31" i="2"/>
  <c r="H31" i="2"/>
  <c r="G31" i="2"/>
  <c r="F31" i="2"/>
  <c r="E31" i="2"/>
  <c r="D31" i="2"/>
  <c r="D51" i="2" s="1"/>
  <c r="B31" i="2"/>
  <c r="I30" i="2"/>
  <c r="H30" i="2"/>
  <c r="G30" i="2"/>
  <c r="F30" i="2"/>
  <c r="E30" i="2"/>
  <c r="E50" i="2" s="1"/>
  <c r="D30" i="2"/>
  <c r="D50" i="2" s="1"/>
  <c r="B30" i="2"/>
  <c r="I29" i="2"/>
  <c r="H29" i="2"/>
  <c r="G29" i="2"/>
  <c r="F29" i="2"/>
  <c r="E29" i="2"/>
  <c r="E49" i="2" s="1"/>
  <c r="D29" i="2"/>
  <c r="D49" i="2" s="1"/>
  <c r="B29" i="2"/>
  <c r="I28" i="2"/>
  <c r="H28" i="2"/>
  <c r="G28" i="2"/>
  <c r="F28" i="2"/>
  <c r="E28" i="2"/>
  <c r="E48" i="2" s="1"/>
  <c r="D28" i="2"/>
  <c r="D48" i="2" s="1"/>
  <c r="B28" i="2"/>
  <c r="I27" i="2"/>
  <c r="H27" i="2"/>
  <c r="G27" i="2"/>
  <c r="F27" i="2"/>
  <c r="E27" i="2"/>
  <c r="E47" i="2" s="1"/>
  <c r="D27" i="2"/>
  <c r="D47" i="2" s="1"/>
  <c r="B27" i="2"/>
  <c r="I26" i="2"/>
  <c r="H26" i="2"/>
  <c r="G26" i="2"/>
  <c r="F26" i="2"/>
  <c r="E26" i="2"/>
  <c r="E46" i="2" s="1"/>
  <c r="D26" i="2"/>
  <c r="D46" i="2" s="1"/>
  <c r="B26" i="2"/>
  <c r="I25" i="2"/>
  <c r="H25" i="2"/>
  <c r="G25" i="2"/>
  <c r="F25" i="2"/>
  <c r="E25" i="2"/>
  <c r="E45" i="2" s="1"/>
  <c r="D25" i="2"/>
  <c r="D45" i="2" s="1"/>
  <c r="B25" i="2"/>
  <c r="I24" i="2"/>
  <c r="H24" i="2"/>
  <c r="G24" i="2"/>
  <c r="F24" i="2"/>
  <c r="E24" i="2"/>
  <c r="D24" i="2"/>
  <c r="D44" i="2" s="1"/>
  <c r="B24" i="2"/>
  <c r="I23" i="2"/>
  <c r="H23" i="2"/>
  <c r="G23" i="2"/>
  <c r="F23" i="2"/>
  <c r="E23" i="2"/>
  <c r="E43" i="2" s="1"/>
  <c r="D23" i="2"/>
  <c r="B23" i="2"/>
  <c r="M22" i="2"/>
  <c r="L22" i="2"/>
  <c r="K22" i="2"/>
  <c r="J22" i="2"/>
  <c r="T4" i="2"/>
  <c r="J3" i="2" a="1"/>
  <c r="R2" i="2"/>
  <c r="M2" i="2"/>
  <c r="L2" i="2"/>
  <c r="K2" i="2"/>
  <c r="J2" i="2"/>
  <c r="N7" i="2" l="1"/>
  <c r="N6" i="2"/>
  <c r="N5" i="2"/>
  <c r="N4" i="2"/>
  <c r="N3" i="2"/>
  <c r="M7" i="2"/>
  <c r="M6" i="2"/>
  <c r="M5" i="2"/>
  <c r="M4" i="2"/>
  <c r="M3" i="2"/>
  <c r="L7" i="2"/>
  <c r="L6" i="2"/>
  <c r="L5" i="2"/>
  <c r="L4" i="2"/>
  <c r="L3" i="2"/>
  <c r="K7" i="2"/>
  <c r="K6" i="2"/>
  <c r="K5" i="2"/>
  <c r="K4" i="2"/>
  <c r="K3" i="2"/>
  <c r="Q4" i="2"/>
  <c r="Q6" i="2"/>
  <c r="O6" i="2"/>
  <c r="P4" i="2"/>
  <c r="O4" i="2"/>
  <c r="J3" i="2"/>
  <c r="O3" i="2"/>
  <c r="O5" i="2"/>
  <c r="O7" i="2"/>
  <c r="D43" i="2"/>
  <c r="J23" i="2" a="1"/>
  <c r="J5" i="2"/>
  <c r="P3" i="2"/>
  <c r="P5" i="2"/>
  <c r="P7" i="2"/>
  <c r="J7" i="2"/>
  <c r="Q3" i="2"/>
  <c r="Q5" i="2"/>
  <c r="Q7" i="2"/>
  <c r="P6" i="2"/>
  <c r="J4" i="2"/>
  <c r="J6" i="2"/>
  <c r="B40" i="2"/>
  <c r="T24" i="2"/>
  <c r="R13" i="2" l="1"/>
  <c r="R5" i="2"/>
  <c r="R19" i="2"/>
  <c r="R16" i="2"/>
  <c r="R8" i="2"/>
  <c r="R11" i="2"/>
  <c r="R17" i="2"/>
  <c r="R14" i="2"/>
  <c r="R6" i="2"/>
  <c r="R9" i="2"/>
  <c r="R3" i="2"/>
  <c r="R12" i="2"/>
  <c r="R7" i="2"/>
  <c r="R18" i="2"/>
  <c r="R15" i="2"/>
  <c r="R4" i="2"/>
  <c r="R10" i="2"/>
  <c r="J27" i="2"/>
  <c r="J26" i="2"/>
  <c r="J25" i="2"/>
  <c r="J24" i="2"/>
  <c r="J23" i="2"/>
  <c r="Q27" i="2"/>
  <c r="Q26" i="2"/>
  <c r="Q25" i="2"/>
  <c r="Q24" i="2"/>
  <c r="Q23" i="2"/>
  <c r="P27" i="2"/>
  <c r="P26" i="2"/>
  <c r="P25" i="2"/>
  <c r="P24" i="2"/>
  <c r="P23" i="2"/>
  <c r="O27" i="2"/>
  <c r="O26" i="2"/>
  <c r="O25" i="2"/>
  <c r="O24" i="2"/>
  <c r="O23" i="2"/>
  <c r="L27" i="2"/>
  <c r="L25" i="2"/>
  <c r="L23" i="2"/>
  <c r="N27" i="2"/>
  <c r="M27" i="2"/>
  <c r="K27" i="2"/>
  <c r="K25" i="2"/>
  <c r="K23" i="2"/>
  <c r="N25" i="2"/>
  <c r="N26" i="2"/>
  <c r="N24" i="2"/>
  <c r="M25" i="2"/>
  <c r="M26" i="2"/>
  <c r="M24" i="2"/>
  <c r="N23" i="2"/>
  <c r="L26" i="2"/>
  <c r="L24" i="2"/>
  <c r="M23" i="2"/>
  <c r="K26" i="2"/>
  <c r="K24" i="2"/>
  <c r="S15" i="2" l="1"/>
  <c r="S17" i="2"/>
  <c r="S14" i="2"/>
  <c r="S18" i="2"/>
  <c r="S11" i="2"/>
  <c r="S8" i="2"/>
  <c r="S16" i="2"/>
  <c r="R34" i="2"/>
  <c r="S34" i="2" s="1"/>
  <c r="R30" i="2"/>
  <c r="S30" i="2" s="1"/>
  <c r="R26" i="2"/>
  <c r="S26" i="2" s="1"/>
  <c r="R23" i="2"/>
  <c r="R37" i="2"/>
  <c r="S37" i="2" s="1"/>
  <c r="R33" i="2"/>
  <c r="S33" i="2" s="1"/>
  <c r="R29" i="2"/>
  <c r="S29" i="2" s="1"/>
  <c r="R25" i="2"/>
  <c r="S25" i="2" s="1"/>
  <c r="R31" i="2"/>
  <c r="S31" i="2" s="1"/>
  <c r="R28" i="2"/>
  <c r="S28" i="2" s="1"/>
  <c r="R39" i="2"/>
  <c r="S39" i="2" s="1"/>
  <c r="R27" i="2"/>
  <c r="S27" i="2" s="1"/>
  <c r="R24" i="2"/>
  <c r="S24" i="2" s="1"/>
  <c r="R38" i="2"/>
  <c r="S38" i="2" s="1"/>
  <c r="R36" i="2"/>
  <c r="S36" i="2" s="1"/>
  <c r="R35" i="2"/>
  <c r="S35" i="2" s="1"/>
  <c r="R32" i="2"/>
  <c r="S32" i="2" s="1"/>
  <c r="S7" i="2"/>
  <c r="S12" i="2"/>
  <c r="T3" i="2"/>
  <c r="S3" i="2"/>
  <c r="R20" i="2"/>
  <c r="U23" i="2"/>
  <c r="J17" i="2"/>
  <c r="S19" i="2"/>
  <c r="U39" i="2"/>
  <c r="B59" i="2" s="1"/>
  <c r="B79" i="2" s="1"/>
  <c r="B99" i="2" s="1"/>
  <c r="S4" i="2"/>
  <c r="S5" i="2"/>
  <c r="S9" i="2"/>
  <c r="S10" i="2"/>
  <c r="S6" i="2"/>
  <c r="U26" i="2"/>
  <c r="B46" i="2" s="1"/>
  <c r="B66" i="2" s="1"/>
  <c r="B86" i="2" s="1"/>
  <c r="U33" i="2"/>
  <c r="B53" i="2" s="1"/>
  <c r="B73" i="2" s="1"/>
  <c r="B93" i="2" s="1"/>
  <c r="S13" i="2"/>
  <c r="U36" i="2" l="1"/>
  <c r="B56" i="2" s="1"/>
  <c r="B76" i="2" s="1"/>
  <c r="B96" i="2" s="1"/>
  <c r="U29" i="2"/>
  <c r="B49" i="2" s="1"/>
  <c r="B69" i="2" s="1"/>
  <c r="B89" i="2" s="1"/>
  <c r="U38" i="2"/>
  <c r="B58" i="2" s="1"/>
  <c r="B78" i="2" s="1"/>
  <c r="B98" i="2" s="1"/>
  <c r="U24" i="2"/>
  <c r="B44" i="2" s="1"/>
  <c r="B64" i="2" s="1"/>
  <c r="B84" i="2" s="1"/>
  <c r="U27" i="2"/>
  <c r="B47" i="2" s="1"/>
  <c r="B67" i="2" s="1"/>
  <c r="B87" i="2" s="1"/>
  <c r="U37" i="2"/>
  <c r="B57" i="2" s="1"/>
  <c r="B77" i="2" s="1"/>
  <c r="B97" i="2" s="1"/>
  <c r="U34" i="2"/>
  <c r="B54" i="2" s="1"/>
  <c r="B74" i="2" s="1"/>
  <c r="B94" i="2" s="1"/>
  <c r="U25" i="2"/>
  <c r="B45" i="2" s="1"/>
  <c r="B65" i="2" s="1"/>
  <c r="B85" i="2" s="1"/>
  <c r="S20" i="2"/>
  <c r="U28" i="2"/>
  <c r="B48" i="2" s="1"/>
  <c r="B68" i="2" s="1"/>
  <c r="B88" i="2" s="1"/>
  <c r="B43" i="2"/>
  <c r="U32" i="2"/>
  <c r="B52" i="2" s="1"/>
  <c r="B72" i="2" s="1"/>
  <c r="B92" i="2" s="1"/>
  <c r="R40" i="2"/>
  <c r="J37" i="2"/>
  <c r="T23" i="2"/>
  <c r="S23" i="2"/>
  <c r="S40" i="2" s="1"/>
  <c r="U31" i="2"/>
  <c r="B51" i="2" s="1"/>
  <c r="B71" i="2" s="1"/>
  <c r="B91" i="2" s="1"/>
  <c r="U35" i="2"/>
  <c r="B55" i="2" s="1"/>
  <c r="B75" i="2" s="1"/>
  <c r="B95" i="2" s="1"/>
  <c r="U30" i="2"/>
  <c r="B50" i="2" s="1"/>
  <c r="B70" i="2" s="1"/>
  <c r="B90" i="2" s="1"/>
  <c r="Z3" i="2" l="1" a="1"/>
  <c r="B60" i="2"/>
  <c r="B63" i="2"/>
  <c r="T44" i="2"/>
  <c r="J43" i="2" a="1"/>
  <c r="U40" i="2"/>
  <c r="L47" i="2" l="1"/>
  <c r="L46" i="2"/>
  <c r="L45" i="2"/>
  <c r="L44" i="2"/>
  <c r="L43" i="2"/>
  <c r="K47" i="2"/>
  <c r="K46" i="2"/>
  <c r="K45" i="2"/>
  <c r="K44" i="2"/>
  <c r="K43" i="2"/>
  <c r="J47" i="2"/>
  <c r="J46" i="2"/>
  <c r="J45" i="2"/>
  <c r="J44" i="2"/>
  <c r="J43" i="2"/>
  <c r="Q47" i="2"/>
  <c r="Q46" i="2"/>
  <c r="Q45" i="2"/>
  <c r="Q44" i="2"/>
  <c r="Q43" i="2"/>
  <c r="P46" i="2"/>
  <c r="P44" i="2"/>
  <c r="N45" i="2"/>
  <c r="O46" i="2"/>
  <c r="O44" i="2"/>
  <c r="N43" i="2"/>
  <c r="M47" i="2"/>
  <c r="N46" i="2"/>
  <c r="N44" i="2"/>
  <c r="M45" i="2"/>
  <c r="M46" i="2"/>
  <c r="M44" i="2"/>
  <c r="P47" i="2"/>
  <c r="P45" i="2"/>
  <c r="P43" i="2"/>
  <c r="N47" i="2"/>
  <c r="M43" i="2"/>
  <c r="O47" i="2"/>
  <c r="O45" i="2"/>
  <c r="O43" i="2"/>
  <c r="P64" i="2"/>
  <c r="B83" i="2"/>
  <c r="B80" i="2"/>
  <c r="H63" i="2" a="1"/>
  <c r="AB5" i="2"/>
  <c r="Z3" i="2"/>
  <c r="AA5" i="2"/>
  <c r="AB7" i="2"/>
  <c r="Z5" i="2"/>
  <c r="AA7" i="2"/>
  <c r="AB4" i="2"/>
  <c r="Z7" i="2"/>
  <c r="AA4" i="2"/>
  <c r="AA3" i="2"/>
  <c r="AB6" i="2"/>
  <c r="AA6" i="2"/>
  <c r="AB3" i="2"/>
  <c r="Z6" i="2"/>
  <c r="Z4" i="2"/>
  <c r="H67" i="2" l="1"/>
  <c r="L65" i="2"/>
  <c r="J64" i="2"/>
  <c r="H63" i="2"/>
  <c r="M66" i="2"/>
  <c r="K65" i="2"/>
  <c r="I64" i="2"/>
  <c r="L66" i="2"/>
  <c r="J65" i="2"/>
  <c r="H64" i="2"/>
  <c r="M67" i="2"/>
  <c r="K66" i="2"/>
  <c r="I65" i="2"/>
  <c r="M63" i="2"/>
  <c r="J67" i="2"/>
  <c r="L64" i="2"/>
  <c r="I67" i="2"/>
  <c r="K64" i="2"/>
  <c r="L67" i="2"/>
  <c r="J66" i="2"/>
  <c r="L63" i="2"/>
  <c r="K67" i="2"/>
  <c r="I66" i="2"/>
  <c r="K63" i="2"/>
  <c r="M64" i="2"/>
  <c r="H66" i="2"/>
  <c r="J63" i="2"/>
  <c r="H65" i="2"/>
  <c r="M65" i="2"/>
  <c r="I63" i="2"/>
  <c r="R58" i="2"/>
  <c r="S58" i="2" s="1"/>
  <c r="R51" i="2"/>
  <c r="S51" i="2" s="1"/>
  <c r="R44" i="2"/>
  <c r="S44" i="2" s="1"/>
  <c r="R57" i="2"/>
  <c r="S57" i="2" s="1"/>
  <c r="R50" i="2"/>
  <c r="S50" i="2" s="1"/>
  <c r="R49" i="2"/>
  <c r="S49" i="2" s="1"/>
  <c r="R43" i="2"/>
  <c r="R56" i="2"/>
  <c r="S56" i="2" s="1"/>
  <c r="R48" i="2"/>
  <c r="S48" i="2" s="1"/>
  <c r="R53" i="2"/>
  <c r="S53" i="2" s="1"/>
  <c r="R52" i="2"/>
  <c r="S52" i="2" s="1"/>
  <c r="R54" i="2"/>
  <c r="S54" i="2" s="1"/>
  <c r="R59" i="2"/>
  <c r="S59" i="2" s="1"/>
  <c r="R55" i="2"/>
  <c r="S55" i="2" s="1"/>
  <c r="R47" i="2"/>
  <c r="S47" i="2" s="1"/>
  <c r="R45" i="2"/>
  <c r="S45" i="2" s="1"/>
  <c r="R46" i="2"/>
  <c r="S46" i="2" s="1"/>
  <c r="AD17" i="2"/>
  <c r="AE17" i="2" s="1"/>
  <c r="AD14" i="2"/>
  <c r="AE14" i="2" s="1"/>
  <c r="AD6" i="2"/>
  <c r="AE6" i="2" s="1"/>
  <c r="AD3" i="2"/>
  <c r="AE3" i="2" s="1"/>
  <c r="AD9" i="2"/>
  <c r="AE9" i="2" s="1"/>
  <c r="AD12" i="2"/>
  <c r="AE12" i="2" s="1"/>
  <c r="AD4" i="2"/>
  <c r="AE4" i="2" s="1"/>
  <c r="AD18" i="2"/>
  <c r="AE18" i="2" s="1"/>
  <c r="AD15" i="2"/>
  <c r="AE15" i="2" s="1"/>
  <c r="AD7" i="2"/>
  <c r="AE7" i="2" s="1"/>
  <c r="AD16" i="2"/>
  <c r="AE16" i="2" s="1"/>
  <c r="AD5" i="2"/>
  <c r="AE5" i="2" s="1"/>
  <c r="AD13" i="2"/>
  <c r="AE13" i="2" s="1"/>
  <c r="AD8" i="2"/>
  <c r="AE8" i="2" s="1"/>
  <c r="AD11" i="2"/>
  <c r="AE11" i="2" s="1"/>
  <c r="AD10" i="2"/>
  <c r="AE10" i="2" s="1"/>
  <c r="AC11" i="2"/>
  <c r="AC17" i="2"/>
  <c r="AC14" i="2"/>
  <c r="AC6" i="2"/>
  <c r="AC3" i="2"/>
  <c r="AC9" i="2"/>
  <c r="AC12" i="2"/>
  <c r="AC4" i="2"/>
  <c r="AC18" i="2"/>
  <c r="AC15" i="2"/>
  <c r="AC5" i="2"/>
  <c r="AC13" i="2"/>
  <c r="AC8" i="2"/>
  <c r="AC7" i="2"/>
  <c r="AC16" i="2"/>
  <c r="AC10" i="2"/>
  <c r="B100" i="2"/>
  <c r="Q84" i="2"/>
  <c r="I83" i="2" a="1"/>
  <c r="T43" i="2" l="1"/>
  <c r="S43" i="2"/>
  <c r="S60" i="2" s="1"/>
  <c r="J57" i="2"/>
  <c r="R60" i="2"/>
  <c r="N71" i="2"/>
  <c r="O71" i="2" s="1"/>
  <c r="N72" i="2"/>
  <c r="O72" i="2" s="1"/>
  <c r="N73" i="2"/>
  <c r="O73" i="2" s="1"/>
  <c r="N65" i="2"/>
  <c r="O65" i="2" s="1"/>
  <c r="N64" i="2"/>
  <c r="O64" i="2" s="1"/>
  <c r="N63" i="2"/>
  <c r="N74" i="2"/>
  <c r="O74" i="2" s="1"/>
  <c r="N66" i="2"/>
  <c r="O66" i="2" s="1"/>
  <c r="N69" i="2"/>
  <c r="O69" i="2" s="1"/>
  <c r="N70" i="2"/>
  <c r="O70" i="2" s="1"/>
  <c r="N76" i="2"/>
  <c r="O76" i="2" s="1"/>
  <c r="N79" i="2"/>
  <c r="O79" i="2" s="1"/>
  <c r="N77" i="2"/>
  <c r="O77" i="2" s="1"/>
  <c r="N67" i="2"/>
  <c r="O67" i="2" s="1"/>
  <c r="N75" i="2"/>
  <c r="O75" i="2" s="1"/>
  <c r="N68" i="2"/>
  <c r="O68" i="2" s="1"/>
  <c r="N78" i="2"/>
  <c r="O78" i="2" s="1"/>
  <c r="O86" i="2"/>
  <c r="N85" i="2"/>
  <c r="M84" i="2"/>
  <c r="L83" i="2"/>
  <c r="O87" i="2"/>
  <c r="N86" i="2"/>
  <c r="M85" i="2"/>
  <c r="L84" i="2"/>
  <c r="K83" i="2"/>
  <c r="N87" i="2"/>
  <c r="M86" i="2"/>
  <c r="L85" i="2"/>
  <c r="K84" i="2"/>
  <c r="J83" i="2"/>
  <c r="M87" i="2"/>
  <c r="L86" i="2"/>
  <c r="K85" i="2"/>
  <c r="J84" i="2"/>
  <c r="I83" i="2"/>
  <c r="I87" i="2"/>
  <c r="N84" i="2"/>
  <c r="K86" i="2"/>
  <c r="I84" i="2"/>
  <c r="I85" i="2"/>
  <c r="J86" i="2"/>
  <c r="O83" i="2"/>
  <c r="O84" i="2"/>
  <c r="I86" i="2"/>
  <c r="N83" i="2"/>
  <c r="K87" i="2"/>
  <c r="J87" i="2"/>
  <c r="O85" i="2"/>
  <c r="M83" i="2"/>
  <c r="L87" i="2"/>
  <c r="J85" i="2"/>
  <c r="P94" i="2" l="1"/>
  <c r="P90" i="2"/>
  <c r="P86" i="2"/>
  <c r="P83" i="2"/>
  <c r="P99" i="2"/>
  <c r="P98" i="2"/>
  <c r="P93" i="2"/>
  <c r="P89" i="2"/>
  <c r="P85" i="2"/>
  <c r="P96" i="2"/>
  <c r="P95" i="2"/>
  <c r="P97" i="2"/>
  <c r="P92" i="2"/>
  <c r="P84" i="2"/>
  <c r="P88" i="2"/>
  <c r="P87" i="2"/>
  <c r="P91" i="2"/>
  <c r="P63" i="2"/>
  <c r="O63" i="2"/>
  <c r="O80" i="2" s="1"/>
  <c r="N80" i="2"/>
  <c r="H77" i="2"/>
  <c r="O111" i="2" l="1"/>
  <c r="I97" i="2"/>
  <c r="O109" i="2"/>
  <c r="O108" i="2"/>
  <c r="P100" i="2"/>
  <c r="Z83" i="2" a="1"/>
  <c r="Q83" i="2"/>
  <c r="AA87" i="2" l="1"/>
  <c r="AB84" i="2"/>
  <c r="Z87" i="2"/>
  <c r="AA84" i="2"/>
  <c r="AB86" i="2"/>
  <c r="Z84" i="2"/>
  <c r="AA86" i="2"/>
  <c r="AB83" i="2"/>
  <c r="O104" i="2" s="1"/>
  <c r="Z85" i="2"/>
  <c r="O106" i="2" s="1"/>
  <c r="AB85" i="2"/>
  <c r="AA83" i="2"/>
  <c r="AA85" i="2"/>
  <c r="Z83" i="2"/>
  <c r="AB87" i="2"/>
  <c r="Z86" i="2"/>
  <c r="AC102" i="2" l="1"/>
  <c r="AC100" i="2"/>
  <c r="AC96" i="2"/>
  <c r="AC93" i="2"/>
  <c r="AC89" i="2"/>
  <c r="AC85" i="2"/>
  <c r="AC95" i="2"/>
  <c r="AC105" i="2"/>
  <c r="O102" i="2"/>
  <c r="AC98" i="2"/>
  <c r="AC103" i="2"/>
  <c r="AC92" i="2"/>
  <c r="AC88" i="2"/>
  <c r="AC84" i="2"/>
  <c r="AC106" i="2"/>
  <c r="AC97" i="2"/>
  <c r="AC94" i="2"/>
  <c r="AC90" i="2"/>
  <c r="AC99" i="2"/>
  <c r="AC87" i="2"/>
  <c r="AC83" i="2"/>
  <c r="AC101" i="2"/>
  <c r="AC104" i="2"/>
  <c r="AC91" i="2"/>
  <c r="AC86" i="2"/>
  <c r="AD100" i="2"/>
  <c r="AE100" i="2" s="1"/>
  <c r="AD96" i="2"/>
  <c r="AE96" i="2" s="1"/>
  <c r="AD93" i="2"/>
  <c r="AE93" i="2" s="1"/>
  <c r="AD89" i="2"/>
  <c r="AE89" i="2" s="1"/>
  <c r="AD85" i="2"/>
  <c r="AE85" i="2" s="1"/>
  <c r="AD105" i="2"/>
  <c r="AE105" i="2" s="1"/>
  <c r="AD98" i="2"/>
  <c r="AE98" i="2" s="1"/>
  <c r="AD103" i="2"/>
  <c r="AE103" i="2" s="1"/>
  <c r="AD92" i="2"/>
  <c r="AE92" i="2" s="1"/>
  <c r="AD88" i="2"/>
  <c r="AE88" i="2" s="1"/>
  <c r="AD84" i="2"/>
  <c r="AE84" i="2" s="1"/>
  <c r="AD97" i="2"/>
  <c r="AE97" i="2" s="1"/>
  <c r="AD95" i="2"/>
  <c r="AE95" i="2" s="1"/>
  <c r="AD106" i="2"/>
  <c r="AE106" i="2" s="1"/>
  <c r="AD101" i="2"/>
  <c r="AE101" i="2" s="1"/>
  <c r="O103" i="2"/>
  <c r="AD94" i="2"/>
  <c r="AE94" i="2" s="1"/>
  <c r="AD99" i="2"/>
  <c r="AE99" i="2" s="1"/>
  <c r="AD90" i="2"/>
  <c r="AE90" i="2" s="1"/>
  <c r="AD102" i="2"/>
  <c r="AE102" i="2" s="1"/>
  <c r="AD87" i="2"/>
  <c r="AE87" i="2" s="1"/>
  <c r="AD83" i="2"/>
  <c r="AE83" i="2" s="1"/>
  <c r="AD104" i="2"/>
  <c r="AE104" i="2" s="1"/>
  <c r="AD91" i="2"/>
  <c r="AE91" i="2" s="1"/>
  <c r="AD86" i="2"/>
  <c r="AE8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Hengstenberg</author>
  </authors>
  <commentList>
    <comment ref="D37" authorId="0" shapeId="0" xr:uid="{9029FD43-FA7D-5846-90E2-CCE389198F46}">
      <text>
        <r>
          <rPr>
            <b/>
            <sz val="9"/>
            <color rgb="FF000000"/>
            <rFont val="Calibri"/>
            <family val="2"/>
          </rPr>
          <t xml:space="preserve">Hier wird der Mittelwert der vorangehenden Jahre verwendet, solange für das Jahr 2016 noch keine Gebäudedaten vorhanden sind. </t>
        </r>
      </text>
    </comment>
    <comment ref="D57" authorId="0" shapeId="0" xr:uid="{414E57CB-C6B7-6C4E-8621-7A2804E936DA}">
      <text>
        <r>
          <rPr>
            <b/>
            <sz val="9"/>
            <color rgb="FF000000"/>
            <rFont val="Calibri"/>
            <family val="2"/>
          </rPr>
          <t xml:space="preserve">Hier wird der Mittelwert der vorangehenden Jahre verwendet, solange für das Jahr 2016 noch keine Gebäudedaten vorhanden sind. </t>
        </r>
      </text>
    </comment>
  </commentList>
</comments>
</file>

<file path=xl/sharedStrings.xml><?xml version="1.0" encoding="utf-8"?>
<sst xmlns="http://schemas.openxmlformats.org/spreadsheetml/2006/main" count="171" uniqueCount="51">
  <si>
    <t>Jahr</t>
  </si>
  <si>
    <t>Absolutglied</t>
  </si>
  <si>
    <t xml:space="preserve"> </t>
  </si>
  <si>
    <t>Parameter für Regressionsschätzung</t>
  </si>
  <si>
    <t>Regressionsparameter</t>
  </si>
  <si>
    <t>Quantil geschätzt</t>
  </si>
  <si>
    <t>Differenz</t>
  </si>
  <si>
    <t>Wohnfläche</t>
  </si>
  <si>
    <t>Mittleres Baualter im Abrech-nungsjahr</t>
  </si>
  <si>
    <t>Mittleres Baujahr</t>
  </si>
  <si>
    <t>Wohfläche</t>
  </si>
  <si>
    <t>Korrelation zwischen geschätzt und gemessen</t>
  </si>
  <si>
    <t>Effekt Wohnfläche und Baualter</t>
  </si>
  <si>
    <t>Mittleres Baualter</t>
  </si>
  <si>
    <t>Prognose</t>
  </si>
  <si>
    <t>Mittel-wert</t>
  </si>
  <si>
    <t>Mittel-wert korrigiert</t>
  </si>
  <si>
    <r>
      <t>x</t>
    </r>
    <r>
      <rPr>
        <b/>
        <vertAlign val="superscript"/>
        <sz val="12"/>
        <color theme="1"/>
        <rFont val="Calibri (Textkörper)"/>
      </rPr>
      <t>2</t>
    </r>
  </si>
  <si>
    <t>x</t>
  </si>
  <si>
    <t>Polynomischer Trend</t>
  </si>
  <si>
    <t>SV [AN]</t>
  </si>
  <si>
    <t>1. Ableitung</t>
  </si>
  <si>
    <r>
      <t>Jahr</t>
    </r>
    <r>
      <rPr>
        <vertAlign val="superscript"/>
        <sz val="12"/>
        <color theme="1"/>
        <rFont val="Calibri (Textkörper)"/>
      </rPr>
      <t>2</t>
    </r>
  </si>
  <si>
    <t>FM Wind</t>
  </si>
  <si>
    <t>SDK Sonne</t>
  </si>
  <si>
    <t>NM Bedeckung</t>
  </si>
  <si>
    <t>TMK Tagestem-peratur</t>
  </si>
  <si>
    <t>Mittelwert geschätzt</t>
  </si>
  <si>
    <t>1. Ableitung positiv</t>
  </si>
  <si>
    <t>Schätzung POLY</t>
  </si>
  <si>
    <t>Polynom</t>
  </si>
  <si>
    <t>Korrelation</t>
  </si>
  <si>
    <t>LinTrend</t>
  </si>
  <si>
    <t>FM</t>
  </si>
  <si>
    <t>SDK</t>
  </si>
  <si>
    <t>NM</t>
  </si>
  <si>
    <t>TMK</t>
  </si>
  <si>
    <r>
      <t>y = 0,0692x</t>
    </r>
    <r>
      <rPr>
        <b/>
        <vertAlign val="superscript"/>
        <sz val="16"/>
        <color rgb="FF000000"/>
        <rFont val="Calibri"/>
        <family val="2"/>
        <scheme val="minor"/>
      </rPr>
      <t>2</t>
    </r>
    <r>
      <rPr>
        <b/>
        <sz val="16"/>
        <color rgb="FF000000"/>
        <rFont val="Calibri"/>
        <family val="2"/>
        <scheme val="minor"/>
      </rPr>
      <t xml:space="preserve"> - 3,9807x + 184,49</t>
    </r>
  </si>
  <si>
    <t>Zeilenbeschriftungen</t>
  </si>
  <si>
    <t>Mittelwert von gebaeude_baujahr</t>
  </si>
  <si>
    <t>Mittelwert von gebaeude_nutzflaeche</t>
  </si>
  <si>
    <t>Mittelwert von verbrauch_gesamt_kwh_spez</t>
  </si>
  <si>
    <t>1-2 FH / MFH</t>
  </si>
  <si>
    <t>Anzahl</t>
  </si>
  <si>
    <t>Ort / Region</t>
  </si>
  <si>
    <t>Zeitraum</t>
  </si>
  <si>
    <t>2002 - 2018</t>
  </si>
  <si>
    <t>1-2 FH</t>
  </si>
  <si>
    <t>35.650</t>
  </si>
  <si>
    <t>Berlin</t>
  </si>
  <si>
    <t>Nutzfläche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</si>
</sst>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\ _€_-;\-* #,##0\ _€_-;_-* &quot;-&quot;??\ _€_-;_-@_-"/>
    <numFmt numFmtId="166" formatCode="#,##0_ ;\-#,##0\ "/>
    <numFmt numFmtId="167" formatCode="_-* #,##0.0000\ _€_-;\-* #,##0.0000\ _€_-;_-* &quot;-&quot;??\ _€_-;_-@_-"/>
    <numFmt numFmtId="168" formatCode="_-* #,##0.0\ _€_-;\-* #,##0.0\ _€_-;_-* &quot;-&quot;?\ _€_-;_-@_-"/>
    <numFmt numFmtId="169" formatCode="0.0"/>
    <numFmt numFmtId="170" formatCode="_-* #,##0.00000\ _€_-;\-* #,##0.00000\ _€_-;_-* &quot;-&quot;??\ _€_-;_-@_-"/>
    <numFmt numFmtId="171" formatCode="_-* #,##0.000\ _€_-;\-* #,##0.000\ _€_-;_-* &quot;-&quot;??\ _€_-;_-@_-"/>
  </numFmts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vertAlign val="superscript"/>
      <sz val="12"/>
      <color theme="1"/>
      <name val="Calibri (Textkörper)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Textkörper)"/>
    </font>
    <font>
      <b/>
      <sz val="9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vertAlign val="superscript"/>
      <sz val="16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3" fontId="0" fillId="3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0" fillId="0" borderId="3" xfId="1" applyNumberFormat="1" applyFont="1" applyBorder="1"/>
    <xf numFmtId="168" fontId="0" fillId="0" borderId="2" xfId="0" applyNumberFormat="1" applyBorder="1"/>
    <xf numFmtId="164" fontId="0" fillId="0" borderId="2" xfId="1" applyNumberFormat="1" applyFont="1" applyBorder="1"/>
    <xf numFmtId="170" fontId="0" fillId="2" borderId="0" xfId="1" applyNumberFormat="1" applyFont="1" applyFill="1"/>
    <xf numFmtId="0" fontId="3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5" fontId="5" fillId="0" borderId="2" xfId="1" applyNumberFormat="1" applyFont="1" applyBorder="1"/>
    <xf numFmtId="164" fontId="5" fillId="0" borderId="2" xfId="1" applyNumberFormat="1" applyFont="1" applyBorder="1"/>
    <xf numFmtId="0" fontId="0" fillId="0" borderId="2" xfId="0" applyBorder="1"/>
    <xf numFmtId="0" fontId="0" fillId="0" borderId="2" xfId="0" applyNumberForma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9" fontId="5" fillId="0" borderId="2" xfId="0" applyNumberFormat="1" applyFont="1" applyFill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6" fillId="3" borderId="0" xfId="0" applyFont="1" applyFill="1"/>
    <xf numFmtId="0" fontId="2" fillId="0" borderId="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3" fontId="0" fillId="3" borderId="2" xfId="1" applyNumberFormat="1" applyFont="1" applyFill="1" applyBorder="1" applyAlignment="1">
      <alignment horizontal="center" vertical="center" wrapText="1"/>
    </xf>
    <xf numFmtId="166" fontId="0" fillId="0" borderId="0" xfId="0" applyNumberFormat="1"/>
    <xf numFmtId="0" fontId="0" fillId="2" borderId="12" xfId="0" applyFill="1" applyBorder="1"/>
    <xf numFmtId="43" fontId="0" fillId="0" borderId="0" xfId="1" applyNumberFormat="1" applyFont="1"/>
    <xf numFmtId="43" fontId="1" fillId="0" borderId="8" xfId="0" applyNumberFormat="1" applyFont="1" applyBorder="1"/>
    <xf numFmtId="43" fontId="0" fillId="0" borderId="0" xfId="0" applyNumberFormat="1"/>
    <xf numFmtId="166" fontId="1" fillId="0" borderId="8" xfId="0" applyNumberFormat="1" applyFont="1" applyBorder="1" applyAlignment="1">
      <alignment horizontal="center"/>
    </xf>
    <xf numFmtId="43" fontId="0" fillId="0" borderId="8" xfId="0" applyNumberFormat="1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64" fontId="0" fillId="0" borderId="22" xfId="1" applyNumberFormat="1" applyFont="1" applyBorder="1"/>
    <xf numFmtId="164" fontId="0" fillId="0" borderId="23" xfId="1" applyNumberFormat="1" applyFont="1" applyBorder="1"/>
    <xf numFmtId="0" fontId="0" fillId="0" borderId="24" xfId="0" applyBorder="1" applyAlignment="1">
      <alignment horizontal="center" vertical="center"/>
    </xf>
    <xf numFmtId="168" fontId="0" fillId="0" borderId="22" xfId="0" applyNumberFormat="1" applyBorder="1"/>
    <xf numFmtId="164" fontId="8" fillId="5" borderId="2" xfId="1" applyNumberFormat="1" applyFont="1" applyFill="1" applyBorder="1" applyAlignment="1">
      <alignment horizontal="center"/>
    </xf>
    <xf numFmtId="164" fontId="9" fillId="5" borderId="2" xfId="1" applyNumberFormat="1" applyFont="1" applyFill="1" applyBorder="1" applyAlignment="1">
      <alignment horizontal="center"/>
    </xf>
    <xf numFmtId="43" fontId="8" fillId="5" borderId="2" xfId="1" applyNumberFormat="1" applyFont="1" applyFill="1" applyBorder="1" applyAlignment="1">
      <alignment horizontal="center" vertical="center" wrapText="1"/>
    </xf>
    <xf numFmtId="170" fontId="2" fillId="2" borderId="0" xfId="1" applyNumberFormat="1" applyFont="1" applyFill="1"/>
    <xf numFmtId="0" fontId="0" fillId="0" borderId="3" xfId="0" applyBorder="1"/>
    <xf numFmtId="0" fontId="0" fillId="0" borderId="8" xfId="0" applyBorder="1"/>
    <xf numFmtId="0" fontId="0" fillId="0" borderId="16" xfId="0" applyBorder="1"/>
    <xf numFmtId="0" fontId="0" fillId="0" borderId="9" xfId="0" applyBorder="1"/>
    <xf numFmtId="0" fontId="0" fillId="0" borderId="20" xfId="0" applyBorder="1"/>
    <xf numFmtId="171" fontId="0" fillId="0" borderId="2" xfId="1" applyNumberFormat="1" applyFont="1" applyBorder="1"/>
    <xf numFmtId="164" fontId="0" fillId="0" borderId="28" xfId="1" applyNumberFormat="1" applyFont="1" applyBorder="1"/>
    <xf numFmtId="171" fontId="0" fillId="0" borderId="29" xfId="1" applyNumberFormat="1" applyFont="1" applyBorder="1"/>
    <xf numFmtId="0" fontId="0" fillId="0" borderId="28" xfId="0" applyBorder="1"/>
    <xf numFmtId="166" fontId="0" fillId="0" borderId="29" xfId="0" applyNumberFormat="1" applyBorder="1"/>
    <xf numFmtId="0" fontId="0" fillId="6" borderId="0" xfId="0" applyFill="1"/>
    <xf numFmtId="0" fontId="0" fillId="0" borderId="5" xfId="0" applyBorder="1"/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166" fontId="0" fillId="0" borderId="27" xfId="0" applyNumberFormat="1" applyBorder="1"/>
    <xf numFmtId="0" fontId="0" fillId="0" borderId="26" xfId="0" applyBorder="1"/>
    <xf numFmtId="43" fontId="0" fillId="0" borderId="9" xfId="0" applyNumberFormat="1" applyFont="1" applyBorder="1"/>
    <xf numFmtId="164" fontId="0" fillId="0" borderId="35" xfId="1" applyNumberFormat="1" applyFont="1" applyBorder="1"/>
    <xf numFmtId="43" fontId="1" fillId="0" borderId="9" xfId="0" applyNumberFormat="1" applyFont="1" applyBorder="1"/>
    <xf numFmtId="0" fontId="0" fillId="2" borderId="2" xfId="0" applyFill="1" applyBorder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164" fontId="0" fillId="2" borderId="0" xfId="0" applyNumberFormat="1" applyFill="1"/>
    <xf numFmtId="168" fontId="0" fillId="2" borderId="0" xfId="0" applyNumberFormat="1" applyFill="1"/>
    <xf numFmtId="0" fontId="0" fillId="0" borderId="24" xfId="0" applyBorder="1" applyAlignment="1">
      <alignment horizontal="center" vertical="center" wrapText="1"/>
    </xf>
    <xf numFmtId="167" fontId="6" fillId="0" borderId="0" xfId="1" applyNumberFormat="1" applyFont="1" applyFill="1"/>
    <xf numFmtId="167" fontId="12" fillId="0" borderId="0" xfId="1" applyNumberFormat="1" applyFont="1" applyFill="1"/>
    <xf numFmtId="168" fontId="0" fillId="0" borderId="23" xfId="0" applyNumberFormat="1" applyBorder="1"/>
    <xf numFmtId="0" fontId="0" fillId="0" borderId="0" xfId="0" applyBorder="1" applyAlignment="1">
      <alignment horizontal="center"/>
    </xf>
    <xf numFmtId="164" fontId="0" fillId="2" borderId="2" xfId="0" applyNumberFormat="1" applyFill="1" applyBorder="1"/>
    <xf numFmtId="164" fontId="0" fillId="2" borderId="23" xfId="0" applyNumberFormat="1" applyFill="1" applyBorder="1"/>
    <xf numFmtId="0" fontId="0" fillId="0" borderId="3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64" fontId="0" fillId="0" borderId="5" xfId="1" applyNumberFormat="1" applyFont="1" applyBorder="1"/>
    <xf numFmtId="171" fontId="0" fillId="0" borderId="26" xfId="1" applyNumberFormat="1" applyFont="1" applyBorder="1"/>
    <xf numFmtId="171" fontId="0" fillId="0" borderId="27" xfId="1" applyNumberFormat="1" applyFont="1" applyBorder="1"/>
    <xf numFmtId="0" fontId="0" fillId="0" borderId="28" xfId="0" applyFill="1" applyBorder="1"/>
    <xf numFmtId="0" fontId="0" fillId="0" borderId="2" xfId="0" applyFill="1" applyBorder="1"/>
    <xf numFmtId="166" fontId="0" fillId="0" borderId="29" xfId="0" applyNumberFormat="1" applyFill="1" applyBorder="1"/>
    <xf numFmtId="164" fontId="0" fillId="0" borderId="28" xfId="1" applyNumberFormat="1" applyFont="1" applyFill="1" applyBorder="1"/>
    <xf numFmtId="171" fontId="0" fillId="0" borderId="2" xfId="1" applyNumberFormat="1" applyFont="1" applyFill="1" applyBorder="1"/>
    <xf numFmtId="171" fontId="0" fillId="0" borderId="29" xfId="1" applyNumberFormat="1" applyFont="1" applyFill="1" applyBorder="1"/>
    <xf numFmtId="0" fontId="0" fillId="6" borderId="28" xfId="0" applyFill="1" applyBorder="1"/>
    <xf numFmtId="0" fontId="0" fillId="6" borderId="2" xfId="0" applyFill="1" applyBorder="1"/>
    <xf numFmtId="166" fontId="0" fillId="6" borderId="29" xfId="0" applyNumberFormat="1" applyFill="1" applyBorder="1"/>
    <xf numFmtId="164" fontId="0" fillId="6" borderId="28" xfId="1" applyNumberFormat="1" applyFont="1" applyFill="1" applyBorder="1"/>
    <xf numFmtId="171" fontId="0" fillId="6" borderId="2" xfId="1" applyNumberFormat="1" applyFont="1" applyFill="1" applyBorder="1"/>
    <xf numFmtId="171" fontId="0" fillId="6" borderId="29" xfId="1" applyNumberFormat="1" applyFont="1" applyFill="1" applyBorder="1"/>
    <xf numFmtId="0" fontId="15" fillId="0" borderId="28" xfId="0" applyFont="1" applyFill="1" applyBorder="1"/>
    <xf numFmtId="0" fontId="15" fillId="0" borderId="2" xfId="0" applyFont="1" applyFill="1" applyBorder="1"/>
    <xf numFmtId="166" fontId="15" fillId="0" borderId="29" xfId="0" applyNumberFormat="1" applyFont="1" applyFill="1" applyBorder="1"/>
    <xf numFmtId="0" fontId="15" fillId="0" borderId="0" xfId="0" applyFont="1" applyFill="1"/>
    <xf numFmtId="164" fontId="15" fillId="0" borderId="28" xfId="1" applyNumberFormat="1" applyFont="1" applyFill="1" applyBorder="1"/>
    <xf numFmtId="171" fontId="15" fillId="0" borderId="2" xfId="1" applyNumberFormat="1" applyFont="1" applyFill="1" applyBorder="1"/>
    <xf numFmtId="171" fontId="15" fillId="0" borderId="29" xfId="1" applyNumberFormat="1" applyFont="1" applyFill="1" applyBorder="1"/>
    <xf numFmtId="164" fontId="15" fillId="0" borderId="30" xfId="1" applyNumberFormat="1" applyFont="1" applyFill="1" applyBorder="1"/>
    <xf numFmtId="171" fontId="15" fillId="0" borderId="31" xfId="1" applyNumberFormat="1" applyFont="1" applyFill="1" applyBorder="1"/>
    <xf numFmtId="171" fontId="15" fillId="0" borderId="32" xfId="1" applyNumberFormat="1" applyFont="1" applyFill="1" applyBorder="1"/>
    <xf numFmtId="43" fontId="0" fillId="0" borderId="3" xfId="1" applyFont="1" applyFill="1" applyBorder="1"/>
    <xf numFmtId="43" fontId="0" fillId="0" borderId="2" xfId="1" applyFont="1" applyFill="1" applyBorder="1"/>
    <xf numFmtId="169" fontId="0" fillId="0" borderId="0" xfId="0" applyNumberFormat="1"/>
    <xf numFmtId="169" fontId="0" fillId="0" borderId="2" xfId="0" applyNumberFormat="1" applyBorder="1" applyAlignment="1">
      <alignment horizontal="center"/>
    </xf>
    <xf numFmtId="49" fontId="0" fillId="0" borderId="0" xfId="1" applyNumberFormat="1" applyFo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3" fillId="0" borderId="0" xfId="0" applyFont="1" applyAlignment="1">
      <alignment horizontal="center" vertical="center" readingOrder="1"/>
    </xf>
    <xf numFmtId="0" fontId="0" fillId="0" borderId="0" xfId="0" applyAlignment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worksheet" Target="worksheets/sheet3.xml"/><Relationship Id="rId1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theme" Target="theme/theme1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Diagrammtitel!$A$1</c:f>
          <c:strCache>
            <c:ptCount val="1"/>
            <c:pt idx="0">
              <c:v>1. Berlin, 1-2 FH, HEV Rohdaten, 2002 - 2018, N = 35.650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 Entwicklung HEV'!$A$3:$A$19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 Entwicklung HEV'!$B$3:$B$19</c:f>
              <c:numCache>
                <c:formatCode>0.0</c:formatCode>
                <c:ptCount val="17"/>
                <c:pt idx="0">
                  <c:v>192.41320788530479</c:v>
                </c:pt>
                <c:pt idx="1">
                  <c:v>189.6155046372071</c:v>
                </c:pt>
                <c:pt idx="2">
                  <c:v>185.46767546683787</c:v>
                </c:pt>
                <c:pt idx="3">
                  <c:v>181.01530079155691</c:v>
                </c:pt>
                <c:pt idx="4">
                  <c:v>172.63622860152691</c:v>
                </c:pt>
                <c:pt idx="5">
                  <c:v>166.02484327323148</c:v>
                </c:pt>
                <c:pt idx="6">
                  <c:v>167.19968120805373</c:v>
                </c:pt>
                <c:pt idx="7">
                  <c:v>168.3337296360485</c:v>
                </c:pt>
                <c:pt idx="8">
                  <c:v>172.53772396212699</c:v>
                </c:pt>
                <c:pt idx="9">
                  <c:v>164.47956882911404</c:v>
                </c:pt>
                <c:pt idx="10">
                  <c:v>167.77774876847283</c:v>
                </c:pt>
                <c:pt idx="11">
                  <c:v>159.90420525657046</c:v>
                </c:pt>
                <c:pt idx="12">
                  <c:v>149.6847205438068</c:v>
                </c:pt>
                <c:pt idx="13">
                  <c:v>145.8435263612794</c:v>
                </c:pt>
                <c:pt idx="14">
                  <c:v>146.57920910075865</c:v>
                </c:pt>
                <c:pt idx="15">
                  <c:v>140.34942332896466</c:v>
                </c:pt>
                <c:pt idx="16">
                  <c:v>117.32846153846154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9-6E44-B25F-1045B9C11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Diagrammtitel!$A$2</c:f>
          <c:strCache>
            <c:ptCount val="1"/>
            <c:pt idx="0">
              <c:v>2. Berlin, 1-2 FH, HEV Rohdaten + bereinigte Daten, 2002 - 2018, N = 35.650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 Entwicklung HEV'!$A$3:$A$19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 Entwicklung HEV'!$B$3:$B$19</c:f>
              <c:numCache>
                <c:formatCode>0.0</c:formatCode>
                <c:ptCount val="17"/>
                <c:pt idx="0">
                  <c:v>192.41320788530479</c:v>
                </c:pt>
                <c:pt idx="1">
                  <c:v>189.6155046372071</c:v>
                </c:pt>
                <c:pt idx="2">
                  <c:v>185.46767546683787</c:v>
                </c:pt>
                <c:pt idx="3">
                  <c:v>181.01530079155691</c:v>
                </c:pt>
                <c:pt idx="4">
                  <c:v>172.63622860152691</c:v>
                </c:pt>
                <c:pt idx="5">
                  <c:v>166.02484327323148</c:v>
                </c:pt>
                <c:pt idx="6">
                  <c:v>167.19968120805373</c:v>
                </c:pt>
                <c:pt idx="7">
                  <c:v>168.3337296360485</c:v>
                </c:pt>
                <c:pt idx="8">
                  <c:v>172.53772396212699</c:v>
                </c:pt>
                <c:pt idx="9">
                  <c:v>164.47956882911404</c:v>
                </c:pt>
                <c:pt idx="10">
                  <c:v>167.77774876847283</c:v>
                </c:pt>
                <c:pt idx="11">
                  <c:v>159.90420525657046</c:v>
                </c:pt>
                <c:pt idx="12">
                  <c:v>149.6847205438068</c:v>
                </c:pt>
                <c:pt idx="13">
                  <c:v>145.8435263612794</c:v>
                </c:pt>
                <c:pt idx="14">
                  <c:v>146.57920910075865</c:v>
                </c:pt>
                <c:pt idx="15">
                  <c:v>140.34942332896466</c:v>
                </c:pt>
                <c:pt idx="16">
                  <c:v>117.32846153846154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0-5C4C-8E12-31F8A4F104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'Reg Entwicklung HEV'!$A$3:$A$19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 Entwicklung HEV'!$B$43:$B$59</c:f>
              <c:numCache>
                <c:formatCode>_-* #,##0.0\ _€_-;\-* #,##0.0\ _€_-;_-* "-"??\ _€_-;_-@_-</c:formatCode>
                <c:ptCount val="17"/>
                <c:pt idx="0">
                  <c:v>190.36685554887987</c:v>
                </c:pt>
                <c:pt idx="1">
                  <c:v>187.00524212158675</c:v>
                </c:pt>
                <c:pt idx="2">
                  <c:v>187.4220730415862</c:v>
                </c:pt>
                <c:pt idx="3">
                  <c:v>182.74170515057736</c:v>
                </c:pt>
                <c:pt idx="4">
                  <c:v>173.32243301086163</c:v>
                </c:pt>
                <c:pt idx="5">
                  <c:v>167.83435846938877</c:v>
                </c:pt>
                <c:pt idx="6">
                  <c:v>172.44170645806625</c:v>
                </c:pt>
                <c:pt idx="7">
                  <c:v>168.94983106233786</c:v>
                </c:pt>
                <c:pt idx="8">
                  <c:v>170.36303728160561</c:v>
                </c:pt>
                <c:pt idx="9">
                  <c:v>161.25750524344852</c:v>
                </c:pt>
                <c:pt idx="10">
                  <c:v>166.07316742755566</c:v>
                </c:pt>
                <c:pt idx="11">
                  <c:v>162.06427111032193</c:v>
                </c:pt>
                <c:pt idx="12">
                  <c:v>150.25036914332165</c:v>
                </c:pt>
                <c:pt idx="13">
                  <c:v>144.00491308947684</c:v>
                </c:pt>
                <c:pt idx="14">
                  <c:v>139.62430629715803</c:v>
                </c:pt>
                <c:pt idx="15">
                  <c:v>132.87803867089585</c:v>
                </c:pt>
                <c:pt idx="16">
                  <c:v>130.59094606224272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20-5C4C-8E12-31F8A4F10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Diagrammtitel!$A$3</c:f>
          <c:strCache>
            <c:ptCount val="1"/>
            <c:pt idx="0">
              <c:v>3. Berlin, 1-2 FH, HEV bereinigte Daten, 2002 - 2018, N = 35.650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'Reg Entwicklung HEV'!$A$3:$A$19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 Entwicklung HEV'!$B$43:$B$59</c:f>
              <c:numCache>
                <c:formatCode>_-* #,##0.0\ _€_-;\-* #,##0.0\ _€_-;_-* "-"??\ _€_-;_-@_-</c:formatCode>
                <c:ptCount val="17"/>
                <c:pt idx="0">
                  <c:v>190.36685554887987</c:v>
                </c:pt>
                <c:pt idx="1">
                  <c:v>187.00524212158675</c:v>
                </c:pt>
                <c:pt idx="2">
                  <c:v>187.4220730415862</c:v>
                </c:pt>
                <c:pt idx="3">
                  <c:v>182.74170515057736</c:v>
                </c:pt>
                <c:pt idx="4">
                  <c:v>173.32243301086163</c:v>
                </c:pt>
                <c:pt idx="5">
                  <c:v>167.83435846938877</c:v>
                </c:pt>
                <c:pt idx="6">
                  <c:v>172.44170645806625</c:v>
                </c:pt>
                <c:pt idx="7">
                  <c:v>168.94983106233786</c:v>
                </c:pt>
                <c:pt idx="8">
                  <c:v>170.36303728160561</c:v>
                </c:pt>
                <c:pt idx="9">
                  <c:v>161.25750524344852</c:v>
                </c:pt>
                <c:pt idx="10">
                  <c:v>166.07316742755566</c:v>
                </c:pt>
                <c:pt idx="11">
                  <c:v>162.06427111032193</c:v>
                </c:pt>
                <c:pt idx="12">
                  <c:v>150.25036914332165</c:v>
                </c:pt>
                <c:pt idx="13">
                  <c:v>144.00491308947684</c:v>
                </c:pt>
                <c:pt idx="14">
                  <c:v>139.62430629715803</c:v>
                </c:pt>
                <c:pt idx="15">
                  <c:v>132.87803867089585</c:v>
                </c:pt>
                <c:pt idx="16">
                  <c:v>130.59094606224272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35-2840-AD08-532B7B34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Diagrammtitel!$A$4</c:f>
          <c:strCache>
            <c:ptCount val="1"/>
            <c:pt idx="0">
              <c:v>4. Berlin, 1-2 FH, HEV bereinigte Daten + Schätzung, 2002 - 2018, N = 35.650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'Reg Entwicklung HEV'!$A$3:$A$19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 Entwicklung HEV'!$P$83:$P$99</c:f>
              <c:numCache>
                <c:formatCode>_-* #,##0.0\ _€_-;\-* #,##0.0\ _€_-;_-* "-"?\ _€_-;_-@_-</c:formatCode>
                <c:ptCount val="17"/>
                <c:pt idx="0">
                  <c:v>187.99948102298521</c:v>
                </c:pt>
                <c:pt idx="1">
                  <c:v>187.68361033274138</c:v>
                </c:pt>
                <c:pt idx="2">
                  <c:v>183.781873992583</c:v>
                </c:pt>
                <c:pt idx="3">
                  <c:v>180.99096721101492</c:v>
                </c:pt>
                <c:pt idx="4">
                  <c:v>181.44708531589583</c:v>
                </c:pt>
                <c:pt idx="5">
                  <c:v>171.78758373884432</c:v>
                </c:pt>
                <c:pt idx="6">
                  <c:v>172.6521084700826</c:v>
                </c:pt>
                <c:pt idx="7">
                  <c:v>171.63737994065281</c:v>
                </c:pt>
                <c:pt idx="8">
                  <c:v>168.82260320699106</c:v>
                </c:pt>
                <c:pt idx="9">
                  <c:v>161.28208040509477</c:v>
                </c:pt>
                <c:pt idx="10">
                  <c:v>159.22997581943304</c:v>
                </c:pt>
                <c:pt idx="11">
                  <c:v>158.85269317230933</c:v>
                </c:pt>
                <c:pt idx="12">
                  <c:v>150.10010594176728</c:v>
                </c:pt>
                <c:pt idx="13">
                  <c:v>142.53694715502388</c:v>
                </c:pt>
                <c:pt idx="14">
                  <c:v>143.10717407537584</c:v>
                </c:pt>
                <c:pt idx="15">
                  <c:v>134.3373230261667</c:v>
                </c:pt>
                <c:pt idx="16">
                  <c:v>130.94176636235034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B-B14A-9EFC-2351907D234D}"/>
            </c:ext>
          </c:extLst>
        </c:ser>
        <c:ser>
          <c:idx val="0"/>
          <c:order val="1"/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'Reg Entwicklung HEV'!$A$3:$A$19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 Entwicklung HEV'!$B$83:$B$99</c:f>
              <c:numCache>
                <c:formatCode>_-* #,##0.0\ _€_-;\-* #,##0.0\ _€_-;_-* "-"??\ _€_-;_-@_-</c:formatCode>
                <c:ptCount val="17"/>
                <c:pt idx="0">
                  <c:v>190.36685554887987</c:v>
                </c:pt>
                <c:pt idx="1">
                  <c:v>187.00524212158675</c:v>
                </c:pt>
                <c:pt idx="2">
                  <c:v>187.4220730415862</c:v>
                </c:pt>
                <c:pt idx="3">
                  <c:v>182.74170515057736</c:v>
                </c:pt>
                <c:pt idx="4">
                  <c:v>173.32243301086163</c:v>
                </c:pt>
                <c:pt idx="5">
                  <c:v>167.83435846938877</c:v>
                </c:pt>
                <c:pt idx="6">
                  <c:v>172.44170645806625</c:v>
                </c:pt>
                <c:pt idx="7">
                  <c:v>168.94983106233786</c:v>
                </c:pt>
                <c:pt idx="8">
                  <c:v>170.36303728160561</c:v>
                </c:pt>
                <c:pt idx="9">
                  <c:v>161.25750524344852</c:v>
                </c:pt>
                <c:pt idx="10">
                  <c:v>166.07316742755566</c:v>
                </c:pt>
                <c:pt idx="11">
                  <c:v>162.06427111032193</c:v>
                </c:pt>
                <c:pt idx="12">
                  <c:v>150.25036914332165</c:v>
                </c:pt>
                <c:pt idx="13">
                  <c:v>144.00491308947684</c:v>
                </c:pt>
                <c:pt idx="14">
                  <c:v>139.62430629715803</c:v>
                </c:pt>
                <c:pt idx="15">
                  <c:v>132.87803867089585</c:v>
                </c:pt>
                <c:pt idx="16">
                  <c:v>130.59094606224272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A-1640-AAFD-A5D358898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Diagrammtitel!$A$5</c:f>
          <c:strCache>
            <c:ptCount val="1"/>
            <c:pt idx="0">
              <c:v>5. Berlin, 1-2 FH, HEV Schätzung, 2002 - 2018, N = 35.650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'Reg Entwicklung HEV'!$A$3:$A$19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 Entwicklung HEV'!$P$83:$P$99</c:f>
              <c:numCache>
                <c:formatCode>_-* #,##0.0\ _€_-;\-* #,##0.0\ _€_-;_-* "-"?\ _€_-;_-@_-</c:formatCode>
                <c:ptCount val="17"/>
                <c:pt idx="0">
                  <c:v>187.99948102298521</c:v>
                </c:pt>
                <c:pt idx="1">
                  <c:v>187.68361033274138</c:v>
                </c:pt>
                <c:pt idx="2">
                  <c:v>183.781873992583</c:v>
                </c:pt>
                <c:pt idx="3">
                  <c:v>180.99096721101492</c:v>
                </c:pt>
                <c:pt idx="4">
                  <c:v>181.44708531589583</c:v>
                </c:pt>
                <c:pt idx="5">
                  <c:v>171.78758373884432</c:v>
                </c:pt>
                <c:pt idx="6">
                  <c:v>172.6521084700826</c:v>
                </c:pt>
                <c:pt idx="7">
                  <c:v>171.63737994065281</c:v>
                </c:pt>
                <c:pt idx="8">
                  <c:v>168.82260320699106</c:v>
                </c:pt>
                <c:pt idx="9">
                  <c:v>161.28208040509477</c:v>
                </c:pt>
                <c:pt idx="10">
                  <c:v>159.22997581943304</c:v>
                </c:pt>
                <c:pt idx="11">
                  <c:v>158.85269317230933</c:v>
                </c:pt>
                <c:pt idx="12">
                  <c:v>150.10010594176728</c:v>
                </c:pt>
                <c:pt idx="13">
                  <c:v>142.53694715502388</c:v>
                </c:pt>
                <c:pt idx="14">
                  <c:v>143.10717407537584</c:v>
                </c:pt>
                <c:pt idx="15">
                  <c:v>134.3373230261667</c:v>
                </c:pt>
                <c:pt idx="16">
                  <c:v>130.94176636235034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E-004F-AAA3-4A25FB76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Diagrammtitel!$A$6</c:f>
          <c:strCache>
            <c:ptCount val="1"/>
            <c:pt idx="0">
              <c:v>6. Berlin, 1-2 FH, HEV Schätzung + Trend (linear), 2002 - 2018, N = 35.650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1"/>
                </a:solidFill>
                <a:prstDash val="sysDash"/>
              </a:ln>
            </c:spPr>
            <c:trendlineType val="linear"/>
            <c:dispRSqr val="1"/>
            <c:dispEq val="1"/>
            <c:trendlineLbl>
              <c:layout>
                <c:manualLayout>
                  <c:x val="-3.914433071913944E-2"/>
                  <c:y val="-0.1432186437437005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/>
                  </a:pPr>
                  <a:endParaRPr lang="de-DE"/>
                </a:p>
              </c:txPr>
            </c:trendlineLbl>
          </c:trendline>
          <c:cat>
            <c:numRef>
              <c:f>'Reg Entwicklung HEV'!$A$3:$A$19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 Entwicklung HEV'!$P$83:$P$99</c:f>
              <c:numCache>
                <c:formatCode>_-* #,##0.0\ _€_-;\-* #,##0.0\ _€_-;_-* "-"?\ _€_-;_-@_-</c:formatCode>
                <c:ptCount val="17"/>
                <c:pt idx="0">
                  <c:v>187.99948102298521</c:v>
                </c:pt>
                <c:pt idx="1">
                  <c:v>187.68361033274138</c:v>
                </c:pt>
                <c:pt idx="2">
                  <c:v>183.781873992583</c:v>
                </c:pt>
                <c:pt idx="3">
                  <c:v>180.99096721101492</c:v>
                </c:pt>
                <c:pt idx="4">
                  <c:v>181.44708531589583</c:v>
                </c:pt>
                <c:pt idx="5">
                  <c:v>171.78758373884432</c:v>
                </c:pt>
                <c:pt idx="6">
                  <c:v>172.6521084700826</c:v>
                </c:pt>
                <c:pt idx="7">
                  <c:v>171.63737994065281</c:v>
                </c:pt>
                <c:pt idx="8">
                  <c:v>168.82260320699106</c:v>
                </c:pt>
                <c:pt idx="9">
                  <c:v>161.28208040509477</c:v>
                </c:pt>
                <c:pt idx="10">
                  <c:v>159.22997581943304</c:v>
                </c:pt>
                <c:pt idx="11">
                  <c:v>158.85269317230933</c:v>
                </c:pt>
                <c:pt idx="12">
                  <c:v>150.10010594176728</c:v>
                </c:pt>
                <c:pt idx="13">
                  <c:v>142.53694715502388</c:v>
                </c:pt>
                <c:pt idx="14">
                  <c:v>143.10717407537584</c:v>
                </c:pt>
                <c:pt idx="15">
                  <c:v>134.3373230261667</c:v>
                </c:pt>
                <c:pt idx="16">
                  <c:v>130.94176636235034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E-FF4E-A7D1-A75D1623B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Diagrammtitel!$A$7</c:f>
          <c:strCache>
            <c:ptCount val="1"/>
            <c:pt idx="0">
              <c:v>7. Berlin, 1-2 FH, HEV Schätzung + Trend (Polynom), 2002 - 2018, N = 35.650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1"/>
                </a:solidFill>
                <a:prstDash val="sys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1834907431910824E-2"/>
                  <c:y val="-0.163118968513040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/>
                  </a:pPr>
                  <a:endParaRPr lang="de-DE"/>
                </a:p>
              </c:txPr>
            </c:trendlineLbl>
          </c:trendline>
          <c:cat>
            <c:numRef>
              <c:f>'Reg Entwicklung HEV'!$A$3:$A$19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 Entwicklung HEV'!$P$83:$P$99</c:f>
              <c:numCache>
                <c:formatCode>_-* #,##0.0\ _€_-;\-* #,##0.0\ _€_-;_-* "-"?\ _€_-;_-@_-</c:formatCode>
                <c:ptCount val="17"/>
                <c:pt idx="0">
                  <c:v>187.99948102298521</c:v>
                </c:pt>
                <c:pt idx="1">
                  <c:v>187.68361033274138</c:v>
                </c:pt>
                <c:pt idx="2">
                  <c:v>183.781873992583</c:v>
                </c:pt>
                <c:pt idx="3">
                  <c:v>180.99096721101492</c:v>
                </c:pt>
                <c:pt idx="4">
                  <c:v>181.44708531589583</c:v>
                </c:pt>
                <c:pt idx="5">
                  <c:v>171.78758373884432</c:v>
                </c:pt>
                <c:pt idx="6">
                  <c:v>172.6521084700826</c:v>
                </c:pt>
                <c:pt idx="7">
                  <c:v>171.63737994065281</c:v>
                </c:pt>
                <c:pt idx="8">
                  <c:v>168.82260320699106</c:v>
                </c:pt>
                <c:pt idx="9">
                  <c:v>161.28208040509477</c:v>
                </c:pt>
                <c:pt idx="10">
                  <c:v>159.22997581943304</c:v>
                </c:pt>
                <c:pt idx="11">
                  <c:v>158.85269317230933</c:v>
                </c:pt>
                <c:pt idx="12">
                  <c:v>150.10010594176728</c:v>
                </c:pt>
                <c:pt idx="13">
                  <c:v>142.53694715502388</c:v>
                </c:pt>
                <c:pt idx="14">
                  <c:v>143.10717407537584</c:v>
                </c:pt>
                <c:pt idx="15">
                  <c:v>134.3373230261667</c:v>
                </c:pt>
                <c:pt idx="16">
                  <c:v>130.94176636235034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AC-1747-B9C8-E97BC5E18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Diagrammtitel!$A$8</c:f>
          <c:strCache>
            <c:ptCount val="1"/>
            <c:pt idx="0">
              <c:v>8. Berlin, 1-2 FH, HEV Schätzung + Prognose (Polynom), 2002 - 2018, N = 35.650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'Reg Entwicklung HEV'!$W$83:$W$106</c:f>
              <c:numCache>
                <c:formatCode>General</c:formatCode>
                <c:ptCount val="2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</c:numCache>
            </c:numRef>
          </c:cat>
          <c:val>
            <c:numRef>
              <c:f>'Reg Entwicklung HEV'!$P$83:$P$99</c:f>
              <c:numCache>
                <c:formatCode>_-* #,##0.0\ _€_-;\-* #,##0.0\ _€_-;_-* "-"?\ _€_-;_-@_-</c:formatCode>
                <c:ptCount val="17"/>
                <c:pt idx="0">
                  <c:v>187.99948102298521</c:v>
                </c:pt>
                <c:pt idx="1">
                  <c:v>187.68361033274138</c:v>
                </c:pt>
                <c:pt idx="2">
                  <c:v>183.781873992583</c:v>
                </c:pt>
                <c:pt idx="3">
                  <c:v>180.99096721101492</c:v>
                </c:pt>
                <c:pt idx="4">
                  <c:v>181.44708531589583</c:v>
                </c:pt>
                <c:pt idx="5">
                  <c:v>171.78758373884432</c:v>
                </c:pt>
                <c:pt idx="6">
                  <c:v>172.6521084700826</c:v>
                </c:pt>
                <c:pt idx="7">
                  <c:v>171.63737994065281</c:v>
                </c:pt>
                <c:pt idx="8">
                  <c:v>168.82260320699106</c:v>
                </c:pt>
                <c:pt idx="9">
                  <c:v>161.28208040509477</c:v>
                </c:pt>
                <c:pt idx="10">
                  <c:v>159.22997581943304</c:v>
                </c:pt>
                <c:pt idx="11">
                  <c:v>158.85269317230933</c:v>
                </c:pt>
                <c:pt idx="12">
                  <c:v>150.10010594176728</c:v>
                </c:pt>
                <c:pt idx="13">
                  <c:v>142.53694715502388</c:v>
                </c:pt>
                <c:pt idx="14">
                  <c:v>143.10717407537584</c:v>
                </c:pt>
                <c:pt idx="15">
                  <c:v>134.3373230261667</c:v>
                </c:pt>
                <c:pt idx="16">
                  <c:v>130.94176636235034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6-2F41-BD4F-FC3D245DED26}"/>
            </c:ext>
          </c:extLst>
        </c:ser>
        <c:ser>
          <c:idx val="1"/>
          <c:order val="1"/>
          <c:spPr>
            <a:ln w="28575">
              <a:solidFill>
                <a:schemeClr val="accent2"/>
              </a:solidFill>
              <a:prstDash val="sysDash"/>
            </a:ln>
          </c:spPr>
          <c:marker>
            <c:symbol val="none"/>
          </c:marker>
          <c:trendline>
            <c:spPr>
              <a:ln>
                <a:noFill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9593880202259116E-3"/>
                  <c:y val="-0.27015363289285932"/>
                </c:manualLayout>
              </c:layout>
              <c:tx>
                <c:rich>
                  <a:bodyPr/>
                  <a:lstStyle/>
                  <a:p>
                    <a:pPr>
                      <a:defRPr sz="1600" b="1">
                        <a:solidFill>
                          <a:schemeClr val="tx1"/>
                        </a:solidFill>
                      </a:defRPr>
                    </a:pPr>
                    <a:r>
                      <a:rPr lang="en-US" sz="1600" b="1" baseline="0">
                        <a:solidFill>
                          <a:schemeClr val="tx1"/>
                        </a:solidFill>
                      </a:rPr>
                      <a:t>y = 0,0745x</a:t>
                    </a:r>
                    <a:r>
                      <a:rPr lang="en-US" sz="1600" b="1" baseline="30000">
                        <a:solidFill>
                          <a:schemeClr val="tx1"/>
                        </a:solidFill>
                      </a:rPr>
                      <a:t>2</a:t>
                    </a:r>
                    <a:r>
                      <a:rPr lang="en-US" sz="1600" b="1" baseline="0">
                        <a:solidFill>
                          <a:schemeClr val="tx1"/>
                        </a:solidFill>
                      </a:rPr>
                      <a:t> - 3,5908x + 168,78</a:t>
                    </a:r>
                    <a:endParaRPr lang="en-US" sz="1600" b="1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cat>
            <c:numRef>
              <c:f>'Reg Entwicklung HEV'!$W$83:$W$106</c:f>
              <c:numCache>
                <c:formatCode>General</c:formatCode>
                <c:ptCount val="2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</c:numCache>
            </c:numRef>
          </c:cat>
          <c:val>
            <c:numRef>
              <c:f>'Reg Entwicklung HEV'!$AC$83:$AC$106</c:f>
              <c:numCache>
                <c:formatCode>_-* #,##0.0\ _€_-;\-* #,##0.0\ _€_-;_-* "-"??\ _€_-;_-@_-</c:formatCode>
                <c:ptCount val="24"/>
                <c:pt idx="0">
                  <c:v>187.98261620123733</c:v>
                </c:pt>
                <c:pt idx="1">
                  <c:v>186.17818169866703</c:v>
                </c:pt>
                <c:pt idx="2">
                  <c:v>184.13278161380316</c:v>
                </c:pt>
                <c:pt idx="3">
                  <c:v>181.84641594664575</c:v>
                </c:pt>
                <c:pt idx="4">
                  <c:v>179.31908469719474</c:v>
                </c:pt>
                <c:pt idx="5">
                  <c:v>176.55078786545016</c:v>
                </c:pt>
                <c:pt idx="6">
                  <c:v>173.54152545141201</c:v>
                </c:pt>
                <c:pt idx="7">
                  <c:v>170.2912974550803</c:v>
                </c:pt>
                <c:pt idx="8">
                  <c:v>166.80010387645501</c:v>
                </c:pt>
                <c:pt idx="9">
                  <c:v>163.06794471553616</c:v>
                </c:pt>
                <c:pt idx="10">
                  <c:v>159.09481997232373</c:v>
                </c:pt>
                <c:pt idx="11">
                  <c:v>154.88072964681771</c:v>
                </c:pt>
                <c:pt idx="12">
                  <c:v>150.42567373901815</c:v>
                </c:pt>
                <c:pt idx="13">
                  <c:v>145.72965224892499</c:v>
                </c:pt>
                <c:pt idx="14">
                  <c:v>140.79266517653829</c:v>
                </c:pt>
                <c:pt idx="15">
                  <c:v>135.614712521858</c:v>
                </c:pt>
                <c:pt idx="16">
                  <c:v>130.19579428488413</c:v>
                </c:pt>
                <c:pt idx="17">
                  <c:v>124.53591046561671</c:v>
                </c:pt>
                <c:pt idx="18">
                  <c:v>118.63506106405571</c:v>
                </c:pt>
                <c:pt idx="19">
                  <c:v>112.49324608020115</c:v>
                </c:pt>
                <c:pt idx="20">
                  <c:v>106.110465514053</c:v>
                </c:pt>
                <c:pt idx="21">
                  <c:v>99.486719365611293</c:v>
                </c:pt>
                <c:pt idx="22">
                  <c:v>92.622007634875985</c:v>
                </c:pt>
                <c:pt idx="23">
                  <c:v>85.516330321847136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6-2F41-BD4F-FC3D245DE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 b="1" i="0" u="none" strike="noStrike" baseline="0">
                <a:effectLst/>
              </a:rPr>
              <a:t>Berlin</a:t>
            </a:r>
            <a:r>
              <a:rPr lang="de-DE" sz="1600" b="1">
                <a:solidFill>
                  <a:schemeClr val="tx1"/>
                </a:solidFill>
              </a:rPr>
              <a:t>  1-2 FH, 2002</a:t>
            </a:r>
            <a:r>
              <a:rPr lang="de-DE" sz="1600" b="1" baseline="0">
                <a:solidFill>
                  <a:schemeClr val="tx1"/>
                </a:solidFill>
              </a:rPr>
              <a:t> - 2017, Entwicklung der Verbrauchs-</a:t>
            </a:r>
          </a:p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 b="1" baseline="0">
                <a:solidFill>
                  <a:schemeClr val="tx1"/>
                </a:solidFill>
              </a:rPr>
              <a:t>minderung (1. Ableitung des Polynomischen Trends) </a:t>
            </a:r>
            <a:endParaRPr lang="de-DE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</c:spPr>
          <c:invertIfNegative val="0"/>
          <c:cat>
            <c:numRef>
              <c:f>'Reg Entwicklung HEV'!$W$83:$W$99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 Entwicklung HEV'!$AE$83:$AE$99</c:f>
              <c:numCache>
                <c:formatCode>_-* #,##0.000\ _€_-;\-* #,##0.000\ _€_-;_-* "-"??\ _€_-;_-@_-</c:formatCode>
                <c:ptCount val="17"/>
                <c:pt idx="0">
                  <c:v>1.683951711423503</c:v>
                </c:pt>
                <c:pt idx="1">
                  <c:v>1.9249172937170744</c:v>
                </c:pt>
                <c:pt idx="2">
                  <c:v>2.1658828760106457</c:v>
                </c:pt>
                <c:pt idx="3">
                  <c:v>2.4068484583042169</c:v>
                </c:pt>
                <c:pt idx="4">
                  <c:v>2.6478140405977886</c:v>
                </c:pt>
                <c:pt idx="5">
                  <c:v>2.8887796228913594</c:v>
                </c:pt>
                <c:pt idx="6">
                  <c:v>3.129745205184931</c:v>
                </c:pt>
                <c:pt idx="7">
                  <c:v>3.3707107874785023</c:v>
                </c:pt>
                <c:pt idx="8">
                  <c:v>3.6116763697720735</c:v>
                </c:pt>
                <c:pt idx="9">
                  <c:v>3.8526419520656452</c:v>
                </c:pt>
                <c:pt idx="10">
                  <c:v>4.093607534359216</c:v>
                </c:pt>
                <c:pt idx="11">
                  <c:v>4.3345731166527877</c:v>
                </c:pt>
                <c:pt idx="12">
                  <c:v>4.5755386989463585</c:v>
                </c:pt>
                <c:pt idx="13">
                  <c:v>4.8165042812399301</c:v>
                </c:pt>
                <c:pt idx="14">
                  <c:v>5.0574698635335018</c:v>
                </c:pt>
                <c:pt idx="15">
                  <c:v>5.2984354458270726</c:v>
                </c:pt>
                <c:pt idx="16">
                  <c:v>5.5394010281206443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Veränderung der Verbrauchsminderung</c:v>
                </c15:tx>
              </c15:filteredSeriesTitle>
            </c:ext>
            <c:ext xmlns:c16="http://schemas.microsoft.com/office/drawing/2014/chart" uri="{C3380CC4-5D6E-409C-BE32-E72D297353CC}">
              <c16:uniqueId val="{00000001-9E75-2347-A5F7-B91C80266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42659551"/>
        <c:axId val="784523567"/>
      </c:barChart>
      <c:catAx>
        <c:axId val="8426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4523567"/>
        <c:crosses val="autoZero"/>
        <c:auto val="1"/>
        <c:lblAlgn val="ctr"/>
        <c:lblOffset val="100"/>
        <c:noMultiLvlLbl val="0"/>
      </c:catAx>
      <c:valAx>
        <c:axId val="7845235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effectLst/>
                  </a:rPr>
                  <a:t>kWh/(m</a:t>
                </a:r>
                <a:r>
                  <a:rPr lang="en-US" sz="1400" b="1" baseline="30000">
                    <a:effectLst/>
                  </a:rPr>
                  <a:t>2</a:t>
                </a:r>
                <a:r>
                  <a:rPr lang="en-US" sz="1400" b="1" baseline="-25000">
                    <a:effectLst/>
                  </a:rPr>
                  <a:t>[AN]</a:t>
                </a:r>
                <a:r>
                  <a:rPr lang="en-US" sz="1400" b="1">
                    <a:effectLst/>
                  </a:rPr>
                  <a:t>*a)/a</a:t>
                </a:r>
                <a:endParaRPr lang="de-DE" sz="1400" b="1">
                  <a:effectLst/>
                </a:endParaRPr>
              </a:p>
            </c:rich>
          </c:tx>
          <c:overlay val="0"/>
        </c:title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65955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 b="1" i="0" u="none" strike="noStrike" baseline="0">
                <a:effectLst/>
              </a:rPr>
              <a:t>Berlin</a:t>
            </a:r>
            <a:r>
              <a:rPr lang="de-DE" sz="1600" b="1">
                <a:solidFill>
                  <a:schemeClr val="tx1"/>
                </a:solidFill>
              </a:rPr>
              <a:t>  1-2 FH, 2002</a:t>
            </a:r>
            <a:r>
              <a:rPr lang="de-DE" sz="1600" b="1" baseline="0">
                <a:solidFill>
                  <a:schemeClr val="tx1"/>
                </a:solidFill>
              </a:rPr>
              <a:t> - 2017, </a:t>
            </a:r>
            <a:r>
              <a:rPr lang="de-DE" sz="1600" b="1" baseline="0">
                <a:solidFill>
                  <a:schemeClr val="accent2"/>
                </a:solidFill>
              </a:rPr>
              <a:t>Prognose</a:t>
            </a:r>
            <a:r>
              <a:rPr lang="de-DE" sz="1600" b="1" baseline="0">
                <a:solidFill>
                  <a:schemeClr val="tx1"/>
                </a:solidFill>
              </a:rPr>
              <a:t> der Verbrauchs-</a:t>
            </a:r>
          </a:p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 b="1" baseline="0">
                <a:solidFill>
                  <a:schemeClr val="tx1"/>
                </a:solidFill>
              </a:rPr>
              <a:t>minderung (1. Ableitung der Polynomischen Trends) </a:t>
            </a:r>
            <a:endParaRPr lang="de-DE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</c:spPr>
          <c:invertIfNegative val="0"/>
          <c:dPt>
            <c:idx val="13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8946-CA4A-A4EC-4ED2934E4498}"/>
              </c:ext>
            </c:extLst>
          </c:dPt>
          <c:dPt>
            <c:idx val="14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8946-CA4A-A4EC-4ED2934E4498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8946-CA4A-A4EC-4ED2934E4498}"/>
              </c:ext>
            </c:extLst>
          </c:dPt>
          <c:dPt>
            <c:idx val="16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2-FA8C-B54E-8D8C-B2CACEB60D2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FA8C-B54E-8D8C-B2CACEB60D2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4-FA8C-B54E-8D8C-B2CACEB60D2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FA8C-B54E-8D8C-B2CACEB60D2F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6-FA8C-B54E-8D8C-B2CACEB60D2F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FA8C-B54E-8D8C-B2CACEB60D2F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8-FA8C-B54E-8D8C-B2CACEB60D2F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E-06D8-1F40-99A7-11174F2C41EB}"/>
              </c:ext>
            </c:extLst>
          </c:dPt>
          <c:cat>
            <c:numRef>
              <c:f>'Reg Entwicklung HEV'!$W$83:$W$106</c:f>
              <c:numCache>
                <c:formatCode>General</c:formatCode>
                <c:ptCount val="2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</c:numCache>
            </c:numRef>
          </c:cat>
          <c:val>
            <c:numRef>
              <c:f>'Reg Entwicklung HEV'!$AE$83:$AE$106</c:f>
              <c:numCache>
                <c:formatCode>_-* #,##0.000\ _€_-;\-* #,##0.000\ _€_-;_-* "-"??\ _€_-;_-@_-</c:formatCode>
                <c:ptCount val="24"/>
                <c:pt idx="0">
                  <c:v>1.683951711423503</c:v>
                </c:pt>
                <c:pt idx="1">
                  <c:v>1.9249172937170744</c:v>
                </c:pt>
                <c:pt idx="2">
                  <c:v>2.1658828760106457</c:v>
                </c:pt>
                <c:pt idx="3">
                  <c:v>2.4068484583042169</c:v>
                </c:pt>
                <c:pt idx="4">
                  <c:v>2.6478140405977886</c:v>
                </c:pt>
                <c:pt idx="5">
                  <c:v>2.8887796228913594</c:v>
                </c:pt>
                <c:pt idx="6">
                  <c:v>3.129745205184931</c:v>
                </c:pt>
                <c:pt idx="7">
                  <c:v>3.3707107874785023</c:v>
                </c:pt>
                <c:pt idx="8">
                  <c:v>3.6116763697720735</c:v>
                </c:pt>
                <c:pt idx="9">
                  <c:v>3.8526419520656452</c:v>
                </c:pt>
                <c:pt idx="10">
                  <c:v>4.093607534359216</c:v>
                </c:pt>
                <c:pt idx="11">
                  <c:v>4.3345731166527877</c:v>
                </c:pt>
                <c:pt idx="12">
                  <c:v>4.5755386989463585</c:v>
                </c:pt>
                <c:pt idx="13">
                  <c:v>4.8165042812399301</c:v>
                </c:pt>
                <c:pt idx="14">
                  <c:v>5.0574698635335018</c:v>
                </c:pt>
                <c:pt idx="15">
                  <c:v>5.2984354458270726</c:v>
                </c:pt>
                <c:pt idx="16">
                  <c:v>5.5394010281206443</c:v>
                </c:pt>
                <c:pt idx="17">
                  <c:v>5.780366610414216</c:v>
                </c:pt>
                <c:pt idx="18">
                  <c:v>6.0213321927077867</c:v>
                </c:pt>
                <c:pt idx="19">
                  <c:v>6.2622977750013584</c:v>
                </c:pt>
                <c:pt idx="20">
                  <c:v>6.5032633572949292</c:v>
                </c:pt>
                <c:pt idx="21">
                  <c:v>6.7442289395885009</c:v>
                </c:pt>
                <c:pt idx="22">
                  <c:v>6.9851945218820726</c:v>
                </c:pt>
                <c:pt idx="23">
                  <c:v>7.2261601041756434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Veränderung der Verbrauchsminderung</c:v>
                </c15:tx>
              </c15:filteredSeriesTitle>
            </c:ext>
            <c:ext xmlns:c16="http://schemas.microsoft.com/office/drawing/2014/chart" uri="{C3380CC4-5D6E-409C-BE32-E72D297353CC}">
              <c16:uniqueId val="{00000001-FA8C-B54E-8D8C-B2CACEB60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42659551"/>
        <c:axId val="784523567"/>
      </c:barChart>
      <c:catAx>
        <c:axId val="8426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4523567"/>
        <c:crosses val="autoZero"/>
        <c:auto val="1"/>
        <c:lblAlgn val="ctr"/>
        <c:lblOffset val="100"/>
        <c:noMultiLvlLbl val="0"/>
      </c:catAx>
      <c:valAx>
        <c:axId val="7845235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effectLst/>
                  </a:rPr>
                  <a:t>kWh/(m</a:t>
                </a:r>
                <a:r>
                  <a:rPr lang="en-US" sz="1400" b="1" baseline="30000">
                    <a:effectLst/>
                  </a:rPr>
                  <a:t>2</a:t>
                </a:r>
                <a:r>
                  <a:rPr lang="en-US" sz="1400" b="1" baseline="-25000">
                    <a:effectLst/>
                  </a:rPr>
                  <a:t>[AN]</a:t>
                </a:r>
                <a:r>
                  <a:rPr lang="en-US" sz="1400" b="1">
                    <a:effectLst/>
                  </a:rPr>
                  <a:t>*a)/a</a:t>
                </a:r>
                <a:endParaRPr lang="de-DE" sz="1400" b="1">
                  <a:effectLst/>
                </a:endParaRPr>
              </a:p>
            </c:rich>
          </c:tx>
          <c:overlay val="0"/>
        </c:title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65955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2569F9-8F2F-0B4F-89EF-811029115FB3}">
  <sheetPr/>
  <sheetViews>
    <sheetView zoomScale="169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6EE2D5-0D12-984A-AC7E-EA7F01A053E9}">
  <sheetPr/>
  <sheetViews>
    <sheetView zoomScale="169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580E7A-2B53-5941-90FA-2D4CF29AB590}">
  <sheetPr/>
  <sheetViews>
    <sheetView zoomScale="169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BC26D1-57EF-D84A-B1DB-DBFF4DFA6001}">
  <sheetPr/>
  <sheetViews>
    <sheetView zoomScale="169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600FC0-C422-EB48-8971-AB57338C9440}">
  <sheetPr/>
  <sheetViews>
    <sheetView zoomScale="169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80E13C-9A78-E347-97F9-B6F121A2322A}">
  <sheetPr/>
  <sheetViews>
    <sheetView zoomScale="169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A2C3AF-5787-2447-900B-49E0CE22C27A}">
  <sheetPr/>
  <sheetViews>
    <sheetView zoomScale="169"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BBD7B1-B891-0F40-8B4A-A3F782E26351}">
  <sheetPr/>
  <sheetViews>
    <sheetView zoomScale="169" workbookViewId="0" zoomToFit="1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BEB3A2-6ED0-6B4A-99C1-83A892339B07}">
  <sheetPr/>
  <sheetViews>
    <sheetView zoomScale="169" workbookViewId="0" zoomToFit="1"/>
  </sheetViews>
  <pageMargins left="0.7" right="0.7" top="0.78740157499999996" bottom="0.78740157499999996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73EAFD-2A89-714B-B590-B64B5350090E}">
  <sheetPr/>
  <sheetViews>
    <sheetView zoomScale="169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1934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2A6CB3-BFFB-6542-A2B7-A2E2E6FC84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1934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D78F4E9-1A28-0944-A7A8-580EF5FBED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1934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BEAE648-39B2-B94C-9CD5-A1CEE6794E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1934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84DED97-D56B-0E42-AABB-2F4AEABA43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1934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B5FCA5-412F-2D4C-895E-83F756C0D0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1934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E183D-F1F2-DD44-A3D1-FCAB8B70DC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1934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A4DC834-3196-C94C-9EE6-A5B0079F69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1934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6EA6272-3359-F04E-9DA1-511BCBA29A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1934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7516544-5980-2641-A6EF-28283B65DC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1934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7A65380-5B77-C949-BF5E-789EC53E0B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anneshengstenberg/Dropbox/arbeit/Hamburg/Heizspiegel%20Hamburg%202017/1%20Erdgas%20MFH%20kleiner%20750%20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daten Gebäude"/>
      <sheetName val="Wetter"/>
      <sheetName val="Wetter normiert"/>
      <sheetName val="Diagrammtitel"/>
      <sheetName val="Verbrauch"/>
      <sheetName val="Fläche"/>
      <sheetName val="Baujahr"/>
      <sheetName val="Baujahr_Q1"/>
      <sheetName val="Baujahr_Q3"/>
      <sheetName val="Variablen für REG"/>
      <sheetName val="0 Dia empirisch"/>
      <sheetName val="1 Dia bereinigt"/>
      <sheetName val="2 Dia Differenz"/>
      <sheetName val="3 Dia Trend"/>
      <sheetName val="4 Dia Schätzung"/>
      <sheetName val="5 Dia Sync Schätzung"/>
      <sheetName val="6 Dia Gewicht 1"/>
      <sheetName val="7 Dia Gewicht 2"/>
      <sheetName val="8 Dia Gewicht 3"/>
      <sheetName val="9 Dia Statistik"/>
      <sheetName val="10 Dia Linerität I"/>
      <sheetName val="11 Dia Linearität II"/>
      <sheetName val="Ergebnis"/>
      <sheetName val="Quantil 1"/>
      <sheetName val="Quantil 1 Norm"/>
      <sheetName val="Quantil 2"/>
      <sheetName val="Quantil 2 Norm"/>
      <sheetName val="Quantil 3"/>
      <sheetName val="Quantil 3 Norm"/>
      <sheetName val="Mittelwert"/>
    </sheetNames>
    <sheetDataSet>
      <sheetData sheetId="0"/>
      <sheetData sheetId="1">
        <row r="2">
          <cell r="A2" t="str">
            <v xml:space="preserve">  FM Wind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A6">
            <v>0.5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F830-A62D-7840-84A5-F58F420D694D}">
  <sheetPr>
    <tabColor rgb="FFC00000"/>
  </sheetPr>
  <dimension ref="A1:D10"/>
  <sheetViews>
    <sheetView zoomScale="200" zoomScaleNormal="200" workbookViewId="0">
      <selection activeCell="D4" sqref="D4"/>
    </sheetView>
  </sheetViews>
  <sheetFormatPr baseColWidth="10" defaultRowHeight="16"/>
  <cols>
    <col min="1" max="1" width="61.83203125" customWidth="1"/>
    <col min="4" max="4" width="12" bestFit="1" customWidth="1"/>
  </cols>
  <sheetData>
    <row r="1" spans="1:4">
      <c r="A1" t="str">
        <f>CONCATENATE("1. ",Ort,", ",Gebäudetyp,", HEV Rohdaten, ",Zeitraum,", N = ",Anzahl)</f>
        <v>1. Berlin, 1-2 FH, HEV Rohdaten, 2002 - 2018, N = 35.650</v>
      </c>
      <c r="C1" t="s">
        <v>42</v>
      </c>
      <c r="D1" t="s">
        <v>47</v>
      </c>
    </row>
    <row r="2" spans="1:4">
      <c r="A2" t="str">
        <f>CONCATENATE("2. ",Ort,", ",Gebäudetyp,", HEV Rohdaten + bereinigte Daten, ",Zeitraum,", N = ",Anzahl)</f>
        <v>2. Berlin, 1-2 FH, HEV Rohdaten + bereinigte Daten, 2002 - 2018, N = 35.650</v>
      </c>
      <c r="C2" t="s">
        <v>43</v>
      </c>
      <c r="D2" s="134" t="s">
        <v>48</v>
      </c>
    </row>
    <row r="3" spans="1:4">
      <c r="A3" t="str">
        <f>CONCATENATE("3. ",Ort,", ",Gebäudetyp,", HEV bereinigte Daten, ",Zeitraum,", N = ",Anzahl)</f>
        <v>3. Berlin, 1-2 FH, HEV bereinigte Daten, 2002 - 2018, N = 35.650</v>
      </c>
      <c r="C3" t="s">
        <v>44</v>
      </c>
      <c r="D3" t="s">
        <v>49</v>
      </c>
    </row>
    <row r="4" spans="1:4">
      <c r="A4" t="str">
        <f>CONCATENATE("4. ",Ort,", ",Gebäudetyp,", HEV bereinigte Daten + Schätzung, ",Zeitraum,", N = ",Anzahl)</f>
        <v>4. Berlin, 1-2 FH, HEV bereinigte Daten + Schätzung, 2002 - 2018, N = 35.650</v>
      </c>
      <c r="C4" t="s">
        <v>45</v>
      </c>
      <c r="D4" t="s">
        <v>46</v>
      </c>
    </row>
    <row r="5" spans="1:4">
      <c r="A5" t="str">
        <f>CONCATENATE("5. ",Ort,", ",Gebäudetyp,", HEV Schätzung, ",Zeitraum,", N = ",Anzahl)</f>
        <v>5. Berlin, 1-2 FH, HEV Schätzung, 2002 - 2018, N = 35.650</v>
      </c>
    </row>
    <row r="6" spans="1:4">
      <c r="A6" t="str">
        <f>CONCATENATE("6. ",Ort,", ",Gebäudetyp,", HEV Schätzung + Trend (linear), ",Zeitraum,", N = ",Anzahl)</f>
        <v>6. Berlin, 1-2 FH, HEV Schätzung + Trend (linear), 2002 - 2018, N = 35.650</v>
      </c>
    </row>
    <row r="7" spans="1:4">
      <c r="A7" t="str">
        <f>CONCATENATE("7. ",Ort,", ",Gebäudetyp,", HEV Schätzung + Trend (Polynom), ",Zeitraum,", N = ",Anzahl)</f>
        <v>7. Berlin, 1-2 FH, HEV Schätzung + Trend (Polynom), 2002 - 2018, N = 35.650</v>
      </c>
    </row>
    <row r="8" spans="1:4">
      <c r="A8" t="str">
        <f>CONCATENATE("8. ",Ort,", ",Gebäudetyp,", HEV Schätzung + Prognose (Polynom), ",Zeitraum,", N = ",Anzahl)</f>
        <v>8. Berlin, 1-2 FH, HEV Schätzung + Prognose (Polynom), 2002 - 2018, N = 35.650</v>
      </c>
    </row>
    <row r="9" spans="1:4">
      <c r="A9" t="str">
        <f>CONCATENATE("9. ",Ort,", ",Gebäudetyp,", HEV Veränderung der Veränderung, ",Zeitraum,", N = ",Anzahl)</f>
        <v>9. Berlin, 1-2 FH, HEV Veränderung der Veränderung, 2002 - 2018, N = 35.650</v>
      </c>
    </row>
    <row r="10" spans="1:4">
      <c r="A10" t="str">
        <f>CONCATENATE("10. ",Ort,", ",Gebäudetyp,", HEV Veränderung / Prognose ,  2002 - 2024, N = ",Anzahl)</f>
        <v>10. Berlin, 1-2 FH, HEV Veränderung / Prognose ,  2002 - 2024, N = 35.650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83C7-2E88-894E-8A1F-2544C389FEC5}">
  <sheetPr>
    <tabColor rgb="FFC00000"/>
  </sheetPr>
  <dimension ref="A1:AK111"/>
  <sheetViews>
    <sheetView tabSelected="1" zoomScale="142" zoomScaleNormal="150" workbookViewId="0">
      <selection activeCell="F2" sqref="F2:I2"/>
    </sheetView>
  </sheetViews>
  <sheetFormatPr baseColWidth="10" defaultColWidth="10.83203125" defaultRowHeight="16"/>
  <cols>
    <col min="2" max="2" width="12" customWidth="1"/>
    <col min="6" max="6" width="10.6640625" customWidth="1"/>
    <col min="7" max="7" width="10.1640625" customWidth="1"/>
    <col min="8" max="9" width="11.83203125" customWidth="1"/>
    <col min="10" max="11" width="13.1640625" bestFit="1" customWidth="1"/>
    <col min="12" max="13" width="11.6640625" bestFit="1" customWidth="1"/>
    <col min="14" max="16" width="11.33203125" bestFit="1" customWidth="1"/>
    <col min="17" max="17" width="13" bestFit="1" customWidth="1"/>
    <col min="18" max="18" width="12.5" bestFit="1" customWidth="1"/>
    <col min="24" max="24" width="6.5" customWidth="1"/>
    <col min="25" max="25" width="5.83203125" customWidth="1"/>
  </cols>
  <sheetData>
    <row r="1" spans="1:33" s="2" customFormat="1" ht="35" thickBot="1">
      <c r="B1" s="84" t="s">
        <v>15</v>
      </c>
      <c r="C1" s="135" t="s">
        <v>3</v>
      </c>
      <c r="D1" s="135"/>
      <c r="E1" s="135"/>
      <c r="F1" s="135"/>
      <c r="G1" s="135"/>
      <c r="H1" s="135"/>
      <c r="I1" s="135"/>
      <c r="J1" s="136" t="s">
        <v>4</v>
      </c>
      <c r="K1" s="136"/>
      <c r="L1" s="136"/>
      <c r="M1" s="136"/>
      <c r="N1" s="136"/>
      <c r="O1" s="136"/>
      <c r="P1" s="136"/>
      <c r="Q1" s="136"/>
      <c r="R1" s="84" t="s">
        <v>27</v>
      </c>
      <c r="S1" s="3" t="s">
        <v>6</v>
      </c>
      <c r="W1"/>
      <c r="X1"/>
      <c r="Y1"/>
      <c r="Z1"/>
      <c r="AA1"/>
      <c r="AB1"/>
      <c r="AC1"/>
      <c r="AD1"/>
      <c r="AE1"/>
      <c r="AF1"/>
      <c r="AG1"/>
    </row>
    <row r="2" spans="1:33" s="4" customFormat="1" ht="34">
      <c r="A2" s="5" t="s">
        <v>0</v>
      </c>
      <c r="B2" s="43" t="s">
        <v>20</v>
      </c>
      <c r="C2" s="6" t="s">
        <v>0</v>
      </c>
      <c r="D2" s="7" t="s">
        <v>50</v>
      </c>
      <c r="E2" s="7" t="s">
        <v>9</v>
      </c>
      <c r="F2" s="88" t="s">
        <v>33</v>
      </c>
      <c r="G2" s="88" t="s">
        <v>34</v>
      </c>
      <c r="H2" s="88" t="s">
        <v>35</v>
      </c>
      <c r="I2" s="88" t="s">
        <v>36</v>
      </c>
      <c r="J2" s="8" t="str">
        <f>I2</f>
        <v>TMK</v>
      </c>
      <c r="K2" s="9" t="str">
        <f>H2</f>
        <v>NM</v>
      </c>
      <c r="L2" s="9" t="str">
        <f>G2</f>
        <v>SDK</v>
      </c>
      <c r="M2" s="9" t="str">
        <f>F2</f>
        <v>FM</v>
      </c>
      <c r="N2" s="9" t="s">
        <v>9</v>
      </c>
      <c r="O2" s="9" t="s">
        <v>10</v>
      </c>
      <c r="P2" s="9" t="s">
        <v>0</v>
      </c>
      <c r="Q2" s="10" t="s">
        <v>1</v>
      </c>
      <c r="R2" s="11" t="str">
        <f>B2</f>
        <v>SV [AN]</v>
      </c>
      <c r="S2" s="5"/>
      <c r="W2"/>
      <c r="X2" s="84" t="s">
        <v>17</v>
      </c>
      <c r="Y2" s="84" t="s">
        <v>18</v>
      </c>
      <c r="Z2" s="146" t="s">
        <v>19</v>
      </c>
      <c r="AA2" s="147"/>
      <c r="AB2" s="148"/>
      <c r="AC2"/>
      <c r="AD2" s="4" t="s">
        <v>21</v>
      </c>
      <c r="AE2"/>
      <c r="AF2"/>
      <c r="AG2"/>
    </row>
    <row r="3" spans="1:33">
      <c r="A3" s="89">
        <v>2002</v>
      </c>
      <c r="B3" s="133">
        <v>192.41320788530479</v>
      </c>
      <c r="C3" s="90">
        <v>0</v>
      </c>
      <c r="D3" s="133">
        <v>201.2968100358423</v>
      </c>
      <c r="E3" s="133">
        <v>1959.089605734767</v>
      </c>
      <c r="F3" s="130">
        <v>3.8231707317073136</v>
      </c>
      <c r="G3" s="131">
        <v>3.0101626016260168</v>
      </c>
      <c r="H3" s="131">
        <v>5.5313008130081274</v>
      </c>
      <c r="I3" s="131">
        <v>6.0101626016260097</v>
      </c>
      <c r="J3" s="27">
        <f t="array" ref="J3:Q7">LINEST(B3:B19,C3:I19,,TRUE)</f>
        <v>-4.5895222030402989</v>
      </c>
      <c r="K3" s="27">
        <v>8.2086016668433892</v>
      </c>
      <c r="L3" s="27">
        <v>7.533998327873995</v>
      </c>
      <c r="M3" s="27">
        <v>-3.3319255490166877</v>
      </c>
      <c r="N3" s="27">
        <v>-2.4990629291477728</v>
      </c>
      <c r="O3" s="27">
        <v>7.0872799538601733E-3</v>
      </c>
      <c r="P3" s="27">
        <v>-1.8034743356495233</v>
      </c>
      <c r="Q3" s="27">
        <v>5059.3604760603648</v>
      </c>
      <c r="R3" s="17">
        <f>Q$3+P$3*C3+O$3*D3+N$3*E3+M$3*F3+L$3*G3+K$3*H3+J$3*I3</f>
        <v>192.65942447390168</v>
      </c>
      <c r="S3" s="16">
        <f>R3-B3</f>
        <v>0.24621658859689433</v>
      </c>
      <c r="T3">
        <f>LINEST(R3:R19,C3:C19)</f>
        <v>-3.5970494662922894</v>
      </c>
      <c r="X3">
        <v>1</v>
      </c>
      <c r="Y3" s="44">
        <v>1</v>
      </c>
      <c r="Z3" s="32">
        <f t="array" ref="Z3:AB7">LINEST(B43:B57,X3:Y17,,TRUE)</f>
        <v>-1.919506204156787</v>
      </c>
      <c r="AA3" s="33">
        <v>-8.5108595942280249E-2</v>
      </c>
      <c r="AB3" s="34">
        <v>190.63981186156096</v>
      </c>
      <c r="AC3" s="1">
        <f>Z$3*Y3+AA$3*X3+AB$3</f>
        <v>188.63519706146189</v>
      </c>
      <c r="AD3" s="46">
        <f>2*AA$3*Y3+Z$3</f>
        <v>-2.0897233960413475</v>
      </c>
      <c r="AE3" s="48">
        <f>AD3*-1</f>
        <v>2.0897233960413475</v>
      </c>
    </row>
    <row r="4" spans="1:33">
      <c r="A4" s="89">
        <v>2003</v>
      </c>
      <c r="B4" s="133">
        <v>189.6155046372071</v>
      </c>
      <c r="C4" s="90">
        <v>1</v>
      </c>
      <c r="D4" s="133">
        <v>176.90902891434772</v>
      </c>
      <c r="E4" s="133">
        <v>1960.9950900163667</v>
      </c>
      <c r="F4" s="130">
        <v>3.5523012552301263</v>
      </c>
      <c r="G4" s="131">
        <v>3.9527196652719647</v>
      </c>
      <c r="H4" s="131">
        <v>4.8142259414225919</v>
      </c>
      <c r="I4" s="131">
        <v>5.3464435146443527</v>
      </c>
      <c r="J4" s="27">
        <v>2.3843663103461736</v>
      </c>
      <c r="K4" s="27">
        <v>13.200151627455424</v>
      </c>
      <c r="L4" s="27">
        <v>9.8144222839656265</v>
      </c>
      <c r="M4" s="27">
        <v>8.8983166086341487</v>
      </c>
      <c r="N4" s="27">
        <v>0.80294659757016085</v>
      </c>
      <c r="O4" s="27">
        <v>0.14196224714053565</v>
      </c>
      <c r="P4" s="27">
        <v>0.70027363584340052</v>
      </c>
      <c r="Q4" s="27">
        <v>1578.4903833044332</v>
      </c>
      <c r="R4" s="17">
        <f t="shared" ref="R4:R19" si="0">Q$3+P$3*C4+O$3*D4+N$3*E4+M$3*F4+L$3*G4+K$3*H4+J$3*I4</f>
        <v>191.08489374646399</v>
      </c>
      <c r="S4" s="16">
        <f t="shared" ref="S4:S19" si="1">R4-B4</f>
        <v>1.4693891092568947</v>
      </c>
      <c r="T4">
        <f>LINEST(B3:B19,C3:C19)</f>
        <v>-3.5970494662923165</v>
      </c>
      <c r="X4">
        <v>4</v>
      </c>
      <c r="Y4" s="44">
        <v>2</v>
      </c>
      <c r="Z4" s="32">
        <v>1.1588068952478481</v>
      </c>
      <c r="AA4" s="33">
        <v>7.0427164838454237E-2</v>
      </c>
      <c r="AB4" s="34">
        <v>4.0291889210649376</v>
      </c>
      <c r="AC4" s="1">
        <f t="shared" ref="AC4:AC18" si="2">Z$3*Y4+AA$3*X4+AB$3</f>
        <v>186.46036506947826</v>
      </c>
      <c r="AD4" s="46">
        <f t="shared" ref="AD4:AD18" si="3">2*AA$3*Y4+Z$3</f>
        <v>-2.2599405879259078</v>
      </c>
      <c r="AE4" s="48">
        <f t="shared" ref="AE4:AE18" si="4">AD4*-1</f>
        <v>2.2599405879259078</v>
      </c>
    </row>
    <row r="5" spans="1:33">
      <c r="A5" s="89">
        <v>2004</v>
      </c>
      <c r="B5" s="133">
        <v>185.46767546683787</v>
      </c>
      <c r="C5" s="90">
        <v>2</v>
      </c>
      <c r="D5" s="133">
        <v>178.78471667739862</v>
      </c>
      <c r="E5" s="133">
        <v>1961.3808757244044</v>
      </c>
      <c r="F5" s="130">
        <v>3.7964843750000004</v>
      </c>
      <c r="G5" s="131">
        <v>3.0316406250000005</v>
      </c>
      <c r="H5" s="131">
        <v>5.548437499999995</v>
      </c>
      <c r="I5" s="131">
        <v>6.4304687500000002</v>
      </c>
      <c r="J5" s="83">
        <v>0.96277836030181074</v>
      </c>
      <c r="K5" s="27">
        <v>4.981960873812195</v>
      </c>
      <c r="L5" s="27" t="e">
        <v>#N/A</v>
      </c>
      <c r="M5" s="27" t="e">
        <v>#N/A</v>
      </c>
      <c r="N5" s="27" t="e">
        <v>#N/A</v>
      </c>
      <c r="O5" s="27" t="e">
        <v>#N/A</v>
      </c>
      <c r="P5" s="27" t="e">
        <v>#N/A</v>
      </c>
      <c r="Q5" s="27" t="e">
        <v>#N/A</v>
      </c>
      <c r="R5" s="17">
        <f t="shared" si="0"/>
        <v>181.62929458613058</v>
      </c>
      <c r="S5" s="16">
        <f t="shared" si="1"/>
        <v>-3.838380880707291</v>
      </c>
      <c r="X5">
        <v>9</v>
      </c>
      <c r="Y5" s="44">
        <v>3</v>
      </c>
      <c r="Z5" s="45">
        <v>0.92536935837169776</v>
      </c>
      <c r="AA5" s="33">
        <v>4.5234493155826137</v>
      </c>
      <c r="AB5" s="34" t="e">
        <v>#N/A</v>
      </c>
      <c r="AC5" s="1">
        <f t="shared" si="2"/>
        <v>184.11531588561007</v>
      </c>
      <c r="AD5" s="46">
        <f t="shared" si="3"/>
        <v>-2.4301577798104685</v>
      </c>
      <c r="AE5" s="48">
        <f t="shared" si="4"/>
        <v>2.4301577798104685</v>
      </c>
    </row>
    <row r="6" spans="1:33">
      <c r="A6" s="89">
        <v>2005</v>
      </c>
      <c r="B6" s="133">
        <v>181.01530079155691</v>
      </c>
      <c r="C6" s="90">
        <v>3</v>
      </c>
      <c r="D6" s="133">
        <v>176.03565435356211</v>
      </c>
      <c r="E6" s="133">
        <v>1962.4527704485488</v>
      </c>
      <c r="F6" s="130">
        <v>3.7100775193798459</v>
      </c>
      <c r="G6" s="131">
        <v>3.5271317829457378</v>
      </c>
      <c r="H6" s="131">
        <v>5.3298449612403074</v>
      </c>
      <c r="I6" s="131">
        <v>6.4015503875968998</v>
      </c>
      <c r="J6" s="27">
        <v>33.256404120123499</v>
      </c>
      <c r="K6" s="27">
        <v>9</v>
      </c>
      <c r="L6" s="27" t="e">
        <v>#N/A</v>
      </c>
      <c r="M6" s="27" t="e">
        <v>#N/A</v>
      </c>
      <c r="N6" s="27" t="e">
        <v>#N/A</v>
      </c>
      <c r="O6" s="27" t="e">
        <v>#N/A</v>
      </c>
      <c r="P6" s="27" t="e">
        <v>#N/A</v>
      </c>
      <c r="Q6" s="27" t="e">
        <v>#N/A</v>
      </c>
      <c r="R6" s="17">
        <f t="shared" si="0"/>
        <v>179.48691766071556</v>
      </c>
      <c r="S6" s="16">
        <f t="shared" si="1"/>
        <v>-1.5283831308413482</v>
      </c>
      <c r="X6">
        <v>16</v>
      </c>
      <c r="Y6" s="44">
        <v>4</v>
      </c>
      <c r="Z6" s="32">
        <v>74.395932141157132</v>
      </c>
      <c r="AA6" s="33">
        <v>12</v>
      </c>
      <c r="AB6" s="34" t="e">
        <v>#N/A</v>
      </c>
      <c r="AC6" s="1">
        <f t="shared" si="2"/>
        <v>181.60004950985731</v>
      </c>
      <c r="AD6" s="46">
        <f t="shared" si="3"/>
        <v>-2.6003749716950288</v>
      </c>
      <c r="AE6" s="48">
        <f t="shared" si="4"/>
        <v>2.6003749716950288</v>
      </c>
    </row>
    <row r="7" spans="1:33" ht="17" thickBot="1">
      <c r="A7" s="89">
        <v>2006</v>
      </c>
      <c r="B7" s="133">
        <v>172.63622860152691</v>
      </c>
      <c r="C7" s="90">
        <v>4</v>
      </c>
      <c r="D7" s="133">
        <v>175.794321833026</v>
      </c>
      <c r="E7" s="133">
        <v>1962.73031340532</v>
      </c>
      <c r="F7" s="130">
        <v>3.5042735042735047</v>
      </c>
      <c r="G7" s="131">
        <v>3.002136752136753</v>
      </c>
      <c r="H7" s="131">
        <v>5.6747863247863242</v>
      </c>
      <c r="I7" s="131">
        <v>5.5931623931623911</v>
      </c>
      <c r="J7" s="27">
        <v>5777.9523218707154</v>
      </c>
      <c r="K7" s="27">
        <v>223.3794073337601</v>
      </c>
      <c r="L7" s="27" t="e">
        <v>#N/A</v>
      </c>
      <c r="M7" s="27" t="e">
        <v>#N/A</v>
      </c>
      <c r="N7" s="27" t="e">
        <v>#N/A</v>
      </c>
      <c r="O7" s="27" t="e">
        <v>#N/A</v>
      </c>
      <c r="P7" s="27" t="e">
        <v>#N/A</v>
      </c>
      <c r="Q7" s="27" t="e">
        <v>#N/A</v>
      </c>
      <c r="R7" s="17">
        <f t="shared" si="0"/>
        <v>180.26014849207991</v>
      </c>
      <c r="S7" s="16">
        <f t="shared" si="1"/>
        <v>7.6239198905529975</v>
      </c>
      <c r="X7">
        <v>25</v>
      </c>
      <c r="Y7" s="44">
        <v>5</v>
      </c>
      <c r="Z7" s="35">
        <v>3044.5186743941181</v>
      </c>
      <c r="AA7" s="36">
        <v>245.53912452773775</v>
      </c>
      <c r="AB7" s="37" t="e">
        <v>#N/A</v>
      </c>
      <c r="AC7" s="1">
        <f t="shared" si="2"/>
        <v>178.91456594222001</v>
      </c>
      <c r="AD7" s="46">
        <f t="shared" si="3"/>
        <v>-2.7705921635795896</v>
      </c>
      <c r="AE7" s="48">
        <f t="shared" si="4"/>
        <v>2.7705921635795896</v>
      </c>
    </row>
    <row r="8" spans="1:33">
      <c r="A8" s="89">
        <v>2007</v>
      </c>
      <c r="B8" s="133">
        <v>166.02484327323148</v>
      </c>
      <c r="C8" s="90">
        <v>5</v>
      </c>
      <c r="D8" s="133">
        <v>177.72273231622754</v>
      </c>
      <c r="E8" s="133">
        <v>1963.2210818307906</v>
      </c>
      <c r="F8" s="130">
        <v>4.0685039370078737</v>
      </c>
      <c r="G8" s="131">
        <v>3.3078740157480335</v>
      </c>
      <c r="H8" s="131">
        <v>5.6283464566929133</v>
      </c>
      <c r="I8" s="131">
        <v>7.4346456692913385</v>
      </c>
      <c r="R8" s="17">
        <f t="shared" si="0"/>
        <v>168.83459563999651</v>
      </c>
      <c r="S8" s="16">
        <f t="shared" si="1"/>
        <v>2.809752366765025</v>
      </c>
      <c r="X8">
        <v>36</v>
      </c>
      <c r="Y8" s="44">
        <v>6</v>
      </c>
      <c r="AC8" s="1">
        <f t="shared" si="2"/>
        <v>176.05886518269816</v>
      </c>
      <c r="AD8" s="46">
        <f t="shared" si="3"/>
        <v>-2.9408093554641499</v>
      </c>
      <c r="AE8" s="48">
        <f t="shared" si="4"/>
        <v>2.9408093554641499</v>
      </c>
    </row>
    <row r="9" spans="1:33">
      <c r="A9" s="89">
        <v>2008</v>
      </c>
      <c r="B9" s="133">
        <v>167.19968120805373</v>
      </c>
      <c r="C9" s="90">
        <v>6</v>
      </c>
      <c r="D9" s="133">
        <v>176.95450000000017</v>
      </c>
      <c r="E9" s="133">
        <v>1964.6939597315436</v>
      </c>
      <c r="F9" s="130">
        <v>3.7457831325301245</v>
      </c>
      <c r="G9" s="131">
        <v>2.9730923694779117</v>
      </c>
      <c r="H9" s="131">
        <v>5.7755020080321273</v>
      </c>
      <c r="I9" s="131">
        <v>6.895582329317266</v>
      </c>
      <c r="R9" s="17">
        <f t="shared" si="0"/>
        <v>165.57988386802046</v>
      </c>
      <c r="S9" s="16">
        <f t="shared" si="1"/>
        <v>-1.6197973400332728</v>
      </c>
      <c r="X9">
        <v>49</v>
      </c>
      <c r="Y9" s="44">
        <v>7</v>
      </c>
      <c r="AC9" s="1">
        <f t="shared" si="2"/>
        <v>173.03294723129173</v>
      </c>
      <c r="AD9" s="46">
        <f t="shared" si="3"/>
        <v>-3.1110265473487102</v>
      </c>
      <c r="AE9" s="48">
        <f t="shared" si="4"/>
        <v>3.1110265473487102</v>
      </c>
    </row>
    <row r="10" spans="1:33">
      <c r="A10" s="89">
        <v>2009</v>
      </c>
      <c r="B10" s="133">
        <v>168.3337296360485</v>
      </c>
      <c r="C10" s="90">
        <v>7</v>
      </c>
      <c r="D10" s="133">
        <v>177.35628076256498</v>
      </c>
      <c r="E10" s="133">
        <v>1964.5646447140382</v>
      </c>
      <c r="F10" s="130">
        <v>3.3833333333333346</v>
      </c>
      <c r="G10" s="131">
        <v>3.4939024390243927</v>
      </c>
      <c r="H10" s="131">
        <v>5.5817073170731692</v>
      </c>
      <c r="I10" s="131">
        <v>5.9865853658536547</v>
      </c>
      <c r="R10" s="17">
        <f t="shared" si="0"/>
        <v>171.81493969390903</v>
      </c>
      <c r="S10" s="16">
        <f t="shared" si="1"/>
        <v>3.4812100578605225</v>
      </c>
      <c r="X10">
        <v>64</v>
      </c>
      <c r="Y10" s="44">
        <v>8</v>
      </c>
      <c r="AC10" s="1">
        <f t="shared" si="2"/>
        <v>169.83681208800073</v>
      </c>
      <c r="AD10" s="46">
        <f t="shared" si="3"/>
        <v>-3.281243739233271</v>
      </c>
      <c r="AE10" s="48">
        <f t="shared" si="4"/>
        <v>3.281243739233271</v>
      </c>
    </row>
    <row r="11" spans="1:33">
      <c r="A11" s="89">
        <v>2010</v>
      </c>
      <c r="B11" s="133">
        <v>172.53772396212699</v>
      </c>
      <c r="C11" s="90">
        <v>8</v>
      </c>
      <c r="D11" s="133">
        <v>181.87673343044432</v>
      </c>
      <c r="E11" s="133">
        <v>1965.6915513474144</v>
      </c>
      <c r="F11" s="130">
        <v>3.4837638376383762</v>
      </c>
      <c r="G11" s="131">
        <v>2.8361623616236176</v>
      </c>
      <c r="H11" s="131">
        <v>6.083394833948339</v>
      </c>
      <c r="I11" s="131">
        <v>4.7793357933579346</v>
      </c>
      <c r="R11" s="17">
        <f t="shared" si="0"/>
        <v>171.59610457808196</v>
      </c>
      <c r="S11" s="16">
        <f t="shared" si="1"/>
        <v>-0.94161938404502621</v>
      </c>
      <c r="X11">
        <v>81</v>
      </c>
      <c r="Y11" s="44">
        <v>9</v>
      </c>
      <c r="AC11" s="1">
        <f t="shared" si="2"/>
        <v>166.47045975282518</v>
      </c>
      <c r="AD11" s="46">
        <f t="shared" si="3"/>
        <v>-3.4514609311178317</v>
      </c>
      <c r="AE11" s="48">
        <f t="shared" si="4"/>
        <v>3.4514609311178317</v>
      </c>
    </row>
    <row r="12" spans="1:33">
      <c r="A12" s="89">
        <v>2011</v>
      </c>
      <c r="B12" s="133">
        <v>164.47956882911404</v>
      </c>
      <c r="C12" s="90">
        <v>9</v>
      </c>
      <c r="D12" s="133">
        <v>178.59430775316457</v>
      </c>
      <c r="E12" s="133">
        <v>1966.2199367088608</v>
      </c>
      <c r="F12" s="130">
        <v>3.7813852813852828</v>
      </c>
      <c r="G12" s="131">
        <v>3.9437229437229457</v>
      </c>
      <c r="H12" s="131">
        <v>5.089177489177489</v>
      </c>
      <c r="I12" s="131">
        <v>6.1714285714285717</v>
      </c>
      <c r="R12" s="17">
        <f t="shared" si="0"/>
        <v>161.25143071769679</v>
      </c>
      <c r="S12" s="16">
        <f t="shared" si="1"/>
        <v>-3.2281381114172518</v>
      </c>
      <c r="X12">
        <v>100</v>
      </c>
      <c r="Y12" s="44">
        <v>10</v>
      </c>
      <c r="AC12" s="1">
        <f t="shared" si="2"/>
        <v>162.93389022576505</v>
      </c>
      <c r="AD12" s="46">
        <f t="shared" si="3"/>
        <v>-3.621678123002392</v>
      </c>
      <c r="AE12" s="48">
        <f t="shared" si="4"/>
        <v>3.621678123002392</v>
      </c>
    </row>
    <row r="13" spans="1:33">
      <c r="A13" s="89">
        <v>2012</v>
      </c>
      <c r="B13" s="133">
        <v>167.77774876847283</v>
      </c>
      <c r="C13" s="90">
        <v>10</v>
      </c>
      <c r="D13" s="133">
        <v>177.67006403940874</v>
      </c>
      <c r="E13" s="133">
        <v>1966.6073891625615</v>
      </c>
      <c r="F13" s="130">
        <v>3.6658634538152626</v>
      </c>
      <c r="G13" s="131">
        <v>3.2190843373493987</v>
      </c>
      <c r="H13" s="131">
        <v>5.6799196787148611</v>
      </c>
      <c r="I13" s="131">
        <v>5.9337349397590353</v>
      </c>
      <c r="R13" s="17">
        <f t="shared" si="0"/>
        <v>159.33868954604984</v>
      </c>
      <c r="S13" s="16">
        <f t="shared" si="1"/>
        <v>-8.4390592224229977</v>
      </c>
      <c r="X13">
        <v>121</v>
      </c>
      <c r="Y13" s="44">
        <v>11</v>
      </c>
      <c r="AC13" s="1">
        <f t="shared" si="2"/>
        <v>159.22710350682038</v>
      </c>
      <c r="AD13" s="46">
        <f t="shared" si="3"/>
        <v>-3.7918953148869523</v>
      </c>
      <c r="AE13" s="48">
        <f t="shared" si="4"/>
        <v>3.7918953148869523</v>
      </c>
    </row>
    <row r="14" spans="1:33">
      <c r="A14" s="89">
        <v>2013</v>
      </c>
      <c r="B14" s="133">
        <v>159.90420525657046</v>
      </c>
      <c r="C14" s="90">
        <v>11</v>
      </c>
      <c r="D14" s="133">
        <v>179.28033166458081</v>
      </c>
      <c r="E14" s="133">
        <v>1968.0250312891114</v>
      </c>
      <c r="F14" s="130">
        <v>3.4220408163265299</v>
      </c>
      <c r="G14" s="131">
        <v>2.5094530612244901</v>
      </c>
      <c r="H14" s="131">
        <v>6.0979591836734697</v>
      </c>
      <c r="I14" s="131">
        <v>5.3963265306122477</v>
      </c>
      <c r="R14" s="17">
        <f t="shared" si="0"/>
        <v>155.36785637323612</v>
      </c>
      <c r="S14" s="16">
        <f t="shared" si="1"/>
        <v>-4.5363488833343411</v>
      </c>
      <c r="X14">
        <v>144</v>
      </c>
      <c r="Y14" s="44">
        <v>12</v>
      </c>
      <c r="AC14" s="1">
        <f t="shared" si="2"/>
        <v>155.35009959599114</v>
      </c>
      <c r="AD14" s="46">
        <f t="shared" si="3"/>
        <v>-3.9621125067715131</v>
      </c>
      <c r="AE14" s="48">
        <f t="shared" si="4"/>
        <v>3.9621125067715131</v>
      </c>
    </row>
    <row r="15" spans="1:33">
      <c r="A15" s="89">
        <v>2014</v>
      </c>
      <c r="B15" s="133">
        <v>149.6847205438068</v>
      </c>
      <c r="C15" s="90">
        <v>12</v>
      </c>
      <c r="D15" s="133">
        <v>178.22108006042299</v>
      </c>
      <c r="E15" s="133">
        <v>1965.9441087613293</v>
      </c>
      <c r="F15" s="130">
        <v>3.5610655737704917</v>
      </c>
      <c r="G15" s="131">
        <v>3.3709016393442628</v>
      </c>
      <c r="H15" s="131">
        <v>5.7053278688524554</v>
      </c>
      <c r="I15" s="131">
        <v>7.6934426229508226</v>
      </c>
      <c r="R15" s="17">
        <f t="shared" si="0"/>
        <v>151.0185438043207</v>
      </c>
      <c r="S15" s="16">
        <f t="shared" si="1"/>
        <v>1.3338232605138955</v>
      </c>
      <c r="X15">
        <v>169</v>
      </c>
      <c r="Y15" s="44">
        <v>13</v>
      </c>
      <c r="AC15" s="1">
        <f t="shared" si="2"/>
        <v>151.30287849327738</v>
      </c>
      <c r="AD15" s="46">
        <f t="shared" si="3"/>
        <v>-4.1323296986560738</v>
      </c>
      <c r="AE15" s="48">
        <f t="shared" si="4"/>
        <v>4.1323296986560738</v>
      </c>
    </row>
    <row r="16" spans="1:33">
      <c r="A16" s="89">
        <v>2015</v>
      </c>
      <c r="B16" s="133">
        <v>145.8435263612794</v>
      </c>
      <c r="C16" s="90">
        <v>13</v>
      </c>
      <c r="D16" s="133">
        <v>215.22206568712187</v>
      </c>
      <c r="E16" s="133">
        <v>1967.3543647363872</v>
      </c>
      <c r="F16" s="130">
        <v>3.8544061302681993</v>
      </c>
      <c r="G16" s="131">
        <v>3.7615363984674333</v>
      </c>
      <c r="H16" s="131">
        <v>5.4567049808429111</v>
      </c>
      <c r="I16" s="131">
        <v>7.7072796934865879</v>
      </c>
      <c r="R16" s="17">
        <f t="shared" si="0"/>
        <v>145.81428831640758</v>
      </c>
      <c r="S16" s="16">
        <f t="shared" si="1"/>
        <v>-2.9238044871817692E-2</v>
      </c>
      <c r="X16">
        <v>196</v>
      </c>
      <c r="Y16" s="44">
        <v>14</v>
      </c>
      <c r="AC16" s="1">
        <f t="shared" si="2"/>
        <v>147.08544019867901</v>
      </c>
      <c r="AD16" s="46">
        <f t="shared" si="3"/>
        <v>-4.3025468905406337</v>
      </c>
      <c r="AE16" s="48">
        <f t="shared" si="4"/>
        <v>4.3025468905406337</v>
      </c>
    </row>
    <row r="17" spans="1:31">
      <c r="A17" s="89">
        <v>2016</v>
      </c>
      <c r="B17" s="133">
        <v>146.57920910075865</v>
      </c>
      <c r="C17" s="90">
        <v>14</v>
      </c>
      <c r="D17" s="133">
        <v>188.2438136511376</v>
      </c>
      <c r="E17" s="133">
        <v>1967.6208017334777</v>
      </c>
      <c r="F17" s="130">
        <v>3.6716157205240179</v>
      </c>
      <c r="G17" s="131">
        <v>2.7302707423580785</v>
      </c>
      <c r="H17" s="131">
        <v>5.9231441048034936</v>
      </c>
      <c r="I17" s="131">
        <v>5.524890829694324</v>
      </c>
      <c r="J17" s="18">
        <f>CORREL(R3:R16,B3:B16)</f>
        <v>0.96151735949103401</v>
      </c>
      <c r="K17" s="19" t="s">
        <v>11</v>
      </c>
      <c r="R17" s="17">
        <f t="shared" si="0"/>
        <v>149.83819415761698</v>
      </c>
      <c r="S17" s="16">
        <f t="shared" si="1"/>
        <v>3.2589850568583358</v>
      </c>
      <c r="X17">
        <v>225</v>
      </c>
      <c r="Y17" s="44">
        <v>15</v>
      </c>
      <c r="AC17" s="1">
        <f t="shared" si="2"/>
        <v>142.6977847121961</v>
      </c>
      <c r="AD17" s="46">
        <f t="shared" si="3"/>
        <v>-4.4727640824251944</v>
      </c>
      <c r="AE17" s="48">
        <f t="shared" si="4"/>
        <v>4.4727640824251944</v>
      </c>
    </row>
    <row r="18" spans="1:31">
      <c r="A18" s="88">
        <v>2017</v>
      </c>
      <c r="B18" s="133">
        <v>140.34942332896466</v>
      </c>
      <c r="C18" s="90">
        <v>15</v>
      </c>
      <c r="D18" s="133">
        <v>188.44161205766704</v>
      </c>
      <c r="E18" s="133">
        <v>1967.9803407601573</v>
      </c>
      <c r="F18" s="131">
        <v>4.0559670781893011</v>
      </c>
      <c r="G18" s="131">
        <v>2.7034403292181075</v>
      </c>
      <c r="H18" s="131">
        <v>5.9893004115226329</v>
      </c>
      <c r="I18" s="131">
        <v>6.411522633744859</v>
      </c>
      <c r="R18" s="17">
        <f t="shared" si="0"/>
        <v>142.12867504435056</v>
      </c>
      <c r="S18" s="16">
        <f t="shared" si="1"/>
        <v>1.7792517153858967</v>
      </c>
      <c r="X18">
        <v>256</v>
      </c>
      <c r="Y18" s="44">
        <v>16</v>
      </c>
      <c r="AC18" s="1">
        <f t="shared" si="2"/>
        <v>138.13991203382864</v>
      </c>
      <c r="AD18" s="46">
        <f t="shared" si="3"/>
        <v>-4.6429812743097552</v>
      </c>
      <c r="AE18" s="48">
        <f t="shared" si="4"/>
        <v>4.6429812743097552</v>
      </c>
    </row>
    <row r="19" spans="1:31">
      <c r="A19" s="88">
        <v>2018</v>
      </c>
      <c r="B19" s="133">
        <v>117.32846153846154</v>
      </c>
      <c r="C19" s="87">
        <v>16</v>
      </c>
      <c r="D19" s="133">
        <v>164.76923076923077</v>
      </c>
      <c r="E19" s="133">
        <v>1978.7692307692307</v>
      </c>
      <c r="F19" s="131">
        <v>3.8690476190476173</v>
      </c>
      <c r="G19" s="131">
        <v>3.1530761904761899</v>
      </c>
      <c r="H19" s="131">
        <v>5.6499999999999959</v>
      </c>
      <c r="I19" s="131">
        <v>5.3076190476190508</v>
      </c>
      <c r="R19" s="17">
        <f t="shared" si="0"/>
        <v>119.48687849035572</v>
      </c>
      <c r="S19" s="16">
        <f t="shared" si="1"/>
        <v>2.158416951894182</v>
      </c>
      <c r="Y19" s="44"/>
      <c r="AC19" s="1"/>
      <c r="AD19" s="46"/>
      <c r="AE19" s="48"/>
    </row>
    <row r="20" spans="1:31">
      <c r="A20" s="20"/>
      <c r="B20" s="20" t="s">
        <v>2</v>
      </c>
      <c r="C20" s="20"/>
      <c r="D20" s="20"/>
      <c r="E20" s="20"/>
      <c r="F20" s="20"/>
      <c r="G20" s="20"/>
      <c r="H20" s="20"/>
      <c r="I20" s="20"/>
      <c r="J20" s="20" t="s">
        <v>2</v>
      </c>
      <c r="K20" s="20"/>
      <c r="L20" s="20"/>
      <c r="M20" s="20"/>
      <c r="N20" s="20"/>
      <c r="O20" s="20"/>
      <c r="P20" s="20"/>
      <c r="Q20" s="20"/>
      <c r="R20" s="91">
        <f>SUM(R3:R19)</f>
        <v>2787.1907591893346</v>
      </c>
      <c r="S20" s="92">
        <f>SUM(S3:S19)</f>
        <v>1.1297629498585593E-11</v>
      </c>
      <c r="T20" s="21"/>
      <c r="X20" t="s">
        <v>2</v>
      </c>
      <c r="Y20" s="44" t="s">
        <v>2</v>
      </c>
    </row>
    <row r="21" spans="1:31" ht="35" thickBot="1">
      <c r="A21" s="2"/>
      <c r="B21" s="84" t="s">
        <v>15</v>
      </c>
      <c r="C21" s="135" t="s">
        <v>3</v>
      </c>
      <c r="D21" s="135"/>
      <c r="E21" s="135"/>
      <c r="F21" s="135"/>
      <c r="G21" s="135"/>
      <c r="H21" s="135"/>
      <c r="I21" s="135"/>
      <c r="J21" s="136" t="s">
        <v>4</v>
      </c>
      <c r="K21" s="136"/>
      <c r="L21" s="136"/>
      <c r="M21" s="136"/>
      <c r="N21" s="136"/>
      <c r="O21" s="136"/>
      <c r="P21" s="136"/>
      <c r="Q21" s="136"/>
      <c r="R21" s="84" t="s">
        <v>5</v>
      </c>
      <c r="S21" s="3" t="s">
        <v>6</v>
      </c>
      <c r="T21" s="22"/>
      <c r="U21" s="2"/>
      <c r="V21" s="2"/>
      <c r="X21" t="s">
        <v>2</v>
      </c>
      <c r="Y21" s="44" t="s">
        <v>2</v>
      </c>
    </row>
    <row r="22" spans="1:31" ht="68">
      <c r="A22" s="5" t="s">
        <v>0</v>
      </c>
      <c r="B22" s="43" t="s">
        <v>15</v>
      </c>
      <c r="C22" s="6" t="s">
        <v>0</v>
      </c>
      <c r="D22" s="23" t="s">
        <v>7</v>
      </c>
      <c r="E22" s="7" t="s">
        <v>8</v>
      </c>
      <c r="F22" s="51" t="s">
        <v>23</v>
      </c>
      <c r="G22" s="51" t="s">
        <v>24</v>
      </c>
      <c r="H22" s="51" t="s">
        <v>25</v>
      </c>
      <c r="I22" s="52" t="s">
        <v>26</v>
      </c>
      <c r="J22" s="8" t="str">
        <f>I22</f>
        <v>TMK Tagestem-peratur</v>
      </c>
      <c r="K22" s="9" t="str">
        <f>H22</f>
        <v>NM Bedeckung</v>
      </c>
      <c r="L22" s="9" t="str">
        <f>G22</f>
        <v>SDK Sonne</v>
      </c>
      <c r="M22" s="9" t="str">
        <f>F22</f>
        <v>FM Wind</v>
      </c>
      <c r="N22" s="9" t="s">
        <v>9</v>
      </c>
      <c r="O22" s="9" t="s">
        <v>10</v>
      </c>
      <c r="P22" s="9" t="s">
        <v>0</v>
      </c>
      <c r="Q22" s="54" t="s">
        <v>1</v>
      </c>
      <c r="R22" s="55" t="s">
        <v>27</v>
      </c>
      <c r="S22" s="58"/>
      <c r="T22" s="24"/>
      <c r="U22" s="93" t="s">
        <v>12</v>
      </c>
      <c r="V22" s="4"/>
      <c r="X22" t="s">
        <v>2</v>
      </c>
      <c r="Y22" s="44" t="s">
        <v>2</v>
      </c>
    </row>
    <row r="23" spans="1:31">
      <c r="A23" s="12">
        <v>2002</v>
      </c>
      <c r="B23" s="13">
        <f t="shared" ref="B23:B39" si="5">B3</f>
        <v>192.41320788530479</v>
      </c>
      <c r="C23" s="14">
        <v>0</v>
      </c>
      <c r="D23" s="25">
        <f t="shared" ref="D23:E38" si="6">AVERAGE(D$3:D$19)</f>
        <v>181.95136964742051</v>
      </c>
      <c r="E23" s="26">
        <f t="shared" si="6"/>
        <v>1965.4906527573125</v>
      </c>
      <c r="F23" s="50">
        <f>F3</f>
        <v>3.8231707317073136</v>
      </c>
      <c r="G23" s="50">
        <f>G3</f>
        <v>3.0101626016260168</v>
      </c>
      <c r="H23" s="50">
        <f>H3</f>
        <v>5.5313008130081274</v>
      </c>
      <c r="I23" s="80">
        <f>I3</f>
        <v>6.0101626016260097</v>
      </c>
      <c r="J23" s="27">
        <f t="array" ref="J23:Q27">LINEST(B23:B39,C23:I39,,TRUE)</f>
        <v>-0.42753706442010198</v>
      </c>
      <c r="K23" s="27">
        <v>8.2915019666767833</v>
      </c>
      <c r="L23" s="27">
        <v>4.2387175984891945</v>
      </c>
      <c r="M23" s="27">
        <v>-11.919539616315987</v>
      </c>
      <c r="N23" s="27">
        <v>0</v>
      </c>
      <c r="O23" s="27">
        <v>0</v>
      </c>
      <c r="P23" s="27">
        <v>-3.7004503776518587</v>
      </c>
      <c r="Q23" s="27">
        <v>180.13105364622453</v>
      </c>
      <c r="R23" s="81">
        <f>J$23*I23+K$23*H23+L$23*G23+M$23*F23+N$23*E23+O$23*D23+P$23*C23+Q$23</f>
        <v>190.61307213747676</v>
      </c>
      <c r="S23" s="59">
        <f>R23-B23</f>
        <v>-1.8001357478280227</v>
      </c>
      <c r="T23" s="94">
        <f>LINEST(R23:R39,C23:C39)</f>
        <v>-3.5970494662923156</v>
      </c>
      <c r="U23" s="59">
        <f t="shared" ref="U23:U39" si="7">R3-R23</f>
        <v>2.046352336424917</v>
      </c>
    </row>
    <row r="24" spans="1:31">
      <c r="A24" s="12">
        <v>2003</v>
      </c>
      <c r="B24" s="13">
        <f t="shared" si="5"/>
        <v>189.6155046372071</v>
      </c>
      <c r="C24" s="14">
        <v>1</v>
      </c>
      <c r="D24" s="25">
        <f t="shared" si="6"/>
        <v>181.95136964742051</v>
      </c>
      <c r="E24" s="26">
        <f t="shared" si="6"/>
        <v>1965.4906527573125</v>
      </c>
      <c r="F24" s="50">
        <f t="shared" ref="F24:I39" si="8">F4</f>
        <v>3.5523012552301263</v>
      </c>
      <c r="G24" s="50">
        <f t="shared" si="8"/>
        <v>3.9527196652719647</v>
      </c>
      <c r="H24" s="50">
        <f t="shared" si="8"/>
        <v>4.8142259414225919</v>
      </c>
      <c r="I24" s="80">
        <f t="shared" si="8"/>
        <v>5.3464435146443527</v>
      </c>
      <c r="J24" s="27">
        <v>3.0635208144609209</v>
      </c>
      <c r="K24" s="27">
        <v>19.175615136262319</v>
      </c>
      <c r="L24" s="27">
        <v>14.152633021596749</v>
      </c>
      <c r="M24" s="27">
        <v>11.928571574573455</v>
      </c>
      <c r="N24" s="27">
        <v>0</v>
      </c>
      <c r="O24" s="27">
        <v>0</v>
      </c>
      <c r="P24" s="27">
        <v>0.51902820068491595</v>
      </c>
      <c r="Q24" s="27">
        <v>163.49405209447912</v>
      </c>
      <c r="R24" s="81">
        <f t="shared" ref="R24:R39" si="9">J$23*I24+K$23*H24+L$23*G24+M$23*F24+N$23*E24+O$23*D24+P$23*C24+Q$23</f>
        <v>188.47463123084364</v>
      </c>
      <c r="S24" s="59">
        <f t="shared" ref="S24:S39" si="10">R24-B24</f>
        <v>-1.140873406363454</v>
      </c>
      <c r="T24" s="95">
        <f>LINEST(B23:B39,C23:C39)</f>
        <v>-3.5970494662923165</v>
      </c>
      <c r="U24" s="59">
        <f t="shared" si="7"/>
        <v>2.6102625156203487</v>
      </c>
    </row>
    <row r="25" spans="1:31">
      <c r="A25" s="12">
        <v>2004</v>
      </c>
      <c r="B25" s="13">
        <f t="shared" si="5"/>
        <v>185.46767546683787</v>
      </c>
      <c r="C25" s="14">
        <v>2</v>
      </c>
      <c r="D25" s="25">
        <f t="shared" si="6"/>
        <v>181.95136964742051</v>
      </c>
      <c r="E25" s="26">
        <f t="shared" si="6"/>
        <v>1965.4906527573125</v>
      </c>
      <c r="F25" s="50">
        <f t="shared" si="8"/>
        <v>3.7964843750000004</v>
      </c>
      <c r="G25" s="50">
        <f t="shared" si="8"/>
        <v>3.0316406250000005</v>
      </c>
      <c r="H25" s="50">
        <f t="shared" si="8"/>
        <v>5.548437499999995</v>
      </c>
      <c r="I25" s="80">
        <f t="shared" si="8"/>
        <v>6.4304687500000002</v>
      </c>
      <c r="J25" s="83">
        <v>0.9034792796693597</v>
      </c>
      <c r="K25" s="27">
        <v>7.2566763081000323</v>
      </c>
      <c r="L25" s="27" t="e">
        <v>#N/A</v>
      </c>
      <c r="M25" s="27" t="e">
        <v>#N/A</v>
      </c>
      <c r="N25" s="27" t="e">
        <v>#N/A</v>
      </c>
      <c r="O25" s="27" t="e">
        <v>#N/A</v>
      </c>
      <c r="P25" s="27" t="e">
        <v>#N/A</v>
      </c>
      <c r="Q25" s="27" t="e">
        <v>#N/A</v>
      </c>
      <c r="R25" s="81">
        <f t="shared" si="9"/>
        <v>183.58369216087891</v>
      </c>
      <c r="S25" s="59">
        <f t="shared" si="10"/>
        <v>-1.8839833059589637</v>
      </c>
      <c r="T25" s="21"/>
      <c r="U25" s="59">
        <f t="shared" si="7"/>
        <v>-1.9543975747483273</v>
      </c>
    </row>
    <row r="26" spans="1:31">
      <c r="A26" s="12">
        <v>2005</v>
      </c>
      <c r="B26" s="13">
        <f t="shared" si="5"/>
        <v>181.01530079155691</v>
      </c>
      <c r="C26" s="14">
        <v>3</v>
      </c>
      <c r="D26" s="25">
        <f>AVERAGE(D$3:D$19)</f>
        <v>181.95136964742051</v>
      </c>
      <c r="E26" s="26">
        <f t="shared" si="6"/>
        <v>1965.4906527573125</v>
      </c>
      <c r="F26" s="50">
        <f t="shared" si="8"/>
        <v>3.7100775193798459</v>
      </c>
      <c r="G26" s="50">
        <f t="shared" si="8"/>
        <v>3.5271317829457378</v>
      </c>
      <c r="H26" s="50">
        <f t="shared" si="8"/>
        <v>5.3298449612403074</v>
      </c>
      <c r="I26" s="80">
        <f t="shared" si="8"/>
        <v>6.4015503875968998</v>
      </c>
      <c r="J26" s="27">
        <v>20.593033376291675</v>
      </c>
      <c r="K26" s="27">
        <v>11</v>
      </c>
      <c r="L26" s="27" t="e">
        <v>#N/A</v>
      </c>
      <c r="M26" s="27" t="e">
        <v>#N/A</v>
      </c>
      <c r="N26" s="27" t="e">
        <v>#N/A</v>
      </c>
      <c r="O26" s="27" t="e">
        <v>#N/A</v>
      </c>
      <c r="P26" s="27" t="e">
        <v>#N/A</v>
      </c>
      <c r="Q26" s="27" t="e">
        <v>#N/A</v>
      </c>
      <c r="R26" s="81">
        <f t="shared" si="9"/>
        <v>181.21332201973601</v>
      </c>
      <c r="S26" s="59">
        <f t="shared" si="10"/>
        <v>0.19802122817910117</v>
      </c>
      <c r="T26" s="21"/>
      <c r="U26" s="59">
        <f t="shared" si="7"/>
        <v>-1.7264043590204494</v>
      </c>
    </row>
    <row r="27" spans="1:31">
      <c r="A27" s="12">
        <v>2006</v>
      </c>
      <c r="B27" s="13">
        <f t="shared" si="5"/>
        <v>172.63622860152691</v>
      </c>
      <c r="C27" s="14">
        <v>4</v>
      </c>
      <c r="D27" s="25">
        <f t="shared" ref="D27:E39" si="11">AVERAGE(D$3:D$19)</f>
        <v>181.95136964742051</v>
      </c>
      <c r="E27" s="26">
        <f t="shared" si="6"/>
        <v>1965.4906527573125</v>
      </c>
      <c r="F27" s="50">
        <f t="shared" si="8"/>
        <v>3.5042735042735047</v>
      </c>
      <c r="G27" s="50">
        <f t="shared" si="8"/>
        <v>3.002136752136753</v>
      </c>
      <c r="H27" s="50">
        <f t="shared" si="8"/>
        <v>5.6747863247863242</v>
      </c>
      <c r="I27" s="80">
        <f t="shared" si="8"/>
        <v>5.5931623931623911</v>
      </c>
      <c r="J27" s="27">
        <v>5422.0788677585324</v>
      </c>
      <c r="K27" s="27">
        <v>579.25286144594349</v>
      </c>
      <c r="L27" s="27" t="e">
        <v>#N/A</v>
      </c>
      <c r="M27" s="27" t="e">
        <v>#N/A</v>
      </c>
      <c r="N27" s="27" t="e">
        <v>#N/A</v>
      </c>
      <c r="O27" s="27" t="e">
        <v>#N/A</v>
      </c>
      <c r="P27" s="27" t="e">
        <v>#N/A</v>
      </c>
      <c r="Q27" s="27" t="e">
        <v>#N/A</v>
      </c>
      <c r="R27" s="81">
        <f t="shared" si="9"/>
        <v>180.94635290141463</v>
      </c>
      <c r="S27" s="59">
        <f t="shared" si="10"/>
        <v>8.3101242998877183</v>
      </c>
      <c r="T27" s="21"/>
      <c r="U27" s="59">
        <f t="shared" si="7"/>
        <v>-0.68620440933472082</v>
      </c>
    </row>
    <row r="28" spans="1:31">
      <c r="A28" s="12">
        <v>2007</v>
      </c>
      <c r="B28" s="13">
        <f t="shared" si="5"/>
        <v>166.02484327323148</v>
      </c>
      <c r="C28" s="14">
        <v>5</v>
      </c>
      <c r="D28" s="25">
        <f t="shared" si="11"/>
        <v>181.95136964742051</v>
      </c>
      <c r="E28" s="26">
        <f t="shared" si="6"/>
        <v>1965.4906527573125</v>
      </c>
      <c r="F28" s="50">
        <f t="shared" si="8"/>
        <v>4.0685039370078737</v>
      </c>
      <c r="G28" s="50">
        <f t="shared" si="8"/>
        <v>3.3078740157480335</v>
      </c>
      <c r="H28" s="50">
        <f t="shared" si="8"/>
        <v>5.6283464566929133</v>
      </c>
      <c r="I28" s="50">
        <f t="shared" si="8"/>
        <v>7.4346456692913385</v>
      </c>
      <c r="R28" s="56">
        <f t="shared" si="9"/>
        <v>170.6441108361538</v>
      </c>
      <c r="S28" s="59">
        <f t="shared" si="10"/>
        <v>4.6192675629223174</v>
      </c>
      <c r="T28" s="21"/>
      <c r="U28" s="59">
        <f t="shared" si="7"/>
        <v>-1.8095151961572924</v>
      </c>
    </row>
    <row r="29" spans="1:31">
      <c r="A29" s="12">
        <v>2008</v>
      </c>
      <c r="B29" s="13">
        <f t="shared" si="5"/>
        <v>167.19968120805373</v>
      </c>
      <c r="C29" s="14">
        <v>6</v>
      </c>
      <c r="D29" s="25">
        <f t="shared" si="11"/>
        <v>181.95136964742051</v>
      </c>
      <c r="E29" s="26">
        <f t="shared" si="6"/>
        <v>1965.4906527573125</v>
      </c>
      <c r="F29" s="50">
        <f t="shared" si="8"/>
        <v>3.7457831325301245</v>
      </c>
      <c r="G29" s="50">
        <f t="shared" si="8"/>
        <v>2.9730923694779117</v>
      </c>
      <c r="H29" s="50">
        <f t="shared" si="8"/>
        <v>5.7755020080321273</v>
      </c>
      <c r="I29" s="50">
        <f t="shared" si="8"/>
        <v>6.895582329317266</v>
      </c>
      <c r="R29" s="56">
        <f t="shared" si="9"/>
        <v>170.82190911803298</v>
      </c>
      <c r="S29" s="59">
        <f t="shared" si="10"/>
        <v>3.6222279099792445</v>
      </c>
      <c r="T29" s="21"/>
      <c r="U29" s="59">
        <f t="shared" si="7"/>
        <v>-5.2420252500125173</v>
      </c>
    </row>
    <row r="30" spans="1:31">
      <c r="A30" s="12">
        <v>2009</v>
      </c>
      <c r="B30" s="13">
        <f t="shared" si="5"/>
        <v>168.3337296360485</v>
      </c>
      <c r="C30" s="14">
        <v>7</v>
      </c>
      <c r="D30" s="25">
        <f t="shared" si="11"/>
        <v>181.95136964742051</v>
      </c>
      <c r="E30" s="26">
        <f t="shared" si="6"/>
        <v>1965.4906527573125</v>
      </c>
      <c r="F30" s="50">
        <f t="shared" si="8"/>
        <v>3.3833333333333346</v>
      </c>
      <c r="G30" s="50">
        <f t="shared" si="8"/>
        <v>3.4939024390243927</v>
      </c>
      <c r="H30" s="50">
        <f t="shared" si="8"/>
        <v>5.5817073170731692</v>
      </c>
      <c r="I30" s="50">
        <f t="shared" si="8"/>
        <v>5.9865853658536547</v>
      </c>
      <c r="R30" s="56">
        <f t="shared" si="9"/>
        <v>172.43104112019839</v>
      </c>
      <c r="S30" s="59">
        <f t="shared" si="10"/>
        <v>4.0973114841498841</v>
      </c>
      <c r="T30" s="21"/>
      <c r="U30" s="59">
        <f t="shared" si="7"/>
        <v>-0.6161014262893616</v>
      </c>
    </row>
    <row r="31" spans="1:31">
      <c r="A31" s="12">
        <v>2010</v>
      </c>
      <c r="B31" s="13">
        <f t="shared" si="5"/>
        <v>172.53772396212699</v>
      </c>
      <c r="C31" s="14">
        <v>8</v>
      </c>
      <c r="D31" s="25">
        <f t="shared" si="11"/>
        <v>181.95136964742051</v>
      </c>
      <c r="E31" s="26">
        <f t="shared" si="6"/>
        <v>1965.4906527573125</v>
      </c>
      <c r="F31" s="50">
        <f t="shared" si="8"/>
        <v>3.4837638376383762</v>
      </c>
      <c r="G31" s="50">
        <f t="shared" si="8"/>
        <v>2.8361623616236176</v>
      </c>
      <c r="H31" s="50">
        <f t="shared" si="8"/>
        <v>6.083394833948339</v>
      </c>
      <c r="I31" s="50">
        <f t="shared" si="8"/>
        <v>4.7793357933579346</v>
      </c>
      <c r="R31" s="56">
        <f t="shared" si="9"/>
        <v>169.42141789756059</v>
      </c>
      <c r="S31" s="59">
        <f t="shared" si="10"/>
        <v>-3.1163060645664018</v>
      </c>
      <c r="T31" s="21"/>
      <c r="U31" s="59">
        <f t="shared" si="7"/>
        <v>2.1746866805213756</v>
      </c>
    </row>
    <row r="32" spans="1:31">
      <c r="A32" s="12">
        <v>2011</v>
      </c>
      <c r="B32" s="13">
        <f t="shared" si="5"/>
        <v>164.47956882911404</v>
      </c>
      <c r="C32" s="14">
        <v>9</v>
      </c>
      <c r="D32" s="25">
        <f t="shared" si="11"/>
        <v>181.95136964742051</v>
      </c>
      <c r="E32" s="26">
        <f t="shared" si="6"/>
        <v>1965.4906527573125</v>
      </c>
      <c r="F32" s="50">
        <f t="shared" si="8"/>
        <v>3.7813852813852828</v>
      </c>
      <c r="G32" s="50">
        <f t="shared" si="8"/>
        <v>3.9437229437229457</v>
      </c>
      <c r="H32" s="50">
        <f t="shared" si="8"/>
        <v>5.089177489177489</v>
      </c>
      <c r="I32" s="50">
        <f t="shared" si="8"/>
        <v>6.1714285714285717</v>
      </c>
      <c r="R32" s="56">
        <f t="shared" si="9"/>
        <v>158.02936713203127</v>
      </c>
      <c r="S32" s="59">
        <f t="shared" si="10"/>
        <v>-6.4502016970827754</v>
      </c>
      <c r="T32" s="21"/>
      <c r="U32" s="59">
        <f t="shared" si="7"/>
        <v>3.2220635856655235</v>
      </c>
    </row>
    <row r="33" spans="1:21">
      <c r="A33" s="12">
        <v>2012</v>
      </c>
      <c r="B33" s="13">
        <f t="shared" si="5"/>
        <v>167.77774876847283</v>
      </c>
      <c r="C33" s="14">
        <v>10</v>
      </c>
      <c r="D33" s="25">
        <f t="shared" si="11"/>
        <v>181.95136964742051</v>
      </c>
      <c r="E33" s="26">
        <f t="shared" si="6"/>
        <v>1965.4906527573125</v>
      </c>
      <c r="F33" s="50">
        <f t="shared" si="8"/>
        <v>3.6658634538152626</v>
      </c>
      <c r="G33" s="50">
        <f t="shared" si="8"/>
        <v>3.2190843373493987</v>
      </c>
      <c r="H33" s="50">
        <f t="shared" si="8"/>
        <v>5.6799196787148611</v>
      </c>
      <c r="I33" s="50">
        <f t="shared" si="8"/>
        <v>5.9337349397590353</v>
      </c>
      <c r="R33" s="56">
        <f t="shared" si="9"/>
        <v>157.63410820513266</v>
      </c>
      <c r="S33" s="59">
        <f t="shared" si="10"/>
        <v>-10.143640563340171</v>
      </c>
      <c r="T33" s="21"/>
      <c r="U33" s="59">
        <f t="shared" si="7"/>
        <v>1.7045813409171728</v>
      </c>
    </row>
    <row r="34" spans="1:21">
      <c r="A34" s="12">
        <v>2013</v>
      </c>
      <c r="B34" s="13">
        <f t="shared" si="5"/>
        <v>159.90420525657046</v>
      </c>
      <c r="C34" s="14">
        <v>11</v>
      </c>
      <c r="D34" s="25">
        <f t="shared" si="11"/>
        <v>181.95136964742051</v>
      </c>
      <c r="E34" s="26">
        <f t="shared" si="6"/>
        <v>1965.4906527573125</v>
      </c>
      <c r="F34" s="50">
        <f t="shared" si="8"/>
        <v>3.4220408163265299</v>
      </c>
      <c r="G34" s="50">
        <f t="shared" si="8"/>
        <v>2.5094530612244901</v>
      </c>
      <c r="H34" s="50">
        <f t="shared" si="8"/>
        <v>6.0979591836734697</v>
      </c>
      <c r="I34" s="50">
        <f t="shared" si="8"/>
        <v>5.3963265306122477</v>
      </c>
      <c r="R34" s="56">
        <f t="shared" si="9"/>
        <v>157.52792222698758</v>
      </c>
      <c r="S34" s="59">
        <f t="shared" si="10"/>
        <v>-2.3762830295828792</v>
      </c>
      <c r="T34" s="21"/>
      <c r="U34" s="59">
        <f t="shared" si="7"/>
        <v>-2.1600658537514619</v>
      </c>
    </row>
    <row r="35" spans="1:21">
      <c r="A35" s="12">
        <v>2014</v>
      </c>
      <c r="B35" s="13">
        <f t="shared" si="5"/>
        <v>149.6847205438068</v>
      </c>
      <c r="C35" s="14">
        <v>12</v>
      </c>
      <c r="D35" s="25">
        <f t="shared" si="11"/>
        <v>181.95136964742051</v>
      </c>
      <c r="E35" s="26">
        <f t="shared" si="6"/>
        <v>1965.4906527573125</v>
      </c>
      <c r="F35" s="50">
        <f t="shared" si="8"/>
        <v>3.5610655737704917</v>
      </c>
      <c r="G35" s="50">
        <f t="shared" si="8"/>
        <v>3.3709016393442628</v>
      </c>
      <c r="H35" s="50">
        <f t="shared" si="8"/>
        <v>5.7053278688524554</v>
      </c>
      <c r="I35" s="50">
        <f t="shared" si="8"/>
        <v>7.6934426229508226</v>
      </c>
      <c r="R35" s="56">
        <f t="shared" si="9"/>
        <v>151.58419240383554</v>
      </c>
      <c r="S35" s="59">
        <f t="shared" si="10"/>
        <v>1.8994718600287399</v>
      </c>
      <c r="T35" s="21"/>
      <c r="U35" s="59">
        <f t="shared" si="7"/>
        <v>-0.56564859951484436</v>
      </c>
    </row>
    <row r="36" spans="1:21">
      <c r="A36" s="12">
        <v>2015</v>
      </c>
      <c r="B36" s="13">
        <f t="shared" si="5"/>
        <v>145.8435263612794</v>
      </c>
      <c r="C36" s="14">
        <v>13</v>
      </c>
      <c r="D36" s="25">
        <f t="shared" si="11"/>
        <v>181.95136964742051</v>
      </c>
      <c r="E36" s="26">
        <f t="shared" si="6"/>
        <v>1965.4906527573125</v>
      </c>
      <c r="F36" s="50">
        <f t="shared" si="8"/>
        <v>3.8544061302681993</v>
      </c>
      <c r="G36" s="50">
        <f t="shared" si="8"/>
        <v>3.7615363984674333</v>
      </c>
      <c r="H36" s="50">
        <f t="shared" si="8"/>
        <v>5.4567049808429111</v>
      </c>
      <c r="I36" s="50">
        <f t="shared" si="8"/>
        <v>7.7072796934865879</v>
      </c>
      <c r="R36" s="56">
        <f t="shared" si="9"/>
        <v>143.97567504460503</v>
      </c>
      <c r="S36" s="59">
        <f t="shared" si="10"/>
        <v>-1.8678513166743755</v>
      </c>
      <c r="T36" s="21"/>
      <c r="U36" s="59">
        <f t="shared" si="7"/>
        <v>1.8386132718025578</v>
      </c>
    </row>
    <row r="37" spans="1:21">
      <c r="A37" s="12">
        <v>2016</v>
      </c>
      <c r="B37" s="13">
        <f t="shared" si="5"/>
        <v>146.57920910075865</v>
      </c>
      <c r="C37" s="14">
        <v>14</v>
      </c>
      <c r="D37" s="25">
        <f t="shared" si="11"/>
        <v>181.95136964742051</v>
      </c>
      <c r="E37" s="26">
        <f t="shared" si="6"/>
        <v>1965.4906527573125</v>
      </c>
      <c r="F37" s="50">
        <f t="shared" si="8"/>
        <v>3.6716157205240179</v>
      </c>
      <c r="G37" s="50">
        <f t="shared" si="8"/>
        <v>2.7302707423580785</v>
      </c>
      <c r="H37" s="50">
        <f t="shared" si="8"/>
        <v>5.9231441048034936</v>
      </c>
      <c r="I37" s="50">
        <f t="shared" si="8"/>
        <v>5.524890829694324</v>
      </c>
      <c r="J37" s="18">
        <f>CORREL(R23:R36,B23:B36)</f>
        <v>0.94363952548908703</v>
      </c>
      <c r="K37" s="19" t="s">
        <v>11</v>
      </c>
      <c r="R37" s="56">
        <f t="shared" si="9"/>
        <v>142.88329135401636</v>
      </c>
      <c r="S37" s="59">
        <f t="shared" si="10"/>
        <v>-3.6959177467422819</v>
      </c>
      <c r="T37" s="21"/>
      <c r="U37" s="59">
        <f t="shared" si="7"/>
        <v>6.9549028036006177</v>
      </c>
    </row>
    <row r="38" spans="1:21" ht="17" thickBot="1">
      <c r="A38" s="12">
        <v>2017</v>
      </c>
      <c r="B38" s="13">
        <f t="shared" si="5"/>
        <v>140.34942332896466</v>
      </c>
      <c r="C38" s="28">
        <v>15</v>
      </c>
      <c r="D38" s="25">
        <f t="shared" si="11"/>
        <v>181.95136964742051</v>
      </c>
      <c r="E38" s="26">
        <f t="shared" si="6"/>
        <v>1965.4906527573125</v>
      </c>
      <c r="F38" s="50">
        <f t="shared" si="8"/>
        <v>4.0559670781893011</v>
      </c>
      <c r="G38" s="50">
        <f t="shared" si="8"/>
        <v>2.7034403292181075</v>
      </c>
      <c r="H38" s="50">
        <f t="shared" si="8"/>
        <v>5.9893004115226329</v>
      </c>
      <c r="I38" s="50">
        <f t="shared" si="8"/>
        <v>6.411522633744859</v>
      </c>
      <c r="R38" s="57">
        <f t="shared" si="9"/>
        <v>134.65729038628174</v>
      </c>
      <c r="S38" s="96">
        <f t="shared" si="10"/>
        <v>-5.6921329426829175</v>
      </c>
      <c r="T38" s="21"/>
      <c r="U38" s="59">
        <f t="shared" si="7"/>
        <v>7.4713846580688141</v>
      </c>
    </row>
    <row r="39" spans="1:21" ht="17" thickBot="1">
      <c r="A39" s="97">
        <v>2018</v>
      </c>
      <c r="B39" s="13">
        <f t="shared" si="5"/>
        <v>117.32846153846154</v>
      </c>
      <c r="C39" s="28">
        <v>16</v>
      </c>
      <c r="D39" s="25">
        <f t="shared" si="11"/>
        <v>181.95136964742051</v>
      </c>
      <c r="E39" s="26">
        <f t="shared" si="11"/>
        <v>1965.4906527573125</v>
      </c>
      <c r="F39" s="50">
        <f t="shared" si="8"/>
        <v>3.8690476190476173</v>
      </c>
      <c r="G39" s="50">
        <f t="shared" si="8"/>
        <v>3.1530761904761899</v>
      </c>
      <c r="H39" s="50">
        <f t="shared" si="8"/>
        <v>5.6499999999999959</v>
      </c>
      <c r="I39" s="50">
        <f t="shared" si="8"/>
        <v>5.3076190476190508</v>
      </c>
      <c r="R39" s="57">
        <f t="shared" si="9"/>
        <v>132.74936301413689</v>
      </c>
      <c r="S39" s="96">
        <f t="shared" si="10"/>
        <v>15.42090147567535</v>
      </c>
      <c r="T39" s="21"/>
      <c r="U39" s="59">
        <f t="shared" si="7"/>
        <v>-13.262484523781168</v>
      </c>
    </row>
    <row r="40" spans="1:21" ht="17" thickBot="1">
      <c r="A40" s="20"/>
      <c r="B40" s="98">
        <f>SUM(B23:B39)</f>
        <v>2787.1907591893228</v>
      </c>
      <c r="C40" s="20"/>
      <c r="D40" s="20"/>
      <c r="E40" s="20"/>
      <c r="F40" s="20"/>
      <c r="G40" s="20"/>
      <c r="H40" s="20"/>
      <c r="I40" s="20"/>
      <c r="J40" s="20" t="s">
        <v>2</v>
      </c>
      <c r="K40" s="20"/>
      <c r="L40" s="20"/>
      <c r="M40" s="20"/>
      <c r="N40" s="20"/>
      <c r="O40" s="20"/>
      <c r="P40" s="20"/>
      <c r="Q40" s="20"/>
      <c r="R40" s="98">
        <f>SUM(R23:R39)</f>
        <v>2787.1907591893228</v>
      </c>
      <c r="S40" s="98">
        <f>SUM(S23:S39)</f>
        <v>1.1368683772161603E-13</v>
      </c>
      <c r="T40" s="21"/>
      <c r="U40" s="99">
        <f>SUM(U23:U39)</f>
        <v>1.1183942660863977E-11</v>
      </c>
    </row>
    <row r="41" spans="1:21" ht="35" thickBot="1">
      <c r="A41" s="2"/>
      <c r="B41" s="84" t="s">
        <v>15</v>
      </c>
      <c r="C41" s="135" t="s">
        <v>3</v>
      </c>
      <c r="D41" s="135"/>
      <c r="E41" s="135"/>
      <c r="F41" s="135"/>
      <c r="G41" s="135"/>
      <c r="H41" s="135"/>
      <c r="I41" s="135"/>
      <c r="J41" s="136" t="s">
        <v>4</v>
      </c>
      <c r="K41" s="136"/>
      <c r="L41" s="136"/>
      <c r="M41" s="136"/>
      <c r="N41" s="136"/>
      <c r="O41" s="136"/>
      <c r="P41" s="136"/>
      <c r="Q41" s="136"/>
      <c r="R41" s="84" t="s">
        <v>5</v>
      </c>
      <c r="S41" s="3" t="s">
        <v>6</v>
      </c>
      <c r="T41" s="22"/>
    </row>
    <row r="42" spans="1:21" ht="68">
      <c r="A42" s="5" t="s">
        <v>0</v>
      </c>
      <c r="B42" s="62" t="s">
        <v>16</v>
      </c>
      <c r="C42" s="6" t="s">
        <v>0</v>
      </c>
      <c r="D42" s="23" t="s">
        <v>7</v>
      </c>
      <c r="E42" s="7" t="s">
        <v>8</v>
      </c>
      <c r="F42" s="51" t="s">
        <v>23</v>
      </c>
      <c r="G42" s="51" t="s">
        <v>24</v>
      </c>
      <c r="H42" s="51" t="s">
        <v>25</v>
      </c>
      <c r="I42" s="52" t="s">
        <v>26</v>
      </c>
      <c r="J42" s="8" t="str">
        <f>I42</f>
        <v>TMK Tagestem-peratur</v>
      </c>
      <c r="K42" s="9" t="str">
        <f>H42</f>
        <v>NM Bedeckung</v>
      </c>
      <c r="L42" s="9" t="str">
        <f>G42</f>
        <v>SDK Sonne</v>
      </c>
      <c r="M42" s="9" t="str">
        <f>F42</f>
        <v>FM Wind</v>
      </c>
      <c r="N42" s="9" t="s">
        <v>13</v>
      </c>
      <c r="O42" s="9" t="s">
        <v>10</v>
      </c>
      <c r="P42" s="29" t="s">
        <v>0</v>
      </c>
      <c r="Q42" s="30" t="s">
        <v>1</v>
      </c>
      <c r="R42" s="55" t="s">
        <v>27</v>
      </c>
      <c r="S42" s="5"/>
      <c r="T42" s="24"/>
    </row>
    <row r="43" spans="1:21">
      <c r="A43" s="12">
        <v>2002</v>
      </c>
      <c r="B43" s="60">
        <f t="shared" ref="B43:B59" si="12">B3-U23</f>
        <v>190.36685554887987</v>
      </c>
      <c r="C43" s="14">
        <v>0</v>
      </c>
      <c r="D43" s="25">
        <f t="shared" ref="D43:E58" si="13">D23</f>
        <v>181.95136964742051</v>
      </c>
      <c r="E43" s="31">
        <f t="shared" si="13"/>
        <v>1965.4906527573125</v>
      </c>
      <c r="F43" s="50">
        <f t="shared" ref="F43:I58" si="14">F3</f>
        <v>3.8231707317073136</v>
      </c>
      <c r="G43" s="50">
        <f t="shared" si="14"/>
        <v>3.0101626016260168</v>
      </c>
      <c r="H43" s="50">
        <f t="shared" si="14"/>
        <v>5.5313008130081274</v>
      </c>
      <c r="I43" s="80">
        <f t="shared" si="14"/>
        <v>6.0101626016260097</v>
      </c>
      <c r="J43" s="27">
        <f t="array" ref="J43:Q47">LINEST(B43:B59,C43:I59,,TRUE)</f>
        <v>-0.42753706441993444</v>
      </c>
      <c r="K43" s="27">
        <v>8.2915019666755896</v>
      </c>
      <c r="L43" s="27">
        <v>4.2387175984885168</v>
      </c>
      <c r="M43" s="27">
        <v>-11.919539616316985</v>
      </c>
      <c r="N43" s="27">
        <v>0</v>
      </c>
      <c r="O43" s="27">
        <v>0</v>
      </c>
      <c r="P43" s="27">
        <v>-3.7004503776518551</v>
      </c>
      <c r="Q43" s="27">
        <v>180.13105364623542</v>
      </c>
      <c r="R43" s="15">
        <f>Q$43+P$43*C43+O$43*D43+N$43*E43+M$43*F43+L$43*G43+K$43*H43+J$43*I43</f>
        <v>190.61307213747622</v>
      </c>
      <c r="S43" s="16">
        <f>R43-B43</f>
        <v>0.24621658859635431</v>
      </c>
      <c r="T43" s="38">
        <f>LINEST(R43:R59,C43:C59)</f>
        <v>-3.5970494662923405</v>
      </c>
    </row>
    <row r="44" spans="1:21">
      <c r="A44" s="12">
        <v>2003</v>
      </c>
      <c r="B44" s="60">
        <f t="shared" si="12"/>
        <v>187.00524212158675</v>
      </c>
      <c r="C44" s="14">
        <v>1</v>
      </c>
      <c r="D44" s="25">
        <f t="shared" si="13"/>
        <v>181.95136964742051</v>
      </c>
      <c r="E44" s="31">
        <f t="shared" si="13"/>
        <v>1965.4906527573125</v>
      </c>
      <c r="F44" s="50">
        <f t="shared" si="14"/>
        <v>3.5523012552301263</v>
      </c>
      <c r="G44" s="50">
        <f t="shared" si="14"/>
        <v>3.9527196652719647</v>
      </c>
      <c r="H44" s="50">
        <f t="shared" si="14"/>
        <v>4.8142259414225919</v>
      </c>
      <c r="I44" s="80">
        <f t="shared" si="14"/>
        <v>5.3464435146443527</v>
      </c>
      <c r="J44" s="27">
        <v>1.9024283476937787</v>
      </c>
      <c r="K44" s="27">
        <v>11.907943842748352</v>
      </c>
      <c r="L44" s="27">
        <v>8.7887015905686017</v>
      </c>
      <c r="M44" s="27">
        <v>7.4075725563353236</v>
      </c>
      <c r="N44" s="27">
        <v>0</v>
      </c>
      <c r="O44" s="27">
        <v>0</v>
      </c>
      <c r="P44" s="27">
        <v>0.32231344979754356</v>
      </c>
      <c r="Q44" s="27">
        <v>101.52884155892136</v>
      </c>
      <c r="R44" s="15">
        <f t="shared" ref="R44:R59" si="15">Q$43+P$43*C44+O$43*D44+N$43*E44+M$43*F44+L$43*G44+K$43*H44+J$43*I44</f>
        <v>188.47463123084344</v>
      </c>
      <c r="S44" s="16">
        <f t="shared" ref="S44:S59" si="16">R44-B44</f>
        <v>1.4693891092566957</v>
      </c>
      <c r="T44" s="38">
        <f>LINEST(B43:B59,C43:C59)</f>
        <v>-3.5970494662923418</v>
      </c>
    </row>
    <row r="45" spans="1:21">
      <c r="A45" s="12">
        <v>2004</v>
      </c>
      <c r="B45" s="60">
        <f t="shared" si="12"/>
        <v>187.4220730415862</v>
      </c>
      <c r="C45" s="14">
        <v>2</v>
      </c>
      <c r="D45" s="25">
        <f t="shared" si="13"/>
        <v>181.95136964742051</v>
      </c>
      <c r="E45" s="31">
        <f t="shared" si="13"/>
        <v>1965.4906527573125</v>
      </c>
      <c r="F45" s="50">
        <f t="shared" si="14"/>
        <v>3.7964843750000004</v>
      </c>
      <c r="G45" s="50">
        <f t="shared" si="14"/>
        <v>3.0316406250000005</v>
      </c>
      <c r="H45" s="50">
        <f t="shared" si="14"/>
        <v>5.548437499999995</v>
      </c>
      <c r="I45" s="80">
        <f t="shared" si="14"/>
        <v>6.4304687500000002</v>
      </c>
      <c r="J45" s="83">
        <v>0.96043201517947596</v>
      </c>
      <c r="K45" s="27">
        <v>4.5063531650907409</v>
      </c>
      <c r="L45" s="27" t="e">
        <v>#N/A</v>
      </c>
      <c r="M45" s="27" t="e">
        <v>#N/A</v>
      </c>
      <c r="N45" s="27" t="e">
        <v>#N/A</v>
      </c>
      <c r="O45" s="27" t="e">
        <v>#N/A</v>
      </c>
      <c r="P45" s="27" t="e">
        <v>#N/A</v>
      </c>
      <c r="Q45" s="27" t="e">
        <v>#N/A</v>
      </c>
      <c r="R45" s="15">
        <f t="shared" si="15"/>
        <v>183.5836921608784</v>
      </c>
      <c r="S45" s="16">
        <f t="shared" si="16"/>
        <v>-3.8383808807078026</v>
      </c>
      <c r="T45" s="21"/>
    </row>
    <row r="46" spans="1:21">
      <c r="A46" s="12">
        <v>2005</v>
      </c>
      <c r="B46" s="60">
        <f t="shared" si="12"/>
        <v>182.74170515057736</v>
      </c>
      <c r="C46" s="14">
        <v>3</v>
      </c>
      <c r="D46" s="25">
        <f t="shared" si="13"/>
        <v>181.95136964742051</v>
      </c>
      <c r="E46" s="31">
        <f t="shared" si="13"/>
        <v>1965.4906527573125</v>
      </c>
      <c r="F46" s="50">
        <f t="shared" si="14"/>
        <v>3.7100775193798459</v>
      </c>
      <c r="G46" s="50">
        <f t="shared" si="14"/>
        <v>3.5271317829457378</v>
      </c>
      <c r="H46" s="50">
        <f t="shared" si="14"/>
        <v>5.3298449612403074</v>
      </c>
      <c r="I46" s="80">
        <f t="shared" si="14"/>
        <v>6.4015503875968998</v>
      </c>
      <c r="J46" s="27">
        <v>53.400506570626561</v>
      </c>
      <c r="K46" s="27">
        <v>11</v>
      </c>
      <c r="L46" s="27" t="e">
        <v>#N/A</v>
      </c>
      <c r="M46" s="27" t="e">
        <v>#N/A</v>
      </c>
      <c r="N46" s="27" t="e">
        <v>#N/A</v>
      </c>
      <c r="O46" s="27" t="e">
        <v>#N/A</v>
      </c>
      <c r="P46" s="27" t="e">
        <v>#N/A</v>
      </c>
      <c r="Q46" s="27" t="e">
        <v>#N/A</v>
      </c>
      <c r="R46" s="15">
        <f t="shared" si="15"/>
        <v>181.21332201973556</v>
      </c>
      <c r="S46" s="16">
        <f t="shared" si="16"/>
        <v>-1.528383130841803</v>
      </c>
      <c r="T46" s="21"/>
    </row>
    <row r="47" spans="1:21">
      <c r="A47" s="12">
        <v>2006</v>
      </c>
      <c r="B47" s="60">
        <f t="shared" si="12"/>
        <v>173.32243301086163</v>
      </c>
      <c r="C47" s="14">
        <v>4</v>
      </c>
      <c r="D47" s="25">
        <f t="shared" si="13"/>
        <v>181.95136964742051</v>
      </c>
      <c r="E47" s="31">
        <f t="shared" si="13"/>
        <v>1965.4906527573125</v>
      </c>
      <c r="F47" s="50">
        <f t="shared" si="14"/>
        <v>3.5042735042735047</v>
      </c>
      <c r="G47" s="50">
        <f t="shared" si="14"/>
        <v>3.002136752136753</v>
      </c>
      <c r="H47" s="50">
        <f t="shared" si="14"/>
        <v>5.6747863247863242</v>
      </c>
      <c r="I47" s="80">
        <f t="shared" si="14"/>
        <v>5.5931623931623911</v>
      </c>
      <c r="J47" s="27">
        <v>5422.0788677586106</v>
      </c>
      <c r="K47" s="27">
        <v>223.37940733375675</v>
      </c>
      <c r="L47" s="27" t="e">
        <v>#N/A</v>
      </c>
      <c r="M47" s="27" t="e">
        <v>#N/A</v>
      </c>
      <c r="N47" s="27" t="e">
        <v>#N/A</v>
      </c>
      <c r="O47" s="27" t="e">
        <v>#N/A</v>
      </c>
      <c r="P47" s="27" t="e">
        <v>#N/A</v>
      </c>
      <c r="Q47" s="27" t="e">
        <v>#N/A</v>
      </c>
      <c r="R47" s="15">
        <f t="shared" si="15"/>
        <v>180.94635290141414</v>
      </c>
      <c r="S47" s="16">
        <f t="shared" si="16"/>
        <v>7.6239198905525143</v>
      </c>
      <c r="T47" s="21"/>
    </row>
    <row r="48" spans="1:21">
      <c r="A48" s="12">
        <v>2007</v>
      </c>
      <c r="B48" s="60">
        <f t="shared" si="12"/>
        <v>167.83435846938877</v>
      </c>
      <c r="C48" s="14">
        <v>5</v>
      </c>
      <c r="D48" s="25">
        <f t="shared" si="13"/>
        <v>181.95136964742051</v>
      </c>
      <c r="E48" s="31">
        <f t="shared" si="13"/>
        <v>1965.4906527573125</v>
      </c>
      <c r="F48" s="50">
        <f t="shared" si="14"/>
        <v>4.0685039370078737</v>
      </c>
      <c r="G48" s="50">
        <f t="shared" si="14"/>
        <v>3.3078740157480335</v>
      </c>
      <c r="H48" s="50">
        <f t="shared" si="14"/>
        <v>5.6283464566929133</v>
      </c>
      <c r="I48" s="50">
        <f t="shared" si="14"/>
        <v>7.4346456692913385</v>
      </c>
      <c r="R48" s="17">
        <f t="shared" si="15"/>
        <v>170.64411083615289</v>
      </c>
      <c r="S48" s="16">
        <f t="shared" si="16"/>
        <v>2.8097523667641155</v>
      </c>
      <c r="T48" s="21"/>
    </row>
    <row r="49" spans="1:21">
      <c r="A49" s="12">
        <v>2008</v>
      </c>
      <c r="B49" s="60">
        <f t="shared" si="12"/>
        <v>172.44170645806625</v>
      </c>
      <c r="C49" s="14">
        <v>6</v>
      </c>
      <c r="D49" s="25">
        <f t="shared" si="13"/>
        <v>181.95136964742051</v>
      </c>
      <c r="E49" s="31">
        <f t="shared" si="13"/>
        <v>1965.4906527573125</v>
      </c>
      <c r="F49" s="50">
        <f t="shared" si="14"/>
        <v>3.7457831325301245</v>
      </c>
      <c r="G49" s="50">
        <f t="shared" si="14"/>
        <v>2.9730923694779117</v>
      </c>
      <c r="H49" s="50">
        <f t="shared" si="14"/>
        <v>5.7755020080321273</v>
      </c>
      <c r="I49" s="50">
        <f t="shared" si="14"/>
        <v>6.895582329317266</v>
      </c>
      <c r="R49" s="17">
        <f t="shared" si="15"/>
        <v>170.82190911803235</v>
      </c>
      <c r="S49" s="16">
        <f t="shared" si="16"/>
        <v>-1.6197973400338981</v>
      </c>
      <c r="T49" s="21"/>
    </row>
    <row r="50" spans="1:21">
      <c r="A50" s="12">
        <v>2009</v>
      </c>
      <c r="B50" s="60">
        <f t="shared" si="12"/>
        <v>168.94983106233786</v>
      </c>
      <c r="C50" s="14">
        <v>7</v>
      </c>
      <c r="D50" s="25">
        <f t="shared" si="13"/>
        <v>181.95136964742051</v>
      </c>
      <c r="E50" s="31">
        <f t="shared" si="13"/>
        <v>1965.4906527573125</v>
      </c>
      <c r="F50" s="50">
        <f t="shared" si="14"/>
        <v>3.3833333333333346</v>
      </c>
      <c r="G50" s="50">
        <f t="shared" si="14"/>
        <v>3.4939024390243927</v>
      </c>
      <c r="H50" s="50">
        <f t="shared" si="14"/>
        <v>5.5817073170731692</v>
      </c>
      <c r="I50" s="50">
        <f t="shared" si="14"/>
        <v>5.9865853658536547</v>
      </c>
      <c r="R50" s="17">
        <f t="shared" si="15"/>
        <v>172.4310411201979</v>
      </c>
      <c r="S50" s="16">
        <f t="shared" si="16"/>
        <v>3.4812100578600393</v>
      </c>
      <c r="T50" s="21"/>
    </row>
    <row r="51" spans="1:21">
      <c r="A51" s="12">
        <v>2010</v>
      </c>
      <c r="B51" s="60">
        <f t="shared" si="12"/>
        <v>170.36303728160561</v>
      </c>
      <c r="C51" s="14">
        <v>8</v>
      </c>
      <c r="D51" s="25">
        <f t="shared" si="13"/>
        <v>181.95136964742051</v>
      </c>
      <c r="E51" s="31">
        <f t="shared" si="13"/>
        <v>1965.4906527573125</v>
      </c>
      <c r="F51" s="50">
        <f t="shared" si="14"/>
        <v>3.4837638376383762</v>
      </c>
      <c r="G51" s="50">
        <f t="shared" si="14"/>
        <v>2.8361623616236176</v>
      </c>
      <c r="H51" s="50">
        <f t="shared" si="14"/>
        <v>6.083394833948339</v>
      </c>
      <c r="I51" s="50">
        <f t="shared" si="14"/>
        <v>4.7793357933579346</v>
      </c>
      <c r="R51" s="17">
        <f t="shared" si="15"/>
        <v>169.42141789755965</v>
      </c>
      <c r="S51" s="16">
        <f t="shared" si="16"/>
        <v>-0.94161938404596413</v>
      </c>
      <c r="T51" s="21"/>
    </row>
    <row r="52" spans="1:21">
      <c r="A52" s="12">
        <v>2011</v>
      </c>
      <c r="B52" s="60">
        <f t="shared" si="12"/>
        <v>161.25750524344852</v>
      </c>
      <c r="C52" s="14">
        <v>9</v>
      </c>
      <c r="D52" s="25">
        <f t="shared" si="13"/>
        <v>181.95136964742051</v>
      </c>
      <c r="E52" s="31">
        <f>E32</f>
        <v>1965.4906527573125</v>
      </c>
      <c r="F52" s="50">
        <f t="shared" si="14"/>
        <v>3.7813852813852828</v>
      </c>
      <c r="G52" s="50">
        <f t="shared" si="14"/>
        <v>3.9437229437229457</v>
      </c>
      <c r="H52" s="50">
        <f t="shared" si="14"/>
        <v>5.089177489177489</v>
      </c>
      <c r="I52" s="50">
        <f t="shared" si="14"/>
        <v>6.1714285714285717</v>
      </c>
      <c r="R52" s="17">
        <f t="shared" si="15"/>
        <v>158.0293671320307</v>
      </c>
      <c r="S52" s="16">
        <f t="shared" si="16"/>
        <v>-3.2281381114178203</v>
      </c>
      <c r="T52" s="21"/>
    </row>
    <row r="53" spans="1:21">
      <c r="A53" s="12">
        <v>2012</v>
      </c>
      <c r="B53" s="60">
        <f t="shared" si="12"/>
        <v>166.07316742755566</v>
      </c>
      <c r="C53" s="14">
        <v>10</v>
      </c>
      <c r="D53" s="25">
        <f t="shared" si="13"/>
        <v>181.95136964742051</v>
      </c>
      <c r="E53" s="31">
        <f>E33</f>
        <v>1965.4906527573125</v>
      </c>
      <c r="F53" s="50">
        <f t="shared" si="14"/>
        <v>3.6658634538152626</v>
      </c>
      <c r="G53" s="50">
        <f t="shared" si="14"/>
        <v>3.2190843373493987</v>
      </c>
      <c r="H53" s="50">
        <f t="shared" si="14"/>
        <v>5.6799196787148611</v>
      </c>
      <c r="I53" s="50">
        <f t="shared" si="14"/>
        <v>5.9337349397590353</v>
      </c>
      <c r="R53" s="17">
        <f t="shared" si="15"/>
        <v>157.63410820513195</v>
      </c>
      <c r="S53" s="16">
        <f t="shared" si="16"/>
        <v>-8.4390592224237082</v>
      </c>
      <c r="T53" s="21"/>
    </row>
    <row r="54" spans="1:21">
      <c r="A54" s="12">
        <v>2013</v>
      </c>
      <c r="B54" s="60">
        <f t="shared" si="12"/>
        <v>162.06427111032193</v>
      </c>
      <c r="C54" s="14">
        <v>11</v>
      </c>
      <c r="D54" s="25">
        <f t="shared" si="13"/>
        <v>181.95136964742051</v>
      </c>
      <c r="E54" s="31">
        <f t="shared" si="13"/>
        <v>1965.4906527573125</v>
      </c>
      <c r="F54" s="50">
        <f t="shared" si="14"/>
        <v>3.4220408163265299</v>
      </c>
      <c r="G54" s="50">
        <f t="shared" si="14"/>
        <v>2.5094530612244901</v>
      </c>
      <c r="H54" s="50">
        <f t="shared" si="14"/>
        <v>6.0979591836734697</v>
      </c>
      <c r="I54" s="50">
        <f t="shared" si="14"/>
        <v>5.3963265306122477</v>
      </c>
      <c r="R54" s="17">
        <f t="shared" si="15"/>
        <v>157.52792222698704</v>
      </c>
      <c r="S54" s="16">
        <f t="shared" si="16"/>
        <v>-4.5363488833348811</v>
      </c>
      <c r="T54" s="21"/>
    </row>
    <row r="55" spans="1:21">
      <c r="A55" s="12">
        <v>2014</v>
      </c>
      <c r="B55" s="60">
        <f t="shared" si="12"/>
        <v>150.25036914332165</v>
      </c>
      <c r="C55" s="14">
        <v>12</v>
      </c>
      <c r="D55" s="25">
        <f t="shared" si="13"/>
        <v>181.95136964742051</v>
      </c>
      <c r="E55" s="31">
        <f t="shared" si="13"/>
        <v>1965.4906527573125</v>
      </c>
      <c r="F55" s="50">
        <f t="shared" si="14"/>
        <v>3.5610655737704917</v>
      </c>
      <c r="G55" s="50">
        <f t="shared" si="14"/>
        <v>3.3709016393442628</v>
      </c>
      <c r="H55" s="50">
        <f t="shared" si="14"/>
        <v>5.7053278688524554</v>
      </c>
      <c r="I55" s="50">
        <f t="shared" si="14"/>
        <v>7.6934426229508226</v>
      </c>
      <c r="R55" s="17">
        <f t="shared" si="15"/>
        <v>151.58419240383512</v>
      </c>
      <c r="S55" s="16">
        <f t="shared" si="16"/>
        <v>1.3338232605134692</v>
      </c>
      <c r="T55" s="21"/>
    </row>
    <row r="56" spans="1:21">
      <c r="A56" s="12">
        <v>2015</v>
      </c>
      <c r="B56" s="60">
        <f t="shared" si="12"/>
        <v>144.00491308947684</v>
      </c>
      <c r="C56" s="14">
        <v>13</v>
      </c>
      <c r="D56" s="25">
        <f t="shared" si="13"/>
        <v>181.95136964742051</v>
      </c>
      <c r="E56" s="31">
        <f t="shared" si="13"/>
        <v>1965.4906527573125</v>
      </c>
      <c r="F56" s="50">
        <f t="shared" si="14"/>
        <v>3.8544061302681993</v>
      </c>
      <c r="G56" s="50">
        <f t="shared" si="14"/>
        <v>3.7615363984674333</v>
      </c>
      <c r="H56" s="50">
        <f t="shared" si="14"/>
        <v>5.4567049808429111</v>
      </c>
      <c r="I56" s="50">
        <f t="shared" si="14"/>
        <v>7.7072796934865879</v>
      </c>
      <c r="R56" s="17">
        <f t="shared" si="15"/>
        <v>143.97567504460432</v>
      </c>
      <c r="S56" s="16">
        <f t="shared" si="16"/>
        <v>-2.9238044872528235E-2</v>
      </c>
      <c r="T56" s="21"/>
    </row>
    <row r="57" spans="1:21">
      <c r="A57" s="12">
        <v>2016</v>
      </c>
      <c r="B57" s="60">
        <f t="shared" si="12"/>
        <v>139.62430629715803</v>
      </c>
      <c r="C57" s="14">
        <v>14</v>
      </c>
      <c r="D57" s="25">
        <f t="shared" si="13"/>
        <v>181.95136964742051</v>
      </c>
      <c r="E57" s="31">
        <f t="shared" si="13"/>
        <v>1965.4906527573125</v>
      </c>
      <c r="F57" s="50">
        <f t="shared" si="14"/>
        <v>3.6716157205240179</v>
      </c>
      <c r="G57" s="50">
        <f t="shared" si="14"/>
        <v>2.7302707423580785</v>
      </c>
      <c r="H57" s="50">
        <f t="shared" si="14"/>
        <v>5.9231441048034936</v>
      </c>
      <c r="I57" s="50">
        <f t="shared" si="14"/>
        <v>5.524890829694324</v>
      </c>
      <c r="J57" s="18">
        <f>CORREL(R43:R56,B43:B56)</f>
        <v>0.96166084395670537</v>
      </c>
      <c r="K57" s="19" t="s">
        <v>11</v>
      </c>
      <c r="R57" s="17">
        <f t="shared" si="15"/>
        <v>142.88329135401563</v>
      </c>
      <c r="S57" s="16">
        <f t="shared" si="16"/>
        <v>3.2589850568575969</v>
      </c>
      <c r="T57" s="21"/>
    </row>
    <row r="58" spans="1:21">
      <c r="A58" s="12">
        <v>2017</v>
      </c>
      <c r="B58" s="60">
        <f t="shared" si="12"/>
        <v>132.87803867089585</v>
      </c>
      <c r="C58" s="28">
        <v>15</v>
      </c>
      <c r="D58" s="25">
        <f t="shared" si="13"/>
        <v>181.95136964742051</v>
      </c>
      <c r="E58" s="31">
        <f t="shared" si="13"/>
        <v>1965.4906527573125</v>
      </c>
      <c r="F58" s="50">
        <f t="shared" si="14"/>
        <v>4.0559670781893011</v>
      </c>
      <c r="G58" s="50">
        <f t="shared" si="14"/>
        <v>2.7034403292181075</v>
      </c>
      <c r="H58" s="50">
        <f t="shared" si="14"/>
        <v>5.9893004115226329</v>
      </c>
      <c r="I58" s="50">
        <f t="shared" si="14"/>
        <v>6.411522633744859</v>
      </c>
      <c r="R58" s="17">
        <f t="shared" si="15"/>
        <v>134.65729038628072</v>
      </c>
      <c r="S58" s="16">
        <f t="shared" si="16"/>
        <v>1.7792517153848735</v>
      </c>
      <c r="T58" s="21"/>
    </row>
    <row r="59" spans="1:21">
      <c r="A59" s="97">
        <v>2018</v>
      </c>
      <c r="B59" s="60">
        <f t="shared" si="12"/>
        <v>130.59094606224272</v>
      </c>
      <c r="C59" s="28">
        <v>16</v>
      </c>
      <c r="D59" s="25">
        <f t="shared" ref="D59:E59" si="17">D39</f>
        <v>181.95136964742051</v>
      </c>
      <c r="E59" s="31">
        <f t="shared" si="17"/>
        <v>1965.4906527573125</v>
      </c>
      <c r="F59" s="50">
        <f t="shared" ref="F59:I59" si="18">F19</f>
        <v>3.8690476190476173</v>
      </c>
      <c r="G59" s="50">
        <f t="shared" si="18"/>
        <v>3.1530761904761899</v>
      </c>
      <c r="H59" s="50">
        <f t="shared" si="18"/>
        <v>5.6499999999999959</v>
      </c>
      <c r="I59" s="50">
        <f t="shared" si="18"/>
        <v>5.3076190476190508</v>
      </c>
      <c r="R59" s="17">
        <f t="shared" si="15"/>
        <v>132.74936301413601</v>
      </c>
      <c r="S59" s="16">
        <f t="shared" si="16"/>
        <v>2.1584169518932868</v>
      </c>
      <c r="T59" s="21"/>
    </row>
    <row r="60" spans="1:21" ht="17" thickBot="1">
      <c r="A60" s="20"/>
      <c r="B60" s="98">
        <f>SUM(B43:B59)</f>
        <v>2787.1907591893114</v>
      </c>
      <c r="C60" s="20"/>
      <c r="D60" s="20"/>
      <c r="E60" s="20"/>
      <c r="F60" s="20"/>
      <c r="G60" s="20"/>
      <c r="H60" s="20"/>
      <c r="I60" s="20"/>
      <c r="J60" s="20" t="s">
        <v>2</v>
      </c>
      <c r="K60" s="20"/>
      <c r="L60" s="20"/>
      <c r="M60" s="20"/>
      <c r="N60" s="20"/>
      <c r="O60" s="20"/>
      <c r="P60" s="20"/>
      <c r="Q60" s="20"/>
      <c r="R60" s="98">
        <f>SUM(R43:R59)</f>
        <v>2787.1907591893123</v>
      </c>
      <c r="S60" s="98">
        <f>SUM(S43:S59)</f>
        <v>5.4001247917767614E-13</v>
      </c>
      <c r="T60" s="21"/>
      <c r="U60" t="s">
        <v>2</v>
      </c>
    </row>
    <row r="61" spans="1:21" ht="34">
      <c r="A61" s="86"/>
      <c r="B61" s="84" t="s">
        <v>15</v>
      </c>
      <c r="C61" s="139" t="s">
        <v>3</v>
      </c>
      <c r="D61" s="140"/>
      <c r="E61" s="140"/>
      <c r="F61" s="140"/>
      <c r="G61" s="140"/>
      <c r="H61" s="141" t="s">
        <v>4</v>
      </c>
      <c r="I61" s="140"/>
      <c r="J61" s="140"/>
      <c r="K61" s="140"/>
      <c r="L61" s="140"/>
      <c r="M61" s="140"/>
      <c r="N61" s="55" t="s">
        <v>27</v>
      </c>
      <c r="O61" s="39" t="s">
        <v>6</v>
      </c>
      <c r="P61" s="2"/>
      <c r="Q61" s="2"/>
      <c r="R61" s="84" t="s">
        <v>2</v>
      </c>
      <c r="S61" s="3" t="s">
        <v>2</v>
      </c>
      <c r="T61" s="22"/>
    </row>
    <row r="62" spans="1:21" ht="51">
      <c r="A62" s="5" t="s">
        <v>0</v>
      </c>
      <c r="B62" s="62" t="s">
        <v>16</v>
      </c>
      <c r="C62" s="6" t="s">
        <v>0</v>
      </c>
      <c r="D62" s="51" t="s">
        <v>23</v>
      </c>
      <c r="E62" s="51" t="s">
        <v>24</v>
      </c>
      <c r="F62" s="51" t="s">
        <v>25</v>
      </c>
      <c r="G62" s="52" t="s">
        <v>26</v>
      </c>
      <c r="H62" s="52" t="s">
        <v>26</v>
      </c>
      <c r="I62" s="40" t="str">
        <f>F62</f>
        <v>NM Bedeckung</v>
      </c>
      <c r="J62" s="40" t="str">
        <f>E62</f>
        <v>SDK Sonne</v>
      </c>
      <c r="K62" s="40" t="str">
        <f>D62</f>
        <v>FM Wind</v>
      </c>
      <c r="L62" s="40" t="s">
        <v>0</v>
      </c>
      <c r="M62" s="100" t="s">
        <v>1</v>
      </c>
      <c r="N62" s="11" t="str">
        <f>B62</f>
        <v>Mittel-wert korrigiert</v>
      </c>
      <c r="O62" s="5"/>
      <c r="P62" s="24"/>
      <c r="Q62" t="s">
        <v>14</v>
      </c>
    </row>
    <row r="63" spans="1:21">
      <c r="A63" s="12">
        <v>2002</v>
      </c>
      <c r="B63" s="61">
        <f t="shared" ref="B63:B79" si="19">B43</f>
        <v>190.36685554887987</v>
      </c>
      <c r="C63" s="41">
        <v>0</v>
      </c>
      <c r="D63" s="47">
        <f t="shared" ref="D63:G79" si="20">F3</f>
        <v>3.8231707317073136</v>
      </c>
      <c r="E63" s="47">
        <f t="shared" si="20"/>
        <v>3.0101626016260168</v>
      </c>
      <c r="F63" s="47">
        <f t="shared" si="20"/>
        <v>5.5313008130081274</v>
      </c>
      <c r="G63" s="82">
        <f t="shared" si="20"/>
        <v>6.0101626016260097</v>
      </c>
      <c r="H63" s="27">
        <f t="array" ref="H63:M67">LINEST(B63:B79,C63:G79,,TRUE)</f>
        <v>-0.42753706441993444</v>
      </c>
      <c r="I63" s="27">
        <v>8.2915019666755896</v>
      </c>
      <c r="J63" s="27">
        <v>4.2387175984885168</v>
      </c>
      <c r="K63" s="27">
        <v>-11.919539616316985</v>
      </c>
      <c r="L63" s="27">
        <v>-3.7004503776518551</v>
      </c>
      <c r="M63" s="27">
        <v>180.13105364623542</v>
      </c>
      <c r="N63" s="15">
        <f>H$63*G63+I$63*F63+J$63*E63+K$63*D63+L$63*C63+M$63</f>
        <v>190.61307213747619</v>
      </c>
      <c r="O63" s="16">
        <f t="shared" ref="O63:O79" si="21">N63-B63</f>
        <v>0.24621658859632589</v>
      </c>
      <c r="P63" s="38">
        <f>LINEST(N63:N79,C63:C79)</f>
        <v>-3.5970494662923409</v>
      </c>
      <c r="Q63" t="s">
        <v>2</v>
      </c>
    </row>
    <row r="64" spans="1:21">
      <c r="A64" s="12">
        <v>2003</v>
      </c>
      <c r="B64" s="61">
        <f t="shared" si="19"/>
        <v>187.00524212158675</v>
      </c>
      <c r="C64" s="41">
        <v>1</v>
      </c>
      <c r="D64" s="47">
        <f t="shared" si="20"/>
        <v>3.5523012552301263</v>
      </c>
      <c r="E64" s="47">
        <f t="shared" si="20"/>
        <v>3.9527196652719647</v>
      </c>
      <c r="F64" s="47">
        <f t="shared" si="20"/>
        <v>4.8142259414225919</v>
      </c>
      <c r="G64" s="82">
        <f t="shared" si="20"/>
        <v>5.3464435146443527</v>
      </c>
      <c r="H64" s="27">
        <v>1.9024283476937787</v>
      </c>
      <c r="I64" s="27">
        <v>11.907943842748352</v>
      </c>
      <c r="J64" s="27">
        <v>8.7887015905686017</v>
      </c>
      <c r="K64" s="27">
        <v>7.4075725563353236</v>
      </c>
      <c r="L64" s="27">
        <v>0.32231344979754356</v>
      </c>
      <c r="M64" s="27">
        <v>101.52884155892136</v>
      </c>
      <c r="N64" s="15">
        <f t="shared" ref="N64:N79" si="22">H$63*G64+I$63*F64+J$63*E64+K$63*D64+L$63*C64+M$63</f>
        <v>188.47463123084344</v>
      </c>
      <c r="O64" s="16">
        <f t="shared" si="21"/>
        <v>1.4693891092566957</v>
      </c>
      <c r="P64" s="38">
        <f>LINEST(B63:B79,C63:C79)</f>
        <v>-3.5970494662923418</v>
      </c>
      <c r="Q64" t="s">
        <v>2</v>
      </c>
    </row>
    <row r="65" spans="1:31">
      <c r="A65" s="12">
        <v>2004</v>
      </c>
      <c r="B65" s="61">
        <f t="shared" si="19"/>
        <v>187.4220730415862</v>
      </c>
      <c r="C65" s="41">
        <v>2</v>
      </c>
      <c r="D65" s="47">
        <f t="shared" si="20"/>
        <v>3.7964843750000004</v>
      </c>
      <c r="E65" s="47">
        <f t="shared" si="20"/>
        <v>3.0316406250000005</v>
      </c>
      <c r="F65" s="47">
        <f t="shared" si="20"/>
        <v>5.548437499999995</v>
      </c>
      <c r="G65" s="82">
        <f t="shared" si="20"/>
        <v>6.4304687500000002</v>
      </c>
      <c r="H65" s="27">
        <v>0.96043201517947596</v>
      </c>
      <c r="I65" s="27">
        <v>4.5063531650907409</v>
      </c>
      <c r="J65" s="27" t="e">
        <v>#N/A</v>
      </c>
      <c r="K65" s="27" t="e">
        <v>#N/A</v>
      </c>
      <c r="L65" s="27" t="e">
        <v>#N/A</v>
      </c>
      <c r="M65" s="27" t="e">
        <v>#N/A</v>
      </c>
      <c r="N65" s="15">
        <f t="shared" si="22"/>
        <v>183.58369216087843</v>
      </c>
      <c r="O65" s="16">
        <f t="shared" si="21"/>
        <v>-3.8383808807077742</v>
      </c>
      <c r="P65" s="21"/>
      <c r="Q65" t="s">
        <v>2</v>
      </c>
    </row>
    <row r="66" spans="1:31">
      <c r="A66" s="12">
        <v>2005</v>
      </c>
      <c r="B66" s="61">
        <f t="shared" si="19"/>
        <v>182.74170515057736</v>
      </c>
      <c r="C66" s="41">
        <v>3</v>
      </c>
      <c r="D66" s="47">
        <f t="shared" si="20"/>
        <v>3.7100775193798459</v>
      </c>
      <c r="E66" s="47">
        <f t="shared" si="20"/>
        <v>3.5271317829457378</v>
      </c>
      <c r="F66" s="47">
        <f t="shared" si="20"/>
        <v>5.3298449612403074</v>
      </c>
      <c r="G66" s="82">
        <f t="shared" si="20"/>
        <v>6.4015503875968998</v>
      </c>
      <c r="H66" s="27">
        <v>53.400506570626561</v>
      </c>
      <c r="I66" s="27">
        <v>11</v>
      </c>
      <c r="J66" s="27" t="e">
        <v>#N/A</v>
      </c>
      <c r="K66" s="27" t="e">
        <v>#N/A</v>
      </c>
      <c r="L66" s="27" t="e">
        <v>#N/A</v>
      </c>
      <c r="M66" s="27" t="e">
        <v>#N/A</v>
      </c>
      <c r="N66" s="15">
        <f t="shared" si="22"/>
        <v>181.21332201973553</v>
      </c>
      <c r="O66" s="16">
        <f t="shared" si="21"/>
        <v>-1.5283831308418314</v>
      </c>
      <c r="P66" s="21"/>
      <c r="Q66" t="s">
        <v>2</v>
      </c>
    </row>
    <row r="67" spans="1:31">
      <c r="A67" s="12">
        <v>2006</v>
      </c>
      <c r="B67" s="61">
        <f t="shared" si="19"/>
        <v>173.32243301086163</v>
      </c>
      <c r="C67" s="41">
        <v>4</v>
      </c>
      <c r="D67" s="47">
        <f t="shared" si="20"/>
        <v>3.5042735042735047</v>
      </c>
      <c r="E67" s="47">
        <f t="shared" si="20"/>
        <v>3.002136752136753</v>
      </c>
      <c r="F67" s="47">
        <f t="shared" si="20"/>
        <v>5.6747863247863242</v>
      </c>
      <c r="G67" s="82">
        <f t="shared" si="20"/>
        <v>5.5931623931623911</v>
      </c>
      <c r="H67" s="27">
        <v>5422.0788677586106</v>
      </c>
      <c r="I67" s="27">
        <v>223.37940733375675</v>
      </c>
      <c r="J67" s="27" t="e">
        <v>#N/A</v>
      </c>
      <c r="K67" s="27" t="e">
        <v>#N/A</v>
      </c>
      <c r="L67" s="27" t="e">
        <v>#N/A</v>
      </c>
      <c r="M67" s="27" t="e">
        <v>#N/A</v>
      </c>
      <c r="N67" s="15">
        <f t="shared" si="22"/>
        <v>180.94635290141414</v>
      </c>
      <c r="O67" s="16">
        <f t="shared" si="21"/>
        <v>7.6239198905525143</v>
      </c>
      <c r="P67" s="21"/>
      <c r="Q67" t="s">
        <v>2</v>
      </c>
    </row>
    <row r="68" spans="1:31">
      <c r="A68" s="12">
        <v>2007</v>
      </c>
      <c r="B68" s="61">
        <f t="shared" si="19"/>
        <v>167.83435846938877</v>
      </c>
      <c r="C68" s="41">
        <v>5</v>
      </c>
      <c r="D68" s="47">
        <f t="shared" si="20"/>
        <v>4.0685039370078737</v>
      </c>
      <c r="E68" s="47">
        <f t="shared" si="20"/>
        <v>3.3078740157480335</v>
      </c>
      <c r="F68" s="47">
        <f t="shared" si="20"/>
        <v>5.6283464566929133</v>
      </c>
      <c r="G68" s="47">
        <f t="shared" si="20"/>
        <v>7.4346456692913385</v>
      </c>
      <c r="N68" s="17">
        <f t="shared" si="22"/>
        <v>170.64411083615292</v>
      </c>
      <c r="O68" s="16">
        <f t="shared" si="21"/>
        <v>2.809752366764144</v>
      </c>
      <c r="P68" s="21"/>
      <c r="Q68" t="s">
        <v>2</v>
      </c>
    </row>
    <row r="69" spans="1:31">
      <c r="A69" s="12">
        <v>2008</v>
      </c>
      <c r="B69" s="61">
        <f t="shared" si="19"/>
        <v>172.44170645806625</v>
      </c>
      <c r="C69" s="41">
        <v>6</v>
      </c>
      <c r="D69" s="47">
        <f t="shared" si="20"/>
        <v>3.7457831325301245</v>
      </c>
      <c r="E69" s="47">
        <f t="shared" si="20"/>
        <v>2.9730923694779117</v>
      </c>
      <c r="F69" s="47">
        <f t="shared" si="20"/>
        <v>5.7755020080321273</v>
      </c>
      <c r="G69" s="47">
        <f t="shared" si="20"/>
        <v>6.895582329317266</v>
      </c>
      <c r="N69" s="17">
        <f t="shared" si="22"/>
        <v>170.82190911803241</v>
      </c>
      <c r="O69" s="16">
        <f t="shared" si="21"/>
        <v>-1.6197973400338412</v>
      </c>
      <c r="P69" s="21"/>
      <c r="Q69" t="s">
        <v>2</v>
      </c>
    </row>
    <row r="70" spans="1:31">
      <c r="A70" s="12">
        <v>2009</v>
      </c>
      <c r="B70" s="61">
        <f t="shared" si="19"/>
        <v>168.94983106233786</v>
      </c>
      <c r="C70" s="41">
        <v>7</v>
      </c>
      <c r="D70" s="47">
        <f t="shared" si="20"/>
        <v>3.3833333333333346</v>
      </c>
      <c r="E70" s="47">
        <f t="shared" si="20"/>
        <v>3.4939024390243927</v>
      </c>
      <c r="F70" s="47">
        <f t="shared" si="20"/>
        <v>5.5817073170731692</v>
      </c>
      <c r="G70" s="47">
        <f t="shared" si="20"/>
        <v>5.9865853658536547</v>
      </c>
      <c r="N70" s="17">
        <f t="shared" si="22"/>
        <v>172.4310411201979</v>
      </c>
      <c r="O70" s="16">
        <f t="shared" si="21"/>
        <v>3.4812100578600393</v>
      </c>
      <c r="P70" s="21"/>
      <c r="Q70" t="s">
        <v>2</v>
      </c>
    </row>
    <row r="71" spans="1:31">
      <c r="A71" s="12">
        <v>2010</v>
      </c>
      <c r="B71" s="61">
        <f t="shared" si="19"/>
        <v>170.36303728160561</v>
      </c>
      <c r="C71" s="41">
        <v>8</v>
      </c>
      <c r="D71" s="47">
        <f t="shared" si="20"/>
        <v>3.4837638376383762</v>
      </c>
      <c r="E71" s="47">
        <f t="shared" si="20"/>
        <v>2.8361623616236176</v>
      </c>
      <c r="F71" s="47">
        <f t="shared" si="20"/>
        <v>6.083394833948339</v>
      </c>
      <c r="G71" s="47">
        <f t="shared" si="20"/>
        <v>4.7793357933579346</v>
      </c>
      <c r="N71" s="17">
        <f t="shared" si="22"/>
        <v>169.42141789755965</v>
      </c>
      <c r="O71" s="16">
        <f t="shared" si="21"/>
        <v>-0.94161938404596413</v>
      </c>
      <c r="P71" s="21"/>
      <c r="Q71" t="s">
        <v>2</v>
      </c>
    </row>
    <row r="72" spans="1:31">
      <c r="A72" s="12">
        <v>2011</v>
      </c>
      <c r="B72" s="61">
        <f t="shared" si="19"/>
        <v>161.25750524344852</v>
      </c>
      <c r="C72" s="41">
        <v>9</v>
      </c>
      <c r="D72" s="47">
        <f t="shared" si="20"/>
        <v>3.7813852813852828</v>
      </c>
      <c r="E72" s="47">
        <f t="shared" si="20"/>
        <v>3.9437229437229457</v>
      </c>
      <c r="F72" s="47">
        <f t="shared" si="20"/>
        <v>5.089177489177489</v>
      </c>
      <c r="G72" s="47">
        <f t="shared" si="20"/>
        <v>6.1714285714285717</v>
      </c>
      <c r="N72" s="17">
        <f t="shared" si="22"/>
        <v>158.02936713203067</v>
      </c>
      <c r="O72" s="16">
        <f t="shared" si="21"/>
        <v>-3.2281381114178487</v>
      </c>
      <c r="P72" s="21"/>
      <c r="Q72" t="s">
        <v>2</v>
      </c>
    </row>
    <row r="73" spans="1:31">
      <c r="A73" s="12">
        <v>2012</v>
      </c>
      <c r="B73" s="61">
        <f t="shared" si="19"/>
        <v>166.07316742755566</v>
      </c>
      <c r="C73" s="41">
        <v>10</v>
      </c>
      <c r="D73" s="47">
        <f t="shared" si="20"/>
        <v>3.6658634538152626</v>
      </c>
      <c r="E73" s="47">
        <f t="shared" si="20"/>
        <v>3.2190843373493987</v>
      </c>
      <c r="F73" s="47">
        <f t="shared" si="20"/>
        <v>5.6799196787148611</v>
      </c>
      <c r="G73" s="47">
        <f t="shared" si="20"/>
        <v>5.9337349397590353</v>
      </c>
      <c r="N73" s="17">
        <f t="shared" si="22"/>
        <v>157.63410820513195</v>
      </c>
      <c r="O73" s="16">
        <f t="shared" si="21"/>
        <v>-8.4390592224237082</v>
      </c>
      <c r="P73" s="21"/>
      <c r="Q73" t="s">
        <v>2</v>
      </c>
    </row>
    <row r="74" spans="1:31">
      <c r="A74" s="12">
        <v>2013</v>
      </c>
      <c r="B74" s="61">
        <f t="shared" si="19"/>
        <v>162.06427111032193</v>
      </c>
      <c r="C74" s="41">
        <v>11</v>
      </c>
      <c r="D74" s="47">
        <f t="shared" si="20"/>
        <v>3.4220408163265299</v>
      </c>
      <c r="E74" s="47">
        <f t="shared" si="20"/>
        <v>2.5094530612244901</v>
      </c>
      <c r="F74" s="47">
        <f t="shared" si="20"/>
        <v>6.0979591836734697</v>
      </c>
      <c r="G74" s="47">
        <f t="shared" si="20"/>
        <v>5.3963265306122477</v>
      </c>
      <c r="N74" s="17">
        <f t="shared" si="22"/>
        <v>157.52792222698702</v>
      </c>
      <c r="O74" s="16">
        <f t="shared" si="21"/>
        <v>-4.5363488833349095</v>
      </c>
      <c r="P74" s="21"/>
      <c r="Q74" t="s">
        <v>2</v>
      </c>
    </row>
    <row r="75" spans="1:31">
      <c r="A75" s="12">
        <v>2014</v>
      </c>
      <c r="B75" s="61">
        <f t="shared" si="19"/>
        <v>150.25036914332165</v>
      </c>
      <c r="C75" s="41">
        <v>12</v>
      </c>
      <c r="D75" s="47">
        <f t="shared" si="20"/>
        <v>3.5610655737704917</v>
      </c>
      <c r="E75" s="47">
        <f t="shared" si="20"/>
        <v>3.3709016393442628</v>
      </c>
      <c r="F75" s="47">
        <f t="shared" si="20"/>
        <v>5.7053278688524554</v>
      </c>
      <c r="G75" s="47">
        <f t="shared" si="20"/>
        <v>7.6934426229508226</v>
      </c>
      <c r="N75" s="17">
        <f t="shared" si="22"/>
        <v>151.58419240383512</v>
      </c>
      <c r="O75" s="16">
        <f t="shared" si="21"/>
        <v>1.3338232605134692</v>
      </c>
      <c r="P75" s="21"/>
      <c r="Q75" t="s">
        <v>2</v>
      </c>
    </row>
    <row r="76" spans="1:31">
      <c r="A76" s="12">
        <v>2015</v>
      </c>
      <c r="B76" s="61">
        <f t="shared" si="19"/>
        <v>144.00491308947684</v>
      </c>
      <c r="C76" s="41">
        <v>13</v>
      </c>
      <c r="D76" s="47">
        <f t="shared" si="20"/>
        <v>3.8544061302681993</v>
      </c>
      <c r="E76" s="47">
        <f t="shared" si="20"/>
        <v>3.7615363984674333</v>
      </c>
      <c r="F76" s="47">
        <f t="shared" si="20"/>
        <v>5.4567049808429111</v>
      </c>
      <c r="G76" s="47">
        <f t="shared" si="20"/>
        <v>7.7072796934865879</v>
      </c>
      <c r="N76" s="17">
        <f t="shared" si="22"/>
        <v>143.97567504460432</v>
      </c>
      <c r="O76" s="16">
        <f t="shared" si="21"/>
        <v>-2.9238044872528235E-2</v>
      </c>
      <c r="P76" s="21"/>
    </row>
    <row r="77" spans="1:31">
      <c r="A77" s="12">
        <v>2016</v>
      </c>
      <c r="B77" s="61">
        <f t="shared" si="19"/>
        <v>139.62430629715803</v>
      </c>
      <c r="C77" s="41">
        <v>14</v>
      </c>
      <c r="D77" s="47">
        <f t="shared" si="20"/>
        <v>3.6716157205240179</v>
      </c>
      <c r="E77" s="47">
        <f t="shared" si="20"/>
        <v>2.7302707423580785</v>
      </c>
      <c r="F77" s="47">
        <f t="shared" si="20"/>
        <v>5.9231441048034936</v>
      </c>
      <c r="G77" s="47">
        <f t="shared" si="20"/>
        <v>5.524890829694324</v>
      </c>
      <c r="H77" s="18">
        <f>CORREL(N63:N76,B63:B76)</f>
        <v>0.96166084395670515</v>
      </c>
      <c r="I77" s="19" t="s">
        <v>11</v>
      </c>
      <c r="N77" s="17">
        <f t="shared" si="22"/>
        <v>142.88329135401563</v>
      </c>
      <c r="O77" s="16">
        <f t="shared" si="21"/>
        <v>3.2589850568575969</v>
      </c>
      <c r="P77" s="21"/>
    </row>
    <row r="78" spans="1:31">
      <c r="A78" s="12">
        <v>2017</v>
      </c>
      <c r="B78" s="61">
        <f t="shared" si="19"/>
        <v>132.87803867089585</v>
      </c>
      <c r="C78" s="42">
        <v>15</v>
      </c>
      <c r="D78" s="47">
        <f t="shared" si="20"/>
        <v>4.0559670781893011</v>
      </c>
      <c r="E78" s="47">
        <f t="shared" si="20"/>
        <v>2.7034403292181075</v>
      </c>
      <c r="F78" s="47">
        <f t="shared" si="20"/>
        <v>5.9893004115226329</v>
      </c>
      <c r="G78" s="47">
        <f t="shared" si="20"/>
        <v>6.411522633744859</v>
      </c>
      <c r="N78" s="17">
        <f t="shared" si="22"/>
        <v>134.65729038628075</v>
      </c>
      <c r="O78" s="16">
        <f t="shared" si="21"/>
        <v>1.7792517153849019</v>
      </c>
      <c r="P78" s="21"/>
    </row>
    <row r="79" spans="1:31">
      <c r="A79" s="97">
        <v>2018</v>
      </c>
      <c r="B79" s="61">
        <f t="shared" si="19"/>
        <v>130.59094606224272</v>
      </c>
      <c r="C79" s="42">
        <v>16</v>
      </c>
      <c r="D79" s="47">
        <f t="shared" si="20"/>
        <v>3.8690476190476173</v>
      </c>
      <c r="E79" s="47">
        <f t="shared" si="20"/>
        <v>3.1530761904761899</v>
      </c>
      <c r="F79" s="47">
        <f t="shared" si="20"/>
        <v>5.6499999999999959</v>
      </c>
      <c r="G79" s="47">
        <f t="shared" si="20"/>
        <v>5.3076190476190508</v>
      </c>
      <c r="N79" s="17">
        <f t="shared" si="22"/>
        <v>132.74936301413598</v>
      </c>
      <c r="O79" s="16">
        <f t="shared" si="21"/>
        <v>2.1584169518932583</v>
      </c>
      <c r="P79" s="21"/>
    </row>
    <row r="80" spans="1:31">
      <c r="A80" s="20"/>
      <c r="B80" s="98">
        <f>SUM(B63:B79)</f>
        <v>2787.1907591893114</v>
      </c>
      <c r="C80" s="20"/>
      <c r="D80" s="20"/>
      <c r="E80" s="20"/>
      <c r="F80" s="20"/>
      <c r="G80" s="20"/>
      <c r="H80" s="20"/>
      <c r="I80" s="20"/>
      <c r="J80" s="20" t="s">
        <v>2</v>
      </c>
      <c r="K80" s="20"/>
      <c r="L80" s="20"/>
      <c r="M80" s="20"/>
      <c r="N80" s="98">
        <f>SUM(N63:N79)</f>
        <v>2787.1907591893123</v>
      </c>
      <c r="O80" s="98">
        <f>SUM(O63:O79)</f>
        <v>5.4001247917767614E-13</v>
      </c>
      <c r="P80" s="20"/>
      <c r="Q80" s="20"/>
      <c r="R80" s="20"/>
      <c r="S80" s="74"/>
      <c r="T80" s="74"/>
      <c r="U80" s="74" t="s">
        <v>2</v>
      </c>
      <c r="V80" s="74"/>
      <c r="W80" s="74"/>
      <c r="X80" s="74"/>
      <c r="Y80" s="74"/>
      <c r="Z80" s="74"/>
      <c r="AA80" s="74"/>
      <c r="AB80" s="74"/>
      <c r="AC80" s="74"/>
      <c r="AD80" s="74"/>
      <c r="AE80" s="74"/>
    </row>
    <row r="81" spans="1:37" ht="18" thickBot="1">
      <c r="A81" s="86"/>
      <c r="B81" s="84" t="s">
        <v>15</v>
      </c>
      <c r="C81" s="139" t="s">
        <v>3</v>
      </c>
      <c r="D81" s="140"/>
      <c r="E81" s="140"/>
      <c r="F81" s="140"/>
      <c r="G81" s="140"/>
      <c r="H81" s="85" t="s">
        <v>2</v>
      </c>
      <c r="I81" s="142" t="s">
        <v>4</v>
      </c>
      <c r="J81" s="143"/>
      <c r="K81" s="143"/>
      <c r="L81" s="143"/>
      <c r="M81" s="143"/>
      <c r="N81" s="143"/>
      <c r="O81" s="144"/>
      <c r="P81" s="2"/>
      <c r="Q81" s="2"/>
      <c r="R81" s="84" t="s">
        <v>2</v>
      </c>
      <c r="S81" s="3" t="s">
        <v>2</v>
      </c>
      <c r="T81" s="22"/>
    </row>
    <row r="82" spans="1:37" ht="52" thickBot="1">
      <c r="A82" s="5" t="s">
        <v>0</v>
      </c>
      <c r="B82" s="62" t="s">
        <v>16</v>
      </c>
      <c r="C82" s="6" t="s">
        <v>0</v>
      </c>
      <c r="D82" s="51" t="s">
        <v>22</v>
      </c>
      <c r="E82" s="51" t="s">
        <v>23</v>
      </c>
      <c r="F82" s="51" t="s">
        <v>24</v>
      </c>
      <c r="G82" s="51" t="s">
        <v>25</v>
      </c>
      <c r="H82" s="53" t="s">
        <v>26</v>
      </c>
      <c r="I82" s="53" t="s">
        <v>26</v>
      </c>
      <c r="J82" s="53" t="s">
        <v>25</v>
      </c>
      <c r="K82" s="53" t="s">
        <v>24</v>
      </c>
      <c r="L82" s="53" t="s">
        <v>23</v>
      </c>
      <c r="M82" s="53" t="s">
        <v>22</v>
      </c>
      <c r="N82" s="6" t="s">
        <v>0</v>
      </c>
      <c r="O82" s="53" t="s">
        <v>1</v>
      </c>
      <c r="P82" s="101" t="s">
        <v>27</v>
      </c>
      <c r="Q82" s="24"/>
      <c r="R82" t="s">
        <v>2</v>
      </c>
      <c r="X82" s="76" t="s">
        <v>17</v>
      </c>
      <c r="Y82" s="77" t="s">
        <v>18</v>
      </c>
      <c r="Z82" s="145" t="s">
        <v>19</v>
      </c>
      <c r="AA82" s="145"/>
      <c r="AB82" s="145"/>
      <c r="AC82" s="102" t="s">
        <v>29</v>
      </c>
      <c r="AD82" s="103" t="s">
        <v>21</v>
      </c>
      <c r="AE82" s="104" t="s">
        <v>28</v>
      </c>
    </row>
    <row r="83" spans="1:37" ht="24">
      <c r="A83" s="12">
        <v>2002</v>
      </c>
      <c r="B83" s="61">
        <f t="shared" ref="B83:B99" si="23">B63</f>
        <v>190.36685554887987</v>
      </c>
      <c r="C83" s="41">
        <v>0</v>
      </c>
      <c r="D83" s="49">
        <f>C83*C83</f>
        <v>0</v>
      </c>
      <c r="E83" s="47">
        <f>F3</f>
        <v>3.8231707317073136</v>
      </c>
      <c r="F83" s="47">
        <f t="shared" ref="F83:H83" si="24">G3</f>
        <v>3.0101626016260168</v>
      </c>
      <c r="G83" s="47">
        <f t="shared" si="24"/>
        <v>5.5313008130081274</v>
      </c>
      <c r="H83" s="47">
        <f t="shared" si="24"/>
        <v>6.0101626016260097</v>
      </c>
      <c r="I83" s="27">
        <f t="array" ref="I83:O87">LINEST(B83:B99,C83:H99,,TRUE)</f>
        <v>-0.57173224081203922</v>
      </c>
      <c r="J83" s="27">
        <v>-4.038173785515923</v>
      </c>
      <c r="K83" s="27">
        <v>-4.1969625216704154</v>
      </c>
      <c r="L83" s="27">
        <v>-8.4195326722415871</v>
      </c>
      <c r="M83" s="27">
        <v>-0.10559288736475293</v>
      </c>
      <c r="N83" s="27">
        <v>-1.8101380888926202</v>
      </c>
      <c r="O83" s="27">
        <v>258.5948892080757</v>
      </c>
      <c r="P83" s="16">
        <f>I$83*H83+J$83*G83+K$83*F83+L$83*E83+M$83*D83+N$83*C83+O$83</f>
        <v>187.99948102298521</v>
      </c>
      <c r="Q83" s="38">
        <f>LINEST(P83:P99,C83:C99)</f>
        <v>-3.5970494662923422</v>
      </c>
      <c r="R83" t="s">
        <v>2</v>
      </c>
      <c r="W83" s="75">
        <v>2002</v>
      </c>
      <c r="X83" s="79">
        <v>1</v>
      </c>
      <c r="Y83" s="78">
        <v>1</v>
      </c>
      <c r="Z83" s="66">
        <f t="array" ref="Z83:AB87">LINEST(P83:P98,X83:Y98,,TRUE)</f>
        <v>-1.4429861291299317</v>
      </c>
      <c r="AA83" s="65">
        <v>-0.12048279114678566</v>
      </c>
      <c r="AB83" s="67">
        <v>189.54608512151404</v>
      </c>
      <c r="AC83" s="105">
        <f>Z$83*Y83+AA$83*X83+AB$83</f>
        <v>187.98261620123733</v>
      </c>
      <c r="AD83" s="106">
        <f>2*AA$83*Y83+Z$83</f>
        <v>-1.683951711423503</v>
      </c>
      <c r="AE83" s="107">
        <f>AD83*-1</f>
        <v>1.683951711423503</v>
      </c>
      <c r="AG83" s="137" t="s">
        <v>37</v>
      </c>
      <c r="AH83" s="138"/>
      <c r="AI83" s="138"/>
      <c r="AJ83" s="138"/>
      <c r="AK83" s="138"/>
    </row>
    <row r="84" spans="1:37">
      <c r="A84" s="12">
        <v>2003</v>
      </c>
      <c r="B84" s="61">
        <f t="shared" si="23"/>
        <v>187.00524212158675</v>
      </c>
      <c r="C84" s="41">
        <v>1</v>
      </c>
      <c r="D84" s="49">
        <f>C84*C84</f>
        <v>1</v>
      </c>
      <c r="E84" s="47">
        <f t="shared" ref="E84:H99" si="25">F4</f>
        <v>3.5523012552301263</v>
      </c>
      <c r="F84" s="47">
        <f t="shared" si="25"/>
        <v>3.9527196652719647</v>
      </c>
      <c r="G84" s="47">
        <f t="shared" si="25"/>
        <v>4.8142259414225919</v>
      </c>
      <c r="H84" s="47">
        <f t="shared" si="25"/>
        <v>5.3464435146443527</v>
      </c>
      <c r="I84" s="27">
        <v>1.8303230636670991</v>
      </c>
      <c r="J84" s="27">
        <v>14.488442757402982</v>
      </c>
      <c r="K84" s="27">
        <v>10.406040501270468</v>
      </c>
      <c r="L84" s="27">
        <v>7.5498495055782406</v>
      </c>
      <c r="M84" s="27">
        <v>7.6160449727656121E-2</v>
      </c>
      <c r="N84" s="27">
        <v>1.3981248319593884</v>
      </c>
      <c r="O84" s="27">
        <v>112.75419626175541</v>
      </c>
      <c r="P84" s="16">
        <f t="shared" ref="P84:P99" si="26">I$83*H84+J$83*G84+K$83*F84+L$83*E84+M$83*D84+N$83*C84+O$83</f>
        <v>187.68361033274138</v>
      </c>
      <c r="Q84" s="38">
        <f>LINEST(B83:B99,C83:C99)</f>
        <v>-3.5970494662923418</v>
      </c>
      <c r="R84" t="s">
        <v>2</v>
      </c>
      <c r="W84" s="72">
        <v>2003</v>
      </c>
      <c r="X84" s="27">
        <v>4</v>
      </c>
      <c r="Y84" s="73">
        <v>2</v>
      </c>
      <c r="Z84" s="64">
        <v>0.54943426283640928</v>
      </c>
      <c r="AA84" s="27">
        <v>3.1419335670128654E-2</v>
      </c>
      <c r="AB84" s="68">
        <v>2.0293583274911962</v>
      </c>
      <c r="AC84" s="70">
        <f t="shared" ref="AC84:AC106" si="27">Z$83*Y84+AA$83*X84+AB$83</f>
        <v>186.17818169866703</v>
      </c>
      <c r="AD84" s="69">
        <f t="shared" ref="AD84:AD106" si="28">2*AA$83*Y84+Z$83</f>
        <v>-1.9249172937170744</v>
      </c>
      <c r="AE84" s="71">
        <f t="shared" ref="AE84:AE106" si="29">AD84*-1</f>
        <v>1.9249172937170744</v>
      </c>
    </row>
    <row r="85" spans="1:37">
      <c r="A85" s="12">
        <v>2004</v>
      </c>
      <c r="B85" s="61">
        <f t="shared" si="23"/>
        <v>187.4220730415862</v>
      </c>
      <c r="C85" s="41">
        <v>2</v>
      </c>
      <c r="D85" s="49">
        <f t="shared" ref="D85:D99" si="30">C85*C85</f>
        <v>4</v>
      </c>
      <c r="E85" s="47">
        <f t="shared" si="25"/>
        <v>3.7964843750000004</v>
      </c>
      <c r="F85" s="47">
        <f t="shared" si="25"/>
        <v>3.0316406250000005</v>
      </c>
      <c r="G85" s="47">
        <f t="shared" si="25"/>
        <v>5.548437499999995</v>
      </c>
      <c r="H85" s="47">
        <f t="shared" si="25"/>
        <v>6.4304687500000002</v>
      </c>
      <c r="I85" s="83">
        <v>0.96681165213065789</v>
      </c>
      <c r="J85" s="27">
        <v>4.3285497931249628</v>
      </c>
      <c r="K85" s="27" t="e">
        <v>#N/A</v>
      </c>
      <c r="L85" s="27" t="e">
        <v>#N/A</v>
      </c>
      <c r="M85" s="27" t="e">
        <v>#N/A</v>
      </c>
      <c r="N85" s="27" t="e">
        <v>#N/A</v>
      </c>
      <c r="O85" s="27" t="e">
        <v>#N/A</v>
      </c>
      <c r="P85" s="16">
        <f t="shared" si="26"/>
        <v>183.781873992583</v>
      </c>
      <c r="Q85" s="21"/>
      <c r="R85" t="s">
        <v>2</v>
      </c>
      <c r="W85" s="72">
        <v>2004</v>
      </c>
      <c r="X85" s="27">
        <v>9</v>
      </c>
      <c r="Y85" s="73">
        <v>3</v>
      </c>
      <c r="Z85" s="64">
        <v>0.9829537781760247</v>
      </c>
      <c r="AA85" s="27">
        <v>2.3746034665550106</v>
      </c>
      <c r="AB85" s="68" t="e">
        <v>#N/A</v>
      </c>
      <c r="AC85" s="70">
        <f t="shared" si="27"/>
        <v>184.13278161380316</v>
      </c>
      <c r="AD85" s="69">
        <f t="shared" si="28"/>
        <v>-2.1658828760106457</v>
      </c>
      <c r="AE85" s="71">
        <f t="shared" si="29"/>
        <v>2.1658828760106457</v>
      </c>
    </row>
    <row r="86" spans="1:37">
      <c r="A86" s="12">
        <v>2005</v>
      </c>
      <c r="B86" s="61">
        <f t="shared" si="23"/>
        <v>182.74170515057736</v>
      </c>
      <c r="C86" s="41">
        <v>3</v>
      </c>
      <c r="D86" s="49">
        <f t="shared" si="30"/>
        <v>9</v>
      </c>
      <c r="E86" s="47">
        <f t="shared" si="25"/>
        <v>3.7100775193798459</v>
      </c>
      <c r="F86" s="47">
        <f t="shared" si="25"/>
        <v>3.5271317829457378</v>
      </c>
      <c r="G86" s="47">
        <f t="shared" si="25"/>
        <v>5.3298449612403074</v>
      </c>
      <c r="H86" s="47">
        <f t="shared" si="25"/>
        <v>6.4015503875968998</v>
      </c>
      <c r="I86" s="27">
        <v>48.551761597014917</v>
      </c>
      <c r="J86" s="27">
        <v>10</v>
      </c>
      <c r="K86" s="27" t="e">
        <v>#N/A</v>
      </c>
      <c r="L86" s="27" t="e">
        <v>#N/A</v>
      </c>
      <c r="M86" s="27" t="e">
        <v>#N/A</v>
      </c>
      <c r="N86" s="27" t="e">
        <v>#N/A</v>
      </c>
      <c r="O86" s="27" t="e">
        <v>#N/A</v>
      </c>
      <c r="P86" s="16">
        <f t="shared" si="26"/>
        <v>180.99096721101492</v>
      </c>
      <c r="Q86" s="21"/>
      <c r="R86" t="s">
        <v>2</v>
      </c>
      <c r="W86" s="72">
        <v>2005</v>
      </c>
      <c r="X86" s="27">
        <v>16</v>
      </c>
      <c r="Y86" s="73">
        <v>4</v>
      </c>
      <c r="Z86" s="64">
        <v>374.81616889191338</v>
      </c>
      <c r="AA86" s="27">
        <v>13</v>
      </c>
      <c r="AB86" s="68" t="e">
        <v>#N/A</v>
      </c>
      <c r="AC86" s="70">
        <f t="shared" si="27"/>
        <v>181.84641594664575</v>
      </c>
      <c r="AD86" s="69">
        <f t="shared" si="28"/>
        <v>-2.4068484583042169</v>
      </c>
      <c r="AE86" s="71">
        <f t="shared" si="29"/>
        <v>2.4068484583042169</v>
      </c>
    </row>
    <row r="87" spans="1:37">
      <c r="A87" s="12">
        <v>2006</v>
      </c>
      <c r="B87" s="61">
        <f t="shared" si="23"/>
        <v>173.32243301086163</v>
      </c>
      <c r="C87" s="41">
        <v>4</v>
      </c>
      <c r="D87" s="49">
        <f t="shared" si="30"/>
        <v>16</v>
      </c>
      <c r="E87" s="47">
        <f t="shared" si="25"/>
        <v>3.5042735042735047</v>
      </c>
      <c r="F87" s="47">
        <f t="shared" si="25"/>
        <v>3.002136752136753</v>
      </c>
      <c r="G87" s="47">
        <f t="shared" si="25"/>
        <v>5.6747863247863242</v>
      </c>
      <c r="H87" s="47">
        <f t="shared" si="25"/>
        <v>5.5931623931623911</v>
      </c>
      <c r="I87" s="27">
        <v>5458.0948419767456</v>
      </c>
      <c r="J87" s="27">
        <v>187.36343311562158</v>
      </c>
      <c r="K87" s="27" t="e">
        <v>#N/A</v>
      </c>
      <c r="L87" s="27" t="e">
        <v>#N/A</v>
      </c>
      <c r="M87" s="27" t="e">
        <v>#N/A</v>
      </c>
      <c r="N87" s="27" t="e">
        <v>#N/A</v>
      </c>
      <c r="O87" s="27" t="e">
        <v>#N/A</v>
      </c>
      <c r="P87" s="16">
        <f t="shared" si="26"/>
        <v>181.44708531589583</v>
      </c>
      <c r="Q87" s="21"/>
      <c r="R87" t="s">
        <v>2</v>
      </c>
      <c r="W87" s="72">
        <v>2006</v>
      </c>
      <c r="X87" s="27">
        <v>25</v>
      </c>
      <c r="Y87" s="73">
        <v>5</v>
      </c>
      <c r="Z87" s="64">
        <v>4226.9830652896262</v>
      </c>
      <c r="AA87" s="27">
        <v>73.303641103875947</v>
      </c>
      <c r="AB87" s="68" t="e">
        <v>#N/A</v>
      </c>
      <c r="AC87" s="70">
        <f t="shared" si="27"/>
        <v>179.31908469719474</v>
      </c>
      <c r="AD87" s="69">
        <f t="shared" si="28"/>
        <v>-2.6478140405977886</v>
      </c>
      <c r="AE87" s="71">
        <f t="shared" si="29"/>
        <v>2.6478140405977886</v>
      </c>
    </row>
    <row r="88" spans="1:37">
      <c r="A88" s="12">
        <v>2007</v>
      </c>
      <c r="B88" s="61">
        <f t="shared" si="23"/>
        <v>167.83435846938877</v>
      </c>
      <c r="C88" s="41">
        <v>5</v>
      </c>
      <c r="D88" s="49">
        <f t="shared" si="30"/>
        <v>25</v>
      </c>
      <c r="E88" s="47">
        <f t="shared" si="25"/>
        <v>4.0685039370078737</v>
      </c>
      <c r="F88" s="47">
        <f t="shared" si="25"/>
        <v>3.3078740157480335</v>
      </c>
      <c r="G88" s="47">
        <f t="shared" si="25"/>
        <v>5.6283464566929133</v>
      </c>
      <c r="H88" s="47">
        <f t="shared" si="25"/>
        <v>7.4346456692913385</v>
      </c>
      <c r="P88" s="16">
        <f t="shared" si="26"/>
        <v>171.78758373884432</v>
      </c>
      <c r="Q88" s="21"/>
      <c r="R88" t="s">
        <v>2</v>
      </c>
      <c r="W88" s="72">
        <v>2007</v>
      </c>
      <c r="X88" s="27">
        <v>36</v>
      </c>
      <c r="Y88" s="73">
        <v>6</v>
      </c>
      <c r="AC88" s="70">
        <f t="shared" si="27"/>
        <v>176.55078786545016</v>
      </c>
      <c r="AD88" s="69">
        <f t="shared" si="28"/>
        <v>-2.8887796228913594</v>
      </c>
      <c r="AE88" s="71">
        <f t="shared" si="29"/>
        <v>2.8887796228913594</v>
      </c>
    </row>
    <row r="89" spans="1:37">
      <c r="A89" s="12">
        <v>2008</v>
      </c>
      <c r="B89" s="61">
        <f t="shared" si="23"/>
        <v>172.44170645806625</v>
      </c>
      <c r="C89" s="41">
        <v>6</v>
      </c>
      <c r="D89" s="49">
        <f t="shared" si="30"/>
        <v>36</v>
      </c>
      <c r="E89" s="47">
        <f t="shared" si="25"/>
        <v>3.7457831325301245</v>
      </c>
      <c r="F89" s="47">
        <f t="shared" si="25"/>
        <v>2.9730923694779117</v>
      </c>
      <c r="G89" s="47">
        <f t="shared" si="25"/>
        <v>5.7755020080321273</v>
      </c>
      <c r="H89" s="47">
        <f t="shared" si="25"/>
        <v>6.895582329317266</v>
      </c>
      <c r="P89" s="16">
        <f t="shared" si="26"/>
        <v>172.6521084700826</v>
      </c>
      <c r="Q89" s="21"/>
      <c r="R89" t="s">
        <v>2</v>
      </c>
      <c r="W89" s="72">
        <v>2008</v>
      </c>
      <c r="X89" s="27">
        <v>49</v>
      </c>
      <c r="Y89" s="73">
        <v>7</v>
      </c>
      <c r="AC89" s="70">
        <f t="shared" si="27"/>
        <v>173.54152545141201</v>
      </c>
      <c r="AD89" s="69">
        <f t="shared" si="28"/>
        <v>-3.129745205184931</v>
      </c>
      <c r="AE89" s="71">
        <f t="shared" si="29"/>
        <v>3.129745205184931</v>
      </c>
    </row>
    <row r="90" spans="1:37">
      <c r="A90" s="12">
        <v>2009</v>
      </c>
      <c r="B90" s="61">
        <f t="shared" si="23"/>
        <v>168.94983106233786</v>
      </c>
      <c r="C90" s="41">
        <v>7</v>
      </c>
      <c r="D90" s="49">
        <f t="shared" si="30"/>
        <v>49</v>
      </c>
      <c r="E90" s="47">
        <f t="shared" si="25"/>
        <v>3.3833333333333346</v>
      </c>
      <c r="F90" s="47">
        <f t="shared" si="25"/>
        <v>3.4939024390243927</v>
      </c>
      <c r="G90" s="47">
        <f t="shared" si="25"/>
        <v>5.5817073170731692</v>
      </c>
      <c r="H90" s="47">
        <f t="shared" si="25"/>
        <v>5.9865853658536547</v>
      </c>
      <c r="P90" s="16">
        <f t="shared" si="26"/>
        <v>171.63737994065281</v>
      </c>
      <c r="Q90" s="21"/>
      <c r="R90" t="s">
        <v>2</v>
      </c>
      <c r="W90" s="72">
        <v>2009</v>
      </c>
      <c r="X90" s="27">
        <v>64</v>
      </c>
      <c r="Y90" s="73">
        <v>8</v>
      </c>
      <c r="AC90" s="70">
        <f t="shared" si="27"/>
        <v>170.2912974550803</v>
      </c>
      <c r="AD90" s="69">
        <f t="shared" si="28"/>
        <v>-3.3707107874785023</v>
      </c>
      <c r="AE90" s="71">
        <f t="shared" si="29"/>
        <v>3.3707107874785023</v>
      </c>
    </row>
    <row r="91" spans="1:37">
      <c r="A91" s="12">
        <v>2010</v>
      </c>
      <c r="B91" s="61">
        <f t="shared" si="23"/>
        <v>170.36303728160561</v>
      </c>
      <c r="C91" s="41">
        <v>8</v>
      </c>
      <c r="D91" s="49">
        <f t="shared" si="30"/>
        <v>64</v>
      </c>
      <c r="E91" s="47">
        <f t="shared" si="25"/>
        <v>3.4837638376383762</v>
      </c>
      <c r="F91" s="47">
        <f t="shared" si="25"/>
        <v>2.8361623616236176</v>
      </c>
      <c r="G91" s="47">
        <f t="shared" si="25"/>
        <v>6.083394833948339</v>
      </c>
      <c r="H91" s="47">
        <f t="shared" si="25"/>
        <v>4.7793357933579346</v>
      </c>
      <c r="P91" s="16">
        <f t="shared" si="26"/>
        <v>168.82260320699106</v>
      </c>
      <c r="Q91" s="21"/>
      <c r="R91" t="s">
        <v>2</v>
      </c>
      <c r="W91" s="72">
        <v>2010</v>
      </c>
      <c r="X91" s="27">
        <v>81</v>
      </c>
      <c r="Y91" s="73">
        <v>9</v>
      </c>
      <c r="AC91" s="70">
        <f t="shared" si="27"/>
        <v>166.80010387645501</v>
      </c>
      <c r="AD91" s="69">
        <f t="shared" si="28"/>
        <v>-3.6116763697720735</v>
      </c>
      <c r="AE91" s="71">
        <f t="shared" si="29"/>
        <v>3.6116763697720735</v>
      </c>
    </row>
    <row r="92" spans="1:37">
      <c r="A92" s="12">
        <v>2011</v>
      </c>
      <c r="B92" s="61">
        <f t="shared" si="23"/>
        <v>161.25750524344852</v>
      </c>
      <c r="C92" s="41">
        <v>9</v>
      </c>
      <c r="D92" s="49">
        <f t="shared" si="30"/>
        <v>81</v>
      </c>
      <c r="E92" s="47">
        <f t="shared" si="25"/>
        <v>3.7813852813852828</v>
      </c>
      <c r="F92" s="47">
        <f t="shared" si="25"/>
        <v>3.9437229437229457</v>
      </c>
      <c r="G92" s="47">
        <f t="shared" si="25"/>
        <v>5.089177489177489</v>
      </c>
      <c r="H92" s="47">
        <f t="shared" si="25"/>
        <v>6.1714285714285717</v>
      </c>
      <c r="P92" s="16">
        <f t="shared" si="26"/>
        <v>161.28208040509477</v>
      </c>
      <c r="Q92" s="21"/>
      <c r="R92" t="s">
        <v>2</v>
      </c>
      <c r="W92" s="72">
        <v>2011</v>
      </c>
      <c r="X92" s="27">
        <v>100</v>
      </c>
      <c r="Y92" s="73">
        <v>10</v>
      </c>
      <c r="AC92" s="70">
        <f t="shared" si="27"/>
        <v>163.06794471553616</v>
      </c>
      <c r="AD92" s="69">
        <f t="shared" si="28"/>
        <v>-3.8526419520656452</v>
      </c>
      <c r="AE92" s="71">
        <f t="shared" si="29"/>
        <v>3.8526419520656452</v>
      </c>
    </row>
    <row r="93" spans="1:37">
      <c r="A93" s="12">
        <v>2012</v>
      </c>
      <c r="B93" s="61">
        <f t="shared" si="23"/>
        <v>166.07316742755566</v>
      </c>
      <c r="C93" s="41">
        <v>10</v>
      </c>
      <c r="D93" s="49">
        <f t="shared" si="30"/>
        <v>100</v>
      </c>
      <c r="E93" s="47">
        <f t="shared" si="25"/>
        <v>3.6658634538152626</v>
      </c>
      <c r="F93" s="47">
        <f t="shared" si="25"/>
        <v>3.2190843373493987</v>
      </c>
      <c r="G93" s="47">
        <f t="shared" si="25"/>
        <v>5.6799196787148611</v>
      </c>
      <c r="H93" s="47">
        <f t="shared" si="25"/>
        <v>5.9337349397590353</v>
      </c>
      <c r="P93" s="16">
        <f t="shared" si="26"/>
        <v>159.22997581943304</v>
      </c>
      <c r="Q93" s="21"/>
      <c r="R93" t="s">
        <v>2</v>
      </c>
      <c r="W93" s="72">
        <v>2012</v>
      </c>
      <c r="X93" s="27">
        <v>121</v>
      </c>
      <c r="Y93" s="73">
        <v>11</v>
      </c>
      <c r="AC93" s="70">
        <f t="shared" si="27"/>
        <v>159.09481997232373</v>
      </c>
      <c r="AD93" s="69">
        <f t="shared" si="28"/>
        <v>-4.093607534359216</v>
      </c>
      <c r="AE93" s="71">
        <f t="shared" si="29"/>
        <v>4.093607534359216</v>
      </c>
    </row>
    <row r="94" spans="1:37">
      <c r="A94" s="12">
        <v>2013</v>
      </c>
      <c r="B94" s="61">
        <f t="shared" si="23"/>
        <v>162.06427111032193</v>
      </c>
      <c r="C94" s="41">
        <v>11</v>
      </c>
      <c r="D94" s="49">
        <f t="shared" si="30"/>
        <v>121</v>
      </c>
      <c r="E94" s="47">
        <f t="shared" si="25"/>
        <v>3.4220408163265299</v>
      </c>
      <c r="F94" s="47">
        <f t="shared" si="25"/>
        <v>2.5094530612244901</v>
      </c>
      <c r="G94" s="47">
        <f t="shared" si="25"/>
        <v>6.0979591836734697</v>
      </c>
      <c r="H94" s="47">
        <f t="shared" si="25"/>
        <v>5.3963265306122477</v>
      </c>
      <c r="P94" s="16">
        <f t="shared" si="26"/>
        <v>158.85269317230933</v>
      </c>
      <c r="Q94" s="21"/>
      <c r="R94" t="s">
        <v>2</v>
      </c>
      <c r="W94" s="72">
        <v>2013</v>
      </c>
      <c r="X94" s="27">
        <v>144</v>
      </c>
      <c r="Y94" s="73">
        <v>12</v>
      </c>
      <c r="AC94" s="70">
        <f t="shared" si="27"/>
        <v>154.88072964681771</v>
      </c>
      <c r="AD94" s="69">
        <f t="shared" si="28"/>
        <v>-4.3345731166527877</v>
      </c>
      <c r="AE94" s="71">
        <f t="shared" si="29"/>
        <v>4.3345731166527877</v>
      </c>
    </row>
    <row r="95" spans="1:37">
      <c r="A95" s="12">
        <v>2014</v>
      </c>
      <c r="B95" s="61">
        <f t="shared" si="23"/>
        <v>150.25036914332165</v>
      </c>
      <c r="C95" s="41">
        <v>12</v>
      </c>
      <c r="D95" s="49">
        <f t="shared" si="30"/>
        <v>144</v>
      </c>
      <c r="E95" s="47">
        <f t="shared" si="25"/>
        <v>3.5610655737704917</v>
      </c>
      <c r="F95" s="47">
        <f t="shared" si="25"/>
        <v>3.3709016393442628</v>
      </c>
      <c r="G95" s="47">
        <f t="shared" si="25"/>
        <v>5.7053278688524554</v>
      </c>
      <c r="H95" s="47">
        <f t="shared" si="25"/>
        <v>7.6934426229508226</v>
      </c>
      <c r="P95" s="16">
        <f t="shared" si="26"/>
        <v>150.10010594176728</v>
      </c>
      <c r="Q95" s="21"/>
      <c r="R95" t="s">
        <v>2</v>
      </c>
      <c r="W95" s="72">
        <v>2014</v>
      </c>
      <c r="X95" s="27">
        <f>Y95*Y95</f>
        <v>169</v>
      </c>
      <c r="Y95" s="73">
        <v>13</v>
      </c>
      <c r="AC95" s="70">
        <f t="shared" si="27"/>
        <v>150.42567373901815</v>
      </c>
      <c r="AD95" s="69">
        <f t="shared" si="28"/>
        <v>-4.5755386989463585</v>
      </c>
      <c r="AE95" s="71">
        <f t="shared" si="29"/>
        <v>4.5755386989463585</v>
      </c>
    </row>
    <row r="96" spans="1:37">
      <c r="A96" s="12">
        <v>2015</v>
      </c>
      <c r="B96" s="61">
        <f t="shared" si="23"/>
        <v>144.00491308947684</v>
      </c>
      <c r="C96" s="41">
        <v>13</v>
      </c>
      <c r="D96" s="49">
        <f t="shared" si="30"/>
        <v>169</v>
      </c>
      <c r="E96" s="47">
        <f t="shared" si="25"/>
        <v>3.8544061302681993</v>
      </c>
      <c r="F96" s="47">
        <f t="shared" si="25"/>
        <v>3.7615363984674333</v>
      </c>
      <c r="G96" s="47">
        <f t="shared" si="25"/>
        <v>5.4567049808429111</v>
      </c>
      <c r="H96" s="47">
        <f t="shared" si="25"/>
        <v>7.7072796934865879</v>
      </c>
      <c r="P96" s="16">
        <f t="shared" si="26"/>
        <v>142.53694715502388</v>
      </c>
      <c r="Q96" s="21"/>
      <c r="W96" s="72">
        <v>2015</v>
      </c>
      <c r="X96" s="27">
        <f t="shared" ref="X96:X98" si="31">Y96*Y96</f>
        <v>196</v>
      </c>
      <c r="Y96" s="73">
        <v>14</v>
      </c>
      <c r="AC96" s="70">
        <f t="shared" si="27"/>
        <v>145.72965224892499</v>
      </c>
      <c r="AD96" s="69">
        <f t="shared" si="28"/>
        <v>-4.8165042812399301</v>
      </c>
      <c r="AE96" s="71">
        <f t="shared" si="29"/>
        <v>4.8165042812399301</v>
      </c>
    </row>
    <row r="97" spans="1:31">
      <c r="A97" s="12">
        <v>2016</v>
      </c>
      <c r="B97" s="61">
        <f t="shared" si="23"/>
        <v>139.62430629715803</v>
      </c>
      <c r="C97" s="41">
        <v>14</v>
      </c>
      <c r="D97" s="49">
        <f t="shared" si="30"/>
        <v>196</v>
      </c>
      <c r="E97" s="47">
        <f t="shared" si="25"/>
        <v>3.6716157205240179</v>
      </c>
      <c r="F97" s="47">
        <f t="shared" si="25"/>
        <v>2.7302707423580785</v>
      </c>
      <c r="G97" s="47">
        <f t="shared" si="25"/>
        <v>5.9231441048034936</v>
      </c>
      <c r="H97" s="47">
        <f t="shared" si="25"/>
        <v>5.524890829694324</v>
      </c>
      <c r="I97" s="63">
        <f>CORREL(P83:P98,B83:B98)</f>
        <v>0.9788027611002178</v>
      </c>
      <c r="J97" s="19" t="s">
        <v>11</v>
      </c>
      <c r="P97" s="16">
        <f t="shared" si="26"/>
        <v>143.10717407537584</v>
      </c>
      <c r="Q97" s="21"/>
      <c r="W97" s="72">
        <v>2016</v>
      </c>
      <c r="X97" s="27">
        <f t="shared" si="31"/>
        <v>225</v>
      </c>
      <c r="Y97" s="73">
        <v>15</v>
      </c>
      <c r="AC97" s="70">
        <f t="shared" si="27"/>
        <v>140.79266517653829</v>
      </c>
      <c r="AD97" s="69">
        <f t="shared" si="28"/>
        <v>-5.0574698635335018</v>
      </c>
      <c r="AE97" s="71">
        <f t="shared" si="29"/>
        <v>5.0574698635335018</v>
      </c>
    </row>
    <row r="98" spans="1:31">
      <c r="A98" s="12">
        <v>2017</v>
      </c>
      <c r="B98" s="61">
        <f t="shared" si="23"/>
        <v>132.87803867089585</v>
      </c>
      <c r="C98" s="42">
        <v>15</v>
      </c>
      <c r="D98" s="49">
        <f t="shared" si="30"/>
        <v>225</v>
      </c>
      <c r="E98" s="47">
        <f t="shared" si="25"/>
        <v>4.0559670781893011</v>
      </c>
      <c r="F98" s="47">
        <f t="shared" si="25"/>
        <v>2.7034403292181075</v>
      </c>
      <c r="G98" s="47">
        <f t="shared" si="25"/>
        <v>5.9893004115226329</v>
      </c>
      <c r="H98" s="47">
        <f t="shared" si="25"/>
        <v>6.411522633744859</v>
      </c>
      <c r="P98" s="16">
        <f t="shared" si="26"/>
        <v>134.3373230261667</v>
      </c>
      <c r="Q98" s="21"/>
      <c r="W98" s="72">
        <v>2017</v>
      </c>
      <c r="X98" s="27">
        <f t="shared" si="31"/>
        <v>256</v>
      </c>
      <c r="Y98" s="73">
        <v>16</v>
      </c>
      <c r="AC98" s="70">
        <f t="shared" si="27"/>
        <v>135.614712521858</v>
      </c>
      <c r="AD98" s="69">
        <f t="shared" si="28"/>
        <v>-5.2984354458270726</v>
      </c>
      <c r="AE98" s="71">
        <f t="shared" si="29"/>
        <v>5.2984354458270726</v>
      </c>
    </row>
    <row r="99" spans="1:31">
      <c r="A99" s="97">
        <v>2018</v>
      </c>
      <c r="B99" s="61">
        <f t="shared" si="23"/>
        <v>130.59094606224272</v>
      </c>
      <c r="C99" s="42">
        <v>16</v>
      </c>
      <c r="D99" s="49">
        <f t="shared" si="30"/>
        <v>256</v>
      </c>
      <c r="E99" s="47">
        <f t="shared" si="25"/>
        <v>3.8690476190476173</v>
      </c>
      <c r="F99" s="47">
        <f t="shared" si="25"/>
        <v>3.1530761904761899</v>
      </c>
      <c r="G99" s="47">
        <f t="shared" si="25"/>
        <v>5.6499999999999959</v>
      </c>
      <c r="H99" s="47">
        <f t="shared" si="25"/>
        <v>5.3076190476190508</v>
      </c>
      <c r="P99" s="16">
        <f t="shared" si="26"/>
        <v>130.94176636235034</v>
      </c>
      <c r="Q99" s="21"/>
      <c r="W99" s="108">
        <v>2018</v>
      </c>
      <c r="X99" s="109">
        <f>Y99*Y99</f>
        <v>289</v>
      </c>
      <c r="Y99" s="110">
        <v>17</v>
      </c>
      <c r="Z99" s="21"/>
      <c r="AA99" s="21"/>
      <c r="AB99" s="21"/>
      <c r="AC99" s="111">
        <f t="shared" si="27"/>
        <v>130.19579428488413</v>
      </c>
      <c r="AD99" s="112">
        <f t="shared" si="28"/>
        <v>-5.5394010281206443</v>
      </c>
      <c r="AE99" s="113">
        <f t="shared" si="29"/>
        <v>5.5394010281206443</v>
      </c>
    </row>
    <row r="100" spans="1:31">
      <c r="A100" s="20"/>
      <c r="B100" s="98">
        <f>SUM(B83:B99)</f>
        <v>2787.1907591893114</v>
      </c>
      <c r="C100" s="20"/>
      <c r="D100" s="20"/>
      <c r="E100" s="20"/>
      <c r="F100" s="20"/>
      <c r="G100" s="20"/>
      <c r="H100" s="20"/>
      <c r="I100" s="20"/>
      <c r="J100" s="20"/>
      <c r="K100" s="20" t="s">
        <v>2</v>
      </c>
      <c r="L100" s="20"/>
      <c r="M100" s="20"/>
      <c r="N100" s="20"/>
      <c r="O100" s="20"/>
      <c r="P100" s="98">
        <f>SUM(P83:P99)</f>
        <v>2787.1907591893128</v>
      </c>
      <c r="Q100" s="20"/>
      <c r="R100" s="20"/>
      <c r="S100" s="74"/>
      <c r="T100" s="74"/>
      <c r="U100" s="74"/>
      <c r="V100" s="74" t="s">
        <v>2</v>
      </c>
      <c r="W100" s="114">
        <v>2019</v>
      </c>
      <c r="X100" s="115">
        <f>Y100*Y100</f>
        <v>324</v>
      </c>
      <c r="Y100" s="116">
        <v>18</v>
      </c>
      <c r="Z100" s="74"/>
      <c r="AA100" s="74"/>
      <c r="AB100" s="74"/>
      <c r="AC100" s="117">
        <f t="shared" si="27"/>
        <v>124.53591046561671</v>
      </c>
      <c r="AD100" s="118">
        <f t="shared" si="28"/>
        <v>-5.780366610414216</v>
      </c>
      <c r="AE100" s="119">
        <f t="shared" si="29"/>
        <v>5.780366610414216</v>
      </c>
    </row>
    <row r="101" spans="1:31">
      <c r="O101" t="s">
        <v>30</v>
      </c>
      <c r="W101" s="120">
        <v>2020</v>
      </c>
      <c r="X101" s="121">
        <f>Y101*Y101</f>
        <v>361</v>
      </c>
      <c r="Y101" s="122">
        <v>19</v>
      </c>
      <c r="Z101" s="123"/>
      <c r="AA101" s="123"/>
      <c r="AB101" s="123"/>
      <c r="AC101" s="124">
        <f t="shared" si="27"/>
        <v>118.63506106405571</v>
      </c>
      <c r="AD101" s="125">
        <f t="shared" si="28"/>
        <v>-6.0213321927077867</v>
      </c>
      <c r="AE101" s="126">
        <f t="shared" si="29"/>
        <v>6.0213321927077867</v>
      </c>
    </row>
    <row r="102" spans="1:31">
      <c r="O102">
        <f>Z83</f>
        <v>-1.4429861291299317</v>
      </c>
      <c r="W102" s="120">
        <v>2021</v>
      </c>
      <c r="X102" s="121">
        <f>Y102*Y102</f>
        <v>400</v>
      </c>
      <c r="Y102" s="122">
        <v>20</v>
      </c>
      <c r="Z102" s="123"/>
      <c r="AA102" s="123"/>
      <c r="AB102" s="123"/>
      <c r="AC102" s="124">
        <f t="shared" si="27"/>
        <v>112.49324608020115</v>
      </c>
      <c r="AD102" s="125">
        <f t="shared" si="28"/>
        <v>-6.2622977750013584</v>
      </c>
      <c r="AE102" s="126">
        <f t="shared" si="29"/>
        <v>6.2622977750013584</v>
      </c>
    </row>
    <row r="103" spans="1:31">
      <c r="O103">
        <f>AA83</f>
        <v>-0.12048279114678566</v>
      </c>
      <c r="W103" s="120">
        <v>2022</v>
      </c>
      <c r="X103" s="121">
        <f t="shared" ref="X103:X111" si="32">Y103*Y103</f>
        <v>441</v>
      </c>
      <c r="Y103" s="122">
        <v>21</v>
      </c>
      <c r="Z103" s="123"/>
      <c r="AA103" s="123"/>
      <c r="AB103" s="123"/>
      <c r="AC103" s="124">
        <f t="shared" si="27"/>
        <v>106.110465514053</v>
      </c>
      <c r="AD103" s="125">
        <f t="shared" si="28"/>
        <v>-6.5032633572949292</v>
      </c>
      <c r="AE103" s="126">
        <f t="shared" si="29"/>
        <v>6.5032633572949292</v>
      </c>
    </row>
    <row r="104" spans="1:31">
      <c r="O104">
        <f>AB83</f>
        <v>189.54608512151404</v>
      </c>
      <c r="W104" s="120">
        <v>2023</v>
      </c>
      <c r="X104" s="121">
        <f t="shared" si="32"/>
        <v>484</v>
      </c>
      <c r="Y104" s="122">
        <v>22</v>
      </c>
      <c r="Z104" s="123"/>
      <c r="AA104" s="123"/>
      <c r="AB104" s="123"/>
      <c r="AC104" s="124">
        <f t="shared" si="27"/>
        <v>99.486719365611293</v>
      </c>
      <c r="AD104" s="125">
        <f t="shared" si="28"/>
        <v>-6.7442289395885009</v>
      </c>
      <c r="AE104" s="126">
        <f t="shared" si="29"/>
        <v>6.7442289395885009</v>
      </c>
    </row>
    <row r="105" spans="1:31">
      <c r="O105" t="s">
        <v>31</v>
      </c>
      <c r="W105" s="120">
        <v>2024</v>
      </c>
      <c r="X105" s="121">
        <f t="shared" si="32"/>
        <v>529</v>
      </c>
      <c r="Y105" s="122">
        <v>23</v>
      </c>
      <c r="Z105" s="123"/>
      <c r="AA105" s="123"/>
      <c r="AB105" s="123"/>
      <c r="AC105" s="124">
        <f t="shared" si="27"/>
        <v>92.622007634875985</v>
      </c>
      <c r="AD105" s="125">
        <f t="shared" si="28"/>
        <v>-6.9851945218820726</v>
      </c>
      <c r="AE105" s="126">
        <f t="shared" si="29"/>
        <v>6.9851945218820726</v>
      </c>
    </row>
    <row r="106" spans="1:31">
      <c r="O106">
        <f>Z85</f>
        <v>0.9829537781760247</v>
      </c>
      <c r="W106" s="120">
        <v>2025</v>
      </c>
      <c r="X106" s="121">
        <f t="shared" si="32"/>
        <v>576</v>
      </c>
      <c r="Y106" s="122">
        <v>24</v>
      </c>
      <c r="Z106" s="123"/>
      <c r="AA106" s="123"/>
      <c r="AB106" s="123"/>
      <c r="AC106" s="124">
        <f t="shared" si="27"/>
        <v>85.516330321847136</v>
      </c>
      <c r="AD106" s="125">
        <f t="shared" si="28"/>
        <v>-7.2261601041756434</v>
      </c>
      <c r="AE106" s="126">
        <f t="shared" si="29"/>
        <v>7.2261601041756434</v>
      </c>
    </row>
    <row r="107" spans="1:31">
      <c r="O107" t="s">
        <v>32</v>
      </c>
      <c r="W107" s="120">
        <v>2026</v>
      </c>
      <c r="X107" s="121">
        <f t="shared" si="32"/>
        <v>625</v>
      </c>
      <c r="Y107" s="122">
        <v>25</v>
      </c>
      <c r="AC107" s="124">
        <f t="shared" ref="AC107:AC111" si="33">Z$83*Y107+AA$83*X107+AB$83</f>
        <v>78.169687426524703</v>
      </c>
      <c r="AD107" s="125">
        <f t="shared" ref="AD107:AD111" si="34">2*AA$83*Y107+Z$83</f>
        <v>-7.467125686469215</v>
      </c>
      <c r="AE107" s="126">
        <f t="shared" ref="AE107:AE111" si="35">AD107*-1</f>
        <v>7.467125686469215</v>
      </c>
    </row>
    <row r="108" spans="1:31">
      <c r="O108">
        <f>SLOPE(P83:P98,Y83:Y98)</f>
        <v>-3.4911935786252877</v>
      </c>
      <c r="W108" s="120">
        <v>2027</v>
      </c>
      <c r="X108" s="121">
        <f t="shared" si="32"/>
        <v>676</v>
      </c>
      <c r="Y108" s="122">
        <v>26</v>
      </c>
      <c r="AC108" s="124">
        <f t="shared" si="33"/>
        <v>70.582078948908702</v>
      </c>
      <c r="AD108" s="125">
        <f t="shared" si="34"/>
        <v>-7.7080912687627858</v>
      </c>
      <c r="AE108" s="126">
        <f t="shared" si="35"/>
        <v>7.7080912687627858</v>
      </c>
    </row>
    <row r="109" spans="1:31">
      <c r="O109">
        <f>INTERCEPT(P83:P98,Y83:Y98)</f>
        <v>195.69070747000009</v>
      </c>
      <c r="W109" s="120">
        <v>2028</v>
      </c>
      <c r="X109" s="121">
        <f t="shared" si="32"/>
        <v>729</v>
      </c>
      <c r="Y109" s="122">
        <v>27</v>
      </c>
      <c r="AC109" s="124">
        <f t="shared" si="33"/>
        <v>62.753504888999146</v>
      </c>
      <c r="AD109" s="125">
        <f t="shared" si="34"/>
        <v>-7.9490568510563575</v>
      </c>
      <c r="AE109" s="126">
        <f t="shared" si="35"/>
        <v>7.9490568510563575</v>
      </c>
    </row>
    <row r="110" spans="1:31">
      <c r="O110" t="s">
        <v>31</v>
      </c>
      <c r="W110" s="120">
        <v>2029</v>
      </c>
      <c r="X110" s="121">
        <f t="shared" si="32"/>
        <v>784</v>
      </c>
      <c r="Y110" s="122">
        <v>28</v>
      </c>
      <c r="AC110" s="124">
        <f t="shared" si="33"/>
        <v>54.683965246795992</v>
      </c>
      <c r="AD110" s="125">
        <f t="shared" si="34"/>
        <v>-8.1900224333499292</v>
      </c>
      <c r="AE110" s="126">
        <f t="shared" si="35"/>
        <v>8.1900224333499292</v>
      </c>
    </row>
    <row r="111" spans="1:31" ht="17" thickBot="1">
      <c r="O111">
        <f>CORREL(P83:P98,Y83:Y98)</f>
        <v>-0.98166810975637941</v>
      </c>
      <c r="W111" s="120">
        <v>2030</v>
      </c>
      <c r="X111" s="121">
        <f t="shared" si="32"/>
        <v>841</v>
      </c>
      <c r="Y111" s="122">
        <v>29</v>
      </c>
      <c r="AC111" s="127">
        <f t="shared" si="33"/>
        <v>46.37346002229927</v>
      </c>
      <c r="AD111" s="128">
        <f t="shared" si="34"/>
        <v>-8.4309880156435</v>
      </c>
      <c r="AE111" s="129">
        <f t="shared" si="35"/>
        <v>8.4309880156435</v>
      </c>
    </row>
  </sheetData>
  <mergeCells count="13">
    <mergeCell ref="C1:I1"/>
    <mergeCell ref="J1:Q1"/>
    <mergeCell ref="C21:I21"/>
    <mergeCell ref="J21:Q21"/>
    <mergeCell ref="Z2:AB2"/>
    <mergeCell ref="C41:I41"/>
    <mergeCell ref="J41:Q41"/>
    <mergeCell ref="AG83:AK83"/>
    <mergeCell ref="C61:G61"/>
    <mergeCell ref="H61:M61"/>
    <mergeCell ref="C81:G81"/>
    <mergeCell ref="I81:O81"/>
    <mergeCell ref="Z82:AB82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54AA-2D0B-264A-A7D4-DFF604B7B99A}">
  <dimension ref="A1:D18"/>
  <sheetViews>
    <sheetView zoomScale="200" zoomScaleNormal="200" workbookViewId="0">
      <selection activeCell="I18" sqref="I18"/>
    </sheetView>
  </sheetViews>
  <sheetFormatPr baseColWidth="10" defaultRowHeight="16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>
        <v>2002</v>
      </c>
      <c r="B2" s="132">
        <v>1959.089605734767</v>
      </c>
      <c r="C2" s="132">
        <v>201.2968100358423</v>
      </c>
      <c r="D2" s="132">
        <v>192.41320788530479</v>
      </c>
    </row>
    <row r="3" spans="1:4">
      <c r="A3">
        <v>2003</v>
      </c>
      <c r="B3" s="132">
        <v>1960.9950900163667</v>
      </c>
      <c r="C3" s="132">
        <v>176.90902891434772</v>
      </c>
      <c r="D3" s="132">
        <v>189.6155046372071</v>
      </c>
    </row>
    <row r="4" spans="1:4">
      <c r="A4">
        <v>2004</v>
      </c>
      <c r="B4" s="132">
        <v>1961.3808757244044</v>
      </c>
      <c r="C4" s="132">
        <v>178.78471667739862</v>
      </c>
      <c r="D4" s="132">
        <v>185.46767546683787</v>
      </c>
    </row>
    <row r="5" spans="1:4">
      <c r="A5">
        <v>2005</v>
      </c>
      <c r="B5" s="132">
        <v>1962.4527704485488</v>
      </c>
      <c r="C5" s="132">
        <v>176.03565435356211</v>
      </c>
      <c r="D5" s="132">
        <v>181.01530079155691</v>
      </c>
    </row>
    <row r="6" spans="1:4">
      <c r="A6">
        <v>2006</v>
      </c>
      <c r="B6" s="132">
        <v>1962.73031340532</v>
      </c>
      <c r="C6" s="132">
        <v>175.794321833026</v>
      </c>
      <c r="D6" s="132">
        <v>172.63622860152691</v>
      </c>
    </row>
    <row r="7" spans="1:4">
      <c r="A7">
        <v>2007</v>
      </c>
      <c r="B7" s="132">
        <v>1963.2210818307906</v>
      </c>
      <c r="C7" s="132">
        <v>177.72273231622754</v>
      </c>
      <c r="D7" s="132">
        <v>166.02484327323148</v>
      </c>
    </row>
    <row r="8" spans="1:4">
      <c r="A8">
        <v>2008</v>
      </c>
      <c r="B8" s="132">
        <v>1964.6939597315436</v>
      </c>
      <c r="C8" s="132">
        <v>176.95450000000017</v>
      </c>
      <c r="D8" s="132">
        <v>167.19968120805373</v>
      </c>
    </row>
    <row r="9" spans="1:4">
      <c r="A9">
        <v>2009</v>
      </c>
      <c r="B9" s="132">
        <v>1964.5646447140382</v>
      </c>
      <c r="C9" s="132">
        <v>177.35628076256498</v>
      </c>
      <c r="D9" s="132">
        <v>168.3337296360485</v>
      </c>
    </row>
    <row r="10" spans="1:4">
      <c r="A10">
        <v>2010</v>
      </c>
      <c r="B10" s="132">
        <v>1965.6915513474144</v>
      </c>
      <c r="C10" s="132">
        <v>181.87673343044432</v>
      </c>
      <c r="D10" s="132">
        <v>172.53772396212699</v>
      </c>
    </row>
    <row r="11" spans="1:4">
      <c r="A11">
        <v>2011</v>
      </c>
      <c r="B11" s="132">
        <v>1966.2199367088608</v>
      </c>
      <c r="C11" s="132">
        <v>178.59430775316457</v>
      </c>
      <c r="D11" s="132">
        <v>164.47956882911404</v>
      </c>
    </row>
    <row r="12" spans="1:4">
      <c r="A12">
        <v>2012</v>
      </c>
      <c r="B12" s="132">
        <v>1966.6073891625615</v>
      </c>
      <c r="C12" s="132">
        <v>177.67006403940874</v>
      </c>
      <c r="D12" s="132">
        <v>167.77774876847283</v>
      </c>
    </row>
    <row r="13" spans="1:4">
      <c r="A13">
        <v>2013</v>
      </c>
      <c r="B13" s="132">
        <v>1968.0250312891114</v>
      </c>
      <c r="C13" s="132">
        <v>179.28033166458081</v>
      </c>
      <c r="D13" s="132">
        <v>159.90420525657046</v>
      </c>
    </row>
    <row r="14" spans="1:4">
      <c r="A14">
        <v>2014</v>
      </c>
      <c r="B14" s="132">
        <v>1965.9441087613293</v>
      </c>
      <c r="C14" s="132">
        <v>178.22108006042299</v>
      </c>
      <c r="D14" s="132">
        <v>149.6847205438068</v>
      </c>
    </row>
    <row r="15" spans="1:4">
      <c r="A15">
        <v>2015</v>
      </c>
      <c r="B15" s="132">
        <v>1967.3543647363872</v>
      </c>
      <c r="C15" s="132">
        <v>215.22206568712187</v>
      </c>
      <c r="D15" s="132">
        <v>145.8435263612794</v>
      </c>
    </row>
    <row r="16" spans="1:4">
      <c r="A16">
        <v>2016</v>
      </c>
      <c r="B16" s="132">
        <v>1967.6208017334777</v>
      </c>
      <c r="C16" s="132">
        <v>188.2438136511376</v>
      </c>
      <c r="D16" s="132">
        <v>146.57920910075865</v>
      </c>
    </row>
    <row r="17" spans="1:4">
      <c r="A17">
        <v>2017</v>
      </c>
      <c r="B17" s="132">
        <v>1967.9803407601573</v>
      </c>
      <c r="C17" s="132">
        <v>188.44161205766704</v>
      </c>
      <c r="D17" s="132">
        <v>140.34942332896466</v>
      </c>
    </row>
    <row r="18" spans="1:4">
      <c r="A18">
        <v>2018</v>
      </c>
      <c r="B18" s="132">
        <v>1978.7692307692307</v>
      </c>
      <c r="C18" s="132">
        <v>164.76923076923077</v>
      </c>
      <c r="D18" s="132">
        <v>117.32846153846154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10</vt:i4>
      </vt:variant>
      <vt:variant>
        <vt:lpstr>Benannte Bereiche</vt:lpstr>
      </vt:variant>
      <vt:variant>
        <vt:i4>4</vt:i4>
      </vt:variant>
    </vt:vector>
  </HeadingPairs>
  <TitlesOfParts>
    <vt:vector size="17" baseType="lpstr">
      <vt:lpstr>Diagrammtitel</vt:lpstr>
      <vt:lpstr>Reg Entwicklung HEV</vt:lpstr>
      <vt:lpstr>Rohdaten</vt:lpstr>
      <vt:lpstr>Dia 1</vt:lpstr>
      <vt:lpstr>Dia 2</vt:lpstr>
      <vt:lpstr>Dia 3</vt:lpstr>
      <vt:lpstr>Dia 4</vt:lpstr>
      <vt:lpstr>Dia 5</vt:lpstr>
      <vt:lpstr>Dia 6</vt:lpstr>
      <vt:lpstr>Dia 7</vt:lpstr>
      <vt:lpstr>Dia 8</vt:lpstr>
      <vt:lpstr>Dia 9</vt:lpstr>
      <vt:lpstr>Dia 10</vt:lpstr>
      <vt:lpstr>Anzahl</vt:lpstr>
      <vt:lpstr>Gebäudetyp</vt:lpstr>
      <vt:lpstr>Ort</vt:lpstr>
      <vt:lpstr>Zeitraum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2018-04-04T12:38:33Z</dcterms:created>
  <dcterms:modified xsi:type="dcterms:W3CDTF">2019-03-08T15:15:47Z</dcterms:modified>
</cp:coreProperties>
</file>