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2 Bundesländer/2.2. MFH/2.2.1. Bundesländer/2.2.1.3. Berlin/2.2.1.3.1. Verlauf/2018 03 08/"/>
    </mc:Choice>
  </mc:AlternateContent>
  <xr:revisionPtr revIDLastSave="0" documentId="13_ncr:1_{06CAEEC3-38ED-6840-A3A0-FCB76DF9B450}" xr6:coauthVersionLast="38" xr6:coauthVersionMax="38" xr10:uidLastSave="{00000000-0000-0000-0000-000000000000}"/>
  <bookViews>
    <workbookView xWindow="0" yWindow="460" windowWidth="38400" windowHeight="21140" activeTab="11" xr2:uid="{00000000-000D-0000-FFFF-FFFF00000000}"/>
  </bookViews>
  <sheets>
    <sheet name="Diagrammtitel" sheetId="29" r:id="rId1"/>
    <sheet name="Dia 1" sheetId="6" r:id="rId2"/>
    <sheet name="Dia 2" sheetId="4" r:id="rId3"/>
    <sheet name="Dia 3" sheetId="7" r:id="rId4"/>
    <sheet name="Dia 4" sheetId="19" r:id="rId5"/>
    <sheet name="Dia 5" sheetId="20" r:id="rId6"/>
    <sheet name="Dia 6" sheetId="21" r:id="rId7"/>
    <sheet name="Dia 7" sheetId="22" r:id="rId8"/>
    <sheet name="Dia 8" sheetId="25" r:id="rId9"/>
    <sheet name="Dia 9" sheetId="23" r:id="rId10"/>
    <sheet name="Dia 10" sheetId="24" r:id="rId11"/>
    <sheet name="Regression 1" sheetId="2" r:id="rId12"/>
    <sheet name="Tabelle1" sheetId="30" r:id="rId13"/>
  </sheets>
  <externalReferences>
    <externalReference r:id="rId14"/>
  </externalReferences>
  <definedNames>
    <definedName name="Zeitraum">Diagrammtitel!$H$4</definedName>
    <definedName name="Zwei">'[1]Variablen für REG'!$A$6</definedName>
  </definedNames>
  <calcPr calcId="179021"/>
</workbook>
</file>

<file path=xl/calcChain.xml><?xml version="1.0" encoding="utf-8"?>
<calcChain xmlns="http://schemas.openxmlformats.org/spreadsheetml/2006/main">
  <c r="AC106" i="2" l="1"/>
  <c r="AD106" i="2"/>
  <c r="AE106" i="2"/>
  <c r="AC107" i="2"/>
  <c r="AD107" i="2"/>
  <c r="AE107" i="2"/>
  <c r="AC108" i="2"/>
  <c r="AD108" i="2"/>
  <c r="AE108" i="2" s="1"/>
  <c r="AC109" i="2"/>
  <c r="AD109" i="2"/>
  <c r="AE109" i="2"/>
  <c r="AC110" i="2"/>
  <c r="AD110" i="2"/>
  <c r="AE110" i="2"/>
  <c r="AC111" i="2"/>
  <c r="AD111" i="2"/>
  <c r="AE111" i="2" s="1"/>
  <c r="X106" i="2"/>
  <c r="X107" i="2"/>
  <c r="X108" i="2"/>
  <c r="X109" i="2"/>
  <c r="X110" i="2"/>
  <c r="X111" i="2"/>
  <c r="G18" i="30"/>
  <c r="H18" i="30"/>
  <c r="F18" i="30"/>
  <c r="X105" i="2" l="1"/>
  <c r="X104" i="2"/>
  <c r="X103" i="2"/>
  <c r="X102" i="2"/>
  <c r="X101" i="2"/>
  <c r="X100" i="2"/>
  <c r="X99" i="2"/>
  <c r="H99" i="2"/>
  <c r="G99" i="2"/>
  <c r="F99" i="2"/>
  <c r="E99" i="2"/>
  <c r="D99" i="2"/>
  <c r="X98" i="2"/>
  <c r="H98" i="2"/>
  <c r="G98" i="2"/>
  <c r="F98" i="2"/>
  <c r="E98" i="2"/>
  <c r="D98" i="2"/>
  <c r="X97" i="2"/>
  <c r="H97" i="2"/>
  <c r="G97" i="2"/>
  <c r="F97" i="2"/>
  <c r="E97" i="2"/>
  <c r="D97" i="2"/>
  <c r="X96" i="2"/>
  <c r="H96" i="2"/>
  <c r="G96" i="2"/>
  <c r="F96" i="2"/>
  <c r="E96" i="2"/>
  <c r="D96" i="2"/>
  <c r="X95" i="2"/>
  <c r="H95" i="2"/>
  <c r="G95" i="2"/>
  <c r="F95" i="2"/>
  <c r="E95" i="2"/>
  <c r="D95" i="2"/>
  <c r="H94" i="2"/>
  <c r="G94" i="2"/>
  <c r="F94" i="2"/>
  <c r="E94" i="2"/>
  <c r="D94" i="2"/>
  <c r="H93" i="2"/>
  <c r="G93" i="2"/>
  <c r="F93" i="2"/>
  <c r="E93" i="2"/>
  <c r="D93" i="2"/>
  <c r="H92" i="2"/>
  <c r="G92" i="2"/>
  <c r="F92" i="2"/>
  <c r="E92" i="2"/>
  <c r="D92" i="2"/>
  <c r="H91" i="2"/>
  <c r="G91" i="2"/>
  <c r="F91" i="2"/>
  <c r="E91" i="2"/>
  <c r="D91" i="2"/>
  <c r="H90" i="2"/>
  <c r="G90" i="2"/>
  <c r="F90" i="2"/>
  <c r="E90" i="2"/>
  <c r="D90" i="2"/>
  <c r="H89" i="2"/>
  <c r="G89" i="2"/>
  <c r="F89" i="2"/>
  <c r="E89" i="2"/>
  <c r="D89" i="2"/>
  <c r="H88" i="2"/>
  <c r="G88" i="2"/>
  <c r="F88" i="2"/>
  <c r="E88" i="2"/>
  <c r="D88" i="2"/>
  <c r="H87" i="2"/>
  <c r="G87" i="2"/>
  <c r="F87" i="2"/>
  <c r="E87" i="2"/>
  <c r="D87" i="2"/>
  <c r="H86" i="2"/>
  <c r="G86" i="2"/>
  <c r="F86" i="2"/>
  <c r="E86" i="2"/>
  <c r="D86" i="2"/>
  <c r="H85" i="2"/>
  <c r="G85" i="2"/>
  <c r="F85" i="2"/>
  <c r="E85" i="2"/>
  <c r="D85" i="2"/>
  <c r="H84" i="2"/>
  <c r="G84" i="2"/>
  <c r="F84" i="2"/>
  <c r="E84" i="2"/>
  <c r="D84" i="2"/>
  <c r="H83" i="2"/>
  <c r="G83" i="2"/>
  <c r="F83" i="2"/>
  <c r="E83" i="2"/>
  <c r="D83" i="2"/>
  <c r="G79" i="2"/>
  <c r="F79" i="2"/>
  <c r="E79" i="2"/>
  <c r="D79" i="2"/>
  <c r="G78" i="2"/>
  <c r="F78" i="2"/>
  <c r="E78" i="2"/>
  <c r="D78" i="2"/>
  <c r="G77" i="2"/>
  <c r="F77" i="2"/>
  <c r="E77" i="2"/>
  <c r="D77" i="2"/>
  <c r="G76" i="2"/>
  <c r="F76" i="2"/>
  <c r="E76" i="2"/>
  <c r="D76" i="2"/>
  <c r="G75" i="2"/>
  <c r="F75" i="2"/>
  <c r="E75" i="2"/>
  <c r="D75" i="2"/>
  <c r="G74" i="2"/>
  <c r="F74" i="2"/>
  <c r="E74" i="2"/>
  <c r="D74" i="2"/>
  <c r="G73" i="2"/>
  <c r="F73" i="2"/>
  <c r="E73" i="2"/>
  <c r="D73" i="2"/>
  <c r="G72" i="2"/>
  <c r="F72" i="2"/>
  <c r="E72" i="2"/>
  <c r="D72" i="2"/>
  <c r="G71" i="2"/>
  <c r="F71" i="2"/>
  <c r="E71" i="2"/>
  <c r="D71" i="2"/>
  <c r="G70" i="2"/>
  <c r="F70" i="2"/>
  <c r="E70" i="2"/>
  <c r="D70" i="2"/>
  <c r="G69" i="2"/>
  <c r="F69" i="2"/>
  <c r="E69" i="2"/>
  <c r="D69" i="2"/>
  <c r="G68" i="2"/>
  <c r="F68" i="2"/>
  <c r="E68" i="2"/>
  <c r="D68" i="2"/>
  <c r="G67" i="2"/>
  <c r="F67" i="2"/>
  <c r="E67" i="2"/>
  <c r="D67" i="2"/>
  <c r="G66" i="2"/>
  <c r="F66" i="2"/>
  <c r="E66" i="2"/>
  <c r="D66" i="2"/>
  <c r="G65" i="2"/>
  <c r="F65" i="2"/>
  <c r="E65" i="2"/>
  <c r="D65" i="2"/>
  <c r="G64" i="2"/>
  <c r="F64" i="2"/>
  <c r="E64" i="2"/>
  <c r="D64" i="2"/>
  <c r="G63" i="2"/>
  <c r="F63" i="2"/>
  <c r="E63" i="2"/>
  <c r="D63" i="2"/>
  <c r="N62" i="2"/>
  <c r="K62" i="2"/>
  <c r="J62" i="2"/>
  <c r="I62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M42" i="2"/>
  <c r="L42" i="2"/>
  <c r="K42" i="2"/>
  <c r="J42" i="2"/>
  <c r="I39" i="2"/>
  <c r="H39" i="2"/>
  <c r="G39" i="2"/>
  <c r="F39" i="2"/>
  <c r="D39" i="2"/>
  <c r="D59" i="2" s="1"/>
  <c r="B39" i="2"/>
  <c r="I38" i="2"/>
  <c r="H38" i="2"/>
  <c r="G38" i="2"/>
  <c r="F38" i="2"/>
  <c r="D38" i="2"/>
  <c r="D58" i="2" s="1"/>
  <c r="B38" i="2"/>
  <c r="I37" i="2"/>
  <c r="H37" i="2"/>
  <c r="G37" i="2"/>
  <c r="F37" i="2"/>
  <c r="D37" i="2"/>
  <c r="D57" i="2" s="1"/>
  <c r="B37" i="2"/>
  <c r="I36" i="2"/>
  <c r="H36" i="2"/>
  <c r="G36" i="2"/>
  <c r="F36" i="2"/>
  <c r="D36" i="2"/>
  <c r="D56" i="2" s="1"/>
  <c r="B36" i="2"/>
  <c r="I35" i="2"/>
  <c r="H35" i="2"/>
  <c r="G35" i="2"/>
  <c r="F35" i="2"/>
  <c r="D35" i="2"/>
  <c r="D55" i="2" s="1"/>
  <c r="B35" i="2"/>
  <c r="I34" i="2"/>
  <c r="H34" i="2"/>
  <c r="G34" i="2"/>
  <c r="F34" i="2"/>
  <c r="D34" i="2"/>
  <c r="D54" i="2" s="1"/>
  <c r="B34" i="2"/>
  <c r="I33" i="2"/>
  <c r="H33" i="2"/>
  <c r="G33" i="2"/>
  <c r="F33" i="2"/>
  <c r="D33" i="2"/>
  <c r="D53" i="2" s="1"/>
  <c r="B33" i="2"/>
  <c r="I32" i="2"/>
  <c r="H32" i="2"/>
  <c r="G32" i="2"/>
  <c r="F32" i="2"/>
  <c r="D32" i="2"/>
  <c r="D52" i="2" s="1"/>
  <c r="B32" i="2"/>
  <c r="I31" i="2"/>
  <c r="H31" i="2"/>
  <c r="G31" i="2"/>
  <c r="F31" i="2"/>
  <c r="D31" i="2"/>
  <c r="D51" i="2" s="1"/>
  <c r="B31" i="2"/>
  <c r="I30" i="2"/>
  <c r="H30" i="2"/>
  <c r="G30" i="2"/>
  <c r="F30" i="2"/>
  <c r="D30" i="2"/>
  <c r="D50" i="2" s="1"/>
  <c r="B30" i="2"/>
  <c r="I29" i="2"/>
  <c r="H29" i="2"/>
  <c r="G29" i="2"/>
  <c r="F29" i="2"/>
  <c r="D29" i="2"/>
  <c r="D49" i="2" s="1"/>
  <c r="B29" i="2"/>
  <c r="I28" i="2"/>
  <c r="H28" i="2"/>
  <c r="G28" i="2"/>
  <c r="F28" i="2"/>
  <c r="D28" i="2"/>
  <c r="D48" i="2" s="1"/>
  <c r="B28" i="2"/>
  <c r="I27" i="2"/>
  <c r="H27" i="2"/>
  <c r="G27" i="2"/>
  <c r="F27" i="2"/>
  <c r="D27" i="2"/>
  <c r="D47" i="2" s="1"/>
  <c r="B27" i="2"/>
  <c r="I26" i="2"/>
  <c r="H26" i="2"/>
  <c r="G26" i="2"/>
  <c r="F26" i="2"/>
  <c r="D26" i="2"/>
  <c r="D46" i="2" s="1"/>
  <c r="B26" i="2"/>
  <c r="I25" i="2"/>
  <c r="H25" i="2"/>
  <c r="G25" i="2"/>
  <c r="F25" i="2"/>
  <c r="D25" i="2"/>
  <c r="D45" i="2" s="1"/>
  <c r="B25" i="2"/>
  <c r="I24" i="2"/>
  <c r="H24" i="2"/>
  <c r="G24" i="2"/>
  <c r="F24" i="2"/>
  <c r="D24" i="2"/>
  <c r="D44" i="2" s="1"/>
  <c r="B24" i="2"/>
  <c r="I23" i="2"/>
  <c r="H23" i="2"/>
  <c r="G23" i="2"/>
  <c r="F23" i="2"/>
  <c r="D23" i="2"/>
  <c r="B23" i="2"/>
  <c r="M22" i="2"/>
  <c r="L22" i="2"/>
  <c r="K22" i="2"/>
  <c r="J22" i="2"/>
  <c r="B20" i="2"/>
  <c r="T4" i="2"/>
  <c r="R2" i="2"/>
  <c r="M2" i="2"/>
  <c r="L2" i="2"/>
  <c r="K2" i="2"/>
  <c r="J2" i="2"/>
  <c r="B40" i="2" l="1"/>
  <c r="D43" i="2"/>
  <c r="T24" i="2"/>
  <c r="A10" i="29" l="1"/>
  <c r="A9" i="29"/>
  <c r="A8" i="29"/>
  <c r="A7" i="29"/>
  <c r="A6" i="29"/>
  <c r="A5" i="29"/>
  <c r="A4" i="29"/>
  <c r="A3" i="29"/>
  <c r="A2" i="29"/>
  <c r="A1" i="29"/>
  <c r="E39" i="2"/>
  <c r="E59" i="2"/>
  <c r="E33" i="2"/>
  <c r="E53" i="2" s="1"/>
  <c r="E26" i="2"/>
  <c r="E46" i="2" s="1"/>
  <c r="E29" i="2"/>
  <c r="E49" i="2"/>
  <c r="E31" i="2"/>
  <c r="E51" i="2" s="1"/>
  <c r="E25" i="2"/>
  <c r="E45" i="2" s="1"/>
  <c r="E27" i="2"/>
  <c r="E47" i="2"/>
  <c r="E38" i="2"/>
  <c r="E58" i="2" s="1"/>
  <c r="E24" i="2"/>
  <c r="E44" i="2" s="1"/>
  <c r="E37" i="2"/>
  <c r="E57" i="2"/>
  <c r="E35" i="2"/>
  <c r="E55" i="2"/>
  <c r="E32" i="2"/>
  <c r="E52" i="2" s="1"/>
  <c r="E30" i="2"/>
  <c r="E50" i="2" s="1"/>
  <c r="E36" i="2"/>
  <c r="E56" i="2" s="1"/>
  <c r="E34" i="2"/>
  <c r="E54" i="2" s="1"/>
  <c r="E28" i="2"/>
  <c r="E48" i="2"/>
  <c r="E23" i="2"/>
  <c r="E43" i="2"/>
  <c r="J3" i="2" a="1"/>
  <c r="O4" i="2" s="1"/>
  <c r="P5" i="2" l="1"/>
  <c r="L6" i="2"/>
  <c r="P3" i="2"/>
  <c r="K6" i="2"/>
  <c r="L4" i="2"/>
  <c r="O6" i="2"/>
  <c r="K5" i="2"/>
  <c r="J23" i="2" a="1"/>
  <c r="M3" i="2"/>
  <c r="J6" i="2"/>
  <c r="K4" i="2"/>
  <c r="N6" i="2"/>
  <c r="O3" i="2"/>
  <c r="N3" i="2"/>
  <c r="Q4" i="2"/>
  <c r="Q3" i="2"/>
  <c r="P7" i="2"/>
  <c r="O5" i="2"/>
  <c r="K7" i="2"/>
  <c r="J3" i="2"/>
  <c r="M6" i="2"/>
  <c r="Q6" i="2"/>
  <c r="M5" i="2"/>
  <c r="K3" i="2"/>
  <c r="N5" i="2"/>
  <c r="P4" i="2"/>
  <c r="L7" i="2"/>
  <c r="J4" i="2"/>
  <c r="J5" i="2"/>
  <c r="Q7" i="2"/>
  <c r="N7" i="2"/>
  <c r="O7" i="2"/>
  <c r="L3" i="2"/>
  <c r="L5" i="2"/>
  <c r="Q5" i="2"/>
  <c r="M4" i="2"/>
  <c r="N4" i="2"/>
  <c r="M7" i="2"/>
  <c r="P6" i="2"/>
  <c r="J7" i="2"/>
  <c r="K27" i="2" l="1"/>
  <c r="Q26" i="2"/>
  <c r="J26" i="2"/>
  <c r="O24" i="2"/>
  <c r="L23" i="2"/>
  <c r="K23" i="2"/>
  <c r="N23" i="2"/>
  <c r="M25" i="2"/>
  <c r="M27" i="2"/>
  <c r="L27" i="2"/>
  <c r="J27" i="2"/>
  <c r="P27" i="2"/>
  <c r="M24" i="2"/>
  <c r="Q25" i="2"/>
  <c r="K24" i="2"/>
  <c r="O27" i="2"/>
  <c r="L25" i="2"/>
  <c r="O23" i="2"/>
  <c r="M23" i="2"/>
  <c r="L26" i="2"/>
  <c r="P23" i="2"/>
  <c r="J23" i="2"/>
  <c r="P24" i="2"/>
  <c r="K25" i="2"/>
  <c r="J24" i="2"/>
  <c r="N25" i="2"/>
  <c r="O26" i="2"/>
  <c r="P26" i="2"/>
  <c r="J25" i="2"/>
  <c r="N27" i="2"/>
  <c r="L24" i="2"/>
  <c r="P25" i="2"/>
  <c r="K26" i="2"/>
  <c r="Q23" i="2"/>
  <c r="N24" i="2"/>
  <c r="Q24" i="2"/>
  <c r="M26" i="2"/>
  <c r="Q27" i="2"/>
  <c r="O25" i="2"/>
  <c r="N26" i="2"/>
  <c r="R10" i="2"/>
  <c r="R15" i="2"/>
  <c r="R11" i="2"/>
  <c r="R9" i="2"/>
  <c r="R4" i="2"/>
  <c r="R14" i="2"/>
  <c r="R18" i="2"/>
  <c r="R16" i="2"/>
  <c r="R17" i="2"/>
  <c r="R19" i="2"/>
  <c r="R5" i="2"/>
  <c r="R6" i="2"/>
  <c r="R12" i="2"/>
  <c r="R7" i="2"/>
  <c r="R3" i="2"/>
  <c r="R8" i="2"/>
  <c r="R13" i="2"/>
  <c r="S8" i="2" l="1"/>
  <c r="T3" i="2"/>
  <c r="R20" i="2"/>
  <c r="J17" i="2"/>
  <c r="S3" i="2"/>
  <c r="S12" i="2"/>
  <c r="S11" i="2"/>
  <c r="S9" i="2"/>
  <c r="S19" i="2"/>
  <c r="S15" i="2"/>
  <c r="S16" i="2"/>
  <c r="S18" i="2"/>
  <c r="S7" i="2"/>
  <c r="S14" i="2"/>
  <c r="R29" i="2"/>
  <c r="S29" i="2" s="1"/>
  <c r="R38" i="2"/>
  <c r="S38" i="2" s="1"/>
  <c r="R28" i="2"/>
  <c r="S28" i="2" s="1"/>
  <c r="R39" i="2"/>
  <c r="S39" i="2" s="1"/>
  <c r="R34" i="2"/>
  <c r="S34" i="2" s="1"/>
  <c r="R27" i="2"/>
  <c r="S27" i="2" s="1"/>
  <c r="R30" i="2"/>
  <c r="S30" i="2" s="1"/>
  <c r="R24" i="2"/>
  <c r="S24" i="2" s="1"/>
  <c r="R33" i="2"/>
  <c r="S33" i="2" s="1"/>
  <c r="R23" i="2"/>
  <c r="U23" i="2" s="1"/>
  <c r="R25" i="2"/>
  <c r="S25" i="2" s="1"/>
  <c r="R37" i="2"/>
  <c r="S37" i="2" s="1"/>
  <c r="R31" i="2"/>
  <c r="S31" i="2" s="1"/>
  <c r="R26" i="2"/>
  <c r="S26" i="2" s="1"/>
  <c r="R36" i="2"/>
  <c r="S36" i="2" s="1"/>
  <c r="R35" i="2"/>
  <c r="S35" i="2" s="1"/>
  <c r="R32" i="2"/>
  <c r="S32" i="2" s="1"/>
  <c r="S4" i="2"/>
  <c r="S6" i="2"/>
  <c r="S5" i="2"/>
  <c r="S13" i="2"/>
  <c r="S17" i="2"/>
  <c r="S10" i="2"/>
  <c r="U32" i="2" l="1"/>
  <c r="B52" i="2" s="1"/>
  <c r="B72" i="2" s="1"/>
  <c r="B92" i="2" s="1"/>
  <c r="U35" i="2"/>
  <c r="B55" i="2" s="1"/>
  <c r="B75" i="2" s="1"/>
  <c r="B95" i="2" s="1"/>
  <c r="U24" i="2"/>
  <c r="B44" i="2" s="1"/>
  <c r="B64" i="2" s="1"/>
  <c r="B84" i="2" s="1"/>
  <c r="U39" i="2"/>
  <c r="B59" i="2" s="1"/>
  <c r="B79" i="2" s="1"/>
  <c r="B99" i="2" s="1"/>
  <c r="U33" i="2"/>
  <c r="B53" i="2" s="1"/>
  <c r="B73" i="2" s="1"/>
  <c r="B93" i="2" s="1"/>
  <c r="U29" i="2"/>
  <c r="B49" i="2" s="1"/>
  <c r="B69" i="2" s="1"/>
  <c r="B89" i="2" s="1"/>
  <c r="U25" i="2"/>
  <c r="B45" i="2" s="1"/>
  <c r="B65" i="2" s="1"/>
  <c r="B85" i="2" s="1"/>
  <c r="U38" i="2"/>
  <c r="B58" i="2" s="1"/>
  <c r="B78" i="2" s="1"/>
  <c r="B98" i="2" s="1"/>
  <c r="S20" i="2"/>
  <c r="U26" i="2"/>
  <c r="B46" i="2" s="1"/>
  <c r="B66" i="2" s="1"/>
  <c r="B86" i="2" s="1"/>
  <c r="B43" i="2"/>
  <c r="U31" i="2"/>
  <c r="B51" i="2" s="1"/>
  <c r="B71" i="2" s="1"/>
  <c r="B91" i="2" s="1"/>
  <c r="U28" i="2"/>
  <c r="B48" i="2" s="1"/>
  <c r="B68" i="2" s="1"/>
  <c r="B88" i="2" s="1"/>
  <c r="U30" i="2"/>
  <c r="B50" i="2" s="1"/>
  <c r="B70" i="2" s="1"/>
  <c r="B90" i="2" s="1"/>
  <c r="U27" i="2"/>
  <c r="B47" i="2" s="1"/>
  <c r="B67" i="2" s="1"/>
  <c r="B87" i="2" s="1"/>
  <c r="U37" i="2"/>
  <c r="B57" i="2" s="1"/>
  <c r="B77" i="2" s="1"/>
  <c r="B97" i="2" s="1"/>
  <c r="R40" i="2"/>
  <c r="T23" i="2"/>
  <c r="J37" i="2"/>
  <c r="S23" i="2"/>
  <c r="S40" i="2" s="1"/>
  <c r="U36" i="2"/>
  <c r="B56" i="2" s="1"/>
  <c r="B76" i="2" s="1"/>
  <c r="B96" i="2" s="1"/>
  <c r="U34" i="2"/>
  <c r="B54" i="2" s="1"/>
  <c r="B74" i="2" s="1"/>
  <c r="B94" i="2" s="1"/>
  <c r="U40" i="2" l="1"/>
  <c r="B63" i="2"/>
  <c r="T44" i="2"/>
  <c r="B60" i="2"/>
  <c r="Z3" i="2" a="1"/>
  <c r="J43" i="2" a="1"/>
  <c r="AA7" i="2" l="1"/>
  <c r="AB3" i="2"/>
  <c r="Z4" i="2"/>
  <c r="AA6" i="2"/>
  <c r="AA3" i="2"/>
  <c r="Z3" i="2"/>
  <c r="AB7" i="2"/>
  <c r="Z6" i="2"/>
  <c r="AA4" i="2"/>
  <c r="Z5" i="2"/>
  <c r="AB4" i="2"/>
  <c r="AB6" i="2"/>
  <c r="AB5" i="2"/>
  <c r="Z7" i="2"/>
  <c r="AA5" i="2"/>
  <c r="B83" i="2"/>
  <c r="B80" i="2"/>
  <c r="H63" i="2" a="1"/>
  <c r="P64" i="2"/>
  <c r="Q46" i="2"/>
  <c r="K46" i="2"/>
  <c r="O46" i="2"/>
  <c r="Q45" i="2"/>
  <c r="P47" i="2"/>
  <c r="L45" i="2"/>
  <c r="Q47" i="2"/>
  <c r="J45" i="2"/>
  <c r="O47" i="2"/>
  <c r="M46" i="2"/>
  <c r="K47" i="2"/>
  <c r="O45" i="2"/>
  <c r="N44" i="2"/>
  <c r="N46" i="2"/>
  <c r="N45" i="2"/>
  <c r="J47" i="2"/>
  <c r="M45" i="2"/>
  <c r="K44" i="2"/>
  <c r="M43" i="2"/>
  <c r="Q44" i="2"/>
  <c r="L47" i="2"/>
  <c r="N47" i="2"/>
  <c r="O43" i="2"/>
  <c r="P44" i="2"/>
  <c r="K43" i="2"/>
  <c r="M44" i="2"/>
  <c r="K45" i="2"/>
  <c r="L43" i="2"/>
  <c r="M47" i="2"/>
  <c r="L44" i="2"/>
  <c r="Q43" i="2"/>
  <c r="P43" i="2"/>
  <c r="P45" i="2"/>
  <c r="J43" i="2"/>
  <c r="J46" i="2"/>
  <c r="J44" i="2"/>
  <c r="N43" i="2"/>
  <c r="L46" i="2"/>
  <c r="P46" i="2"/>
  <c r="O44" i="2"/>
  <c r="J64" i="2" l="1"/>
  <c r="H67" i="2"/>
  <c r="J63" i="2"/>
  <c r="I67" i="2"/>
  <c r="M63" i="2"/>
  <c r="L65" i="2"/>
  <c r="L66" i="2"/>
  <c r="I63" i="2"/>
  <c r="J65" i="2"/>
  <c r="H64" i="2"/>
  <c r="K66" i="2"/>
  <c r="L64" i="2"/>
  <c r="M65" i="2"/>
  <c r="L63" i="2"/>
  <c r="H66" i="2"/>
  <c r="M64" i="2"/>
  <c r="H63" i="2"/>
  <c r="I66" i="2"/>
  <c r="I64" i="2"/>
  <c r="M67" i="2"/>
  <c r="J67" i="2"/>
  <c r="H65" i="2"/>
  <c r="I65" i="2"/>
  <c r="K63" i="2"/>
  <c r="J66" i="2"/>
  <c r="M66" i="2"/>
  <c r="K64" i="2"/>
  <c r="L67" i="2"/>
  <c r="K65" i="2"/>
  <c r="K67" i="2"/>
  <c r="B100" i="2"/>
  <c r="Q84" i="2"/>
  <c r="I83" i="2" a="1"/>
  <c r="AC18" i="2"/>
  <c r="AC12" i="2"/>
  <c r="AC9" i="2"/>
  <c r="AC13" i="2"/>
  <c r="AC4" i="2"/>
  <c r="AC10" i="2"/>
  <c r="AC15" i="2"/>
  <c r="AC14" i="2"/>
  <c r="AC5" i="2"/>
  <c r="AC16" i="2"/>
  <c r="AC7" i="2"/>
  <c r="AC3" i="2"/>
  <c r="AC17" i="2"/>
  <c r="AC8" i="2"/>
  <c r="AC6" i="2"/>
  <c r="AC11" i="2"/>
  <c r="AD6" i="2"/>
  <c r="AE6" i="2" s="1"/>
  <c r="AD9" i="2"/>
  <c r="AE9" i="2" s="1"/>
  <c r="AD10" i="2"/>
  <c r="AE10" i="2" s="1"/>
  <c r="AD16" i="2"/>
  <c r="AE16" i="2" s="1"/>
  <c r="AD14" i="2"/>
  <c r="AE14" i="2" s="1"/>
  <c r="AD3" i="2"/>
  <c r="AE3" i="2" s="1"/>
  <c r="AD15" i="2"/>
  <c r="AE15" i="2" s="1"/>
  <c r="AD17" i="2"/>
  <c r="AE17" i="2" s="1"/>
  <c r="AD5" i="2"/>
  <c r="AE5" i="2" s="1"/>
  <c r="AD4" i="2"/>
  <c r="AE4" i="2" s="1"/>
  <c r="AD12" i="2"/>
  <c r="AE12" i="2" s="1"/>
  <c r="AD7" i="2"/>
  <c r="AE7" i="2" s="1"/>
  <c r="AD8" i="2"/>
  <c r="AE8" i="2" s="1"/>
  <c r="AD13" i="2"/>
  <c r="AE13" i="2" s="1"/>
  <c r="AD18" i="2"/>
  <c r="AE18" i="2" s="1"/>
  <c r="AD11" i="2"/>
  <c r="AE11" i="2" s="1"/>
  <c r="R48" i="2"/>
  <c r="S48" i="2" s="1"/>
  <c r="R51" i="2"/>
  <c r="S51" i="2" s="1"/>
  <c r="R47" i="2"/>
  <c r="S47" i="2" s="1"/>
  <c r="R57" i="2"/>
  <c r="S57" i="2" s="1"/>
  <c r="R50" i="2"/>
  <c r="S50" i="2" s="1"/>
  <c r="R54" i="2"/>
  <c r="S54" i="2" s="1"/>
  <c r="R52" i="2"/>
  <c r="S52" i="2" s="1"/>
  <c r="R43" i="2"/>
  <c r="R59" i="2"/>
  <c r="S59" i="2" s="1"/>
  <c r="R49" i="2"/>
  <c r="S49" i="2" s="1"/>
  <c r="R46" i="2"/>
  <c r="S46" i="2" s="1"/>
  <c r="R58" i="2"/>
  <c r="S58" i="2" s="1"/>
  <c r="R53" i="2"/>
  <c r="S53" i="2" s="1"/>
  <c r="R55" i="2"/>
  <c r="S55" i="2" s="1"/>
  <c r="R56" i="2"/>
  <c r="S56" i="2" s="1"/>
  <c r="R45" i="2"/>
  <c r="S45" i="2" s="1"/>
  <c r="R44" i="2"/>
  <c r="S44" i="2" s="1"/>
  <c r="J57" i="2" l="1"/>
  <c r="R60" i="2"/>
  <c r="T43" i="2"/>
  <c r="S43" i="2"/>
  <c r="S60" i="2" s="1"/>
  <c r="L83" i="2"/>
  <c r="L86" i="2"/>
  <c r="O84" i="2"/>
  <c r="O87" i="2"/>
  <c r="N85" i="2"/>
  <c r="N86" i="2"/>
  <c r="K83" i="2"/>
  <c r="M85" i="2"/>
  <c r="K84" i="2"/>
  <c r="L84" i="2"/>
  <c r="I85" i="2"/>
  <c r="I83" i="2"/>
  <c r="K86" i="2"/>
  <c r="O86" i="2"/>
  <c r="L87" i="2"/>
  <c r="O85" i="2"/>
  <c r="N84" i="2"/>
  <c r="J84" i="2"/>
  <c r="J85" i="2"/>
  <c r="M87" i="2"/>
  <c r="I86" i="2"/>
  <c r="L85" i="2"/>
  <c r="K85" i="2"/>
  <c r="O83" i="2"/>
  <c r="M86" i="2"/>
  <c r="I84" i="2"/>
  <c r="J86" i="2"/>
  <c r="M83" i="2"/>
  <c r="J87" i="2"/>
  <c r="N83" i="2"/>
  <c r="N87" i="2"/>
  <c r="I87" i="2"/>
  <c r="J83" i="2"/>
  <c r="M84" i="2"/>
  <c r="K87" i="2"/>
  <c r="N76" i="2"/>
  <c r="O76" i="2" s="1"/>
  <c r="N71" i="2"/>
  <c r="O71" i="2" s="1"/>
  <c r="N64" i="2"/>
  <c r="O64" i="2" s="1"/>
  <c r="N72" i="2"/>
  <c r="O72" i="2" s="1"/>
  <c r="N78" i="2"/>
  <c r="O78" i="2" s="1"/>
  <c r="N77" i="2"/>
  <c r="O77" i="2" s="1"/>
  <c r="N75" i="2"/>
  <c r="O75" i="2" s="1"/>
  <c r="N68" i="2"/>
  <c r="O68" i="2" s="1"/>
  <c r="N73" i="2"/>
  <c r="O73" i="2" s="1"/>
  <c r="N69" i="2"/>
  <c r="O69" i="2" s="1"/>
  <c r="N67" i="2"/>
  <c r="O67" i="2" s="1"/>
  <c r="N70" i="2"/>
  <c r="O70" i="2" s="1"/>
  <c r="N65" i="2"/>
  <c r="O65" i="2" s="1"/>
  <c r="N66" i="2"/>
  <c r="O66" i="2" s="1"/>
  <c r="N79" i="2"/>
  <c r="O79" i="2" s="1"/>
  <c r="N74" i="2"/>
  <c r="O74" i="2" s="1"/>
  <c r="N63" i="2"/>
  <c r="N80" i="2" l="1"/>
  <c r="H77" i="2"/>
  <c r="P63" i="2"/>
  <c r="O63" i="2"/>
  <c r="O80" i="2" s="1"/>
  <c r="P98" i="2"/>
  <c r="P99" i="2"/>
  <c r="P94" i="2"/>
  <c r="P84" i="2"/>
  <c r="P95" i="2"/>
  <c r="P91" i="2"/>
  <c r="P96" i="2"/>
  <c r="P85" i="2"/>
  <c r="P97" i="2"/>
  <c r="P86" i="2"/>
  <c r="P83" i="2"/>
  <c r="P90" i="2"/>
  <c r="P92" i="2"/>
  <c r="P93" i="2"/>
  <c r="P88" i="2"/>
  <c r="P87" i="2"/>
  <c r="P89" i="2"/>
  <c r="Z83" i="2" l="1" a="1"/>
  <c r="O109" i="2"/>
  <c r="Q83" i="2"/>
  <c r="P100" i="2"/>
  <c r="O108" i="2"/>
  <c r="I97" i="2"/>
  <c r="O111" i="2"/>
  <c r="Z85" i="2" l="1"/>
  <c r="O106" i="2" s="1"/>
  <c r="AA83" i="2"/>
  <c r="AB86" i="2"/>
  <c r="AB84" i="2"/>
  <c r="AA87" i="2"/>
  <c r="Z87" i="2"/>
  <c r="AA85" i="2"/>
  <c r="AB85" i="2"/>
  <c r="AB87" i="2"/>
  <c r="Z84" i="2"/>
  <c r="Z86" i="2"/>
  <c r="AA84" i="2"/>
  <c r="Z83" i="2"/>
  <c r="AA86" i="2"/>
  <c r="AB83" i="2"/>
  <c r="O104" i="2" s="1"/>
  <c r="AC84" i="2" l="1"/>
  <c r="AC90" i="2"/>
  <c r="AC85" i="2"/>
  <c r="AC83" i="2"/>
  <c r="AC88" i="2"/>
  <c r="AC94" i="2"/>
  <c r="O102" i="2"/>
  <c r="AC96" i="2"/>
  <c r="AC98" i="2"/>
  <c r="AC105" i="2"/>
  <c r="AC89" i="2"/>
  <c r="AC100" i="2"/>
  <c r="AC104" i="2"/>
  <c r="AC91" i="2"/>
  <c r="AC101" i="2"/>
  <c r="AC93" i="2"/>
  <c r="AC87" i="2"/>
  <c r="AC99" i="2"/>
  <c r="AC92" i="2"/>
  <c r="AC86" i="2"/>
  <c r="AC97" i="2"/>
  <c r="AC102" i="2"/>
  <c r="AC95" i="2"/>
  <c r="AC103" i="2"/>
  <c r="O103" i="2"/>
  <c r="AD103" i="2"/>
  <c r="AE103" i="2" s="1"/>
  <c r="AD97" i="2"/>
  <c r="AE97" i="2" s="1"/>
  <c r="AD83" i="2"/>
  <c r="AE83" i="2" s="1"/>
  <c r="AD87" i="2"/>
  <c r="AE87" i="2" s="1"/>
  <c r="AD89" i="2"/>
  <c r="AE89" i="2" s="1"/>
  <c r="AD95" i="2"/>
  <c r="AE95" i="2" s="1"/>
  <c r="AD84" i="2"/>
  <c r="AE84" i="2" s="1"/>
  <c r="AD101" i="2"/>
  <c r="AE101" i="2" s="1"/>
  <c r="AD86" i="2"/>
  <c r="AE86" i="2" s="1"/>
  <c r="AD92" i="2"/>
  <c r="AE92" i="2" s="1"/>
  <c r="AD102" i="2"/>
  <c r="AE102" i="2" s="1"/>
  <c r="AD99" i="2"/>
  <c r="AE99" i="2" s="1"/>
  <c r="AD96" i="2"/>
  <c r="AE96" i="2" s="1"/>
  <c r="AD85" i="2"/>
  <c r="AE85" i="2" s="1"/>
  <c r="AD104" i="2"/>
  <c r="AE104" i="2" s="1"/>
  <c r="AD91" i="2"/>
  <c r="AE91" i="2" s="1"/>
  <c r="AD105" i="2"/>
  <c r="AE105" i="2" s="1"/>
  <c r="AD98" i="2"/>
  <c r="AE98" i="2" s="1"/>
  <c r="AD94" i="2"/>
  <c r="AE94" i="2" s="1"/>
  <c r="AD90" i="2"/>
  <c r="AE90" i="2" s="1"/>
  <c r="AD93" i="2"/>
  <c r="AE93" i="2" s="1"/>
  <c r="AD100" i="2"/>
  <c r="AE100" i="2" s="1"/>
  <c r="AD88" i="2"/>
  <c r="AE8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Hengstenberg</author>
  </authors>
  <commentList>
    <comment ref="D37" authorId="0" shapeId="0" xr:uid="{B222FB72-082D-214A-969A-F9BBCA7D01FD}">
      <text>
        <r>
          <rPr>
            <b/>
            <sz val="9"/>
            <color rgb="FF000000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  <comment ref="D57" authorId="0" shapeId="0" xr:uid="{61C14D8D-8C02-9A48-BC9C-6658C4DEDE3B}">
      <text>
        <r>
          <rPr>
            <b/>
            <sz val="9"/>
            <color indexed="81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</commentList>
</comments>
</file>

<file path=xl/sharedStrings.xml><?xml version="1.0" encoding="utf-8"?>
<sst xmlns="http://schemas.openxmlformats.org/spreadsheetml/2006/main" count="170" uniqueCount="50">
  <si>
    <t>Jahr</t>
  </si>
  <si>
    <t>Absolutglied</t>
  </si>
  <si>
    <t xml:space="preserve"> </t>
  </si>
  <si>
    <t>Parameter für Regressionsschätzung</t>
  </si>
  <si>
    <t>Regressionsparameter</t>
  </si>
  <si>
    <t>Quantil geschätzt</t>
  </si>
  <si>
    <t>Differenz</t>
  </si>
  <si>
    <t>Wohnfläche</t>
  </si>
  <si>
    <t>Mittleres Baualter im Abrech-nungsjahr</t>
  </si>
  <si>
    <t>Mittleres Baujahr</t>
  </si>
  <si>
    <t>Wohfläche</t>
  </si>
  <si>
    <t>Korrelation zwischen geschätzt und gemessen</t>
  </si>
  <si>
    <t>Effekt Wohnfläche und Baualter</t>
  </si>
  <si>
    <t>Mittleres Baualter</t>
  </si>
  <si>
    <t>Prognose</t>
  </si>
  <si>
    <t>Mittel-wert</t>
  </si>
  <si>
    <t>Mittel-wert korrigiert</t>
  </si>
  <si>
    <r>
      <t>x</t>
    </r>
    <r>
      <rPr>
        <b/>
        <vertAlign val="superscript"/>
        <sz val="12"/>
        <color theme="1"/>
        <rFont val="Calibri (Textkörper)"/>
      </rPr>
      <t>2</t>
    </r>
  </si>
  <si>
    <t>x</t>
  </si>
  <si>
    <t>Polynomischer Trend</t>
  </si>
  <si>
    <t>SV [AN]</t>
  </si>
  <si>
    <t>1. Ableitung</t>
  </si>
  <si>
    <r>
      <t>Jahr</t>
    </r>
    <r>
      <rPr>
        <vertAlign val="superscript"/>
        <sz val="12"/>
        <color theme="1"/>
        <rFont val="Calibri (Textkörper)"/>
      </rPr>
      <t>2</t>
    </r>
  </si>
  <si>
    <t>FM Wind</t>
  </si>
  <si>
    <t>SDK Sonne</t>
  </si>
  <si>
    <t>NM Bedeckung</t>
  </si>
  <si>
    <t>TMK Tagestem-peratur</t>
  </si>
  <si>
    <t>Mittelwert geschätzt</t>
  </si>
  <si>
    <t>1. Ableitung positiv</t>
  </si>
  <si>
    <t>Schätzung POLY</t>
  </si>
  <si>
    <t xml:space="preserve">Stichprobenumfang: </t>
  </si>
  <si>
    <t>MFH / 1-2 FH</t>
  </si>
  <si>
    <t>Zeitraum</t>
  </si>
  <si>
    <t>Land/Standort:</t>
  </si>
  <si>
    <t>MFH</t>
  </si>
  <si>
    <t>Berlin</t>
  </si>
  <si>
    <t>FM</t>
  </si>
  <si>
    <t>SDK</t>
  </si>
  <si>
    <t>NM</t>
  </si>
  <si>
    <t>TMK</t>
  </si>
  <si>
    <r>
      <t>y = 0,0692x</t>
    </r>
    <r>
      <rPr>
        <b/>
        <vertAlign val="superscript"/>
        <sz val="16"/>
        <color rgb="FF000000"/>
        <rFont val="Calibri"/>
        <family val="2"/>
        <scheme val="minor"/>
      </rPr>
      <t>2</t>
    </r>
    <r>
      <rPr>
        <b/>
        <sz val="16"/>
        <color rgb="FF000000"/>
        <rFont val="Calibri"/>
        <family val="2"/>
        <scheme val="minor"/>
      </rPr>
      <t xml:space="preserve"> - 3,9807x + 184,49</t>
    </r>
  </si>
  <si>
    <t>Polynom</t>
  </si>
  <si>
    <t>Korrelation</t>
  </si>
  <si>
    <t>LinTrend</t>
  </si>
  <si>
    <t>2002 - 2018</t>
  </si>
  <si>
    <t>Zeilenbeschriftungen</t>
  </si>
  <si>
    <t>Mittelwert von gebaeude_baujahr</t>
  </si>
  <si>
    <t>Mittelwert von gebaeude_nutzflaeche</t>
  </si>
  <si>
    <t>Mittelwert von verbrauch_gesamt_kwh_spez</t>
  </si>
  <si>
    <t>22.465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</si>
</sst>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#,##0_ ;\-#,##0\ "/>
    <numFmt numFmtId="167" formatCode="_-* #,##0.0000\ _€_-;\-* #,##0.0000\ _€_-;_-* &quot;-&quot;??\ _€_-;_-@_-"/>
    <numFmt numFmtId="168" formatCode="_-* #,##0.0\ _€_-;\-* #,##0.0\ _€_-;_-* &quot;-&quot;?\ _€_-;_-@_-"/>
    <numFmt numFmtId="169" formatCode="0.0"/>
    <numFmt numFmtId="170" formatCode="_-* #,##0.00000\ _€_-;\-* #,##0.00000\ _€_-;_-* &quot;-&quot;??\ _€_-;_-@_-"/>
    <numFmt numFmtId="171" formatCode="_-* #,##0.000\ _€_-;\-* #,##0.000\ _€_-;_-* &quot;-&quot;??\ _€_-;_-@_-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81"/>
      <name val="Calibri"/>
      <family val="2"/>
    </font>
    <font>
      <b/>
      <vertAlign val="superscript"/>
      <sz val="12"/>
      <color theme="1"/>
      <name val="Calibri (Textkörper)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Textkörper)"/>
    </font>
    <font>
      <b/>
      <sz val="9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vertAlign val="superscript"/>
      <sz val="16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163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3" fontId="0" fillId="3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3" xfId="1" applyNumberFormat="1" applyFont="1" applyBorder="1"/>
    <xf numFmtId="168" fontId="0" fillId="0" borderId="2" xfId="0" applyNumberFormat="1" applyBorder="1"/>
    <xf numFmtId="164" fontId="0" fillId="0" borderId="2" xfId="1" applyNumberFormat="1" applyFont="1" applyBorder="1"/>
    <xf numFmtId="170" fontId="0" fillId="2" borderId="0" xfId="1" applyNumberFormat="1" applyFont="1" applyFill="1"/>
    <xf numFmtId="0" fontId="4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5" fontId="6" fillId="0" borderId="2" xfId="1" applyNumberFormat="1" applyFont="1" applyBorder="1"/>
    <xf numFmtId="164" fontId="6" fillId="0" borderId="2" xfId="1" applyNumberFormat="1" applyFont="1" applyBorder="1"/>
    <xf numFmtId="167" fontId="7" fillId="0" borderId="0" xfId="1" applyNumberFormat="1" applyFont="1" applyFill="1"/>
    <xf numFmtId="167" fontId="8" fillId="0" borderId="0" xfId="1" applyNumberFormat="1" applyFont="1" applyFill="1"/>
    <xf numFmtId="0" fontId="0" fillId="0" borderId="2" xfId="0" applyBorder="1"/>
    <xf numFmtId="0" fontId="0" fillId="0" borderId="2" xfId="0" applyNumberForma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9" fontId="6" fillId="0" borderId="2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7" fillId="3" borderId="0" xfId="0" applyFont="1" applyFill="1"/>
    <xf numFmtId="0" fontId="3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43" fontId="0" fillId="3" borderId="2" xfId="1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0" fillId="2" borderId="12" xfId="0" applyFill="1" applyBorder="1"/>
    <xf numFmtId="43" fontId="0" fillId="0" borderId="0" xfId="1" applyNumberFormat="1" applyFont="1"/>
    <xf numFmtId="43" fontId="2" fillId="0" borderId="8" xfId="0" applyNumberFormat="1" applyFont="1" applyBorder="1"/>
    <xf numFmtId="43" fontId="0" fillId="0" borderId="0" xfId="0" applyNumberFormat="1"/>
    <xf numFmtId="166" fontId="2" fillId="0" borderId="8" xfId="0" applyNumberFormat="1" applyFont="1" applyBorder="1" applyAlignment="1">
      <alignment horizontal="center"/>
    </xf>
    <xf numFmtId="43" fontId="0" fillId="0" borderId="8" xfId="0" applyNumberFormat="1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168" fontId="0" fillId="0" borderId="23" xfId="0" applyNumberFormat="1" applyBorder="1"/>
    <xf numFmtId="168" fontId="0" fillId="0" borderId="24" xfId="0" applyNumberFormat="1" applyBorder="1"/>
    <xf numFmtId="164" fontId="11" fillId="5" borderId="2" xfId="1" applyNumberFormat="1" applyFont="1" applyFill="1" applyBorder="1" applyAlignment="1">
      <alignment horizontal="center"/>
    </xf>
    <xf numFmtId="164" fontId="12" fillId="5" borderId="2" xfId="1" applyNumberFormat="1" applyFont="1" applyFill="1" applyBorder="1" applyAlignment="1">
      <alignment horizontal="center"/>
    </xf>
    <xf numFmtId="43" fontId="11" fillId="5" borderId="2" xfId="1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70" fontId="3" fillId="2" borderId="0" xfId="1" applyNumberFormat="1" applyFont="1" applyFill="1"/>
    <xf numFmtId="0" fontId="0" fillId="0" borderId="3" xfId="0" applyBorder="1"/>
    <xf numFmtId="0" fontId="0" fillId="0" borderId="8" xfId="0" applyBorder="1"/>
    <xf numFmtId="0" fontId="0" fillId="0" borderId="16" xfId="0" applyBorder="1"/>
    <xf numFmtId="0" fontId="0" fillId="0" borderId="9" xfId="0" applyBorder="1"/>
    <xf numFmtId="0" fontId="0" fillId="0" borderId="21" xfId="0" applyBorder="1"/>
    <xf numFmtId="171" fontId="0" fillId="0" borderId="2" xfId="1" applyNumberFormat="1" applyFont="1" applyBorder="1"/>
    <xf numFmtId="164" fontId="0" fillId="0" borderId="29" xfId="1" applyNumberFormat="1" applyFont="1" applyBorder="1"/>
    <xf numFmtId="171" fontId="0" fillId="0" borderId="30" xfId="1" applyNumberFormat="1" applyFont="1" applyBorder="1"/>
    <xf numFmtId="0" fontId="0" fillId="0" borderId="29" xfId="0" applyBorder="1"/>
    <xf numFmtId="166" fontId="0" fillId="0" borderId="30" xfId="0" applyNumberFormat="1" applyBorder="1"/>
    <xf numFmtId="0" fontId="0" fillId="6" borderId="0" xfId="0" applyFill="1"/>
    <xf numFmtId="0" fontId="0" fillId="0" borderId="5" xfId="0" applyBorder="1"/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166" fontId="0" fillId="0" borderId="28" xfId="0" applyNumberFormat="1" applyBorder="1"/>
    <xf numFmtId="0" fontId="0" fillId="0" borderId="27" xfId="0" applyBorder="1"/>
    <xf numFmtId="43" fontId="0" fillId="0" borderId="9" xfId="0" applyNumberFormat="1" applyFont="1" applyBorder="1"/>
    <xf numFmtId="164" fontId="0" fillId="0" borderId="36" xfId="1" applyNumberFormat="1" applyFont="1" applyBorder="1"/>
    <xf numFmtId="43" fontId="2" fillId="0" borderId="9" xfId="0" applyNumberFormat="1" applyFont="1" applyBorder="1"/>
    <xf numFmtId="171" fontId="0" fillId="0" borderId="2" xfId="1" applyNumberFormat="1" applyFont="1" applyFill="1" applyBorder="1"/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7" borderId="2" xfId="0" applyFill="1" applyBorder="1" applyAlignment="1">
      <alignment horizontal="center"/>
    </xf>
    <xf numFmtId="43" fontId="0" fillId="7" borderId="2" xfId="1" applyFont="1" applyFill="1" applyBorder="1"/>
    <xf numFmtId="43" fontId="0" fillId="7" borderId="3" xfId="1" applyFont="1" applyFill="1" applyBorder="1"/>
    <xf numFmtId="43" fontId="0" fillId="7" borderId="0" xfId="1" applyFont="1" applyFill="1"/>
    <xf numFmtId="0" fontId="0" fillId="0" borderId="0" xfId="0" applyFill="1" applyBorder="1" applyAlignment="1">
      <alignment horizontal="center"/>
    </xf>
    <xf numFmtId="0" fontId="0" fillId="2" borderId="2" xfId="0" applyFill="1" applyBorder="1"/>
    <xf numFmtId="0" fontId="0" fillId="0" borderId="21" xfId="0" applyBorder="1" applyAlignment="1">
      <alignment horizontal="center"/>
    </xf>
    <xf numFmtId="0" fontId="0" fillId="0" borderId="37" xfId="0" applyFill="1" applyBorder="1" applyAlignment="1">
      <alignment horizontal="center"/>
    </xf>
    <xf numFmtId="164" fontId="15" fillId="0" borderId="2" xfId="1" applyNumberFormat="1" applyFont="1" applyBorder="1"/>
    <xf numFmtId="164" fontId="0" fillId="2" borderId="0" xfId="0" applyNumberFormat="1" applyFill="1"/>
    <xf numFmtId="168" fontId="0" fillId="2" borderId="0" xfId="0" applyNumberFormat="1" applyFill="1"/>
    <xf numFmtId="0" fontId="0" fillId="0" borderId="25" xfId="0" applyBorder="1" applyAlignment="1">
      <alignment horizontal="center" vertical="center" wrapText="1"/>
    </xf>
    <xf numFmtId="164" fontId="0" fillId="0" borderId="23" xfId="1" applyNumberFormat="1" applyFont="1" applyBorder="1"/>
    <xf numFmtId="164" fontId="0" fillId="0" borderId="24" xfId="1" applyNumberFormat="1" applyFont="1" applyBorder="1"/>
    <xf numFmtId="0" fontId="0" fillId="0" borderId="0" xfId="0" applyBorder="1" applyAlignment="1">
      <alignment horizontal="center"/>
    </xf>
    <xf numFmtId="164" fontId="0" fillId="2" borderId="2" xfId="0" applyNumberFormat="1" applyFill="1" applyBorder="1"/>
    <xf numFmtId="164" fontId="0" fillId="2" borderId="24" xfId="0" applyNumberFormat="1" applyFill="1" applyBorder="1"/>
    <xf numFmtId="0" fontId="0" fillId="0" borderId="3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64" fontId="0" fillId="0" borderId="5" xfId="1" applyNumberFormat="1" applyFont="1" applyBorder="1"/>
    <xf numFmtId="171" fontId="0" fillId="0" borderId="27" xfId="1" applyNumberFormat="1" applyFont="1" applyBorder="1"/>
    <xf numFmtId="171" fontId="0" fillId="0" borderId="28" xfId="1" applyNumberFormat="1" applyFont="1" applyBorder="1"/>
    <xf numFmtId="0" fontId="0" fillId="0" borderId="29" xfId="0" applyFill="1" applyBorder="1"/>
    <xf numFmtId="0" fontId="0" fillId="0" borderId="2" xfId="0" applyFill="1" applyBorder="1"/>
    <xf numFmtId="166" fontId="0" fillId="0" borderId="30" xfId="0" applyNumberFormat="1" applyFill="1" applyBorder="1"/>
    <xf numFmtId="164" fontId="0" fillId="0" borderId="29" xfId="1" applyNumberFormat="1" applyFont="1" applyFill="1" applyBorder="1"/>
    <xf numFmtId="171" fontId="0" fillId="0" borderId="30" xfId="1" applyNumberFormat="1" applyFont="1" applyFill="1" applyBorder="1"/>
    <xf numFmtId="0" fontId="0" fillId="6" borderId="29" xfId="0" applyFill="1" applyBorder="1"/>
    <xf numFmtId="0" fontId="0" fillId="6" borderId="2" xfId="0" applyFill="1" applyBorder="1"/>
    <xf numFmtId="166" fontId="0" fillId="6" borderId="30" xfId="0" applyNumberFormat="1" applyFill="1" applyBorder="1"/>
    <xf numFmtId="164" fontId="0" fillId="6" borderId="29" xfId="1" applyNumberFormat="1" applyFont="1" applyFill="1" applyBorder="1"/>
    <xf numFmtId="171" fontId="0" fillId="6" borderId="2" xfId="1" applyNumberFormat="1" applyFont="1" applyFill="1" applyBorder="1"/>
    <xf numFmtId="171" fontId="0" fillId="6" borderId="30" xfId="1" applyNumberFormat="1" applyFont="1" applyFill="1" applyBorder="1"/>
    <xf numFmtId="0" fontId="18" fillId="0" borderId="29" xfId="0" applyFont="1" applyFill="1" applyBorder="1"/>
    <xf numFmtId="0" fontId="18" fillId="0" borderId="2" xfId="0" applyFont="1" applyFill="1" applyBorder="1"/>
    <xf numFmtId="166" fontId="18" fillId="0" borderId="30" xfId="0" applyNumberFormat="1" applyFont="1" applyFill="1" applyBorder="1"/>
    <xf numFmtId="0" fontId="18" fillId="0" borderId="0" xfId="0" applyFont="1" applyFill="1"/>
    <xf numFmtId="164" fontId="18" fillId="0" borderId="29" xfId="1" applyNumberFormat="1" applyFont="1" applyFill="1" applyBorder="1"/>
    <xf numFmtId="171" fontId="18" fillId="0" borderId="2" xfId="1" applyNumberFormat="1" applyFont="1" applyFill="1" applyBorder="1"/>
    <xf numFmtId="171" fontId="18" fillId="0" borderId="30" xfId="1" applyNumberFormat="1" applyFont="1" applyFill="1" applyBorder="1"/>
    <xf numFmtId="0" fontId="18" fillId="0" borderId="31" xfId="0" applyFont="1" applyFill="1" applyBorder="1"/>
    <xf numFmtId="0" fontId="18" fillId="0" borderId="32" xfId="0" applyFont="1" applyFill="1" applyBorder="1"/>
    <xf numFmtId="166" fontId="18" fillId="0" borderId="33" xfId="0" applyNumberFormat="1" applyFont="1" applyFill="1" applyBorder="1"/>
    <xf numFmtId="164" fontId="18" fillId="0" borderId="31" xfId="1" applyNumberFormat="1" applyFont="1" applyFill="1" applyBorder="1"/>
    <xf numFmtId="171" fontId="18" fillId="0" borderId="32" xfId="1" applyNumberFormat="1" applyFont="1" applyFill="1" applyBorder="1"/>
    <xf numFmtId="171" fontId="18" fillId="0" borderId="33" xfId="1" applyNumberFormat="1" applyFont="1" applyFill="1" applyBorder="1"/>
    <xf numFmtId="0" fontId="15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readingOrder="1"/>
    </xf>
    <xf numFmtId="0" fontId="0" fillId="0" borderId="0" xfId="0" applyAlignment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49" fontId="0" fillId="0" borderId="0" xfId="0" applyNumberFormat="1"/>
    <xf numFmtId="169" fontId="0" fillId="0" borderId="0" xfId="0" applyNumberFormat="1"/>
    <xf numFmtId="0" fontId="0" fillId="8" borderId="0" xfId="0" applyFill="1"/>
    <xf numFmtId="169" fontId="0" fillId="8" borderId="0" xfId="0" applyNumberFormat="1" applyFill="1"/>
    <xf numFmtId="169" fontId="15" fillId="0" borderId="0" xfId="0" applyNumberFormat="1" applyFont="1"/>
    <xf numFmtId="169" fontId="0" fillId="0" borderId="2" xfId="0" applyNumberFormat="1" applyFill="1" applyBorder="1" applyAlignment="1">
      <alignment horizontal="center"/>
    </xf>
    <xf numFmtId="169" fontId="15" fillId="0" borderId="2" xfId="0" applyNumberFormat="1" applyFont="1" applyFill="1" applyBorder="1" applyAlignment="1">
      <alignment horizontal="center"/>
    </xf>
    <xf numFmtId="169" fontId="2" fillId="0" borderId="2" xfId="3" applyNumberFormat="1" applyBorder="1" applyAlignment="1">
      <alignment horizontal="center"/>
    </xf>
    <xf numFmtId="169" fontId="15" fillId="0" borderId="2" xfId="3" applyNumberFormat="1" applyFont="1" applyBorder="1" applyAlignment="1">
      <alignment horizontal="center"/>
    </xf>
    <xf numFmtId="164" fontId="2" fillId="0" borderId="2" xfId="1" applyNumberFormat="1" applyBorder="1"/>
    <xf numFmtId="43" fontId="0" fillId="0" borderId="2" xfId="1" applyNumberFormat="1" applyFont="1" applyFill="1" applyBorder="1" applyAlignment="1">
      <alignment horizontal="center" vertical="center" wrapText="1"/>
    </xf>
  </cellXfs>
  <cellStyles count="5">
    <cellStyle name="Komma" xfId="1" builtinId="3"/>
    <cellStyle name="Komma 2" xfId="4" xr:uid="{00000000-0005-0000-0000-000001000000}"/>
    <cellStyle name="Standard" xfId="0" builtinId="0"/>
    <cellStyle name="Standard 2" xfId="3" xr:uid="{00000000-0005-0000-0000-000003000000}"/>
    <cellStyle name="Standard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worksheet" Target="worksheets/sheet3.xml"/><Relationship Id="rId1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theme" Target="theme/theme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</c:f>
          <c:strCache>
            <c:ptCount val="1"/>
            <c:pt idx="0">
              <c:v>1. Berlin, MFH, N = 22.465, Rohdaten 2002 - 2018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1'!$B$3:$B$19</c:f>
              <c:numCache>
                <c:formatCode>_-* #,##0.0\ _€_-;\-* #,##0.0\ _€_-;_-* "-"??\ _€_-;_-@_-</c:formatCode>
                <c:ptCount val="17"/>
                <c:pt idx="0">
                  <c:v>156.39184764991899</c:v>
                </c:pt>
                <c:pt idx="1">
                  <c:v>160.71201629327879</c:v>
                </c:pt>
                <c:pt idx="2">
                  <c:v>156.71839156626504</c:v>
                </c:pt>
                <c:pt idx="3">
                  <c:v>155.29793269230728</c:v>
                </c:pt>
                <c:pt idx="4">
                  <c:v>146.39790079716587</c:v>
                </c:pt>
                <c:pt idx="5">
                  <c:v>137.81455185359025</c:v>
                </c:pt>
                <c:pt idx="6">
                  <c:v>139.55238117647062</c:v>
                </c:pt>
                <c:pt idx="7">
                  <c:v>140.80820743160496</c:v>
                </c:pt>
                <c:pt idx="8">
                  <c:v>158.13611040609138</c:v>
                </c:pt>
                <c:pt idx="9">
                  <c:v>142.84161403508818</c:v>
                </c:pt>
                <c:pt idx="10">
                  <c:v>147.6409719058469</c:v>
                </c:pt>
                <c:pt idx="11">
                  <c:v>148.96226869455018</c:v>
                </c:pt>
                <c:pt idx="12">
                  <c:v>122.47143497757857</c:v>
                </c:pt>
                <c:pt idx="13">
                  <c:v>121.61174852652255</c:v>
                </c:pt>
                <c:pt idx="14">
                  <c:v>115.69437086092712</c:v>
                </c:pt>
                <c:pt idx="15">
                  <c:v>110.5415795206971</c:v>
                </c:pt>
                <c:pt idx="16">
                  <c:v>118.09562442005154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9-6E44-B25F-1045B9C11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41024"/>
        <c:axId val="107842944"/>
      </c:lineChart>
      <c:catAx>
        <c:axId val="1078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842944"/>
        <c:crosses val="autoZero"/>
        <c:auto val="1"/>
        <c:lblAlgn val="ctr"/>
        <c:lblOffset val="100"/>
        <c:noMultiLvlLbl val="0"/>
      </c:catAx>
      <c:valAx>
        <c:axId val="107842944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8410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Diagrammtitel!$A$2</c:f>
          <c:strCache>
            <c:ptCount val="1"/>
            <c:pt idx="0">
              <c:v>2. Berlin, MFH, N = 22.465, Rohdaten und bereinigte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1'!$B$3:$B$19</c:f>
              <c:numCache>
                <c:formatCode>_-* #,##0.0\ _€_-;\-* #,##0.0\ _€_-;_-* "-"??\ _€_-;_-@_-</c:formatCode>
                <c:ptCount val="17"/>
                <c:pt idx="0">
                  <c:v>156.39184764991899</c:v>
                </c:pt>
                <c:pt idx="1">
                  <c:v>160.71201629327879</c:v>
                </c:pt>
                <c:pt idx="2">
                  <c:v>156.71839156626504</c:v>
                </c:pt>
                <c:pt idx="3">
                  <c:v>155.29793269230728</c:v>
                </c:pt>
                <c:pt idx="4">
                  <c:v>146.39790079716587</c:v>
                </c:pt>
                <c:pt idx="5">
                  <c:v>137.81455185359025</c:v>
                </c:pt>
                <c:pt idx="6">
                  <c:v>139.55238117647062</c:v>
                </c:pt>
                <c:pt idx="7">
                  <c:v>140.80820743160496</c:v>
                </c:pt>
                <c:pt idx="8">
                  <c:v>158.13611040609138</c:v>
                </c:pt>
                <c:pt idx="9">
                  <c:v>142.84161403508818</c:v>
                </c:pt>
                <c:pt idx="10">
                  <c:v>147.6409719058469</c:v>
                </c:pt>
                <c:pt idx="11">
                  <c:v>148.96226869455018</c:v>
                </c:pt>
                <c:pt idx="12">
                  <c:v>122.47143497757857</c:v>
                </c:pt>
                <c:pt idx="13">
                  <c:v>121.61174852652255</c:v>
                </c:pt>
                <c:pt idx="14">
                  <c:v>115.69437086092712</c:v>
                </c:pt>
                <c:pt idx="15">
                  <c:v>110.5415795206971</c:v>
                </c:pt>
                <c:pt idx="16">
                  <c:v>118.09562442005154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0-5C4C-8E12-31F8A4F104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1'!$B$43:$B$59</c:f>
              <c:numCache>
                <c:formatCode>_-* #,##0.0\ _€_-;\-* #,##0.0\ _€_-;_-* "-"??\ _€_-;_-@_-</c:formatCode>
                <c:ptCount val="17"/>
                <c:pt idx="0">
                  <c:v>153.29627114112319</c:v>
                </c:pt>
                <c:pt idx="1">
                  <c:v>161.60667572484144</c:v>
                </c:pt>
                <c:pt idx="2">
                  <c:v>155.38471638702887</c:v>
                </c:pt>
                <c:pt idx="3">
                  <c:v>153.39684828372904</c:v>
                </c:pt>
                <c:pt idx="4">
                  <c:v>149.06617682174925</c:v>
                </c:pt>
                <c:pt idx="5">
                  <c:v>140.13484669732858</c:v>
                </c:pt>
                <c:pt idx="6">
                  <c:v>144.98375304178199</c:v>
                </c:pt>
                <c:pt idx="7">
                  <c:v>145.86175340738075</c:v>
                </c:pt>
                <c:pt idx="8">
                  <c:v>156.19296531868545</c:v>
                </c:pt>
                <c:pt idx="9">
                  <c:v>140.38545949992559</c:v>
                </c:pt>
                <c:pt idx="10">
                  <c:v>145.24053485993716</c:v>
                </c:pt>
                <c:pt idx="11">
                  <c:v>141.84421745966998</c:v>
                </c:pt>
                <c:pt idx="12">
                  <c:v>117.93413336805642</c:v>
                </c:pt>
                <c:pt idx="13">
                  <c:v>122.37993866273547</c:v>
                </c:pt>
                <c:pt idx="14">
                  <c:v>127.10404280949466</c:v>
                </c:pt>
                <c:pt idx="15">
                  <c:v>108.45468702512795</c:v>
                </c:pt>
                <c:pt idx="16">
                  <c:v>116.42193229935714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20-5C4C-8E12-31F8A4F10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610752"/>
        <c:axId val="499612288"/>
      </c:lineChart>
      <c:catAx>
        <c:axId val="49961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612288"/>
        <c:crosses val="autoZero"/>
        <c:auto val="1"/>
        <c:lblAlgn val="ctr"/>
        <c:lblOffset val="100"/>
        <c:noMultiLvlLbl val="0"/>
      </c:catAx>
      <c:valAx>
        <c:axId val="499612288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61075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Diagrammtitel!$A$3</c:f>
          <c:strCache>
            <c:ptCount val="1"/>
            <c:pt idx="0">
              <c:v>3. Berlin, MFH, N = 22.465, bereinigte Daten 2002 - 2018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1'!$B$43:$B$59</c:f>
              <c:numCache>
                <c:formatCode>_-* #,##0.0\ _€_-;\-* #,##0.0\ _€_-;_-* "-"??\ _€_-;_-@_-</c:formatCode>
                <c:ptCount val="17"/>
                <c:pt idx="0">
                  <c:v>153.29627114112319</c:v>
                </c:pt>
                <c:pt idx="1">
                  <c:v>161.60667572484144</c:v>
                </c:pt>
                <c:pt idx="2">
                  <c:v>155.38471638702887</c:v>
                </c:pt>
                <c:pt idx="3">
                  <c:v>153.39684828372904</c:v>
                </c:pt>
                <c:pt idx="4">
                  <c:v>149.06617682174925</c:v>
                </c:pt>
                <c:pt idx="5">
                  <c:v>140.13484669732858</c:v>
                </c:pt>
                <c:pt idx="6">
                  <c:v>144.98375304178199</c:v>
                </c:pt>
                <c:pt idx="7">
                  <c:v>145.86175340738075</c:v>
                </c:pt>
                <c:pt idx="8">
                  <c:v>156.19296531868545</c:v>
                </c:pt>
                <c:pt idx="9">
                  <c:v>140.38545949992559</c:v>
                </c:pt>
                <c:pt idx="10">
                  <c:v>145.24053485993716</c:v>
                </c:pt>
                <c:pt idx="11">
                  <c:v>141.84421745966998</c:v>
                </c:pt>
                <c:pt idx="12">
                  <c:v>117.93413336805642</c:v>
                </c:pt>
                <c:pt idx="13">
                  <c:v>122.37993866273547</c:v>
                </c:pt>
                <c:pt idx="14">
                  <c:v>127.10404280949466</c:v>
                </c:pt>
                <c:pt idx="15">
                  <c:v>108.45468702512795</c:v>
                </c:pt>
                <c:pt idx="16">
                  <c:v>116.42193229935714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35-2840-AD08-532B7B34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3408"/>
        <c:axId val="499554944"/>
      </c:lineChart>
      <c:catAx>
        <c:axId val="49955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554944"/>
        <c:crosses val="autoZero"/>
        <c:auto val="1"/>
        <c:lblAlgn val="ctr"/>
        <c:lblOffset val="100"/>
        <c:noMultiLvlLbl val="0"/>
      </c:catAx>
      <c:valAx>
        <c:axId val="499554944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5534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Diagrammtitel!$A$4</c:f>
          <c:strCache>
            <c:ptCount val="1"/>
            <c:pt idx="0">
              <c:v>4. Berlin, MFH, N = 22.465, bereinigte und geschätzte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1'!$P$83:$P$99</c:f>
              <c:numCache>
                <c:formatCode>_-* #,##0.0\ _€_-;\-* #,##0.0\ _€_-;_-* "-"?\ _€_-;_-@_-</c:formatCode>
                <c:ptCount val="17"/>
                <c:pt idx="0">
                  <c:v>153.68518988693467</c:v>
                </c:pt>
                <c:pt idx="1">
                  <c:v>160.75715960893899</c:v>
                </c:pt>
                <c:pt idx="2">
                  <c:v>151.08879621702494</c:v>
                </c:pt>
                <c:pt idx="3">
                  <c:v>152.00577546480847</c:v>
                </c:pt>
                <c:pt idx="4">
                  <c:v>155.96838041957653</c:v>
                </c:pt>
                <c:pt idx="5">
                  <c:v>141.97543178297133</c:v>
                </c:pt>
                <c:pt idx="6">
                  <c:v>143.67994357218259</c:v>
                </c:pt>
                <c:pt idx="7">
                  <c:v>149.55057844159165</c:v>
                </c:pt>
                <c:pt idx="8">
                  <c:v>154.23484173318508</c:v>
                </c:pt>
                <c:pt idx="9">
                  <c:v>143.31355836622549</c:v>
                </c:pt>
                <c:pt idx="10">
                  <c:v>140.49351748740062</c:v>
                </c:pt>
                <c:pt idx="11">
                  <c:v>139.39264909513975</c:v>
                </c:pt>
                <c:pt idx="12">
                  <c:v>120.95835416228329</c:v>
                </c:pt>
                <c:pt idx="13">
                  <c:v>116.94630078116677</c:v>
                </c:pt>
                <c:pt idx="14">
                  <c:v>125.37542587589452</c:v>
                </c:pt>
                <c:pt idx="15">
                  <c:v>113.53685514157901</c:v>
                </c:pt>
                <c:pt idx="16">
                  <c:v>116.72619477104976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B-B14A-9EFC-2351907D234D}"/>
            </c:ext>
          </c:extLst>
        </c:ser>
        <c:ser>
          <c:idx val="0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1'!$B$83:$B$99</c:f>
              <c:numCache>
                <c:formatCode>_-* #,##0.0\ _€_-;\-* #,##0.0\ _€_-;_-* "-"??\ _€_-;_-@_-</c:formatCode>
                <c:ptCount val="17"/>
                <c:pt idx="0">
                  <c:v>153.29627114112319</c:v>
                </c:pt>
                <c:pt idx="1">
                  <c:v>161.60667572484144</c:v>
                </c:pt>
                <c:pt idx="2">
                  <c:v>155.38471638702887</c:v>
                </c:pt>
                <c:pt idx="3">
                  <c:v>153.39684828372904</c:v>
                </c:pt>
                <c:pt idx="4">
                  <c:v>149.06617682174925</c:v>
                </c:pt>
                <c:pt idx="5">
                  <c:v>140.13484669732858</c:v>
                </c:pt>
                <c:pt idx="6">
                  <c:v>144.98375304178199</c:v>
                </c:pt>
                <c:pt idx="7">
                  <c:v>145.86175340738075</c:v>
                </c:pt>
                <c:pt idx="8">
                  <c:v>156.19296531868545</c:v>
                </c:pt>
                <c:pt idx="9">
                  <c:v>140.38545949992559</c:v>
                </c:pt>
                <c:pt idx="10">
                  <c:v>145.24053485993716</c:v>
                </c:pt>
                <c:pt idx="11">
                  <c:v>141.84421745966998</c:v>
                </c:pt>
                <c:pt idx="12">
                  <c:v>117.93413336805642</c:v>
                </c:pt>
                <c:pt idx="13">
                  <c:v>122.37993866273547</c:v>
                </c:pt>
                <c:pt idx="14">
                  <c:v>127.10404280949466</c:v>
                </c:pt>
                <c:pt idx="15">
                  <c:v>108.45468702512795</c:v>
                </c:pt>
                <c:pt idx="16">
                  <c:v>116.42193229935714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A-1640-AAFD-A5D358898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629696"/>
        <c:axId val="501631232"/>
      </c:lineChart>
      <c:catAx>
        <c:axId val="50162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1631232"/>
        <c:crosses val="autoZero"/>
        <c:auto val="1"/>
        <c:lblAlgn val="ctr"/>
        <c:lblOffset val="100"/>
        <c:noMultiLvlLbl val="0"/>
      </c:catAx>
      <c:valAx>
        <c:axId val="50163123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16296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Diagrammtitel!$A$5</c:f>
          <c:strCache>
            <c:ptCount val="1"/>
            <c:pt idx="0">
              <c:v>5. Berlin, MFH, N = 22.465, geschätzte Daten 2002 - 2018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1'!$P$83:$P$99</c:f>
              <c:numCache>
                <c:formatCode>_-* #,##0.0\ _€_-;\-* #,##0.0\ _€_-;_-* "-"?\ _€_-;_-@_-</c:formatCode>
                <c:ptCount val="17"/>
                <c:pt idx="0">
                  <c:v>153.68518988693467</c:v>
                </c:pt>
                <c:pt idx="1">
                  <c:v>160.75715960893899</c:v>
                </c:pt>
                <c:pt idx="2">
                  <c:v>151.08879621702494</c:v>
                </c:pt>
                <c:pt idx="3">
                  <c:v>152.00577546480847</c:v>
                </c:pt>
                <c:pt idx="4">
                  <c:v>155.96838041957653</c:v>
                </c:pt>
                <c:pt idx="5">
                  <c:v>141.97543178297133</c:v>
                </c:pt>
                <c:pt idx="6">
                  <c:v>143.67994357218259</c:v>
                </c:pt>
                <c:pt idx="7">
                  <c:v>149.55057844159165</c:v>
                </c:pt>
                <c:pt idx="8">
                  <c:v>154.23484173318508</c:v>
                </c:pt>
                <c:pt idx="9">
                  <c:v>143.31355836622549</c:v>
                </c:pt>
                <c:pt idx="10">
                  <c:v>140.49351748740062</c:v>
                </c:pt>
                <c:pt idx="11">
                  <c:v>139.39264909513975</c:v>
                </c:pt>
                <c:pt idx="12">
                  <c:v>120.95835416228329</c:v>
                </c:pt>
                <c:pt idx="13">
                  <c:v>116.94630078116677</c:v>
                </c:pt>
                <c:pt idx="14">
                  <c:v>125.37542587589452</c:v>
                </c:pt>
                <c:pt idx="15">
                  <c:v>113.53685514157901</c:v>
                </c:pt>
                <c:pt idx="16">
                  <c:v>116.72619477104976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E-004F-AAA3-4A25FB76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656960"/>
        <c:axId val="501568640"/>
      </c:lineChart>
      <c:catAx>
        <c:axId val="5016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1568640"/>
        <c:crosses val="autoZero"/>
        <c:auto val="1"/>
        <c:lblAlgn val="ctr"/>
        <c:lblOffset val="100"/>
        <c:noMultiLvlLbl val="0"/>
      </c:catAx>
      <c:valAx>
        <c:axId val="50156864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1656960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Diagrammtitel!$A$6</c:f>
          <c:strCache>
            <c:ptCount val="1"/>
            <c:pt idx="0">
              <c:v>6. Berlin, MFH, N = 22.465, geschätzte Daten und linearer Trend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linear"/>
            <c:dispRSqr val="1"/>
            <c:dispEq val="1"/>
            <c:trendlineLbl>
              <c:layout>
                <c:manualLayout>
                  <c:x val="-3.9467380091515854E-2"/>
                  <c:y val="-0.1057449950994702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1'!$P$83:$P$99</c:f>
              <c:numCache>
                <c:formatCode>_-* #,##0.0\ _€_-;\-* #,##0.0\ _€_-;_-* "-"?\ _€_-;_-@_-</c:formatCode>
                <c:ptCount val="17"/>
                <c:pt idx="0">
                  <c:v>153.68518988693467</c:v>
                </c:pt>
                <c:pt idx="1">
                  <c:v>160.75715960893899</c:v>
                </c:pt>
                <c:pt idx="2">
                  <c:v>151.08879621702494</c:v>
                </c:pt>
                <c:pt idx="3">
                  <c:v>152.00577546480847</c:v>
                </c:pt>
                <c:pt idx="4">
                  <c:v>155.96838041957653</c:v>
                </c:pt>
                <c:pt idx="5">
                  <c:v>141.97543178297133</c:v>
                </c:pt>
                <c:pt idx="6">
                  <c:v>143.67994357218259</c:v>
                </c:pt>
                <c:pt idx="7">
                  <c:v>149.55057844159165</c:v>
                </c:pt>
                <c:pt idx="8">
                  <c:v>154.23484173318508</c:v>
                </c:pt>
                <c:pt idx="9">
                  <c:v>143.31355836622549</c:v>
                </c:pt>
                <c:pt idx="10">
                  <c:v>140.49351748740062</c:v>
                </c:pt>
                <c:pt idx="11">
                  <c:v>139.39264909513975</c:v>
                </c:pt>
                <c:pt idx="12">
                  <c:v>120.95835416228329</c:v>
                </c:pt>
                <c:pt idx="13">
                  <c:v>116.94630078116677</c:v>
                </c:pt>
                <c:pt idx="14">
                  <c:v>125.37542587589452</c:v>
                </c:pt>
                <c:pt idx="15">
                  <c:v>113.53685514157901</c:v>
                </c:pt>
                <c:pt idx="16">
                  <c:v>116.72619477104976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E-FF4E-A7D1-A75D1623B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008448"/>
        <c:axId val="502022528"/>
      </c:lineChart>
      <c:catAx>
        <c:axId val="50200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022528"/>
        <c:crosses val="autoZero"/>
        <c:auto val="1"/>
        <c:lblAlgn val="ctr"/>
        <c:lblOffset val="100"/>
        <c:noMultiLvlLbl val="0"/>
      </c:catAx>
      <c:valAx>
        <c:axId val="502022528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00844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Diagrammtitel!$A$7</c:f>
          <c:strCache>
            <c:ptCount val="1"/>
            <c:pt idx="0">
              <c:v>7. Berlin, MFH, N = 22.465, geschätzte Daten und nicht-linearer Trend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3922721537445487E-2"/>
                  <c:y val="-0.1834460617462076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'Regression 1'!$A$3:$A$19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1'!$P$83:$P$99</c:f>
              <c:numCache>
                <c:formatCode>_-* #.##00\ _€_-;\-* #.##00\ _€_-;_-* "-"?\ _€_-;_-@_-</c:formatCode>
                <c:ptCount val="17"/>
                <c:pt idx="0">
                  <c:v>153.68518988693467</c:v>
                </c:pt>
                <c:pt idx="1">
                  <c:v>160.75715960893899</c:v>
                </c:pt>
                <c:pt idx="2">
                  <c:v>151.08879621702494</c:v>
                </c:pt>
                <c:pt idx="3">
                  <c:v>152.00577546480847</c:v>
                </c:pt>
                <c:pt idx="4">
                  <c:v>155.96838041957653</c:v>
                </c:pt>
                <c:pt idx="5">
                  <c:v>141.97543178297133</c:v>
                </c:pt>
                <c:pt idx="6">
                  <c:v>143.67994357218259</c:v>
                </c:pt>
                <c:pt idx="7">
                  <c:v>149.55057844159165</c:v>
                </c:pt>
                <c:pt idx="8">
                  <c:v>154.23484173318508</c:v>
                </c:pt>
                <c:pt idx="9">
                  <c:v>143.31355836622549</c:v>
                </c:pt>
                <c:pt idx="10">
                  <c:v>140.49351748740062</c:v>
                </c:pt>
                <c:pt idx="11">
                  <c:v>139.39264909513975</c:v>
                </c:pt>
                <c:pt idx="12">
                  <c:v>120.95835416228329</c:v>
                </c:pt>
                <c:pt idx="13">
                  <c:v>116.94630078116677</c:v>
                </c:pt>
                <c:pt idx="14">
                  <c:v>125.37542587589452</c:v>
                </c:pt>
                <c:pt idx="15">
                  <c:v>113.53685514157901</c:v>
                </c:pt>
                <c:pt idx="16">
                  <c:v>116.72619477104976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C-1747-B9C8-E97BC5E1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763904"/>
        <c:axId val="502765440"/>
      </c:lineChart>
      <c:catAx>
        <c:axId val="5027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765440"/>
        <c:crosses val="autoZero"/>
        <c:auto val="1"/>
        <c:lblAlgn val="ctr"/>
        <c:lblOffset val="100"/>
        <c:noMultiLvlLbl val="0"/>
      </c:catAx>
      <c:valAx>
        <c:axId val="50276544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76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Diagrammtitel!$A$8</c:f>
          <c:strCache>
            <c:ptCount val="1"/>
            <c:pt idx="0">
              <c:v>8. Berlin, MFH, N = 22.465, geschätzte Daten und Prognose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'Regression 1'!$W$83:$W$106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</c:numCache>
            </c:numRef>
          </c:cat>
          <c:val>
            <c:numRef>
              <c:f>'Regression 1'!$P$83:$P$99</c:f>
              <c:numCache>
                <c:formatCode>_-* #,##0.0\ _€_-;\-* #,##0.0\ _€_-;_-* "-"?\ _€_-;_-@_-</c:formatCode>
                <c:ptCount val="17"/>
                <c:pt idx="0">
                  <c:v>153.68518988693467</c:v>
                </c:pt>
                <c:pt idx="1">
                  <c:v>160.75715960893899</c:v>
                </c:pt>
                <c:pt idx="2">
                  <c:v>151.08879621702494</c:v>
                </c:pt>
                <c:pt idx="3">
                  <c:v>152.00577546480847</c:v>
                </c:pt>
                <c:pt idx="4">
                  <c:v>155.96838041957653</c:v>
                </c:pt>
                <c:pt idx="5">
                  <c:v>141.97543178297133</c:v>
                </c:pt>
                <c:pt idx="6">
                  <c:v>143.67994357218259</c:v>
                </c:pt>
                <c:pt idx="7">
                  <c:v>149.55057844159165</c:v>
                </c:pt>
                <c:pt idx="8">
                  <c:v>154.23484173318508</c:v>
                </c:pt>
                <c:pt idx="9">
                  <c:v>143.31355836622549</c:v>
                </c:pt>
                <c:pt idx="10">
                  <c:v>140.49351748740062</c:v>
                </c:pt>
                <c:pt idx="11">
                  <c:v>139.39264909513975</c:v>
                </c:pt>
                <c:pt idx="12">
                  <c:v>120.95835416228329</c:v>
                </c:pt>
                <c:pt idx="13">
                  <c:v>116.94630078116677</c:v>
                </c:pt>
                <c:pt idx="14">
                  <c:v>125.37542587589452</c:v>
                </c:pt>
                <c:pt idx="15">
                  <c:v>113.53685514157901</c:v>
                </c:pt>
                <c:pt idx="16">
                  <c:v>116.72619477104976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6-2F41-BD4F-FC3D245DED26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  <a:prstDash val="sysDash"/>
            </a:ln>
          </c:spPr>
          <c:marker>
            <c:symbol val="none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trendline>
            <c:spPr>
              <a:ln>
                <a:noFill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7524150690254469E-2"/>
                  <c:y val="-0.4578775644238522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>
                      <a:solidFill>
                        <a:schemeClr val="accent2"/>
                      </a:solidFill>
                    </a:defRPr>
                  </a:pPr>
                  <a:endParaRPr lang="de-DE"/>
                </a:p>
              </c:txPr>
            </c:trendlineLbl>
          </c:trendline>
          <c:cat>
            <c:numRef>
              <c:f>'Regression 1'!$W$83:$W$106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</c:numCache>
            </c:numRef>
          </c:cat>
          <c:val>
            <c:numRef>
              <c:f>'Regression 1'!$AC$83:$AC$106</c:f>
              <c:numCache>
                <c:formatCode>_-* #,##0.0\ _€_-;\-* #,##0.0\ _€_-;_-* "-"??\ _€_-;_-@_-</c:formatCode>
                <c:ptCount val="24"/>
                <c:pt idx="0">
                  <c:v>154.17977557027282</c:v>
                </c:pt>
                <c:pt idx="1">
                  <c:v>154.48498248221063</c:v>
                </c:pt>
                <c:pt idx="2">
                  <c:v>154.36065639321984</c:v>
                </c:pt>
                <c:pt idx="3">
                  <c:v>153.80679730330047</c:v>
                </c:pt>
                <c:pt idx="4">
                  <c:v>152.82340521245257</c:v>
                </c:pt>
                <c:pt idx="5">
                  <c:v>151.41048012067611</c:v>
                </c:pt>
                <c:pt idx="6">
                  <c:v>149.56802202797107</c:v>
                </c:pt>
                <c:pt idx="7">
                  <c:v>147.29603093433747</c:v>
                </c:pt>
                <c:pt idx="8">
                  <c:v>144.59450683977531</c:v>
                </c:pt>
                <c:pt idx="9">
                  <c:v>141.46344974428459</c:v>
                </c:pt>
                <c:pt idx="10">
                  <c:v>137.90285964786531</c:v>
                </c:pt>
                <c:pt idx="11">
                  <c:v>133.91273655051745</c:v>
                </c:pt>
                <c:pt idx="12">
                  <c:v>129.49308045224106</c:v>
                </c:pt>
                <c:pt idx="13">
                  <c:v>124.64389135303608</c:v>
                </c:pt>
                <c:pt idx="14">
                  <c:v>119.36516925290255</c:v>
                </c:pt>
                <c:pt idx="15">
                  <c:v>113.65691415184045</c:v>
                </c:pt>
                <c:pt idx="16">
                  <c:v>107.51912604984979</c:v>
                </c:pt>
                <c:pt idx="17">
                  <c:v>100.95180494693057</c:v>
                </c:pt>
                <c:pt idx="18">
                  <c:v>93.954950843082784</c:v>
                </c:pt>
                <c:pt idx="19">
                  <c:v>86.528563738306445</c:v>
                </c:pt>
                <c:pt idx="20">
                  <c:v>78.672643632601535</c:v>
                </c:pt>
                <c:pt idx="21">
                  <c:v>70.387190525968066</c:v>
                </c:pt>
                <c:pt idx="22">
                  <c:v>61.672204418406025</c:v>
                </c:pt>
                <c:pt idx="23">
                  <c:v>52.527685309915427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6-2F41-BD4F-FC3D245D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11264"/>
        <c:axId val="502813056"/>
      </c:lineChart>
      <c:catAx>
        <c:axId val="5028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813056"/>
        <c:crosses val="autoZero"/>
        <c:auto val="1"/>
        <c:lblAlgn val="ctr"/>
        <c:lblOffset val="100"/>
        <c:noMultiLvlLbl val="0"/>
      </c:catAx>
      <c:valAx>
        <c:axId val="502813056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81126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Diagrammtitel!$A$9</c:f>
          <c:strCache>
            <c:ptCount val="1"/>
            <c:pt idx="0">
              <c:v>9. Berlin, MFH, N = 22.465, Entwicklung der Verbrauchsminderung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cat>
            <c:numRef>
              <c:f>'Regression 1'!$W$83:$W$99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'Regression 1'!$AE$83:$AE$99</c:f>
              <c:numCache>
                <c:formatCode>_-* #,##0.000\ _€_-;\-* #,##0.000\ _€_-;_-* "-"??\ _€_-;_-@_-</c:formatCode>
                <c:ptCount val="17"/>
                <c:pt idx="0">
                  <c:v>-0.5199734124020603</c:v>
                </c:pt>
                <c:pt idx="1">
                  <c:v>-9.0440411473497795E-2</c:v>
                </c:pt>
                <c:pt idx="2">
                  <c:v>0.33909258945506482</c:v>
                </c:pt>
                <c:pt idx="3">
                  <c:v>0.76862559038362732</c:v>
                </c:pt>
                <c:pt idx="4">
                  <c:v>1.1981585913121897</c:v>
                </c:pt>
                <c:pt idx="5">
                  <c:v>1.6276915922407524</c:v>
                </c:pt>
                <c:pt idx="6">
                  <c:v>2.0572245931693147</c:v>
                </c:pt>
                <c:pt idx="7">
                  <c:v>2.4867575940978774</c:v>
                </c:pt>
                <c:pt idx="8">
                  <c:v>2.9162905950264402</c:v>
                </c:pt>
                <c:pt idx="9">
                  <c:v>3.3458235959550024</c:v>
                </c:pt>
                <c:pt idx="10">
                  <c:v>3.7753565968835647</c:v>
                </c:pt>
                <c:pt idx="11">
                  <c:v>4.2048895978121283</c:v>
                </c:pt>
                <c:pt idx="12">
                  <c:v>4.6344225987406906</c:v>
                </c:pt>
                <c:pt idx="13">
                  <c:v>5.0639555996692529</c:v>
                </c:pt>
                <c:pt idx="14">
                  <c:v>5.4934886005978161</c:v>
                </c:pt>
                <c:pt idx="15">
                  <c:v>5.9230216015263784</c:v>
                </c:pt>
                <c:pt idx="16">
                  <c:v>6.3525546024549406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9E75-2347-A5F7-B91C8026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02689792"/>
        <c:axId val="502691328"/>
      </c:barChart>
      <c:catAx>
        <c:axId val="50268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691328"/>
        <c:crosses val="autoZero"/>
        <c:auto val="1"/>
        <c:lblAlgn val="ctr"/>
        <c:lblOffset val="100"/>
        <c:noMultiLvlLbl val="0"/>
      </c:catAx>
      <c:valAx>
        <c:axId val="502691328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68979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Diagrammtitel!$A$10</c:f>
          <c:strCache>
            <c:ptCount val="1"/>
            <c:pt idx="0">
              <c:v>10. Berlin, MFH, N = 22.465, Prognose der Verbrauchsminderung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FA8C-B54E-8D8C-B2CACEB60D2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8C-B54E-8D8C-B2CACEB60D2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FA8C-B54E-8D8C-B2CACEB60D2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8C-B54E-8D8C-B2CACEB60D2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6-FA8C-B54E-8D8C-B2CACEB60D2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8C-B54E-8D8C-B2CACEB60D2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8-FA8C-B54E-8D8C-B2CACEB60D2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E-6ADF-904B-AE3F-C600A67A089B}"/>
              </c:ext>
            </c:extLst>
          </c:dPt>
          <c:cat>
            <c:numRef>
              <c:f>'Regression 1'!$W$83:$W$106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</c:numCache>
            </c:numRef>
          </c:cat>
          <c:val>
            <c:numRef>
              <c:f>'Regression 1'!$AE$83:$AE$106</c:f>
              <c:numCache>
                <c:formatCode>_-* #,##0.000\ _€_-;\-* #,##0.000\ _€_-;_-* "-"??\ _€_-;_-@_-</c:formatCode>
                <c:ptCount val="24"/>
                <c:pt idx="0">
                  <c:v>-0.5199734124020603</c:v>
                </c:pt>
                <c:pt idx="1">
                  <c:v>-9.0440411473497795E-2</c:v>
                </c:pt>
                <c:pt idx="2">
                  <c:v>0.33909258945506482</c:v>
                </c:pt>
                <c:pt idx="3">
                  <c:v>0.76862559038362732</c:v>
                </c:pt>
                <c:pt idx="4">
                  <c:v>1.1981585913121897</c:v>
                </c:pt>
                <c:pt idx="5">
                  <c:v>1.6276915922407524</c:v>
                </c:pt>
                <c:pt idx="6">
                  <c:v>2.0572245931693147</c:v>
                </c:pt>
                <c:pt idx="7">
                  <c:v>2.4867575940978774</c:v>
                </c:pt>
                <c:pt idx="8">
                  <c:v>2.9162905950264402</c:v>
                </c:pt>
                <c:pt idx="9">
                  <c:v>3.3458235959550024</c:v>
                </c:pt>
                <c:pt idx="10">
                  <c:v>3.7753565968835647</c:v>
                </c:pt>
                <c:pt idx="11">
                  <c:v>4.2048895978121283</c:v>
                </c:pt>
                <c:pt idx="12">
                  <c:v>4.6344225987406906</c:v>
                </c:pt>
                <c:pt idx="13">
                  <c:v>5.0639555996692529</c:v>
                </c:pt>
                <c:pt idx="14">
                  <c:v>5.4934886005978161</c:v>
                </c:pt>
                <c:pt idx="15">
                  <c:v>5.9230216015263784</c:v>
                </c:pt>
                <c:pt idx="16">
                  <c:v>6.3525546024549406</c:v>
                </c:pt>
                <c:pt idx="17">
                  <c:v>6.7820876033835038</c:v>
                </c:pt>
                <c:pt idx="18">
                  <c:v>7.2116206043120652</c:v>
                </c:pt>
                <c:pt idx="19">
                  <c:v>7.6411536052406284</c:v>
                </c:pt>
                <c:pt idx="20">
                  <c:v>8.0706866061691915</c:v>
                </c:pt>
                <c:pt idx="21">
                  <c:v>8.5002196070977529</c:v>
                </c:pt>
                <c:pt idx="22">
                  <c:v>8.9297526080263161</c:v>
                </c:pt>
                <c:pt idx="23">
                  <c:v>9.3592856089548793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FA8C-B54E-8D8C-B2CACEB60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02617984"/>
        <c:axId val="502619520"/>
      </c:barChart>
      <c:catAx>
        <c:axId val="5026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619520"/>
        <c:crosses val="autoZero"/>
        <c:auto val="1"/>
        <c:lblAlgn val="ctr"/>
        <c:lblOffset val="100"/>
        <c:noMultiLvlLbl val="0"/>
      </c:catAx>
      <c:valAx>
        <c:axId val="502619520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261798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74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A6CB3-BFFB-6542-A2B7-A2E2E6FC84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D78F4E9-1A28-0944-A7A8-580EF5FBED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BEAE648-39B2-B94C-9CD5-A1CEE6794E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4DED97-D56B-0E42-AABB-2F4AEABA43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B5FCA5-412F-2D4C-895E-83F756C0D0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E183D-F1F2-DD44-A3D1-FCAB8B70DC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2155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4DC834-3196-C94C-9EE6-A5B0079F6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EA6272-3359-F04E-9DA1-511BCBA29A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7516544-5980-2641-A6EF-28283B65DC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914" cy="6023429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A65380-5B77-C949-BF5E-789EC53E0B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anneshengstenberg/Downloads/Users/johanneshengstenberg/Dropbox/arbeit/Hamburg/Heizspiegel%20Hamburg%202017/1%20Erdgas%20MFH%20kleiner%20750%20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daten Gebäude"/>
      <sheetName val="Wetter"/>
      <sheetName val="Wetter normiert"/>
      <sheetName val="Diagrammtitel"/>
      <sheetName val="Verbrauch"/>
      <sheetName val="Fläche"/>
      <sheetName val="Baujahr"/>
      <sheetName val="Baujahr_Q1"/>
      <sheetName val="Baujahr_Q3"/>
      <sheetName val="Variablen für REG"/>
      <sheetName val="0 Dia empirisch"/>
      <sheetName val="1 Dia bereinigt"/>
      <sheetName val="2 Dia Differenz"/>
      <sheetName val="3 Dia Trend"/>
      <sheetName val="4 Dia Schätzung"/>
      <sheetName val="5 Dia Sync Schätzung"/>
      <sheetName val="6 Dia Gewicht 1"/>
      <sheetName val="7 Dia Gewicht 2"/>
      <sheetName val="8 Dia Gewicht 3"/>
      <sheetName val="9 Dia Statistik"/>
      <sheetName val="10 Dia Linerität I"/>
      <sheetName val="11 Dia Linearität II"/>
      <sheetName val="Ergebnis"/>
      <sheetName val="Quantil 1"/>
      <sheetName val="Quantil 1 Norm"/>
      <sheetName val="Quantil 2"/>
      <sheetName val="Quantil 2 Norm"/>
      <sheetName val="Quantil 3"/>
      <sheetName val="Quantil 3 Norm"/>
      <sheetName val="Mittelwert"/>
    </sheetNames>
    <sheetDataSet>
      <sheetData sheetId="0"/>
      <sheetData sheetId="1">
        <row r="2">
          <cell r="A2" t="str">
            <v xml:space="preserve">  FM Wind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A6">
            <v>0.5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60" zoomScaleNormal="160" workbookViewId="0">
      <selection activeCell="H2" sqref="H2"/>
    </sheetView>
  </sheetViews>
  <sheetFormatPr baseColWidth="10" defaultRowHeight="16"/>
  <cols>
    <col min="1" max="1" width="44.83203125" customWidth="1"/>
    <col min="7" max="9" width="26.33203125" customWidth="1"/>
  </cols>
  <sheetData>
    <row r="1" spans="1:8">
      <c r="A1" t="str">
        <f>CONCATENATE("1. ",H$1,", ",H$3,", N = ",H$2,", Rohdaten ",Zeitraum)</f>
        <v>1. Berlin, MFH, N = 22.465, Rohdaten 2002 - 2018</v>
      </c>
      <c r="G1" t="s">
        <v>33</v>
      </c>
      <c r="H1" t="s">
        <v>35</v>
      </c>
    </row>
    <row r="2" spans="1:8">
      <c r="A2" t="str">
        <f>CONCATENATE("2. ",H$1,", ",H$3,", N = ",H$2,", Rohdaten und bereinigte Daten")</f>
        <v>2. Berlin, MFH, N = 22.465, Rohdaten und bereinigte Daten</v>
      </c>
      <c r="G2" t="s">
        <v>30</v>
      </c>
      <c r="H2" s="152" t="s">
        <v>49</v>
      </c>
    </row>
    <row r="3" spans="1:8">
      <c r="A3" t="str">
        <f>CONCATENATE("3. ",H$1,", ",H$3,", N = ",H$2,", bereinigte Daten ",Zeitraum)</f>
        <v>3. Berlin, MFH, N = 22.465, bereinigte Daten 2002 - 2018</v>
      </c>
      <c r="G3" t="s">
        <v>31</v>
      </c>
      <c r="H3" t="s">
        <v>34</v>
      </c>
    </row>
    <row r="4" spans="1:8">
      <c r="A4" t="str">
        <f>CONCATENATE("4. ",H$1,", ",H$3,", N = ",H$2,", bereinigte und geschätzte Daten")</f>
        <v>4. Berlin, MFH, N = 22.465, bereinigte und geschätzte Daten</v>
      </c>
      <c r="G4" t="s">
        <v>32</v>
      </c>
      <c r="H4" t="s">
        <v>44</v>
      </c>
    </row>
    <row r="5" spans="1:8">
      <c r="A5" t="str">
        <f>CONCATENATE("5. ",H$1,", ",H$3,", N = ",H$2,", geschätzte Daten ",Zeitraum)</f>
        <v>5. Berlin, MFH, N = 22.465, geschätzte Daten 2002 - 2018</v>
      </c>
    </row>
    <row r="6" spans="1:8">
      <c r="A6" t="str">
        <f>CONCATENATE("6. ",H$1,", ",H$3,", N = ",H$2,", geschätzte Daten und linearer Trend")</f>
        <v>6. Berlin, MFH, N = 22.465, geschätzte Daten und linearer Trend</v>
      </c>
    </row>
    <row r="7" spans="1:8">
      <c r="A7" t="str">
        <f>CONCATENATE("7. ",H$1,", ",H$3,", N = ",H$2,", geschätzte Daten und nicht-linearer Trend")</f>
        <v>7. Berlin, MFH, N = 22.465, geschätzte Daten und nicht-linearer Trend</v>
      </c>
    </row>
    <row r="8" spans="1:8">
      <c r="A8" t="str">
        <f>CONCATENATE("8. ",H$1,", ",H$3,", N = ",H$2,", geschätzte Daten und Prognose")</f>
        <v>8. Berlin, MFH, N = 22.465, geschätzte Daten und Prognose</v>
      </c>
    </row>
    <row r="9" spans="1:8">
      <c r="A9" t="str">
        <f>CONCATENATE("9. ",H$1,", ",H$3,", N = ",H$2,", Entwicklung der Verbrauchsminderung")</f>
        <v>9. Berlin, MFH, N = 22.465, Entwicklung der Verbrauchsminderung</v>
      </c>
    </row>
    <row r="10" spans="1:8">
      <c r="A10" t="str">
        <f>CONCATENATE("10. ",H$1,", ",H$3,", N = ",H$2,", Prognose der Verbrauchsminderung")</f>
        <v>10. Berlin, MFH, N = 22.465, Prognose der Verbrauchsminderung</v>
      </c>
    </row>
  </sheetData>
  <pageMargins left="0.7" right="0.7" top="0.78740157499999996" bottom="0.78740157499999996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AK111"/>
  <sheetViews>
    <sheetView tabSelected="1" topLeftCell="V99" zoomScale="200" zoomScaleNormal="200" workbookViewId="0">
      <selection activeCell="AC111" sqref="AC83:AC111"/>
    </sheetView>
  </sheetViews>
  <sheetFormatPr baseColWidth="10" defaultColWidth="10.83203125" defaultRowHeight="16"/>
  <cols>
    <col min="2" max="2" width="12" customWidth="1"/>
    <col min="6" max="6" width="10.6640625" customWidth="1"/>
    <col min="7" max="7" width="10.1640625" customWidth="1"/>
    <col min="8" max="9" width="11.83203125" customWidth="1"/>
    <col min="10" max="11" width="13.1640625" bestFit="1" customWidth="1"/>
    <col min="12" max="13" width="11.6640625" bestFit="1" customWidth="1"/>
    <col min="14" max="16" width="11.33203125" bestFit="1" customWidth="1"/>
    <col min="17" max="17" width="13" bestFit="1" customWidth="1"/>
    <col min="18" max="18" width="12.5" bestFit="1" customWidth="1"/>
    <col min="24" max="24" width="6.5" customWidth="1"/>
    <col min="25" max="25" width="5.83203125" customWidth="1"/>
  </cols>
  <sheetData>
    <row r="1" spans="1:33" s="2" customFormat="1" ht="35" thickBot="1">
      <c r="B1" s="3" t="s">
        <v>15</v>
      </c>
      <c r="C1" s="138" t="s">
        <v>3</v>
      </c>
      <c r="D1" s="138"/>
      <c r="E1" s="138"/>
      <c r="F1" s="138"/>
      <c r="G1" s="138"/>
      <c r="H1" s="138"/>
      <c r="I1" s="138"/>
      <c r="J1" s="139" t="s">
        <v>4</v>
      </c>
      <c r="K1" s="139"/>
      <c r="L1" s="139"/>
      <c r="M1" s="139"/>
      <c r="N1" s="139"/>
      <c r="O1" s="139"/>
      <c r="P1" s="139"/>
      <c r="Q1" s="139"/>
      <c r="R1" s="3" t="s">
        <v>27</v>
      </c>
      <c r="S1" s="4" t="s">
        <v>6</v>
      </c>
      <c r="W1"/>
      <c r="X1"/>
      <c r="Y1"/>
      <c r="Z1"/>
      <c r="AA1"/>
      <c r="AB1"/>
      <c r="AC1"/>
      <c r="AD1"/>
      <c r="AE1"/>
      <c r="AF1"/>
      <c r="AG1"/>
    </row>
    <row r="2" spans="1:33" s="5" customFormat="1" ht="34">
      <c r="A2" s="6" t="s">
        <v>0</v>
      </c>
      <c r="B2" s="162" t="s">
        <v>20</v>
      </c>
      <c r="C2" s="7" t="s">
        <v>0</v>
      </c>
      <c r="D2" s="8" t="s">
        <v>7</v>
      </c>
      <c r="E2" s="8" t="s">
        <v>9</v>
      </c>
      <c r="F2" s="90" t="s">
        <v>36</v>
      </c>
      <c r="G2" s="90" t="s">
        <v>37</v>
      </c>
      <c r="H2" s="90" t="s">
        <v>38</v>
      </c>
      <c r="I2" s="90" t="s">
        <v>39</v>
      </c>
      <c r="J2" s="9" t="str">
        <f>I2</f>
        <v>TMK</v>
      </c>
      <c r="K2" s="10" t="str">
        <f>H2</f>
        <v>NM</v>
      </c>
      <c r="L2" s="10" t="str">
        <f>G2</f>
        <v>SDK</v>
      </c>
      <c r="M2" s="10" t="str">
        <f>F2</f>
        <v>FM</v>
      </c>
      <c r="N2" s="10" t="s">
        <v>9</v>
      </c>
      <c r="O2" s="10" t="s">
        <v>10</v>
      </c>
      <c r="P2" s="10" t="s">
        <v>0</v>
      </c>
      <c r="Q2" s="11" t="s">
        <v>1</v>
      </c>
      <c r="R2" s="12" t="str">
        <f>B2</f>
        <v>SV [AN]</v>
      </c>
      <c r="S2" s="6"/>
      <c r="W2"/>
      <c r="X2" s="3" t="s">
        <v>17</v>
      </c>
      <c r="Y2" s="3" t="s">
        <v>18</v>
      </c>
      <c r="Z2" s="148" t="s">
        <v>19</v>
      </c>
      <c r="AA2" s="149"/>
      <c r="AB2" s="150"/>
      <c r="AC2"/>
      <c r="AD2" s="5" t="s">
        <v>21</v>
      </c>
      <c r="AE2"/>
      <c r="AF2"/>
      <c r="AG2"/>
    </row>
    <row r="3" spans="1:33">
      <c r="A3" s="96">
        <v>2002</v>
      </c>
      <c r="B3" s="161">
        <v>156.39184764991899</v>
      </c>
      <c r="C3" s="15">
        <v>0</v>
      </c>
      <c r="D3" s="159">
        <v>3471.1907293354952</v>
      </c>
      <c r="E3" s="157">
        <v>1949.3144246353322</v>
      </c>
      <c r="F3" s="92">
        <v>3.8231707317073136</v>
      </c>
      <c r="G3" s="91">
        <v>3.0101626016260168</v>
      </c>
      <c r="H3" s="91">
        <v>5.5313008130081274</v>
      </c>
      <c r="I3" s="91">
        <v>6.0101626016260097</v>
      </c>
      <c r="J3" s="30">
        <f t="array" ref="J3:Q7">LINEST(B3:B19,C3:I19,,TRUE)</f>
        <v>-11.956232022035314</v>
      </c>
      <c r="K3" s="30">
        <v>52.003008364765606</v>
      </c>
      <c r="L3" s="30">
        <v>39.210031237562696</v>
      </c>
      <c r="M3" s="30">
        <v>-0.40357542144898223</v>
      </c>
      <c r="N3" s="30">
        <v>3.4720357722033697</v>
      </c>
      <c r="O3" s="30">
        <v>-1.3449534152299138E-2</v>
      </c>
      <c r="P3" s="30">
        <v>-2.867983468305153</v>
      </c>
      <c r="Q3" s="30">
        <v>-6891.9825140365547</v>
      </c>
      <c r="R3" s="18">
        <f>Q$3+P$3*C3+O$3*D3+N$3*E3+M$3*F3+L$3*G3+K$3*H3+J$3*I3</f>
        <v>161.69201709828187</v>
      </c>
      <c r="S3" s="17">
        <f>R3-B3</f>
        <v>5.3001694483628796</v>
      </c>
      <c r="T3">
        <f>LINEST(R3:R19,C3:C19)</f>
        <v>-2.7357598357872654</v>
      </c>
      <c r="X3">
        <v>1</v>
      </c>
      <c r="Y3" s="48">
        <v>1</v>
      </c>
      <c r="Z3" s="35">
        <f t="array" ref="Z3:AB7">LINEST(B43:B57,X3:Y17,,TRUE)</f>
        <v>0.11968608206157333</v>
      </c>
      <c r="AA3" s="36">
        <v>-0.15300179688966822</v>
      </c>
      <c r="AB3" s="37">
        <v>155.34481545195118</v>
      </c>
      <c r="AC3" s="1">
        <f>Z$3*Y3+AA$3*X3+AB$3</f>
        <v>155.31149973712309</v>
      </c>
      <c r="AD3" s="50">
        <f>2*AA$3*Y3+Z$3</f>
        <v>-0.18631751171776312</v>
      </c>
      <c r="AE3" s="52">
        <f>AD3*-1</f>
        <v>0.18631751171776312</v>
      </c>
    </row>
    <row r="4" spans="1:33">
      <c r="A4" s="96">
        <v>2003</v>
      </c>
      <c r="B4" s="161">
        <v>160.71201629327879</v>
      </c>
      <c r="C4" s="15">
        <v>1</v>
      </c>
      <c r="D4" s="159">
        <v>3180.9125118805209</v>
      </c>
      <c r="E4" s="157">
        <v>1946.6958587915817</v>
      </c>
      <c r="F4" s="92">
        <v>3.5523012552301263</v>
      </c>
      <c r="G4" s="91">
        <v>3.9527196652719647</v>
      </c>
      <c r="H4" s="91">
        <v>4.8142259414225919</v>
      </c>
      <c r="I4" s="91">
        <v>5.3464435146443527</v>
      </c>
      <c r="J4" s="30">
        <v>3.1137147286099682</v>
      </c>
      <c r="K4" s="30">
        <v>19.078964837836068</v>
      </c>
      <c r="L4" s="30">
        <v>14.134416411766049</v>
      </c>
      <c r="M4" s="30">
        <v>11.483323580071545</v>
      </c>
      <c r="N4" s="30">
        <v>1.2815143178955093</v>
      </c>
      <c r="O4" s="30">
        <v>5.70106210901806E-3</v>
      </c>
      <c r="P4" s="30">
        <v>0.48427622262768855</v>
      </c>
      <c r="Q4" s="30">
        <v>2549.8355931170886</v>
      </c>
      <c r="R4" s="18">
        <f t="shared" ref="R4:R19" si="0">Q$3+P$3*C4+O$3*D4+N$3*E4+M$3*F4+L$3*G4+K$3*H4+J$3*I4</f>
        <v>161.34892317598397</v>
      </c>
      <c r="S4" s="17">
        <f t="shared" ref="S4:S19" si="1">R4-B4</f>
        <v>0.63690688270517626</v>
      </c>
      <c r="T4">
        <f>LINEST(B3:B19,C3:C19)</f>
        <v>-2.735759835787245</v>
      </c>
      <c r="X4">
        <v>4</v>
      </c>
      <c r="Y4" s="48">
        <v>2</v>
      </c>
      <c r="Z4" s="35">
        <v>1.8757045006403996</v>
      </c>
      <c r="AA4" s="36">
        <v>0.1139970348783418</v>
      </c>
      <c r="AB4" s="37">
        <v>6.5218526263217518</v>
      </c>
      <c r="AC4" s="1">
        <f t="shared" ref="AC4:AC18" si="2">Z$3*Y4+AA$3*X4+AB$3</f>
        <v>154.97218042851566</v>
      </c>
      <c r="AD4" s="50">
        <f t="shared" ref="AD4:AD18" si="3">2*AA$3*Y4+Z$3</f>
        <v>-0.49232110549709956</v>
      </c>
      <c r="AE4" s="52">
        <f t="shared" ref="AE4:AE18" si="4">AD4*-1</f>
        <v>0.49232110549709956</v>
      </c>
    </row>
    <row r="5" spans="1:33">
      <c r="A5" s="96">
        <v>2004</v>
      </c>
      <c r="B5" s="161">
        <v>156.71839156626504</v>
      </c>
      <c r="C5" s="15">
        <v>2</v>
      </c>
      <c r="D5" s="159">
        <v>3077.7053433734964</v>
      </c>
      <c r="E5" s="157">
        <v>1947.6102409638554</v>
      </c>
      <c r="F5" s="92">
        <v>3.7964843750000004</v>
      </c>
      <c r="G5" s="91">
        <v>3.0316406250000005</v>
      </c>
      <c r="H5" s="91">
        <v>5.548437499999995</v>
      </c>
      <c r="I5" s="91">
        <v>6.4304687500000002</v>
      </c>
      <c r="J5" s="95">
        <v>0.92511230539601619</v>
      </c>
      <c r="K5" s="30">
        <v>5.9935704475468068</v>
      </c>
      <c r="L5" s="30" t="e">
        <v>#N/A</v>
      </c>
      <c r="M5" s="30" t="e">
        <v>#N/A</v>
      </c>
      <c r="N5" s="30" t="e">
        <v>#N/A</v>
      </c>
      <c r="O5" s="30" t="e">
        <v>#N/A</v>
      </c>
      <c r="P5" s="30" t="e">
        <v>#N/A</v>
      </c>
      <c r="Q5" s="30" t="e">
        <v>#N/A</v>
      </c>
      <c r="R5" s="18">
        <f t="shared" si="0"/>
        <v>152.05006400063061</v>
      </c>
      <c r="S5" s="17">
        <f t="shared" si="1"/>
        <v>-4.6683275656344279</v>
      </c>
      <c r="X5">
        <v>9</v>
      </c>
      <c r="Y5" s="48">
        <v>3</v>
      </c>
      <c r="Z5" s="49">
        <v>0.71507043800699144</v>
      </c>
      <c r="AA5" s="36">
        <v>7.3218879473808505</v>
      </c>
      <c r="AB5" s="37" t="e">
        <v>#N/A</v>
      </c>
      <c r="AC5" s="1">
        <f t="shared" si="2"/>
        <v>154.32685752612889</v>
      </c>
      <c r="AD5" s="50">
        <f t="shared" si="3"/>
        <v>-0.79832469927643612</v>
      </c>
      <c r="AE5" s="52">
        <f t="shared" si="4"/>
        <v>0.79832469927643612</v>
      </c>
    </row>
    <row r="6" spans="1:33">
      <c r="A6" s="96">
        <v>2005</v>
      </c>
      <c r="B6" s="161">
        <v>155.29793269230728</v>
      </c>
      <c r="C6" s="15">
        <v>3</v>
      </c>
      <c r="D6" s="159">
        <v>2841.2822246503556</v>
      </c>
      <c r="E6" s="157">
        <v>1945.7443181818182</v>
      </c>
      <c r="F6" s="92">
        <v>3.7100775193798459</v>
      </c>
      <c r="G6" s="91">
        <v>3.5271317829457378</v>
      </c>
      <c r="H6" s="91">
        <v>5.3298449612403074</v>
      </c>
      <c r="I6" s="91">
        <v>6.4015503875968998</v>
      </c>
      <c r="J6" s="30">
        <v>15.882851157691556</v>
      </c>
      <c r="K6" s="30">
        <v>9</v>
      </c>
      <c r="L6" s="30" t="e">
        <v>#N/A</v>
      </c>
      <c r="M6" s="30" t="e">
        <v>#N/A</v>
      </c>
      <c r="N6" s="30" t="e">
        <v>#N/A</v>
      </c>
      <c r="O6" s="30" t="e">
        <v>#N/A</v>
      </c>
      <c r="P6" s="30" t="e">
        <v>#N/A</v>
      </c>
      <c r="Q6" s="30" t="e">
        <v>#N/A</v>
      </c>
      <c r="R6" s="18">
        <f t="shared" si="0"/>
        <v>154.32469118773821</v>
      </c>
      <c r="S6" s="17">
        <f t="shared" si="1"/>
        <v>-0.97324150456907432</v>
      </c>
      <c r="X6">
        <v>16</v>
      </c>
      <c r="Y6" s="48">
        <v>4</v>
      </c>
      <c r="Z6" s="35">
        <v>15.057836042113543</v>
      </c>
      <c r="AA6" s="36">
        <v>12</v>
      </c>
      <c r="AB6" s="37" t="e">
        <v>#N/A</v>
      </c>
      <c r="AC6" s="1">
        <f t="shared" si="2"/>
        <v>153.37553102996279</v>
      </c>
      <c r="AD6" s="50">
        <f t="shared" si="3"/>
        <v>-1.1043282930557725</v>
      </c>
      <c r="AE6" s="52">
        <f t="shared" si="4"/>
        <v>1.1043282930557725</v>
      </c>
    </row>
    <row r="7" spans="1:33" ht="17" thickBot="1">
      <c r="A7" s="96">
        <v>2006</v>
      </c>
      <c r="B7" s="161">
        <v>146.39790079716587</v>
      </c>
      <c r="C7" s="15">
        <v>4</v>
      </c>
      <c r="D7" s="159">
        <v>2926.5301682905238</v>
      </c>
      <c r="E7" s="157">
        <v>1944.2891939769709</v>
      </c>
      <c r="F7" s="92">
        <v>3.5042735042735047</v>
      </c>
      <c r="G7" s="91">
        <v>3.002136752136753</v>
      </c>
      <c r="H7" s="91">
        <v>5.6747863247863242</v>
      </c>
      <c r="I7" s="91">
        <v>5.5931623931623911</v>
      </c>
      <c r="J7" s="30">
        <v>3993.9050393541843</v>
      </c>
      <c r="K7" s="30">
        <v>323.30598038735786</v>
      </c>
      <c r="L7" s="30" t="e">
        <v>#N/A</v>
      </c>
      <c r="M7" s="30" t="e">
        <v>#N/A</v>
      </c>
      <c r="N7" s="30" t="e">
        <v>#N/A</v>
      </c>
      <c r="O7" s="30" t="e">
        <v>#N/A</v>
      </c>
      <c r="P7" s="30" t="e">
        <v>#N/A</v>
      </c>
      <c r="Q7" s="30" t="e">
        <v>#N/A</v>
      </c>
      <c r="R7" s="18">
        <f t="shared" si="0"/>
        <v>152.35916822147425</v>
      </c>
      <c r="S7" s="17">
        <f t="shared" si="1"/>
        <v>5.9612674243083745</v>
      </c>
      <c r="X7">
        <v>25</v>
      </c>
      <c r="Y7" s="48">
        <v>5</v>
      </c>
      <c r="Z7" s="38">
        <v>1614.5024788425294</v>
      </c>
      <c r="AA7" s="39">
        <v>643.32051736801156</v>
      </c>
      <c r="AB7" s="40" t="e">
        <v>#N/A</v>
      </c>
      <c r="AC7" s="1">
        <f t="shared" si="2"/>
        <v>152.11820094001735</v>
      </c>
      <c r="AD7" s="50">
        <f t="shared" si="3"/>
        <v>-1.4103318868351089</v>
      </c>
      <c r="AE7" s="52">
        <f t="shared" si="4"/>
        <v>1.4103318868351089</v>
      </c>
    </row>
    <row r="8" spans="1:33">
      <c r="A8" s="96">
        <v>2007</v>
      </c>
      <c r="B8" s="161">
        <v>137.81455185359025</v>
      </c>
      <c r="C8" s="15">
        <v>5</v>
      </c>
      <c r="D8" s="159">
        <v>3149.3048099483835</v>
      </c>
      <c r="E8" s="157">
        <v>1945.3500703894886</v>
      </c>
      <c r="F8" s="92">
        <v>4.0685039370078737</v>
      </c>
      <c r="G8" s="91">
        <v>3.3078740157480335</v>
      </c>
      <c r="H8" s="91">
        <v>5.6283464566929133</v>
      </c>
      <c r="I8" s="91">
        <v>7.4346456692913385</v>
      </c>
      <c r="R8" s="18">
        <f t="shared" si="0"/>
        <v>137.50641441505792</v>
      </c>
      <c r="S8" s="17">
        <f t="shared" si="1"/>
        <v>-0.30813743853232722</v>
      </c>
      <c r="X8">
        <v>36</v>
      </c>
      <c r="Y8" s="48">
        <v>6</v>
      </c>
      <c r="AC8" s="1">
        <f t="shared" si="2"/>
        <v>150.55486725629257</v>
      </c>
      <c r="AD8" s="50">
        <f t="shared" si="3"/>
        <v>-1.7163354806144455</v>
      </c>
      <c r="AE8" s="52">
        <f t="shared" si="4"/>
        <v>1.7163354806144455</v>
      </c>
    </row>
    <row r="9" spans="1:33">
      <c r="A9" s="96">
        <v>2008</v>
      </c>
      <c r="B9" s="161">
        <v>139.55238117647062</v>
      </c>
      <c r="C9" s="15">
        <v>6</v>
      </c>
      <c r="D9" s="159">
        <v>3578.9187294117778</v>
      </c>
      <c r="E9" s="157">
        <v>1946.7463529411764</v>
      </c>
      <c r="F9" s="92">
        <v>3.7457831325301245</v>
      </c>
      <c r="G9" s="91">
        <v>2.9730923694779117</v>
      </c>
      <c r="H9" s="91">
        <v>5.7755020080321273</v>
      </c>
      <c r="I9" s="91">
        <v>6.895582329317266</v>
      </c>
      <c r="R9" s="18">
        <f t="shared" si="0"/>
        <v>134.80940794337113</v>
      </c>
      <c r="S9" s="17">
        <f t="shared" si="1"/>
        <v>-4.7429732330994909</v>
      </c>
      <c r="X9">
        <v>49</v>
      </c>
      <c r="Y9" s="48">
        <v>7</v>
      </c>
      <c r="AC9" s="1">
        <f t="shared" si="2"/>
        <v>148.68552997878845</v>
      </c>
      <c r="AD9" s="50">
        <f t="shared" si="3"/>
        <v>-2.0223390743937819</v>
      </c>
      <c r="AE9" s="52">
        <f t="shared" si="4"/>
        <v>2.0223390743937819</v>
      </c>
    </row>
    <row r="10" spans="1:33">
      <c r="A10" s="96">
        <v>2009</v>
      </c>
      <c r="B10" s="161">
        <v>140.80820743160496</v>
      </c>
      <c r="C10" s="15">
        <v>7</v>
      </c>
      <c r="D10" s="159">
        <v>4399.6177868517834</v>
      </c>
      <c r="E10" s="157">
        <v>1947.8199265006124</v>
      </c>
      <c r="F10" s="92">
        <v>3.3833333333333346</v>
      </c>
      <c r="G10" s="91">
        <v>3.4939024390243927</v>
      </c>
      <c r="H10" s="91">
        <v>5.5817073170731692</v>
      </c>
      <c r="I10" s="91">
        <v>5.9865853658536547</v>
      </c>
      <c r="R10" s="18">
        <f t="shared" si="0"/>
        <v>145.98841686945013</v>
      </c>
      <c r="S10" s="17">
        <f t="shared" si="1"/>
        <v>5.1802094378451784</v>
      </c>
      <c r="X10">
        <v>64</v>
      </c>
      <c r="Y10" s="48">
        <v>8</v>
      </c>
      <c r="AC10" s="1">
        <f t="shared" si="2"/>
        <v>146.510189107505</v>
      </c>
      <c r="AD10" s="50">
        <f t="shared" si="3"/>
        <v>-2.3283426681731183</v>
      </c>
      <c r="AE10" s="52">
        <f t="shared" si="4"/>
        <v>2.3283426681731183</v>
      </c>
    </row>
    <row r="11" spans="1:33">
      <c r="A11" s="96">
        <v>2010</v>
      </c>
      <c r="B11" s="161">
        <v>158.13611040609138</v>
      </c>
      <c r="C11" s="15">
        <v>8</v>
      </c>
      <c r="D11" s="159">
        <v>3637.8254758883281</v>
      </c>
      <c r="E11" s="157">
        <v>1944.7220812182741</v>
      </c>
      <c r="F11" s="92">
        <v>3.4837638376383762</v>
      </c>
      <c r="G11" s="91">
        <v>2.8361623616236176</v>
      </c>
      <c r="H11" s="91">
        <v>6.083394833948339</v>
      </c>
      <c r="I11" s="91">
        <v>4.7793357933579346</v>
      </c>
      <c r="R11" s="18">
        <f t="shared" si="0"/>
        <v>157.30323133701398</v>
      </c>
      <c r="S11" s="17">
        <f t="shared" si="1"/>
        <v>-0.83287906907739284</v>
      </c>
      <c r="X11">
        <v>81</v>
      </c>
      <c r="Y11" s="48">
        <v>9</v>
      </c>
      <c r="AC11" s="1">
        <f t="shared" si="2"/>
        <v>144.02884464244221</v>
      </c>
      <c r="AD11" s="50">
        <f t="shared" si="3"/>
        <v>-2.6343462619524547</v>
      </c>
      <c r="AE11" s="52">
        <f t="shared" si="4"/>
        <v>2.6343462619524547</v>
      </c>
    </row>
    <row r="12" spans="1:33">
      <c r="A12" s="96">
        <v>2011</v>
      </c>
      <c r="B12" s="161">
        <v>142.84161403508818</v>
      </c>
      <c r="C12" s="15">
        <v>9</v>
      </c>
      <c r="D12" s="159">
        <v>3196.8020912280749</v>
      </c>
      <c r="E12" s="157">
        <v>1945.9691228070176</v>
      </c>
      <c r="F12" s="92">
        <v>3.7813852813852828</v>
      </c>
      <c r="G12" s="91">
        <v>3.9437229437229457</v>
      </c>
      <c r="H12" s="91">
        <v>5.089177489177489</v>
      </c>
      <c r="I12" s="91">
        <v>6.1714285714285717</v>
      </c>
      <c r="R12" s="18">
        <f t="shared" si="0"/>
        <v>139.65747512289173</v>
      </c>
      <c r="S12" s="17">
        <f t="shared" si="1"/>
        <v>-3.1841389121964596</v>
      </c>
      <c r="X12">
        <v>100</v>
      </c>
      <c r="Y12" s="48">
        <v>10</v>
      </c>
      <c r="AC12" s="1">
        <f t="shared" si="2"/>
        <v>141.24149658360008</v>
      </c>
      <c r="AD12" s="50">
        <f t="shared" si="3"/>
        <v>-2.9403498557317911</v>
      </c>
      <c r="AE12" s="52">
        <f t="shared" si="4"/>
        <v>2.9403498557317911</v>
      </c>
    </row>
    <row r="13" spans="1:33">
      <c r="A13" s="96">
        <v>2012</v>
      </c>
      <c r="B13" s="161">
        <v>147.6409719058469</v>
      </c>
      <c r="C13" s="15">
        <v>10</v>
      </c>
      <c r="D13" s="159">
        <v>3368.022422171603</v>
      </c>
      <c r="E13" s="157">
        <v>1946.0303720577069</v>
      </c>
      <c r="F13" s="92">
        <v>3.6658634538152626</v>
      </c>
      <c r="G13" s="91">
        <v>3.2190843373493987</v>
      </c>
      <c r="H13" s="91">
        <v>5.6799196787148611</v>
      </c>
      <c r="I13" s="91">
        <v>5.9337349397590353</v>
      </c>
      <c r="R13" s="18">
        <f t="shared" si="0"/>
        <v>139.89512816813848</v>
      </c>
      <c r="S13" s="17">
        <f t="shared" si="1"/>
        <v>-7.7458437377084124</v>
      </c>
      <c r="X13">
        <v>121</v>
      </c>
      <c r="Y13" s="48">
        <v>11</v>
      </c>
      <c r="AC13" s="1">
        <f t="shared" si="2"/>
        <v>138.14814493097862</v>
      </c>
      <c r="AD13" s="50">
        <f t="shared" si="3"/>
        <v>-3.2463534495111275</v>
      </c>
      <c r="AE13" s="52">
        <f t="shared" si="4"/>
        <v>3.2463534495111275</v>
      </c>
    </row>
    <row r="14" spans="1:33">
      <c r="A14" s="96">
        <v>2013</v>
      </c>
      <c r="B14" s="161">
        <v>148.96226869455018</v>
      </c>
      <c r="C14" s="15">
        <v>11</v>
      </c>
      <c r="D14" s="159">
        <v>3127.6314068441097</v>
      </c>
      <c r="E14" s="157">
        <v>1946.9873257287707</v>
      </c>
      <c r="F14" s="92">
        <v>3.4220408163265299</v>
      </c>
      <c r="G14" s="91">
        <v>2.5094530612244901</v>
      </c>
      <c r="H14" s="91">
        <v>6.0979591836734697</v>
      </c>
      <c r="I14" s="91">
        <v>5.3963265306122477</v>
      </c>
      <c r="R14" s="18">
        <f t="shared" si="0"/>
        <v>144.02129707185227</v>
      </c>
      <c r="S14" s="17">
        <f t="shared" si="1"/>
        <v>-4.9409716226979015</v>
      </c>
      <c r="X14">
        <v>144</v>
      </c>
      <c r="Y14" s="48">
        <v>12</v>
      </c>
      <c r="AC14" s="1">
        <f t="shared" si="2"/>
        <v>134.74878968457784</v>
      </c>
      <c r="AD14" s="50">
        <f t="shared" si="3"/>
        <v>-3.5523570432904643</v>
      </c>
      <c r="AE14" s="52">
        <f t="shared" si="4"/>
        <v>3.5523570432904643</v>
      </c>
    </row>
    <row r="15" spans="1:33">
      <c r="A15" s="96">
        <v>2014</v>
      </c>
      <c r="B15" s="161">
        <v>122.47143497757857</v>
      </c>
      <c r="C15" s="15">
        <v>12</v>
      </c>
      <c r="D15" s="159">
        <v>3434.175739910313</v>
      </c>
      <c r="E15" s="157">
        <v>1948.5470852017938</v>
      </c>
      <c r="F15" s="92">
        <v>3.5610655737704917</v>
      </c>
      <c r="G15" s="91">
        <v>3.3709016393442628</v>
      </c>
      <c r="H15" s="91">
        <v>5.7053278688524554</v>
      </c>
      <c r="I15" s="91">
        <v>7.6934426229508226</v>
      </c>
      <c r="R15" s="18">
        <f t="shared" si="0"/>
        <v>128.2844319652456</v>
      </c>
      <c r="S15" s="17">
        <f t="shared" si="1"/>
        <v>5.8129969876670344</v>
      </c>
      <c r="X15">
        <v>169</v>
      </c>
      <c r="Y15" s="48">
        <v>13</v>
      </c>
      <c r="AC15" s="1">
        <f t="shared" si="2"/>
        <v>131.0434308443977</v>
      </c>
      <c r="AD15" s="50">
        <f t="shared" si="3"/>
        <v>-3.8583606370698007</v>
      </c>
      <c r="AE15" s="52">
        <f t="shared" si="4"/>
        <v>3.8583606370698007</v>
      </c>
    </row>
    <row r="16" spans="1:33">
      <c r="A16" s="96">
        <v>2015</v>
      </c>
      <c r="B16" s="161">
        <v>121.61174852652255</v>
      </c>
      <c r="C16" s="15">
        <v>13</v>
      </c>
      <c r="D16" s="159">
        <v>3049.2066011787792</v>
      </c>
      <c r="E16" s="157">
        <v>1944.5677799607072</v>
      </c>
      <c r="F16" s="92">
        <v>3.8544061302681993</v>
      </c>
      <c r="G16" s="91">
        <v>3.7615363984674333</v>
      </c>
      <c r="H16" s="91">
        <v>5.4567049808429111</v>
      </c>
      <c r="I16" s="91">
        <v>7.7072796934865879</v>
      </c>
      <c r="R16" s="18">
        <f t="shared" si="0"/>
        <v>118.88165264863797</v>
      </c>
      <c r="S16" s="17">
        <f t="shared" si="1"/>
        <v>-2.7300958778845796</v>
      </c>
      <c r="X16">
        <v>196</v>
      </c>
      <c r="Y16" s="48">
        <v>14</v>
      </c>
      <c r="AC16" s="1">
        <f t="shared" si="2"/>
        <v>127.03206841043823</v>
      </c>
      <c r="AD16" s="50">
        <f t="shared" si="3"/>
        <v>-4.1643642308491371</v>
      </c>
      <c r="AE16" s="52">
        <f t="shared" si="4"/>
        <v>4.1643642308491371</v>
      </c>
    </row>
    <row r="17" spans="1:31">
      <c r="A17" s="96">
        <v>2016</v>
      </c>
      <c r="B17" s="161">
        <v>115.69437086092712</v>
      </c>
      <c r="C17" s="15">
        <v>14</v>
      </c>
      <c r="D17" s="159">
        <v>3271.4108388520972</v>
      </c>
      <c r="E17" s="157">
        <v>1941.841059602649</v>
      </c>
      <c r="F17" s="92">
        <v>3.6716157205240179</v>
      </c>
      <c r="G17" s="91">
        <v>2.7302707423580785</v>
      </c>
      <c r="H17" s="91">
        <v>5.9231441048034936</v>
      </c>
      <c r="I17" s="91">
        <v>5.524890829694324</v>
      </c>
      <c r="J17" s="19">
        <f>CORREL(R3:R16,B3:B16)</f>
        <v>0.93366109548555731</v>
      </c>
      <c r="K17" s="20" t="s">
        <v>11</v>
      </c>
      <c r="R17" s="18">
        <f t="shared" si="0"/>
        <v>113.54505148214618</v>
      </c>
      <c r="S17" s="17">
        <f t="shared" si="1"/>
        <v>-2.1493193787809446</v>
      </c>
      <c r="X17">
        <v>225</v>
      </c>
      <c r="Y17" s="48">
        <v>15</v>
      </c>
      <c r="AC17" s="1">
        <f t="shared" si="2"/>
        <v>122.71470238269943</v>
      </c>
      <c r="AD17" s="50">
        <f t="shared" si="3"/>
        <v>-4.4703678246284735</v>
      </c>
      <c r="AE17" s="52">
        <f t="shared" si="4"/>
        <v>4.4703678246284735</v>
      </c>
    </row>
    <row r="18" spans="1:31">
      <c r="A18" s="97">
        <v>2017</v>
      </c>
      <c r="B18" s="161">
        <v>110.5415795206971</v>
      </c>
      <c r="C18" s="15">
        <v>15</v>
      </c>
      <c r="D18" s="159">
        <v>2293.5425599128498</v>
      </c>
      <c r="E18" s="157">
        <v>1942.0610021786492</v>
      </c>
      <c r="F18" s="92">
        <v>4.0559670781893011</v>
      </c>
      <c r="G18" s="91">
        <v>2.7034403292181075</v>
      </c>
      <c r="H18" s="91">
        <v>5.9893004115226329</v>
      </c>
      <c r="I18" s="91">
        <v>6.411522633744859</v>
      </c>
      <c r="R18" s="18">
        <f t="shared" si="0"/>
        <v>116.22500462545077</v>
      </c>
      <c r="S18" s="17">
        <f t="shared" si="1"/>
        <v>5.6834251047536668</v>
      </c>
      <c r="X18">
        <v>256</v>
      </c>
      <c r="Y18" s="48">
        <v>16</v>
      </c>
      <c r="AC18" s="1">
        <f t="shared" si="2"/>
        <v>118.09133276118129</v>
      </c>
      <c r="AD18" s="50">
        <f t="shared" si="3"/>
        <v>-4.7763714184078099</v>
      </c>
      <c r="AE18" s="52">
        <f t="shared" si="4"/>
        <v>4.7763714184078099</v>
      </c>
    </row>
    <row r="19" spans="1:31">
      <c r="A19" s="94">
        <v>2018</v>
      </c>
      <c r="B19" s="98">
        <v>118.09562442005154</v>
      </c>
      <c r="C19" s="137">
        <v>16</v>
      </c>
      <c r="D19" s="160">
        <v>3114.348286082597</v>
      </c>
      <c r="E19" s="158">
        <v>1943.8523009554958</v>
      </c>
      <c r="F19" s="93">
        <v>3.8690476190476173</v>
      </c>
      <c r="G19" s="93">
        <v>3.1530761904761899</v>
      </c>
      <c r="H19" s="93">
        <v>5.6499999999999959</v>
      </c>
      <c r="I19" s="93">
        <v>5.3076190476190508</v>
      </c>
      <c r="R19" s="18">
        <f t="shared" si="0"/>
        <v>121.79657747459322</v>
      </c>
      <c r="S19" s="17">
        <f t="shared" si="1"/>
        <v>3.7009530545416851</v>
      </c>
      <c r="Y19" s="48"/>
      <c r="AC19" s="1"/>
      <c r="AD19" s="50"/>
      <c r="AE19" s="52"/>
    </row>
    <row r="20" spans="1:31">
      <c r="A20" s="21"/>
      <c r="B20" s="99">
        <f>SUM(B3:B19)</f>
        <v>2379.6889528079555</v>
      </c>
      <c r="C20" s="21"/>
      <c r="D20" s="21"/>
      <c r="E20" s="21"/>
      <c r="F20" s="21"/>
      <c r="G20" s="21"/>
      <c r="H20" s="21"/>
      <c r="I20" s="21"/>
      <c r="J20" s="21" t="s">
        <v>2</v>
      </c>
      <c r="K20" s="21"/>
      <c r="L20" s="21"/>
      <c r="M20" s="21"/>
      <c r="N20" s="21"/>
      <c r="O20" s="21"/>
      <c r="P20" s="21"/>
      <c r="Q20" s="21"/>
      <c r="R20" s="99">
        <f>SUM(R3:R19)</f>
        <v>2379.6889528079582</v>
      </c>
      <c r="S20" s="100">
        <f>SUM(S3:S19)</f>
        <v>2.9842794901924208E-12</v>
      </c>
      <c r="T20" s="22"/>
      <c r="X20" t="s">
        <v>2</v>
      </c>
      <c r="Y20" s="48" t="s">
        <v>2</v>
      </c>
    </row>
    <row r="21" spans="1:31" ht="35" thickBot="1">
      <c r="A21" s="2"/>
      <c r="B21" s="3" t="s">
        <v>15</v>
      </c>
      <c r="C21" s="138" t="s">
        <v>3</v>
      </c>
      <c r="D21" s="138"/>
      <c r="E21" s="138"/>
      <c r="F21" s="138"/>
      <c r="G21" s="138"/>
      <c r="H21" s="138"/>
      <c r="I21" s="138"/>
      <c r="J21" s="139" t="s">
        <v>4</v>
      </c>
      <c r="K21" s="139"/>
      <c r="L21" s="139"/>
      <c r="M21" s="139"/>
      <c r="N21" s="139"/>
      <c r="O21" s="139"/>
      <c r="P21" s="139"/>
      <c r="Q21" s="139"/>
      <c r="R21" s="3" t="s">
        <v>5</v>
      </c>
      <c r="S21" s="4" t="s">
        <v>6</v>
      </c>
      <c r="T21" s="23"/>
      <c r="U21" s="2"/>
      <c r="V21" s="2"/>
      <c r="X21" t="s">
        <v>2</v>
      </c>
      <c r="Y21" s="48" t="s">
        <v>2</v>
      </c>
    </row>
    <row r="22" spans="1:31" ht="68">
      <c r="A22" s="6" t="s">
        <v>0</v>
      </c>
      <c r="B22" s="47" t="s">
        <v>15</v>
      </c>
      <c r="C22" s="7" t="s">
        <v>0</v>
      </c>
      <c r="D22" s="24" t="s">
        <v>7</v>
      </c>
      <c r="E22" s="8" t="s">
        <v>8</v>
      </c>
      <c r="F22" s="55" t="s">
        <v>23</v>
      </c>
      <c r="G22" s="55" t="s">
        <v>24</v>
      </c>
      <c r="H22" s="55" t="s">
        <v>25</v>
      </c>
      <c r="I22" s="56" t="s">
        <v>26</v>
      </c>
      <c r="J22" s="9" t="str">
        <f>I22</f>
        <v>TMK Tagestem-peratur</v>
      </c>
      <c r="K22" s="10" t="str">
        <f>H22</f>
        <v>NM Bedeckung</v>
      </c>
      <c r="L22" s="10" t="str">
        <f>G22</f>
        <v>SDK Sonne</v>
      </c>
      <c r="M22" s="10" t="str">
        <f>F22</f>
        <v>FM Wind</v>
      </c>
      <c r="N22" s="10" t="s">
        <v>9</v>
      </c>
      <c r="O22" s="10" t="s">
        <v>10</v>
      </c>
      <c r="P22" s="10" t="s">
        <v>0</v>
      </c>
      <c r="Q22" s="58" t="s">
        <v>1</v>
      </c>
      <c r="R22" s="59" t="s">
        <v>27</v>
      </c>
      <c r="S22" s="60"/>
      <c r="T22" s="25"/>
      <c r="U22" s="101" t="s">
        <v>12</v>
      </c>
      <c r="V22" s="5"/>
      <c r="X22" t="s">
        <v>2</v>
      </c>
      <c r="Y22" s="48" t="s">
        <v>2</v>
      </c>
    </row>
    <row r="23" spans="1:31">
      <c r="A23" s="13">
        <v>2002</v>
      </c>
      <c r="B23" s="14">
        <f t="shared" ref="B23:B39" si="5">B3</f>
        <v>156.39184764991899</v>
      </c>
      <c r="C23" s="15">
        <v>0</v>
      </c>
      <c r="D23" s="26">
        <f t="shared" ref="D23:E38" si="6">AVERAGE(D$3:D$19)</f>
        <v>3242.260454459476</v>
      </c>
      <c r="E23" s="27">
        <f t="shared" si="6"/>
        <v>1945.7734421230527</v>
      </c>
      <c r="F23" s="54">
        <f>F3</f>
        <v>3.8231707317073136</v>
      </c>
      <c r="G23" s="54">
        <f>G3</f>
        <v>3.0101626016260168</v>
      </c>
      <c r="H23" s="54">
        <f>H3</f>
        <v>5.5313008130081274</v>
      </c>
      <c r="I23" s="84">
        <f>I3</f>
        <v>6.0101626016260097</v>
      </c>
      <c r="J23" s="30">
        <f t="array" ref="J23:Q27">LINEST(B23:B39,C23:I39,,TRUE)</f>
        <v>-6.7638166202675105</v>
      </c>
      <c r="K23" s="30">
        <v>24.056163218192069</v>
      </c>
      <c r="L23" s="30">
        <v>18.452608048031209</v>
      </c>
      <c r="M23" s="30">
        <v>-7.5261253076759651</v>
      </c>
      <c r="N23" s="30">
        <v>0</v>
      </c>
      <c r="O23" s="30">
        <v>0</v>
      </c>
      <c r="P23" s="30">
        <v>-3.0232957034828045</v>
      </c>
      <c r="Q23" s="30">
        <v>39.414514469053941</v>
      </c>
      <c r="R23" s="85">
        <f>J$23*I23+K$23*H23+L$23*G23+M$23*F23+N$23*E23+O$23*D23+P$23*C23+Q$23</f>
        <v>158.59644058948606</v>
      </c>
      <c r="S23" s="61">
        <f>R23-B23</f>
        <v>2.2045929395670782</v>
      </c>
      <c r="T23" s="28">
        <f>LINEST(R23:R39,C23:C39)</f>
        <v>-2.735759835787245</v>
      </c>
      <c r="U23" s="61">
        <f t="shared" ref="U23:U39" si="7">R3-R23</f>
        <v>3.0955765087958014</v>
      </c>
    </row>
    <row r="24" spans="1:31">
      <c r="A24" s="13">
        <v>2003</v>
      </c>
      <c r="B24" s="14">
        <f t="shared" si="5"/>
        <v>160.71201629327879</v>
      </c>
      <c r="C24" s="15">
        <v>1</v>
      </c>
      <c r="D24" s="26">
        <f t="shared" si="6"/>
        <v>3242.260454459476</v>
      </c>
      <c r="E24" s="27">
        <f t="shared" si="6"/>
        <v>1945.7734421230527</v>
      </c>
      <c r="F24" s="54">
        <f t="shared" ref="F24:I39" si="8">F4</f>
        <v>3.5523012552301263</v>
      </c>
      <c r="G24" s="54">
        <f t="shared" si="8"/>
        <v>3.9527196652719647</v>
      </c>
      <c r="H24" s="54">
        <f t="shared" si="8"/>
        <v>4.8142259414225919</v>
      </c>
      <c r="I24" s="84">
        <f t="shared" si="8"/>
        <v>5.3464435146443527</v>
      </c>
      <c r="J24" s="30">
        <v>3.3540638741587814</v>
      </c>
      <c r="K24" s="30">
        <v>20.994222624411094</v>
      </c>
      <c r="L24" s="30">
        <v>15.49486294262938</v>
      </c>
      <c r="M24" s="30">
        <v>13.059872418602929</v>
      </c>
      <c r="N24" s="30">
        <v>0</v>
      </c>
      <c r="O24" s="30">
        <v>0</v>
      </c>
      <c r="P24" s="30">
        <v>0.56825262272397659</v>
      </c>
      <c r="Q24" s="30">
        <v>178.99976105317288</v>
      </c>
      <c r="R24" s="85">
        <f t="shared" ref="R24:R39" si="9">J$23*I24+K$23*H24+L$23*G24+M$23*F24+N$23*E24+O$23*D24+P$23*C24+Q$23</f>
        <v>162.24358260754661</v>
      </c>
      <c r="S24" s="61">
        <f t="shared" ref="S24:S39" si="10">R24-B24</f>
        <v>1.5315663142678204</v>
      </c>
      <c r="T24" s="29">
        <f>LINEST(B23:B39,C23:C39)</f>
        <v>-2.735759835787245</v>
      </c>
      <c r="U24" s="61">
        <f t="shared" si="7"/>
        <v>-0.89465943156264416</v>
      </c>
    </row>
    <row r="25" spans="1:31">
      <c r="A25" s="13">
        <v>2004</v>
      </c>
      <c r="B25" s="14">
        <f t="shared" si="5"/>
        <v>156.71839156626504</v>
      </c>
      <c r="C25" s="15">
        <v>2</v>
      </c>
      <c r="D25" s="26">
        <f t="shared" si="6"/>
        <v>3242.260454459476</v>
      </c>
      <c r="E25" s="27">
        <f t="shared" si="6"/>
        <v>1945.7734421230527</v>
      </c>
      <c r="F25" s="54">
        <f t="shared" si="8"/>
        <v>3.7964843750000004</v>
      </c>
      <c r="G25" s="54">
        <f t="shared" si="8"/>
        <v>3.0316406250000005</v>
      </c>
      <c r="H25" s="54">
        <f t="shared" si="8"/>
        <v>5.548437499999995</v>
      </c>
      <c r="I25" s="84">
        <f t="shared" si="8"/>
        <v>6.4304687500000002</v>
      </c>
      <c r="J25" s="95">
        <v>0.8537913009296646</v>
      </c>
      <c r="K25" s="30">
        <v>7.9448965179448816</v>
      </c>
      <c r="L25" s="30" t="e">
        <v>#N/A</v>
      </c>
      <c r="M25" s="30" t="e">
        <v>#N/A</v>
      </c>
      <c r="N25" s="30" t="e">
        <v>#N/A</v>
      </c>
      <c r="O25" s="30" t="e">
        <v>#N/A</v>
      </c>
      <c r="P25" s="30" t="e">
        <v>#N/A</v>
      </c>
      <c r="Q25" s="30" t="e">
        <v>#N/A</v>
      </c>
      <c r="R25" s="85">
        <f t="shared" si="9"/>
        <v>150.71638882139445</v>
      </c>
      <c r="S25" s="61">
        <f t="shared" si="10"/>
        <v>-6.0020027448705946</v>
      </c>
      <c r="T25" s="22"/>
      <c r="U25" s="61">
        <f t="shared" si="7"/>
        <v>1.3336751792361667</v>
      </c>
    </row>
    <row r="26" spans="1:31">
      <c r="A26" s="13">
        <v>2005</v>
      </c>
      <c r="B26" s="14">
        <f t="shared" si="5"/>
        <v>155.29793269230728</v>
      </c>
      <c r="C26" s="15">
        <v>3</v>
      </c>
      <c r="D26" s="26">
        <f>AVERAGE(D$3:D$19)</f>
        <v>3242.260454459476</v>
      </c>
      <c r="E26" s="27">
        <f t="shared" si="6"/>
        <v>1945.7734421230527</v>
      </c>
      <c r="F26" s="54">
        <f t="shared" si="8"/>
        <v>3.7100775193798459</v>
      </c>
      <c r="G26" s="54">
        <f t="shared" si="8"/>
        <v>3.5271317829457378</v>
      </c>
      <c r="H26" s="54">
        <f t="shared" si="8"/>
        <v>5.3298449612403074</v>
      </c>
      <c r="I26" s="84">
        <f t="shared" si="8"/>
        <v>6.4015503875968998</v>
      </c>
      <c r="J26" s="30">
        <v>9.732563866565128</v>
      </c>
      <c r="K26" s="30">
        <v>10</v>
      </c>
      <c r="L26" s="30" t="e">
        <v>#N/A</v>
      </c>
      <c r="M26" s="30" t="e">
        <v>#N/A</v>
      </c>
      <c r="N26" s="30" t="e">
        <v>#N/A</v>
      </c>
      <c r="O26" s="30" t="e">
        <v>#N/A</v>
      </c>
      <c r="P26" s="30" t="e">
        <v>#N/A</v>
      </c>
      <c r="Q26" s="30" t="e">
        <v>#N/A</v>
      </c>
      <c r="R26" s="85">
        <f t="shared" si="9"/>
        <v>152.42360677915997</v>
      </c>
      <c r="S26" s="61">
        <f t="shared" si="10"/>
        <v>-2.8743259131473167</v>
      </c>
      <c r="T26" s="22"/>
      <c r="U26" s="61">
        <f t="shared" si="7"/>
        <v>1.9010844085782423</v>
      </c>
    </row>
    <row r="27" spans="1:31">
      <c r="A27" s="13">
        <v>2006</v>
      </c>
      <c r="B27" s="14">
        <f t="shared" si="5"/>
        <v>146.39790079716587</v>
      </c>
      <c r="C27" s="15">
        <v>4</v>
      </c>
      <c r="D27" s="26">
        <f t="shared" ref="D27:E39" si="11">AVERAGE(D$3:D$19)</f>
        <v>3242.260454459476</v>
      </c>
      <c r="E27" s="27">
        <f t="shared" si="6"/>
        <v>1945.7734421230527</v>
      </c>
      <c r="F27" s="54">
        <f t="shared" si="8"/>
        <v>3.5042735042735047</v>
      </c>
      <c r="G27" s="54">
        <f t="shared" si="8"/>
        <v>3.002136752136753</v>
      </c>
      <c r="H27" s="54">
        <f t="shared" si="8"/>
        <v>5.6747863247863242</v>
      </c>
      <c r="I27" s="84">
        <f t="shared" si="8"/>
        <v>5.5931623931623911</v>
      </c>
      <c r="J27" s="30">
        <v>3685.9972129330154</v>
      </c>
      <c r="K27" s="30">
        <v>631.21380680852712</v>
      </c>
      <c r="L27" s="30" t="e">
        <v>#N/A</v>
      </c>
      <c r="M27" s="30" t="e">
        <v>#N/A</v>
      </c>
      <c r="N27" s="30" t="e">
        <v>#N/A</v>
      </c>
      <c r="O27" s="30" t="e">
        <v>#N/A</v>
      </c>
      <c r="P27" s="30" t="e">
        <v>#N/A</v>
      </c>
      <c r="Q27" s="30" t="e">
        <v>#N/A</v>
      </c>
      <c r="R27" s="85">
        <f t="shared" si="9"/>
        <v>155.02744424605763</v>
      </c>
      <c r="S27" s="61">
        <f t="shared" si="10"/>
        <v>8.6295434488917522</v>
      </c>
      <c r="T27" s="22"/>
      <c r="U27" s="61">
        <f t="shared" si="7"/>
        <v>-2.6682760245833776</v>
      </c>
    </row>
    <row r="28" spans="1:31">
      <c r="A28" s="13">
        <v>2007</v>
      </c>
      <c r="B28" s="14">
        <f t="shared" si="5"/>
        <v>137.81455185359025</v>
      </c>
      <c r="C28" s="15">
        <v>5</v>
      </c>
      <c r="D28" s="26">
        <f t="shared" si="11"/>
        <v>3242.260454459476</v>
      </c>
      <c r="E28" s="27">
        <f t="shared" si="6"/>
        <v>1945.7734421230527</v>
      </c>
      <c r="F28" s="54">
        <f t="shared" si="8"/>
        <v>4.0685039370078737</v>
      </c>
      <c r="G28" s="54">
        <f t="shared" si="8"/>
        <v>3.3078740157480335</v>
      </c>
      <c r="H28" s="54">
        <f t="shared" si="8"/>
        <v>5.6283464566929133</v>
      </c>
      <c r="I28" s="54">
        <f t="shared" si="8"/>
        <v>7.4346456692913385</v>
      </c>
      <c r="R28" s="102">
        <f t="shared" si="9"/>
        <v>139.82670925879626</v>
      </c>
      <c r="S28" s="61">
        <f t="shared" si="10"/>
        <v>2.0121574052060112</v>
      </c>
      <c r="T28" s="22"/>
      <c r="U28" s="61">
        <f t="shared" si="7"/>
        <v>-2.3202948437383384</v>
      </c>
    </row>
    <row r="29" spans="1:31">
      <c r="A29" s="13">
        <v>2008</v>
      </c>
      <c r="B29" s="14">
        <f t="shared" si="5"/>
        <v>139.55238117647062</v>
      </c>
      <c r="C29" s="15">
        <v>6</v>
      </c>
      <c r="D29" s="26">
        <f t="shared" si="11"/>
        <v>3242.260454459476</v>
      </c>
      <c r="E29" s="27">
        <f t="shared" si="6"/>
        <v>1945.7734421230527</v>
      </c>
      <c r="F29" s="54">
        <f t="shared" si="8"/>
        <v>3.7457831325301245</v>
      </c>
      <c r="G29" s="54">
        <f t="shared" si="8"/>
        <v>2.9730923694779117</v>
      </c>
      <c r="H29" s="54">
        <f t="shared" si="8"/>
        <v>5.7755020080321273</v>
      </c>
      <c r="I29" s="54">
        <f t="shared" si="8"/>
        <v>6.895582329317266</v>
      </c>
      <c r="R29" s="102">
        <f t="shared" si="9"/>
        <v>140.2407798086825</v>
      </c>
      <c r="S29" s="61">
        <f t="shared" si="10"/>
        <v>0.6883986322118858</v>
      </c>
      <c r="T29" s="22"/>
      <c r="U29" s="61">
        <f t="shared" si="7"/>
        <v>-5.4313718653113767</v>
      </c>
    </row>
    <row r="30" spans="1:31">
      <c r="A30" s="13">
        <v>2009</v>
      </c>
      <c r="B30" s="14">
        <f t="shared" si="5"/>
        <v>140.80820743160496</v>
      </c>
      <c r="C30" s="15">
        <v>7</v>
      </c>
      <c r="D30" s="26">
        <f t="shared" si="11"/>
        <v>3242.260454459476</v>
      </c>
      <c r="E30" s="27">
        <f t="shared" si="6"/>
        <v>1945.7734421230527</v>
      </c>
      <c r="F30" s="54">
        <f t="shared" si="8"/>
        <v>3.3833333333333346</v>
      </c>
      <c r="G30" s="54">
        <f t="shared" si="8"/>
        <v>3.4939024390243927</v>
      </c>
      <c r="H30" s="54">
        <f t="shared" si="8"/>
        <v>5.5817073170731692</v>
      </c>
      <c r="I30" s="54">
        <f t="shared" si="8"/>
        <v>5.9865853658536547</v>
      </c>
      <c r="R30" s="102">
        <f t="shared" si="9"/>
        <v>151.04196284522592</v>
      </c>
      <c r="S30" s="61">
        <f t="shared" si="10"/>
        <v>10.233755413620969</v>
      </c>
      <c r="T30" s="22"/>
      <c r="U30" s="61">
        <f t="shared" si="7"/>
        <v>-5.0535459757757906</v>
      </c>
    </row>
    <row r="31" spans="1:31">
      <c r="A31" s="13">
        <v>2010</v>
      </c>
      <c r="B31" s="14">
        <f t="shared" si="5"/>
        <v>158.13611040609138</v>
      </c>
      <c r="C31" s="15">
        <v>8</v>
      </c>
      <c r="D31" s="26">
        <f t="shared" si="11"/>
        <v>3242.260454459476</v>
      </c>
      <c r="E31" s="27">
        <f t="shared" si="6"/>
        <v>1945.7734421230527</v>
      </c>
      <c r="F31" s="54">
        <f t="shared" si="8"/>
        <v>3.4837638376383762</v>
      </c>
      <c r="G31" s="54">
        <f t="shared" si="8"/>
        <v>2.8361623616236176</v>
      </c>
      <c r="H31" s="54">
        <f t="shared" si="8"/>
        <v>6.083394833948339</v>
      </c>
      <c r="I31" s="54">
        <f t="shared" si="8"/>
        <v>4.7793357933579346</v>
      </c>
      <c r="R31" s="102">
        <f t="shared" si="9"/>
        <v>155.36008624960806</v>
      </c>
      <c r="S31" s="61">
        <f t="shared" si="10"/>
        <v>-2.7760241564833166</v>
      </c>
      <c r="T31" s="22"/>
      <c r="U31" s="61">
        <f t="shared" si="7"/>
        <v>1.9431450874059237</v>
      </c>
    </row>
    <row r="32" spans="1:31">
      <c r="A32" s="13">
        <v>2011</v>
      </c>
      <c r="B32" s="14">
        <f t="shared" si="5"/>
        <v>142.84161403508818</v>
      </c>
      <c r="C32" s="15">
        <v>9</v>
      </c>
      <c r="D32" s="26">
        <f t="shared" si="11"/>
        <v>3242.260454459476</v>
      </c>
      <c r="E32" s="27">
        <f t="shared" si="6"/>
        <v>1945.7734421230527</v>
      </c>
      <c r="F32" s="54">
        <f t="shared" si="8"/>
        <v>3.7813852813852828</v>
      </c>
      <c r="G32" s="54">
        <f t="shared" si="8"/>
        <v>3.9437229437229457</v>
      </c>
      <c r="H32" s="54">
        <f t="shared" si="8"/>
        <v>5.089177489177489</v>
      </c>
      <c r="I32" s="54">
        <f t="shared" si="8"/>
        <v>6.1714285714285717</v>
      </c>
      <c r="R32" s="102">
        <f t="shared" si="9"/>
        <v>137.20132058772913</v>
      </c>
      <c r="S32" s="61">
        <f t="shared" si="10"/>
        <v>-5.6402934473590562</v>
      </c>
      <c r="T32" s="22"/>
      <c r="U32" s="61">
        <f t="shared" si="7"/>
        <v>2.4561545351625966</v>
      </c>
    </row>
    <row r="33" spans="1:21">
      <c r="A33" s="13">
        <v>2012</v>
      </c>
      <c r="B33" s="14">
        <f t="shared" si="5"/>
        <v>147.6409719058469</v>
      </c>
      <c r="C33" s="15">
        <v>10</v>
      </c>
      <c r="D33" s="26">
        <f t="shared" si="11"/>
        <v>3242.260454459476</v>
      </c>
      <c r="E33" s="27">
        <f t="shared" si="6"/>
        <v>1945.7734421230527</v>
      </c>
      <c r="F33" s="54">
        <f t="shared" si="8"/>
        <v>3.6658634538152626</v>
      </c>
      <c r="G33" s="54">
        <f t="shared" si="8"/>
        <v>3.2190843373493987</v>
      </c>
      <c r="H33" s="54">
        <f t="shared" si="8"/>
        <v>5.6799196787148611</v>
      </c>
      <c r="I33" s="54">
        <f t="shared" si="8"/>
        <v>5.9337349397590353</v>
      </c>
      <c r="R33" s="102">
        <f t="shared" si="9"/>
        <v>137.49469112222874</v>
      </c>
      <c r="S33" s="61">
        <f t="shared" si="10"/>
        <v>-10.146280783618153</v>
      </c>
      <c r="T33" s="22"/>
      <c r="U33" s="61">
        <f t="shared" si="7"/>
        <v>2.4004370459097402</v>
      </c>
    </row>
    <row r="34" spans="1:21">
      <c r="A34" s="13">
        <v>2013</v>
      </c>
      <c r="B34" s="14">
        <f t="shared" si="5"/>
        <v>148.96226869455018</v>
      </c>
      <c r="C34" s="15">
        <v>11</v>
      </c>
      <c r="D34" s="26">
        <f t="shared" si="11"/>
        <v>3242.260454459476</v>
      </c>
      <c r="E34" s="27">
        <f t="shared" si="6"/>
        <v>1945.7734421230527</v>
      </c>
      <c r="F34" s="54">
        <f t="shared" si="8"/>
        <v>3.4220408163265299</v>
      </c>
      <c r="G34" s="54">
        <f t="shared" si="8"/>
        <v>2.5094530612244901</v>
      </c>
      <c r="H34" s="54">
        <f t="shared" si="8"/>
        <v>6.0979591836734697</v>
      </c>
      <c r="I34" s="54">
        <f t="shared" si="8"/>
        <v>5.3963265306122477</v>
      </c>
      <c r="R34" s="102">
        <f t="shared" si="9"/>
        <v>136.90324583697208</v>
      </c>
      <c r="S34" s="61">
        <f t="shared" si="10"/>
        <v>-12.0590228575781</v>
      </c>
      <c r="T34" s="22"/>
      <c r="U34" s="61">
        <f t="shared" si="7"/>
        <v>7.1180512348801983</v>
      </c>
    </row>
    <row r="35" spans="1:21">
      <c r="A35" s="13">
        <v>2014</v>
      </c>
      <c r="B35" s="14">
        <f t="shared" si="5"/>
        <v>122.47143497757857</v>
      </c>
      <c r="C35" s="15">
        <v>12</v>
      </c>
      <c r="D35" s="26">
        <f t="shared" si="11"/>
        <v>3242.260454459476</v>
      </c>
      <c r="E35" s="27">
        <f t="shared" si="6"/>
        <v>1945.7734421230527</v>
      </c>
      <c r="F35" s="54">
        <f t="shared" si="8"/>
        <v>3.5610655737704917</v>
      </c>
      <c r="G35" s="54">
        <f t="shared" si="8"/>
        <v>3.3709016393442628</v>
      </c>
      <c r="H35" s="54">
        <f t="shared" si="8"/>
        <v>5.7053278688524554</v>
      </c>
      <c r="I35" s="54">
        <f t="shared" si="8"/>
        <v>7.6934426229508226</v>
      </c>
      <c r="R35" s="102">
        <f t="shared" si="9"/>
        <v>123.74713035572346</v>
      </c>
      <c r="S35" s="61">
        <f t="shared" si="10"/>
        <v>1.2756953781448885</v>
      </c>
      <c r="T35" s="22"/>
      <c r="U35" s="61">
        <f t="shared" si="7"/>
        <v>4.5373016095221459</v>
      </c>
    </row>
    <row r="36" spans="1:21">
      <c r="A36" s="13">
        <v>2015</v>
      </c>
      <c r="B36" s="14">
        <f t="shared" si="5"/>
        <v>121.61174852652255</v>
      </c>
      <c r="C36" s="15">
        <v>13</v>
      </c>
      <c r="D36" s="26">
        <f t="shared" si="11"/>
        <v>3242.260454459476</v>
      </c>
      <c r="E36" s="27">
        <f t="shared" si="6"/>
        <v>1945.7734421230527</v>
      </c>
      <c r="F36" s="54">
        <f t="shared" si="8"/>
        <v>3.8544061302681993</v>
      </c>
      <c r="G36" s="54">
        <f t="shared" si="8"/>
        <v>3.7615363984674333</v>
      </c>
      <c r="H36" s="54">
        <f t="shared" si="8"/>
        <v>5.4567049808429111</v>
      </c>
      <c r="I36" s="54">
        <f t="shared" si="8"/>
        <v>7.7072796934865879</v>
      </c>
      <c r="R36" s="102">
        <f t="shared" si="9"/>
        <v>119.64984278485089</v>
      </c>
      <c r="S36" s="61">
        <f t="shared" si="10"/>
        <v>-1.9619057416716572</v>
      </c>
      <c r="T36" s="22"/>
      <c r="U36" s="61">
        <f t="shared" si="7"/>
        <v>-0.76819013621292243</v>
      </c>
    </row>
    <row r="37" spans="1:21">
      <c r="A37" s="13">
        <v>2016</v>
      </c>
      <c r="B37" s="14">
        <f t="shared" si="5"/>
        <v>115.69437086092712</v>
      </c>
      <c r="C37" s="15">
        <v>14</v>
      </c>
      <c r="D37" s="26">
        <f t="shared" si="11"/>
        <v>3242.260454459476</v>
      </c>
      <c r="E37" s="27">
        <f t="shared" si="6"/>
        <v>1945.7734421230527</v>
      </c>
      <c r="F37" s="54">
        <f t="shared" si="8"/>
        <v>3.6716157205240179</v>
      </c>
      <c r="G37" s="54">
        <f t="shared" si="8"/>
        <v>2.7302707423580785</v>
      </c>
      <c r="H37" s="54">
        <f t="shared" si="8"/>
        <v>5.9231441048034936</v>
      </c>
      <c r="I37" s="54">
        <f t="shared" si="8"/>
        <v>5.524890829694324</v>
      </c>
      <c r="J37" s="19">
        <f>CORREL(R23:R36,B23:B36)</f>
        <v>0.87584261465537461</v>
      </c>
      <c r="K37" s="20" t="s">
        <v>11</v>
      </c>
      <c r="R37" s="102">
        <f t="shared" si="9"/>
        <v>124.95472343071371</v>
      </c>
      <c r="S37" s="61">
        <f t="shared" si="10"/>
        <v>9.2603525697865905</v>
      </c>
      <c r="T37" s="22"/>
      <c r="U37" s="61">
        <f t="shared" si="7"/>
        <v>-11.409671948567535</v>
      </c>
    </row>
    <row r="38" spans="1:21" ht="17" thickBot="1">
      <c r="A38" s="13">
        <v>2017</v>
      </c>
      <c r="B38" s="14">
        <f t="shared" si="5"/>
        <v>110.5415795206971</v>
      </c>
      <c r="C38" s="31">
        <v>15</v>
      </c>
      <c r="D38" s="26">
        <f t="shared" si="11"/>
        <v>3242.260454459476</v>
      </c>
      <c r="E38" s="27">
        <f t="shared" si="6"/>
        <v>1945.7734421230527</v>
      </c>
      <c r="F38" s="54">
        <f t="shared" si="8"/>
        <v>4.0559670781893011</v>
      </c>
      <c r="G38" s="54">
        <f t="shared" si="8"/>
        <v>2.7034403292181075</v>
      </c>
      <c r="H38" s="54">
        <f t="shared" si="8"/>
        <v>5.9893004115226329</v>
      </c>
      <c r="I38" s="54">
        <f t="shared" si="8"/>
        <v>6.411522633744859</v>
      </c>
      <c r="R38" s="103">
        <f t="shared" si="9"/>
        <v>114.13811212988162</v>
      </c>
      <c r="S38" s="62">
        <f t="shared" si="10"/>
        <v>3.5965326091845213</v>
      </c>
      <c r="T38" s="22"/>
      <c r="U38" s="61">
        <f t="shared" si="7"/>
        <v>2.0868924955691455</v>
      </c>
    </row>
    <row r="39" spans="1:21" ht="17" thickBot="1">
      <c r="A39" s="104">
        <v>2018</v>
      </c>
      <c r="B39" s="14">
        <f t="shared" si="5"/>
        <v>118.09562442005154</v>
      </c>
      <c r="C39" s="31">
        <v>16</v>
      </c>
      <c r="D39" s="26">
        <f t="shared" si="11"/>
        <v>3242.260454459476</v>
      </c>
      <c r="E39" s="27">
        <f t="shared" si="11"/>
        <v>1945.7734421230527</v>
      </c>
      <c r="F39" s="54">
        <f t="shared" si="8"/>
        <v>3.8690476190476173</v>
      </c>
      <c r="G39" s="54">
        <f t="shared" si="8"/>
        <v>3.1530761904761899</v>
      </c>
      <c r="H39" s="54">
        <f t="shared" si="8"/>
        <v>5.6499999999999959</v>
      </c>
      <c r="I39" s="54">
        <f t="shared" si="8"/>
        <v>5.3076190476190508</v>
      </c>
      <c r="R39" s="103">
        <f t="shared" si="9"/>
        <v>120.12288535389882</v>
      </c>
      <c r="S39" s="62">
        <f t="shared" si="10"/>
        <v>2.0272609338472876</v>
      </c>
      <c r="T39" s="22"/>
      <c r="U39" s="61">
        <f t="shared" si="7"/>
        <v>1.6736921206943975</v>
      </c>
    </row>
    <row r="40" spans="1:21" ht="17" thickBot="1">
      <c r="A40" s="21"/>
      <c r="B40" s="105">
        <f>SUM(B23:B39)</f>
        <v>2379.6889528079555</v>
      </c>
      <c r="C40" s="21"/>
      <c r="D40" s="21"/>
      <c r="E40" s="21"/>
      <c r="F40" s="21"/>
      <c r="G40" s="21"/>
      <c r="H40" s="21"/>
      <c r="I40" s="21"/>
      <c r="J40" s="21" t="s">
        <v>2</v>
      </c>
      <c r="K40" s="21"/>
      <c r="L40" s="21"/>
      <c r="M40" s="21"/>
      <c r="N40" s="21"/>
      <c r="O40" s="21"/>
      <c r="P40" s="21"/>
      <c r="Q40" s="21"/>
      <c r="R40" s="105">
        <f>SUM(R23:R39)</f>
        <v>2379.6889528079555</v>
      </c>
      <c r="S40" s="105">
        <f>SUM(S23:S39)</f>
        <v>6.1106675275368616E-13</v>
      </c>
      <c r="T40" s="22"/>
      <c r="U40" s="106">
        <f>SUM(U23:U39)</f>
        <v>2.3732127374387346E-12</v>
      </c>
    </row>
    <row r="41" spans="1:21" ht="35" thickBot="1">
      <c r="A41" s="2"/>
      <c r="B41" s="3" t="s">
        <v>15</v>
      </c>
      <c r="C41" s="138" t="s">
        <v>3</v>
      </c>
      <c r="D41" s="138"/>
      <c r="E41" s="138"/>
      <c r="F41" s="138"/>
      <c r="G41" s="138"/>
      <c r="H41" s="138"/>
      <c r="I41" s="138"/>
      <c r="J41" s="139" t="s">
        <v>4</v>
      </c>
      <c r="K41" s="139"/>
      <c r="L41" s="139"/>
      <c r="M41" s="139"/>
      <c r="N41" s="139"/>
      <c r="O41" s="139"/>
      <c r="P41" s="139"/>
      <c r="Q41" s="139"/>
      <c r="R41" s="3" t="s">
        <v>5</v>
      </c>
      <c r="S41" s="4" t="s">
        <v>6</v>
      </c>
      <c r="T41" s="23"/>
    </row>
    <row r="42" spans="1:21" ht="68">
      <c r="A42" s="6" t="s">
        <v>0</v>
      </c>
      <c r="B42" s="65" t="s">
        <v>16</v>
      </c>
      <c r="C42" s="7" t="s">
        <v>0</v>
      </c>
      <c r="D42" s="24" t="s">
        <v>7</v>
      </c>
      <c r="E42" s="8" t="s">
        <v>8</v>
      </c>
      <c r="F42" s="55" t="s">
        <v>23</v>
      </c>
      <c r="G42" s="55" t="s">
        <v>24</v>
      </c>
      <c r="H42" s="55" t="s">
        <v>25</v>
      </c>
      <c r="I42" s="56" t="s">
        <v>26</v>
      </c>
      <c r="J42" s="9" t="str">
        <f>I42</f>
        <v>TMK Tagestem-peratur</v>
      </c>
      <c r="K42" s="10" t="str">
        <f>H42</f>
        <v>NM Bedeckung</v>
      </c>
      <c r="L42" s="10" t="str">
        <f>G42</f>
        <v>SDK Sonne</v>
      </c>
      <c r="M42" s="10" t="str">
        <f>F42</f>
        <v>FM Wind</v>
      </c>
      <c r="N42" s="10" t="s">
        <v>13</v>
      </c>
      <c r="O42" s="10" t="s">
        <v>10</v>
      </c>
      <c r="P42" s="32" t="s">
        <v>0</v>
      </c>
      <c r="Q42" s="33" t="s">
        <v>1</v>
      </c>
      <c r="R42" s="59" t="s">
        <v>27</v>
      </c>
      <c r="S42" s="6"/>
      <c r="T42" s="25"/>
    </row>
    <row r="43" spans="1:21">
      <c r="A43" s="13">
        <v>2002</v>
      </c>
      <c r="B43" s="63">
        <f t="shared" ref="B43:B59" si="12">B3-U23</f>
        <v>153.29627114112319</v>
      </c>
      <c r="C43" s="15">
        <v>0</v>
      </c>
      <c r="D43" s="26">
        <f t="shared" ref="D43:E58" si="13">D23</f>
        <v>3242.260454459476</v>
      </c>
      <c r="E43" s="34">
        <f t="shared" si="13"/>
        <v>1945.7734421230527</v>
      </c>
      <c r="F43" s="54">
        <f t="shared" ref="F43:I58" si="14">F3</f>
        <v>3.8231707317073136</v>
      </c>
      <c r="G43" s="54">
        <f t="shared" si="14"/>
        <v>3.0101626016260168</v>
      </c>
      <c r="H43" s="54">
        <f t="shared" si="14"/>
        <v>5.5313008130081274</v>
      </c>
      <c r="I43" s="84">
        <f t="shared" si="14"/>
        <v>6.0101626016260097</v>
      </c>
      <c r="J43" s="30">
        <f t="array" ref="J43:Q47">LINEST(B43:B59,C43:I59,,TRUE)</f>
        <v>-6.7638166202679884</v>
      </c>
      <c r="K43" s="30">
        <v>24.056163218192594</v>
      </c>
      <c r="L43" s="30">
        <v>18.452608048032232</v>
      </c>
      <c r="M43" s="30">
        <v>-7.5261253076746177</v>
      </c>
      <c r="N43" s="30">
        <v>0</v>
      </c>
      <c r="O43" s="30">
        <v>0</v>
      </c>
      <c r="P43" s="30">
        <v>-3.0232957034827845</v>
      </c>
      <c r="Q43" s="30">
        <v>39.414514469045358</v>
      </c>
      <c r="R43" s="16">
        <f>Q$43+P$43*C43+O$43*D43+N$43*E43+M$43*F43+L$43*G43+K$43*H43+J$43*I43</f>
        <v>158.59644058948575</v>
      </c>
      <c r="S43" s="17">
        <f>R43-B43</f>
        <v>5.300169448362567</v>
      </c>
      <c r="T43" s="41">
        <f>LINEST(R43:R59,C43:C59)</f>
        <v>-2.7357598357872246</v>
      </c>
    </row>
    <row r="44" spans="1:21">
      <c r="A44" s="13">
        <v>2003</v>
      </c>
      <c r="B44" s="63">
        <f t="shared" si="12"/>
        <v>161.60667572484144</v>
      </c>
      <c r="C44" s="15">
        <v>1</v>
      </c>
      <c r="D44" s="26">
        <f t="shared" si="13"/>
        <v>3242.260454459476</v>
      </c>
      <c r="E44" s="34">
        <f t="shared" si="13"/>
        <v>1945.7734421230527</v>
      </c>
      <c r="F44" s="54">
        <f t="shared" si="14"/>
        <v>3.5523012552301263</v>
      </c>
      <c r="G44" s="54">
        <f t="shared" si="14"/>
        <v>3.9527196652719647</v>
      </c>
      <c r="H44" s="54">
        <f t="shared" si="14"/>
        <v>4.8142259414225919</v>
      </c>
      <c r="I44" s="84">
        <f t="shared" si="14"/>
        <v>5.3464435146443527</v>
      </c>
      <c r="J44" s="30">
        <v>2.294012676366513</v>
      </c>
      <c r="K44" s="30">
        <v>14.359002880629026</v>
      </c>
      <c r="L44" s="30">
        <v>10.597714695540352</v>
      </c>
      <c r="M44" s="30">
        <v>8.9323024259693096</v>
      </c>
      <c r="N44" s="30">
        <v>0</v>
      </c>
      <c r="O44" s="30">
        <v>0</v>
      </c>
      <c r="P44" s="30">
        <v>0.38865649815159375</v>
      </c>
      <c r="Q44" s="30">
        <v>122.42692337680757</v>
      </c>
      <c r="R44" s="16">
        <f t="shared" ref="R44:R59" si="15">Q$43+P$43*C44+O$43*D44+N$43*E44+M$43*F44+L$43*G44+K$43*H44+J$43*I44</f>
        <v>162.24358260754684</v>
      </c>
      <c r="S44" s="17">
        <f t="shared" ref="S44:S59" si="16">R44-B44</f>
        <v>0.63690688270540363</v>
      </c>
      <c r="T44" s="41">
        <f>LINEST(B43:B59,C43:C59)</f>
        <v>-2.7357598357872246</v>
      </c>
    </row>
    <row r="45" spans="1:21">
      <c r="A45" s="13">
        <v>2004</v>
      </c>
      <c r="B45" s="63">
        <f t="shared" si="12"/>
        <v>155.38471638702887</v>
      </c>
      <c r="C45" s="15">
        <v>2</v>
      </c>
      <c r="D45" s="26">
        <f t="shared" si="13"/>
        <v>3242.260454459476</v>
      </c>
      <c r="E45" s="34">
        <f t="shared" si="13"/>
        <v>1945.7734421230527</v>
      </c>
      <c r="F45" s="54">
        <f t="shared" si="14"/>
        <v>3.7964843750000004</v>
      </c>
      <c r="G45" s="54">
        <f t="shared" si="14"/>
        <v>3.0316406250000005</v>
      </c>
      <c r="H45" s="54">
        <f t="shared" si="14"/>
        <v>5.548437499999995</v>
      </c>
      <c r="I45" s="84">
        <f t="shared" si="14"/>
        <v>6.4304687500000002</v>
      </c>
      <c r="J45" s="95">
        <v>0.92634978752121511</v>
      </c>
      <c r="K45" s="30">
        <v>5.4339136070140697</v>
      </c>
      <c r="L45" s="30" t="e">
        <v>#N/A</v>
      </c>
      <c r="M45" s="30" t="e">
        <v>#N/A</v>
      </c>
      <c r="N45" s="30" t="e">
        <v>#N/A</v>
      </c>
      <c r="O45" s="30" t="e">
        <v>#N/A</v>
      </c>
      <c r="P45" s="30" t="e">
        <v>#N/A</v>
      </c>
      <c r="Q45" s="30" t="e">
        <v>#N/A</v>
      </c>
      <c r="R45" s="16">
        <f t="shared" si="15"/>
        <v>150.71638882139393</v>
      </c>
      <c r="S45" s="17">
        <f t="shared" si="16"/>
        <v>-4.6683275656349394</v>
      </c>
      <c r="T45" s="22"/>
    </row>
    <row r="46" spans="1:21">
      <c r="A46" s="13">
        <v>2005</v>
      </c>
      <c r="B46" s="63">
        <f t="shared" si="12"/>
        <v>153.39684828372904</v>
      </c>
      <c r="C46" s="15">
        <v>3</v>
      </c>
      <c r="D46" s="26">
        <f t="shared" si="13"/>
        <v>3242.260454459476</v>
      </c>
      <c r="E46" s="34">
        <f t="shared" si="13"/>
        <v>1945.7734421230527</v>
      </c>
      <c r="F46" s="54">
        <f t="shared" si="14"/>
        <v>3.7100775193798459</v>
      </c>
      <c r="G46" s="54">
        <f t="shared" si="14"/>
        <v>3.5271317829457378</v>
      </c>
      <c r="H46" s="54">
        <f t="shared" si="14"/>
        <v>5.3298449612403074</v>
      </c>
      <c r="I46" s="84">
        <f t="shared" si="14"/>
        <v>6.4015503875968998</v>
      </c>
      <c r="J46" s="30">
        <v>20.962822245490287</v>
      </c>
      <c r="K46" s="30">
        <v>10</v>
      </c>
      <c r="L46" s="30" t="e">
        <v>#N/A</v>
      </c>
      <c r="M46" s="30" t="e">
        <v>#N/A</v>
      </c>
      <c r="N46" s="30" t="e">
        <v>#N/A</v>
      </c>
      <c r="O46" s="30" t="e">
        <v>#N/A</v>
      </c>
      <c r="P46" s="30" t="e">
        <v>#N/A</v>
      </c>
      <c r="Q46" s="30" t="e">
        <v>#N/A</v>
      </c>
      <c r="R46" s="16">
        <f t="shared" si="15"/>
        <v>152.4236067791598</v>
      </c>
      <c r="S46" s="17">
        <f t="shared" si="16"/>
        <v>-0.97324150456924485</v>
      </c>
      <c r="T46" s="22"/>
    </row>
    <row r="47" spans="1:21">
      <c r="A47" s="13">
        <v>2006</v>
      </c>
      <c r="B47" s="63">
        <f t="shared" si="12"/>
        <v>149.06617682174925</v>
      </c>
      <c r="C47" s="15">
        <v>4</v>
      </c>
      <c r="D47" s="26">
        <f t="shared" si="13"/>
        <v>3242.260454459476</v>
      </c>
      <c r="E47" s="34">
        <f t="shared" si="13"/>
        <v>1945.7734421230527</v>
      </c>
      <c r="F47" s="54">
        <f t="shared" si="14"/>
        <v>3.5042735042735047</v>
      </c>
      <c r="G47" s="54">
        <f t="shared" si="14"/>
        <v>3.002136752136753</v>
      </c>
      <c r="H47" s="54">
        <f t="shared" si="14"/>
        <v>5.6747863247863242</v>
      </c>
      <c r="I47" s="84">
        <f t="shared" si="14"/>
        <v>5.5931623931623911</v>
      </c>
      <c r="J47" s="30">
        <v>3713.8679747671431</v>
      </c>
      <c r="K47" s="30">
        <v>295.27417088492655</v>
      </c>
      <c r="L47" s="30" t="e">
        <v>#N/A</v>
      </c>
      <c r="M47" s="30" t="e">
        <v>#N/A</v>
      </c>
      <c r="N47" s="30" t="e">
        <v>#N/A</v>
      </c>
      <c r="O47" s="30" t="e">
        <v>#N/A</v>
      </c>
      <c r="P47" s="30" t="e">
        <v>#N/A</v>
      </c>
      <c r="Q47" s="30" t="e">
        <v>#N/A</v>
      </c>
      <c r="R47" s="16">
        <f t="shared" si="15"/>
        <v>155.02744424605726</v>
      </c>
      <c r="S47" s="17">
        <f t="shared" si="16"/>
        <v>5.961267424308005</v>
      </c>
      <c r="T47" s="22"/>
    </row>
    <row r="48" spans="1:21">
      <c r="A48" s="13">
        <v>2007</v>
      </c>
      <c r="B48" s="63">
        <f t="shared" si="12"/>
        <v>140.13484669732858</v>
      </c>
      <c r="C48" s="15">
        <v>5</v>
      </c>
      <c r="D48" s="26">
        <f t="shared" si="13"/>
        <v>3242.260454459476</v>
      </c>
      <c r="E48" s="34">
        <f t="shared" si="13"/>
        <v>1945.7734421230527</v>
      </c>
      <c r="F48" s="54">
        <f t="shared" si="14"/>
        <v>4.0685039370078737</v>
      </c>
      <c r="G48" s="54">
        <f t="shared" si="14"/>
        <v>3.3078740157480335</v>
      </c>
      <c r="H48" s="54">
        <f t="shared" si="14"/>
        <v>5.6283464566929133</v>
      </c>
      <c r="I48" s="54">
        <f t="shared" si="14"/>
        <v>7.4346456692913385</v>
      </c>
      <c r="R48" s="18">
        <f t="shared" si="15"/>
        <v>139.82670925879603</v>
      </c>
      <c r="S48" s="17">
        <f t="shared" si="16"/>
        <v>-0.3081374385325546</v>
      </c>
      <c r="T48" s="22"/>
    </row>
    <row r="49" spans="1:21">
      <c r="A49" s="13">
        <v>2008</v>
      </c>
      <c r="B49" s="63">
        <f t="shared" si="12"/>
        <v>144.98375304178199</v>
      </c>
      <c r="C49" s="15">
        <v>6</v>
      </c>
      <c r="D49" s="26">
        <f t="shared" si="13"/>
        <v>3242.260454459476</v>
      </c>
      <c r="E49" s="34">
        <f t="shared" si="13"/>
        <v>1945.7734421230527</v>
      </c>
      <c r="F49" s="54">
        <f t="shared" si="14"/>
        <v>3.7457831325301245</v>
      </c>
      <c r="G49" s="54">
        <f t="shared" si="14"/>
        <v>2.9730923694779117</v>
      </c>
      <c r="H49" s="54">
        <f t="shared" si="14"/>
        <v>5.7755020080321273</v>
      </c>
      <c r="I49" s="54">
        <f t="shared" si="14"/>
        <v>6.895582329317266</v>
      </c>
      <c r="R49" s="18">
        <f t="shared" si="15"/>
        <v>140.24077980868188</v>
      </c>
      <c r="S49" s="17">
        <f t="shared" si="16"/>
        <v>-4.7429732331001162</v>
      </c>
      <c r="T49" s="22"/>
    </row>
    <row r="50" spans="1:21">
      <c r="A50" s="13">
        <v>2009</v>
      </c>
      <c r="B50" s="63">
        <f t="shared" si="12"/>
        <v>145.86175340738075</v>
      </c>
      <c r="C50" s="15">
        <v>7</v>
      </c>
      <c r="D50" s="26">
        <f t="shared" si="13"/>
        <v>3242.260454459476</v>
      </c>
      <c r="E50" s="34">
        <f t="shared" si="13"/>
        <v>1945.7734421230527</v>
      </c>
      <c r="F50" s="54">
        <f t="shared" si="14"/>
        <v>3.3833333333333346</v>
      </c>
      <c r="G50" s="54">
        <f t="shared" si="14"/>
        <v>3.4939024390243927</v>
      </c>
      <c r="H50" s="54">
        <f t="shared" si="14"/>
        <v>5.5817073170731692</v>
      </c>
      <c r="I50" s="54">
        <f t="shared" si="14"/>
        <v>5.9865853658536547</v>
      </c>
      <c r="R50" s="18">
        <f t="shared" si="15"/>
        <v>151.04196284522567</v>
      </c>
      <c r="S50" s="17">
        <f t="shared" si="16"/>
        <v>5.1802094378449226</v>
      </c>
      <c r="T50" s="22"/>
    </row>
    <row r="51" spans="1:21">
      <c r="A51" s="13">
        <v>2010</v>
      </c>
      <c r="B51" s="63">
        <f t="shared" si="12"/>
        <v>156.19296531868545</v>
      </c>
      <c r="C51" s="15">
        <v>8</v>
      </c>
      <c r="D51" s="26">
        <f t="shared" si="13"/>
        <v>3242.260454459476</v>
      </c>
      <c r="E51" s="34">
        <f t="shared" si="13"/>
        <v>1945.7734421230527</v>
      </c>
      <c r="F51" s="54">
        <f t="shared" si="14"/>
        <v>3.4837638376383762</v>
      </c>
      <c r="G51" s="54">
        <f t="shared" si="14"/>
        <v>2.8361623616236176</v>
      </c>
      <c r="H51" s="54">
        <f t="shared" si="14"/>
        <v>6.083394833948339</v>
      </c>
      <c r="I51" s="54">
        <f t="shared" si="14"/>
        <v>4.7793357933579346</v>
      </c>
      <c r="R51" s="18">
        <f t="shared" si="15"/>
        <v>155.36008624960812</v>
      </c>
      <c r="S51" s="17">
        <f t="shared" si="16"/>
        <v>-0.832879069077336</v>
      </c>
      <c r="T51" s="22"/>
    </row>
    <row r="52" spans="1:21">
      <c r="A52" s="13">
        <v>2011</v>
      </c>
      <c r="B52" s="63">
        <f t="shared" si="12"/>
        <v>140.38545949992559</v>
      </c>
      <c r="C52" s="15">
        <v>9</v>
      </c>
      <c r="D52" s="26">
        <f t="shared" si="13"/>
        <v>3242.260454459476</v>
      </c>
      <c r="E52" s="34">
        <f>E32</f>
        <v>1945.7734421230527</v>
      </c>
      <c r="F52" s="54">
        <f t="shared" si="14"/>
        <v>3.7813852813852828</v>
      </c>
      <c r="G52" s="54">
        <f t="shared" si="14"/>
        <v>3.9437229437229457</v>
      </c>
      <c r="H52" s="54">
        <f t="shared" si="14"/>
        <v>5.089177489177489</v>
      </c>
      <c r="I52" s="54">
        <f t="shared" si="14"/>
        <v>6.1714285714285717</v>
      </c>
      <c r="R52" s="18">
        <f t="shared" si="15"/>
        <v>137.20132058772955</v>
      </c>
      <c r="S52" s="17">
        <f t="shared" si="16"/>
        <v>-3.1841389121960333</v>
      </c>
      <c r="T52" s="22"/>
    </row>
    <row r="53" spans="1:21">
      <c r="A53" s="13">
        <v>2012</v>
      </c>
      <c r="B53" s="63">
        <f t="shared" si="12"/>
        <v>145.24053485993716</v>
      </c>
      <c r="C53" s="15">
        <v>10</v>
      </c>
      <c r="D53" s="26">
        <f t="shared" si="13"/>
        <v>3242.260454459476</v>
      </c>
      <c r="E53" s="34">
        <f>E33</f>
        <v>1945.7734421230527</v>
      </c>
      <c r="F53" s="54">
        <f t="shared" si="14"/>
        <v>3.6658634538152626</v>
      </c>
      <c r="G53" s="54">
        <f t="shared" si="14"/>
        <v>3.2190843373493987</v>
      </c>
      <c r="H53" s="54">
        <f t="shared" si="14"/>
        <v>5.6799196787148611</v>
      </c>
      <c r="I53" s="54">
        <f t="shared" si="14"/>
        <v>5.9337349397590353</v>
      </c>
      <c r="R53" s="18">
        <f t="shared" si="15"/>
        <v>137.49469112222872</v>
      </c>
      <c r="S53" s="17">
        <f t="shared" si="16"/>
        <v>-7.7458437377084408</v>
      </c>
      <c r="T53" s="22"/>
    </row>
    <row r="54" spans="1:21">
      <c r="A54" s="13">
        <v>2013</v>
      </c>
      <c r="B54" s="63">
        <f t="shared" si="12"/>
        <v>141.84421745966998</v>
      </c>
      <c r="C54" s="15">
        <v>11</v>
      </c>
      <c r="D54" s="26">
        <f t="shared" si="13"/>
        <v>3242.260454459476</v>
      </c>
      <c r="E54" s="34">
        <f t="shared" si="13"/>
        <v>1945.7734421230527</v>
      </c>
      <c r="F54" s="54">
        <f t="shared" si="14"/>
        <v>3.4220408163265299</v>
      </c>
      <c r="G54" s="54">
        <f t="shared" si="14"/>
        <v>2.5094530612244901</v>
      </c>
      <c r="H54" s="54">
        <f t="shared" si="14"/>
        <v>6.0979591836734697</v>
      </c>
      <c r="I54" s="54">
        <f t="shared" si="14"/>
        <v>5.3963265306122477</v>
      </c>
      <c r="R54" s="18">
        <f t="shared" si="15"/>
        <v>136.90324583697151</v>
      </c>
      <c r="S54" s="17">
        <f t="shared" si="16"/>
        <v>-4.9409716226984699</v>
      </c>
      <c r="T54" s="22"/>
    </row>
    <row r="55" spans="1:21">
      <c r="A55" s="13">
        <v>2014</v>
      </c>
      <c r="B55" s="63">
        <f t="shared" si="12"/>
        <v>117.93413336805642</v>
      </c>
      <c r="C55" s="15">
        <v>12</v>
      </c>
      <c r="D55" s="26">
        <f t="shared" si="13"/>
        <v>3242.260454459476</v>
      </c>
      <c r="E55" s="34">
        <f t="shared" si="13"/>
        <v>1945.7734421230527</v>
      </c>
      <c r="F55" s="54">
        <f t="shared" si="14"/>
        <v>3.5610655737704917</v>
      </c>
      <c r="G55" s="54">
        <f t="shared" si="14"/>
        <v>3.3709016393442628</v>
      </c>
      <c r="H55" s="54">
        <f t="shared" si="14"/>
        <v>5.7053278688524554</v>
      </c>
      <c r="I55" s="54">
        <f t="shared" si="14"/>
        <v>7.6934426229508226</v>
      </c>
      <c r="R55" s="18">
        <f t="shared" si="15"/>
        <v>123.74713035572269</v>
      </c>
      <c r="S55" s="17">
        <f t="shared" si="16"/>
        <v>5.812996987666267</v>
      </c>
      <c r="T55" s="22"/>
    </row>
    <row r="56" spans="1:21">
      <c r="A56" s="13">
        <v>2015</v>
      </c>
      <c r="B56" s="63">
        <f t="shared" si="12"/>
        <v>122.37993866273547</v>
      </c>
      <c r="C56" s="15">
        <v>13</v>
      </c>
      <c r="D56" s="26">
        <f t="shared" si="13"/>
        <v>3242.260454459476</v>
      </c>
      <c r="E56" s="34">
        <f t="shared" si="13"/>
        <v>1945.7734421230527</v>
      </c>
      <c r="F56" s="54">
        <f t="shared" si="14"/>
        <v>3.8544061302681993</v>
      </c>
      <c r="G56" s="54">
        <f t="shared" si="14"/>
        <v>3.7615363984674333</v>
      </c>
      <c r="H56" s="54">
        <f t="shared" si="14"/>
        <v>5.4567049808429111</v>
      </c>
      <c r="I56" s="54">
        <f t="shared" si="14"/>
        <v>7.7072796934865879</v>
      </c>
      <c r="R56" s="18">
        <f t="shared" si="15"/>
        <v>119.6498427848508</v>
      </c>
      <c r="S56" s="17">
        <f t="shared" si="16"/>
        <v>-2.7300958778846649</v>
      </c>
      <c r="T56" s="22"/>
    </row>
    <row r="57" spans="1:21">
      <c r="A57" s="13">
        <v>2016</v>
      </c>
      <c r="B57" s="63">
        <f t="shared" si="12"/>
        <v>127.10404280949466</v>
      </c>
      <c r="C57" s="15">
        <v>14</v>
      </c>
      <c r="D57" s="26">
        <f t="shared" si="13"/>
        <v>3242.260454459476</v>
      </c>
      <c r="E57" s="34">
        <f t="shared" si="13"/>
        <v>1945.7734421230527</v>
      </c>
      <c r="F57" s="54">
        <f t="shared" si="14"/>
        <v>3.6716157205240179</v>
      </c>
      <c r="G57" s="54">
        <f t="shared" si="14"/>
        <v>2.7302707423580785</v>
      </c>
      <c r="H57" s="54">
        <f t="shared" si="14"/>
        <v>5.9231441048034936</v>
      </c>
      <c r="I57" s="54">
        <f t="shared" si="14"/>
        <v>5.524890829694324</v>
      </c>
      <c r="J57" s="19">
        <f>CORREL(R43:R56,B43:B56)</f>
        <v>0.93518611679748243</v>
      </c>
      <c r="K57" s="20" t="s">
        <v>11</v>
      </c>
      <c r="R57" s="18">
        <f t="shared" si="15"/>
        <v>124.95472343071364</v>
      </c>
      <c r="S57" s="17">
        <f t="shared" si="16"/>
        <v>-2.1493193787810156</v>
      </c>
      <c r="T57" s="22"/>
    </row>
    <row r="58" spans="1:21">
      <c r="A58" s="13">
        <v>2017</v>
      </c>
      <c r="B58" s="63">
        <f t="shared" si="12"/>
        <v>108.45468702512795</v>
      </c>
      <c r="C58" s="31">
        <v>15</v>
      </c>
      <c r="D58" s="26">
        <f t="shared" si="13"/>
        <v>3242.260454459476</v>
      </c>
      <c r="E58" s="34">
        <f t="shared" si="13"/>
        <v>1945.7734421230527</v>
      </c>
      <c r="F58" s="54">
        <f t="shared" si="14"/>
        <v>4.0559670781893011</v>
      </c>
      <c r="G58" s="54">
        <f t="shared" si="14"/>
        <v>2.7034403292181075</v>
      </c>
      <c r="H58" s="54">
        <f t="shared" si="14"/>
        <v>5.9893004115226329</v>
      </c>
      <c r="I58" s="54">
        <f t="shared" si="14"/>
        <v>6.411522633744859</v>
      </c>
      <c r="R58" s="18">
        <f t="shared" si="15"/>
        <v>114.13811212988162</v>
      </c>
      <c r="S58" s="17">
        <f t="shared" si="16"/>
        <v>5.6834251047536668</v>
      </c>
      <c r="T58" s="22"/>
    </row>
    <row r="59" spans="1:21">
      <c r="A59" s="104">
        <v>2018</v>
      </c>
      <c r="B59" s="63">
        <f t="shared" si="12"/>
        <v>116.42193229935714</v>
      </c>
      <c r="C59" s="31">
        <v>16</v>
      </c>
      <c r="D59" s="26">
        <f t="shared" ref="D59:E59" si="17">D39</f>
        <v>3242.260454459476</v>
      </c>
      <c r="E59" s="34">
        <f t="shared" si="17"/>
        <v>1945.7734421230527</v>
      </c>
      <c r="F59" s="54">
        <f t="shared" ref="F59:I59" si="18">F19</f>
        <v>3.8690476190476173</v>
      </c>
      <c r="G59" s="54">
        <f t="shared" si="18"/>
        <v>3.1530761904761899</v>
      </c>
      <c r="H59" s="54">
        <f t="shared" si="18"/>
        <v>5.6499999999999959</v>
      </c>
      <c r="I59" s="54">
        <f t="shared" si="18"/>
        <v>5.3076190476190508</v>
      </c>
      <c r="R59" s="18">
        <f t="shared" si="15"/>
        <v>120.12288535389945</v>
      </c>
      <c r="S59" s="17">
        <f t="shared" si="16"/>
        <v>3.7009530545423104</v>
      </c>
      <c r="T59" s="22"/>
    </row>
    <row r="60" spans="1:21" ht="17" thickBot="1">
      <c r="A60" s="21"/>
      <c r="B60" s="105">
        <f>SUM(B43:B59)</f>
        <v>2379.6889528079532</v>
      </c>
      <c r="C60" s="21"/>
      <c r="D60" s="21"/>
      <c r="E60" s="21"/>
      <c r="F60" s="21"/>
      <c r="G60" s="21"/>
      <c r="H60" s="21"/>
      <c r="I60" s="21"/>
      <c r="J60" s="21" t="s">
        <v>2</v>
      </c>
      <c r="K60" s="21"/>
      <c r="L60" s="21"/>
      <c r="M60" s="21"/>
      <c r="N60" s="21"/>
      <c r="O60" s="21"/>
      <c r="P60" s="21"/>
      <c r="Q60" s="21"/>
      <c r="R60" s="105">
        <f>SUM(R43:R59)</f>
        <v>2379.6889528079537</v>
      </c>
      <c r="S60" s="105">
        <f>SUM(S43:S59)</f>
        <v>3.2684965844964609E-13</v>
      </c>
      <c r="T60" s="22"/>
      <c r="U60" t="s">
        <v>2</v>
      </c>
    </row>
    <row r="61" spans="1:21" ht="34">
      <c r="A61" s="89"/>
      <c r="B61" s="3" t="s">
        <v>15</v>
      </c>
      <c r="C61" s="140" t="s">
        <v>3</v>
      </c>
      <c r="D61" s="141"/>
      <c r="E61" s="141"/>
      <c r="F61" s="141"/>
      <c r="G61" s="141"/>
      <c r="H61" s="151" t="s">
        <v>4</v>
      </c>
      <c r="I61" s="141"/>
      <c r="J61" s="141"/>
      <c r="K61" s="141"/>
      <c r="L61" s="141"/>
      <c r="M61" s="141"/>
      <c r="N61" s="59" t="s">
        <v>27</v>
      </c>
      <c r="O61" s="42" t="s">
        <v>6</v>
      </c>
      <c r="P61" s="2"/>
      <c r="Q61" s="2"/>
      <c r="R61" s="3" t="s">
        <v>2</v>
      </c>
      <c r="S61" s="4" t="s">
        <v>2</v>
      </c>
      <c r="T61" s="23"/>
    </row>
    <row r="62" spans="1:21" ht="51">
      <c r="A62" s="6" t="s">
        <v>0</v>
      </c>
      <c r="B62" s="65" t="s">
        <v>16</v>
      </c>
      <c r="C62" s="7" t="s">
        <v>0</v>
      </c>
      <c r="D62" s="55" t="s">
        <v>23</v>
      </c>
      <c r="E62" s="55" t="s">
        <v>24</v>
      </c>
      <c r="F62" s="55" t="s">
        <v>25</v>
      </c>
      <c r="G62" s="56" t="s">
        <v>26</v>
      </c>
      <c r="H62" s="56" t="s">
        <v>26</v>
      </c>
      <c r="I62" s="43" t="str">
        <f>F62</f>
        <v>NM Bedeckung</v>
      </c>
      <c r="J62" s="43" t="str">
        <f>E62</f>
        <v>SDK Sonne</v>
      </c>
      <c r="K62" s="43" t="str">
        <f>D62</f>
        <v>FM Wind</v>
      </c>
      <c r="L62" s="43" t="s">
        <v>0</v>
      </c>
      <c r="M62" s="44" t="s">
        <v>1</v>
      </c>
      <c r="N62" s="12" t="str">
        <f>B62</f>
        <v>Mittel-wert korrigiert</v>
      </c>
      <c r="O62" s="6"/>
      <c r="P62" s="25"/>
      <c r="Q62" t="s">
        <v>14</v>
      </c>
    </row>
    <row r="63" spans="1:21">
      <c r="A63" s="13">
        <v>2002</v>
      </c>
      <c r="B63" s="64">
        <f t="shared" ref="B63:B79" si="19">B43</f>
        <v>153.29627114112319</v>
      </c>
      <c r="C63" s="45">
        <v>0</v>
      </c>
      <c r="D63" s="51">
        <f t="shared" ref="D63:G79" si="20">F3</f>
        <v>3.8231707317073136</v>
      </c>
      <c r="E63" s="51">
        <f t="shared" si="20"/>
        <v>3.0101626016260168</v>
      </c>
      <c r="F63" s="51">
        <f t="shared" si="20"/>
        <v>5.5313008130081274</v>
      </c>
      <c r="G63" s="86">
        <f t="shared" si="20"/>
        <v>6.0101626016260097</v>
      </c>
      <c r="H63" s="30">
        <f t="array" ref="H63:M67">LINEST(B63:B79,C63:G79,,TRUE)</f>
        <v>-6.7638166202679884</v>
      </c>
      <c r="I63" s="30">
        <v>24.056163218192594</v>
      </c>
      <c r="J63" s="30">
        <v>18.452608048032232</v>
      </c>
      <c r="K63" s="30">
        <v>-7.5261253076746177</v>
      </c>
      <c r="L63" s="30">
        <v>-3.0232957034827845</v>
      </c>
      <c r="M63" s="30">
        <v>39.414514469045358</v>
      </c>
      <c r="N63" s="16">
        <f>H$63*G63+I$63*F63+J$63*E63+K$63*D63+L$63*C63+M$63</f>
        <v>158.59644058948575</v>
      </c>
      <c r="O63" s="17">
        <f t="shared" ref="O63:O79" si="21">N63-B63</f>
        <v>5.300169448362567</v>
      </c>
      <c r="P63" s="41">
        <f>LINEST(N63:N79,C63:C79)</f>
        <v>-2.7357598357872241</v>
      </c>
      <c r="Q63" t="s">
        <v>2</v>
      </c>
    </row>
    <row r="64" spans="1:21">
      <c r="A64" s="13">
        <v>2003</v>
      </c>
      <c r="B64" s="64">
        <f t="shared" si="19"/>
        <v>161.60667572484144</v>
      </c>
      <c r="C64" s="45">
        <v>1</v>
      </c>
      <c r="D64" s="51">
        <f t="shared" si="20"/>
        <v>3.5523012552301263</v>
      </c>
      <c r="E64" s="51">
        <f t="shared" si="20"/>
        <v>3.9527196652719647</v>
      </c>
      <c r="F64" s="51">
        <f t="shared" si="20"/>
        <v>4.8142259414225919</v>
      </c>
      <c r="G64" s="86">
        <f t="shared" si="20"/>
        <v>5.3464435146443527</v>
      </c>
      <c r="H64" s="30">
        <v>2.2887249844232431</v>
      </c>
      <c r="I64" s="30">
        <v>14.325905424530594</v>
      </c>
      <c r="J64" s="30">
        <v>10.573286996779141</v>
      </c>
      <c r="K64" s="30">
        <v>8.9117134972073924</v>
      </c>
      <c r="L64" s="30">
        <v>0.38776064615602818</v>
      </c>
      <c r="M64" s="30">
        <v>122.14472970671666</v>
      </c>
      <c r="N64" s="16">
        <f t="shared" ref="N64:N79" si="22">H$63*G64+I$63*F64+J$63*E64+K$63*D64+L$63*C64+M$63</f>
        <v>162.24358260754684</v>
      </c>
      <c r="O64" s="17">
        <f t="shared" si="21"/>
        <v>0.63690688270540363</v>
      </c>
      <c r="P64" s="41">
        <f>LINEST(B63:B79,C63:C79)</f>
        <v>-2.7357598357872246</v>
      </c>
      <c r="Q64" t="s">
        <v>2</v>
      </c>
    </row>
    <row r="65" spans="1:31">
      <c r="A65" s="13">
        <v>2004</v>
      </c>
      <c r="B65" s="64">
        <f t="shared" si="19"/>
        <v>155.38471638702887</v>
      </c>
      <c r="C65" s="45">
        <v>2</v>
      </c>
      <c r="D65" s="51">
        <f t="shared" si="20"/>
        <v>3.7964843750000004</v>
      </c>
      <c r="E65" s="51">
        <f t="shared" si="20"/>
        <v>3.0316406250000005</v>
      </c>
      <c r="F65" s="51">
        <f t="shared" si="20"/>
        <v>5.548437499999995</v>
      </c>
      <c r="G65" s="86">
        <f t="shared" si="20"/>
        <v>6.4304687500000002</v>
      </c>
      <c r="H65" s="30">
        <v>0.91935781555213847</v>
      </c>
      <c r="I65" s="30">
        <v>5.4213884533842558</v>
      </c>
      <c r="J65" s="30" t="e">
        <v>#N/A</v>
      </c>
      <c r="K65" s="30" t="e">
        <v>#N/A</v>
      </c>
      <c r="L65" s="30" t="e">
        <v>#N/A</v>
      </c>
      <c r="M65" s="30" t="e">
        <v>#N/A</v>
      </c>
      <c r="N65" s="16">
        <f t="shared" si="22"/>
        <v>150.71638882139393</v>
      </c>
      <c r="O65" s="17">
        <f t="shared" si="21"/>
        <v>-4.6683275656349394</v>
      </c>
      <c r="P65" s="22"/>
      <c r="Q65" t="s">
        <v>2</v>
      </c>
    </row>
    <row r="66" spans="1:31">
      <c r="A66" s="13">
        <v>2005</v>
      </c>
      <c r="B66" s="64">
        <f t="shared" si="19"/>
        <v>153.39684828372904</v>
      </c>
      <c r="C66" s="45">
        <v>3</v>
      </c>
      <c r="D66" s="51">
        <f t="shared" si="20"/>
        <v>3.7100775193798459</v>
      </c>
      <c r="E66" s="51">
        <f t="shared" si="20"/>
        <v>3.5271317829457378</v>
      </c>
      <c r="F66" s="51">
        <f t="shared" si="20"/>
        <v>5.3298449612403074</v>
      </c>
      <c r="G66" s="86">
        <f t="shared" si="20"/>
        <v>6.4015503875968998</v>
      </c>
      <c r="H66" s="30">
        <v>25.081007019624959</v>
      </c>
      <c r="I66" s="30">
        <v>11</v>
      </c>
      <c r="J66" s="30" t="e">
        <v>#N/A</v>
      </c>
      <c r="K66" s="30" t="e">
        <v>#N/A</v>
      </c>
      <c r="L66" s="30" t="e">
        <v>#N/A</v>
      </c>
      <c r="M66" s="30" t="e">
        <v>#N/A</v>
      </c>
      <c r="N66" s="16">
        <f t="shared" si="22"/>
        <v>152.4236067791598</v>
      </c>
      <c r="O66" s="17">
        <f t="shared" si="21"/>
        <v>-0.97324150456924485</v>
      </c>
      <c r="P66" s="22"/>
      <c r="Q66" t="s">
        <v>2</v>
      </c>
    </row>
    <row r="67" spans="1:31">
      <c r="A67" s="13">
        <v>2006</v>
      </c>
      <c r="B67" s="64">
        <f t="shared" si="19"/>
        <v>149.06617682174925</v>
      </c>
      <c r="C67" s="45">
        <v>4</v>
      </c>
      <c r="D67" s="51">
        <f t="shared" si="20"/>
        <v>3.5042735042735047</v>
      </c>
      <c r="E67" s="51">
        <f t="shared" si="20"/>
        <v>3.002136752136753</v>
      </c>
      <c r="F67" s="51">
        <f t="shared" si="20"/>
        <v>5.6747863247863242</v>
      </c>
      <c r="G67" s="86">
        <f t="shared" si="20"/>
        <v>5.5931623931623911</v>
      </c>
      <c r="H67" s="30">
        <v>3685.8361652647004</v>
      </c>
      <c r="I67" s="30">
        <v>323.3059803873694</v>
      </c>
      <c r="J67" s="30" t="e">
        <v>#N/A</v>
      </c>
      <c r="K67" s="30" t="e">
        <v>#N/A</v>
      </c>
      <c r="L67" s="30" t="e">
        <v>#N/A</v>
      </c>
      <c r="M67" s="30" t="e">
        <v>#N/A</v>
      </c>
      <c r="N67" s="16">
        <f t="shared" si="22"/>
        <v>155.02744424605723</v>
      </c>
      <c r="O67" s="17">
        <f t="shared" si="21"/>
        <v>5.9612674243079766</v>
      </c>
      <c r="P67" s="22"/>
      <c r="Q67" t="s">
        <v>2</v>
      </c>
    </row>
    <row r="68" spans="1:31">
      <c r="A68" s="13">
        <v>2007</v>
      </c>
      <c r="B68" s="64">
        <f t="shared" si="19"/>
        <v>140.13484669732858</v>
      </c>
      <c r="C68" s="45">
        <v>5</v>
      </c>
      <c r="D68" s="51">
        <f t="shared" si="20"/>
        <v>4.0685039370078737</v>
      </c>
      <c r="E68" s="51">
        <f t="shared" si="20"/>
        <v>3.3078740157480335</v>
      </c>
      <c r="F68" s="51">
        <f t="shared" si="20"/>
        <v>5.6283464566929133</v>
      </c>
      <c r="G68" s="51">
        <f t="shared" si="20"/>
        <v>7.4346456692913385</v>
      </c>
      <c r="N68" s="18">
        <f t="shared" si="22"/>
        <v>139.82670925879603</v>
      </c>
      <c r="O68" s="17">
        <f t="shared" si="21"/>
        <v>-0.3081374385325546</v>
      </c>
      <c r="P68" s="22"/>
      <c r="Q68" t="s">
        <v>2</v>
      </c>
    </row>
    <row r="69" spans="1:31">
      <c r="A69" s="13">
        <v>2008</v>
      </c>
      <c r="B69" s="64">
        <f t="shared" si="19"/>
        <v>144.98375304178199</v>
      </c>
      <c r="C69" s="45">
        <v>6</v>
      </c>
      <c r="D69" s="51">
        <f t="shared" si="20"/>
        <v>3.7457831325301245</v>
      </c>
      <c r="E69" s="51">
        <f t="shared" si="20"/>
        <v>2.9730923694779117</v>
      </c>
      <c r="F69" s="51">
        <f t="shared" si="20"/>
        <v>5.7755020080321273</v>
      </c>
      <c r="G69" s="51">
        <f t="shared" si="20"/>
        <v>6.895582329317266</v>
      </c>
      <c r="N69" s="18">
        <f t="shared" si="22"/>
        <v>140.24077980868185</v>
      </c>
      <c r="O69" s="17">
        <f t="shared" si="21"/>
        <v>-4.7429732331001446</v>
      </c>
      <c r="P69" s="22"/>
      <c r="Q69" t="s">
        <v>2</v>
      </c>
    </row>
    <row r="70" spans="1:31">
      <c r="A70" s="13">
        <v>2009</v>
      </c>
      <c r="B70" s="64">
        <f t="shared" si="19"/>
        <v>145.86175340738075</v>
      </c>
      <c r="C70" s="45">
        <v>7</v>
      </c>
      <c r="D70" s="51">
        <f t="shared" si="20"/>
        <v>3.3833333333333346</v>
      </c>
      <c r="E70" s="51">
        <f t="shared" si="20"/>
        <v>3.4939024390243927</v>
      </c>
      <c r="F70" s="51">
        <f t="shared" si="20"/>
        <v>5.5817073170731692</v>
      </c>
      <c r="G70" s="51">
        <f t="shared" si="20"/>
        <v>5.9865853658536547</v>
      </c>
      <c r="N70" s="18">
        <f t="shared" si="22"/>
        <v>151.04196284522567</v>
      </c>
      <c r="O70" s="17">
        <f t="shared" si="21"/>
        <v>5.1802094378449226</v>
      </c>
      <c r="P70" s="22"/>
      <c r="Q70" t="s">
        <v>2</v>
      </c>
    </row>
    <row r="71" spans="1:31">
      <c r="A71" s="13">
        <v>2010</v>
      </c>
      <c r="B71" s="64">
        <f t="shared" si="19"/>
        <v>156.19296531868545</v>
      </c>
      <c r="C71" s="45">
        <v>8</v>
      </c>
      <c r="D71" s="51">
        <f t="shared" si="20"/>
        <v>3.4837638376383762</v>
      </c>
      <c r="E71" s="51">
        <f t="shared" si="20"/>
        <v>2.8361623616236176</v>
      </c>
      <c r="F71" s="51">
        <f t="shared" si="20"/>
        <v>6.083394833948339</v>
      </c>
      <c r="G71" s="51">
        <f t="shared" si="20"/>
        <v>4.7793357933579346</v>
      </c>
      <c r="N71" s="18">
        <f t="shared" si="22"/>
        <v>155.36008624960812</v>
      </c>
      <c r="O71" s="17">
        <f t="shared" si="21"/>
        <v>-0.832879069077336</v>
      </c>
      <c r="P71" s="22"/>
      <c r="Q71" t="s">
        <v>2</v>
      </c>
    </row>
    <row r="72" spans="1:31">
      <c r="A72" s="13">
        <v>2011</v>
      </c>
      <c r="B72" s="64">
        <f t="shared" si="19"/>
        <v>140.38545949992559</v>
      </c>
      <c r="C72" s="45">
        <v>9</v>
      </c>
      <c r="D72" s="51">
        <f t="shared" si="20"/>
        <v>3.7813852813852828</v>
      </c>
      <c r="E72" s="51">
        <f t="shared" si="20"/>
        <v>3.9437229437229457</v>
      </c>
      <c r="F72" s="51">
        <f t="shared" si="20"/>
        <v>5.089177489177489</v>
      </c>
      <c r="G72" s="51">
        <f t="shared" si="20"/>
        <v>6.1714285714285717</v>
      </c>
      <c r="N72" s="18">
        <f t="shared" si="22"/>
        <v>137.20132058772955</v>
      </c>
      <c r="O72" s="17">
        <f t="shared" si="21"/>
        <v>-3.1841389121960333</v>
      </c>
      <c r="P72" s="22"/>
      <c r="Q72" t="s">
        <v>2</v>
      </c>
    </row>
    <row r="73" spans="1:31">
      <c r="A73" s="13">
        <v>2012</v>
      </c>
      <c r="B73" s="64">
        <f t="shared" si="19"/>
        <v>145.24053485993716</v>
      </c>
      <c r="C73" s="45">
        <v>10</v>
      </c>
      <c r="D73" s="51">
        <f t="shared" si="20"/>
        <v>3.6658634538152626</v>
      </c>
      <c r="E73" s="51">
        <f t="shared" si="20"/>
        <v>3.2190843373493987</v>
      </c>
      <c r="F73" s="51">
        <f t="shared" si="20"/>
        <v>5.6799196787148611</v>
      </c>
      <c r="G73" s="51">
        <f t="shared" si="20"/>
        <v>5.9337349397590353</v>
      </c>
      <c r="N73" s="18">
        <f t="shared" si="22"/>
        <v>137.49469112222869</v>
      </c>
      <c r="O73" s="17">
        <f t="shared" si="21"/>
        <v>-7.7458437377084692</v>
      </c>
      <c r="P73" s="22"/>
      <c r="Q73" t="s">
        <v>2</v>
      </c>
    </row>
    <row r="74" spans="1:31">
      <c r="A74" s="13">
        <v>2013</v>
      </c>
      <c r="B74" s="64">
        <f t="shared" si="19"/>
        <v>141.84421745966998</v>
      </c>
      <c r="C74" s="45">
        <v>11</v>
      </c>
      <c r="D74" s="51">
        <f t="shared" si="20"/>
        <v>3.4220408163265299</v>
      </c>
      <c r="E74" s="51">
        <f t="shared" si="20"/>
        <v>2.5094530612244901</v>
      </c>
      <c r="F74" s="51">
        <f t="shared" si="20"/>
        <v>6.0979591836734697</v>
      </c>
      <c r="G74" s="51">
        <f t="shared" si="20"/>
        <v>5.3963265306122477</v>
      </c>
      <c r="N74" s="18">
        <f t="shared" si="22"/>
        <v>136.90324583697151</v>
      </c>
      <c r="O74" s="17">
        <f t="shared" si="21"/>
        <v>-4.9409716226984699</v>
      </c>
      <c r="P74" s="22"/>
      <c r="Q74" t="s">
        <v>2</v>
      </c>
    </row>
    <row r="75" spans="1:31">
      <c r="A75" s="13">
        <v>2014</v>
      </c>
      <c r="B75" s="64">
        <f t="shared" si="19"/>
        <v>117.93413336805642</v>
      </c>
      <c r="C75" s="45">
        <v>12</v>
      </c>
      <c r="D75" s="51">
        <f t="shared" si="20"/>
        <v>3.5610655737704917</v>
      </c>
      <c r="E75" s="51">
        <f t="shared" si="20"/>
        <v>3.3709016393442628</v>
      </c>
      <c r="F75" s="51">
        <f t="shared" si="20"/>
        <v>5.7053278688524554</v>
      </c>
      <c r="G75" s="51">
        <f t="shared" si="20"/>
        <v>7.6934426229508226</v>
      </c>
      <c r="N75" s="18">
        <f t="shared" si="22"/>
        <v>123.74713035572269</v>
      </c>
      <c r="O75" s="17">
        <f t="shared" si="21"/>
        <v>5.812996987666267</v>
      </c>
      <c r="P75" s="22"/>
      <c r="Q75" t="s">
        <v>2</v>
      </c>
    </row>
    <row r="76" spans="1:31">
      <c r="A76" s="13">
        <v>2015</v>
      </c>
      <c r="B76" s="64">
        <f t="shared" si="19"/>
        <v>122.37993866273547</v>
      </c>
      <c r="C76" s="45">
        <v>13</v>
      </c>
      <c r="D76" s="51">
        <f t="shared" si="20"/>
        <v>3.8544061302681993</v>
      </c>
      <c r="E76" s="51">
        <f t="shared" si="20"/>
        <v>3.7615363984674333</v>
      </c>
      <c r="F76" s="51">
        <f t="shared" si="20"/>
        <v>5.4567049808429111</v>
      </c>
      <c r="G76" s="51">
        <f t="shared" si="20"/>
        <v>7.7072796934865879</v>
      </c>
      <c r="N76" s="18">
        <f t="shared" si="22"/>
        <v>119.6498427848508</v>
      </c>
      <c r="O76" s="17">
        <f t="shared" si="21"/>
        <v>-2.7300958778846649</v>
      </c>
      <c r="P76" s="22"/>
    </row>
    <row r="77" spans="1:31">
      <c r="A77" s="13">
        <v>2016</v>
      </c>
      <c r="B77" s="64">
        <f t="shared" si="19"/>
        <v>127.10404280949466</v>
      </c>
      <c r="C77" s="45">
        <v>14</v>
      </c>
      <c r="D77" s="51">
        <f t="shared" si="20"/>
        <v>3.6716157205240179</v>
      </c>
      <c r="E77" s="51">
        <f t="shared" si="20"/>
        <v>2.7302707423580785</v>
      </c>
      <c r="F77" s="51">
        <f t="shared" si="20"/>
        <v>5.9231441048034936</v>
      </c>
      <c r="G77" s="51">
        <f t="shared" si="20"/>
        <v>5.524890829694324</v>
      </c>
      <c r="H77" s="19">
        <f>CORREL(N63:N76,B63:B76)</f>
        <v>0.93518611679748265</v>
      </c>
      <c r="I77" s="20" t="s">
        <v>11</v>
      </c>
      <c r="N77" s="18">
        <f t="shared" si="22"/>
        <v>124.95472343071363</v>
      </c>
      <c r="O77" s="17">
        <f t="shared" si="21"/>
        <v>-2.1493193787810299</v>
      </c>
      <c r="P77" s="22"/>
    </row>
    <row r="78" spans="1:31">
      <c r="A78" s="13">
        <v>2017</v>
      </c>
      <c r="B78" s="64">
        <f t="shared" si="19"/>
        <v>108.45468702512795</v>
      </c>
      <c r="C78" s="46">
        <v>15</v>
      </c>
      <c r="D78" s="51">
        <f t="shared" si="20"/>
        <v>4.0559670781893011</v>
      </c>
      <c r="E78" s="51">
        <f t="shared" si="20"/>
        <v>2.7034403292181075</v>
      </c>
      <c r="F78" s="51">
        <f t="shared" si="20"/>
        <v>5.9893004115226329</v>
      </c>
      <c r="G78" s="51">
        <f t="shared" si="20"/>
        <v>6.411522633744859</v>
      </c>
      <c r="N78" s="18">
        <f t="shared" si="22"/>
        <v>114.13811212988161</v>
      </c>
      <c r="O78" s="17">
        <f t="shared" si="21"/>
        <v>5.6834251047536526</v>
      </c>
      <c r="P78" s="22"/>
    </row>
    <row r="79" spans="1:31">
      <c r="A79" s="104">
        <v>2018</v>
      </c>
      <c r="B79" s="64">
        <f t="shared" si="19"/>
        <v>116.42193229935714</v>
      </c>
      <c r="C79" s="46">
        <v>16</v>
      </c>
      <c r="D79" s="51">
        <f t="shared" si="20"/>
        <v>3.8690476190476173</v>
      </c>
      <c r="E79" s="51">
        <f t="shared" si="20"/>
        <v>3.1530761904761899</v>
      </c>
      <c r="F79" s="51">
        <f t="shared" si="20"/>
        <v>5.6499999999999959</v>
      </c>
      <c r="G79" s="51">
        <f t="shared" si="20"/>
        <v>5.3076190476190508</v>
      </c>
      <c r="N79" s="18">
        <f t="shared" si="22"/>
        <v>120.12288535389946</v>
      </c>
      <c r="O79" s="17">
        <f t="shared" si="21"/>
        <v>3.7009530545423246</v>
      </c>
      <c r="P79" s="22"/>
    </row>
    <row r="80" spans="1:31">
      <c r="A80" s="21"/>
      <c r="B80" s="105">
        <f>SUM(B63:B79)</f>
        <v>2379.6889528079532</v>
      </c>
      <c r="C80" s="21"/>
      <c r="D80" s="21"/>
      <c r="E80" s="21"/>
      <c r="F80" s="21"/>
      <c r="G80" s="21"/>
      <c r="H80" s="21"/>
      <c r="I80" s="21"/>
      <c r="J80" s="21" t="s">
        <v>2</v>
      </c>
      <c r="K80" s="21"/>
      <c r="L80" s="21"/>
      <c r="M80" s="21"/>
      <c r="N80" s="105">
        <f>SUM(N63:N79)</f>
        <v>2379.6889528079532</v>
      </c>
      <c r="O80" s="105">
        <f>SUM(O63:O79)</f>
        <v>2.2737367544323206E-13</v>
      </c>
      <c r="P80" s="21"/>
      <c r="Q80" s="21"/>
      <c r="R80" s="21"/>
      <c r="S80" s="78"/>
      <c r="T80" s="78"/>
      <c r="U80" s="78" t="s">
        <v>2</v>
      </c>
      <c r="V80" s="78"/>
      <c r="W80" s="78"/>
      <c r="X80" s="78"/>
      <c r="Y80" s="78"/>
      <c r="Z80" s="78"/>
      <c r="AA80" s="78"/>
      <c r="AB80" s="78"/>
      <c r="AC80" s="78"/>
      <c r="AD80" s="78"/>
      <c r="AE80" s="78"/>
    </row>
    <row r="81" spans="1:37" ht="18" thickBot="1">
      <c r="A81" s="89"/>
      <c r="B81" s="3" t="s">
        <v>15</v>
      </c>
      <c r="C81" s="140" t="s">
        <v>3</v>
      </c>
      <c r="D81" s="141"/>
      <c r="E81" s="141"/>
      <c r="F81" s="141"/>
      <c r="G81" s="141"/>
      <c r="H81" s="88" t="s">
        <v>2</v>
      </c>
      <c r="I81" s="142" t="s">
        <v>4</v>
      </c>
      <c r="J81" s="143"/>
      <c r="K81" s="143"/>
      <c r="L81" s="143"/>
      <c r="M81" s="143"/>
      <c r="N81" s="143"/>
      <c r="O81" s="144"/>
      <c r="P81" s="2"/>
      <c r="Q81" s="2"/>
      <c r="R81" s="3" t="s">
        <v>2</v>
      </c>
      <c r="S81" s="4" t="s">
        <v>2</v>
      </c>
      <c r="T81" s="23"/>
    </row>
    <row r="82" spans="1:37" ht="52" thickBot="1">
      <c r="A82" s="6" t="s">
        <v>0</v>
      </c>
      <c r="B82" s="65" t="s">
        <v>16</v>
      </c>
      <c r="C82" s="7" t="s">
        <v>0</v>
      </c>
      <c r="D82" s="55" t="s">
        <v>22</v>
      </c>
      <c r="E82" s="55" t="s">
        <v>23</v>
      </c>
      <c r="F82" s="55" t="s">
        <v>24</v>
      </c>
      <c r="G82" s="55" t="s">
        <v>25</v>
      </c>
      <c r="H82" s="57" t="s">
        <v>26</v>
      </c>
      <c r="I82" s="57" t="s">
        <v>26</v>
      </c>
      <c r="J82" s="57" t="s">
        <v>25</v>
      </c>
      <c r="K82" s="57" t="s">
        <v>24</v>
      </c>
      <c r="L82" s="57" t="s">
        <v>23</v>
      </c>
      <c r="M82" s="57" t="s">
        <v>22</v>
      </c>
      <c r="N82" s="7" t="s">
        <v>0</v>
      </c>
      <c r="O82" s="57" t="s">
        <v>1</v>
      </c>
      <c r="P82" s="66" t="s">
        <v>27</v>
      </c>
      <c r="Q82" s="25"/>
      <c r="R82" t="s">
        <v>2</v>
      </c>
      <c r="X82" s="80" t="s">
        <v>17</v>
      </c>
      <c r="Y82" s="81" t="s">
        <v>18</v>
      </c>
      <c r="Z82" s="145" t="s">
        <v>19</v>
      </c>
      <c r="AA82" s="145"/>
      <c r="AB82" s="145"/>
      <c r="AC82" s="107" t="s">
        <v>29</v>
      </c>
      <c r="AD82" s="108" t="s">
        <v>21</v>
      </c>
      <c r="AE82" s="109" t="s">
        <v>28</v>
      </c>
    </row>
    <row r="83" spans="1:37" ht="24">
      <c r="A83" s="13">
        <v>2002</v>
      </c>
      <c r="B83" s="64">
        <f t="shared" ref="B83:B99" si="23">B63</f>
        <v>153.29627114112319</v>
      </c>
      <c r="C83" s="45">
        <v>0</v>
      </c>
      <c r="D83" s="53">
        <f>C83*C83</f>
        <v>0</v>
      </c>
      <c r="E83" s="51">
        <f>F3</f>
        <v>3.8231707317073136</v>
      </c>
      <c r="F83" s="51">
        <f t="shared" ref="F83:H83" si="24">G3</f>
        <v>3.0101626016260168</v>
      </c>
      <c r="G83" s="51">
        <f t="shared" si="24"/>
        <v>5.5313008130081274</v>
      </c>
      <c r="H83" s="51">
        <f t="shared" si="24"/>
        <v>6.0101626016260097</v>
      </c>
      <c r="I83" s="30">
        <f t="array" ref="I83:O87">LINEST(B83:B99,C83:H99,,TRUE)</f>
        <v>-7.0347766252334614</v>
      </c>
      <c r="J83" s="30">
        <v>0.88722590262084888</v>
      </c>
      <c r="K83" s="30">
        <v>2.6009548621454788</v>
      </c>
      <c r="L83" s="30">
        <v>-0.94919310595506923</v>
      </c>
      <c r="M83" s="30">
        <v>-0.19842168095047838</v>
      </c>
      <c r="N83" s="30">
        <v>0.52882746709883177</v>
      </c>
      <c r="O83" s="30">
        <v>186.8574581610952</v>
      </c>
      <c r="P83" s="17">
        <f>I$83*H83+J$83*G83+K$83*F83+L$83*E83+M$83*D83+N$83*C83+O$83</f>
        <v>153.68518988693467</v>
      </c>
      <c r="Q83" s="41">
        <f>LINEST(P83:P99,C83:C99)</f>
        <v>-2.7357598357872241</v>
      </c>
      <c r="R83" t="s">
        <v>2</v>
      </c>
      <c r="W83" s="79">
        <v>2002</v>
      </c>
      <c r="X83" s="83">
        <v>1</v>
      </c>
      <c r="Y83" s="82">
        <v>1</v>
      </c>
      <c r="Z83" s="70">
        <f t="array" ref="Z83:AB87">LINEST(P83:P98,X83:Y98,,TRUE)</f>
        <v>0.94950641333062291</v>
      </c>
      <c r="AA83" s="69">
        <v>-0.21476650046428128</v>
      </c>
      <c r="AB83" s="71">
        <v>153.44503565740649</v>
      </c>
      <c r="AC83" s="110">
        <f>Z$83*Y83+AA$83*X83+AB$83</f>
        <v>154.17977557027282</v>
      </c>
      <c r="AD83" s="111">
        <f>2*AA$83*Y83+Z$83</f>
        <v>0.5199734124020603</v>
      </c>
      <c r="AE83" s="112">
        <f>AD83*-1</f>
        <v>-0.5199734124020603</v>
      </c>
      <c r="AG83" s="146" t="s">
        <v>40</v>
      </c>
      <c r="AH83" s="147"/>
      <c r="AI83" s="147"/>
      <c r="AJ83" s="147"/>
      <c r="AK83" s="147"/>
    </row>
    <row r="84" spans="1:37">
      <c r="A84" s="13">
        <v>2003</v>
      </c>
      <c r="B84" s="64">
        <f t="shared" si="23"/>
        <v>161.60667572484144</v>
      </c>
      <c r="C84" s="45">
        <v>1</v>
      </c>
      <c r="D84" s="53">
        <f>C84*C84</f>
        <v>1</v>
      </c>
      <c r="E84" s="51">
        <f t="shared" ref="E84:H99" si="25">F4</f>
        <v>3.5523012552301263</v>
      </c>
      <c r="F84" s="51">
        <f t="shared" si="25"/>
        <v>3.9527196652719647</v>
      </c>
      <c r="G84" s="51">
        <f t="shared" si="25"/>
        <v>4.8142259414225919</v>
      </c>
      <c r="H84" s="51">
        <f t="shared" si="25"/>
        <v>5.3464435146443527</v>
      </c>
      <c r="I84" s="30">
        <v>1.8726545751347201</v>
      </c>
      <c r="J84" s="30">
        <v>14.823529875577727</v>
      </c>
      <c r="K84" s="30">
        <v>10.646710266928942</v>
      </c>
      <c r="L84" s="30">
        <v>7.7244615985296772</v>
      </c>
      <c r="M84" s="30">
        <v>7.7921880272363422E-2</v>
      </c>
      <c r="N84" s="30">
        <v>1.4304605100328958</v>
      </c>
      <c r="O84" s="30">
        <v>115.36196297071768</v>
      </c>
      <c r="P84" s="17">
        <f t="shared" ref="P84:P99" si="26">I$83*H84+J$83*G84+K$83*F84+L$83*E84+M$83*D84+N$83*C84+O$83</f>
        <v>160.75715960893899</v>
      </c>
      <c r="Q84" s="41">
        <f>LINEST(B83:B99,C83:C99)</f>
        <v>-2.7357598357872246</v>
      </c>
      <c r="R84" t="s">
        <v>2</v>
      </c>
      <c r="W84" s="76">
        <v>2003</v>
      </c>
      <c r="X84" s="30">
        <v>4</v>
      </c>
      <c r="Y84" s="77">
        <v>2</v>
      </c>
      <c r="Z84" s="68">
        <v>1.4256381173525465</v>
      </c>
      <c r="AA84" s="30">
        <v>8.1524953180007007E-2</v>
      </c>
      <c r="AB84" s="72">
        <v>5.265653748098476</v>
      </c>
      <c r="AC84" s="74">
        <f t="shared" ref="AC84:AC106" si="27">Z$83*Y84+AA$83*X84+AB$83</f>
        <v>154.48498248221063</v>
      </c>
      <c r="AD84" s="73">
        <f t="shared" ref="AD84:AD106" si="28">2*AA$83*Y84+Z$83</f>
        <v>9.0440411473497795E-2</v>
      </c>
      <c r="AE84" s="75">
        <f t="shared" ref="AE84:AE106" si="29">AD84*-1</f>
        <v>-9.0440411473497795E-2</v>
      </c>
    </row>
    <row r="85" spans="1:37">
      <c r="A85" s="13">
        <v>2004</v>
      </c>
      <c r="B85" s="64">
        <f t="shared" si="23"/>
        <v>155.38471638702887</v>
      </c>
      <c r="C85" s="45">
        <v>2</v>
      </c>
      <c r="D85" s="53">
        <f t="shared" ref="D85:D99" si="30">C85*C85</f>
        <v>4</v>
      </c>
      <c r="E85" s="51">
        <f t="shared" si="25"/>
        <v>3.7964843750000004</v>
      </c>
      <c r="F85" s="51">
        <f t="shared" si="25"/>
        <v>3.0316406250000005</v>
      </c>
      <c r="G85" s="51">
        <f t="shared" si="25"/>
        <v>5.548437499999995</v>
      </c>
      <c r="H85" s="51">
        <f t="shared" si="25"/>
        <v>6.4304687500000002</v>
      </c>
      <c r="I85" s="95">
        <v>0.95107923627859314</v>
      </c>
      <c r="J85" s="30">
        <v>4.4286600189332548</v>
      </c>
      <c r="K85" s="30" t="e">
        <v>#N/A</v>
      </c>
      <c r="L85" s="30" t="e">
        <v>#N/A</v>
      </c>
      <c r="M85" s="30" t="e">
        <v>#N/A</v>
      </c>
      <c r="N85" s="30" t="e">
        <v>#N/A</v>
      </c>
      <c r="O85" s="30" t="e">
        <v>#N/A</v>
      </c>
      <c r="P85" s="17">
        <f t="shared" si="26"/>
        <v>151.08879621702494</v>
      </c>
      <c r="Q85" s="22"/>
      <c r="R85" t="s">
        <v>2</v>
      </c>
      <c r="W85" s="76">
        <v>2004</v>
      </c>
      <c r="X85" s="30">
        <v>9</v>
      </c>
      <c r="Y85" s="77">
        <v>3</v>
      </c>
      <c r="Z85" s="68">
        <v>0.84760060350876076</v>
      </c>
      <c r="AA85" s="30">
        <v>6.1614745284392214</v>
      </c>
      <c r="AB85" s="72" t="e">
        <v>#N/A</v>
      </c>
      <c r="AC85" s="74">
        <f t="shared" si="27"/>
        <v>154.36065639321984</v>
      </c>
      <c r="AD85" s="73">
        <f t="shared" si="28"/>
        <v>-0.33909258945506482</v>
      </c>
      <c r="AE85" s="75">
        <f t="shared" si="29"/>
        <v>0.33909258945506482</v>
      </c>
    </row>
    <row r="86" spans="1:37">
      <c r="A86" s="13">
        <v>2005</v>
      </c>
      <c r="B86" s="64">
        <f t="shared" si="23"/>
        <v>153.39684828372904</v>
      </c>
      <c r="C86" s="45">
        <v>3</v>
      </c>
      <c r="D86" s="53">
        <f t="shared" si="30"/>
        <v>9</v>
      </c>
      <c r="E86" s="51">
        <f t="shared" si="25"/>
        <v>3.7100775193798459</v>
      </c>
      <c r="F86" s="51">
        <f t="shared" si="25"/>
        <v>3.5271317829457378</v>
      </c>
      <c r="G86" s="51">
        <f t="shared" si="25"/>
        <v>5.3298449612403074</v>
      </c>
      <c r="H86" s="51">
        <f t="shared" si="25"/>
        <v>6.4015503875968998</v>
      </c>
      <c r="I86" s="30">
        <v>32.402030137781693</v>
      </c>
      <c r="J86" s="30">
        <v>10</v>
      </c>
      <c r="K86" s="30" t="e">
        <v>#N/A</v>
      </c>
      <c r="L86" s="30" t="e">
        <v>#N/A</v>
      </c>
      <c r="M86" s="30" t="e">
        <v>#N/A</v>
      </c>
      <c r="N86" s="30" t="e">
        <v>#N/A</v>
      </c>
      <c r="O86" s="30" t="e">
        <v>#N/A</v>
      </c>
      <c r="P86" s="17">
        <f t="shared" si="26"/>
        <v>152.00577546480847</v>
      </c>
      <c r="Q86" s="22"/>
      <c r="R86" t="s">
        <v>2</v>
      </c>
      <c r="W86" s="76">
        <v>2005</v>
      </c>
      <c r="X86" s="30">
        <v>16</v>
      </c>
      <c r="Y86" s="77">
        <v>4</v>
      </c>
      <c r="Z86" s="68">
        <v>36.151087534809619</v>
      </c>
      <c r="AA86" s="30">
        <v>13</v>
      </c>
      <c r="AB86" s="72" t="e">
        <v>#N/A</v>
      </c>
      <c r="AC86" s="74">
        <f t="shared" si="27"/>
        <v>153.80679730330047</v>
      </c>
      <c r="AD86" s="73">
        <f t="shared" si="28"/>
        <v>-0.76862559038362732</v>
      </c>
      <c r="AE86" s="75">
        <f t="shared" si="29"/>
        <v>0.76862559038362732</v>
      </c>
    </row>
    <row r="87" spans="1:37">
      <c r="A87" s="13">
        <v>2006</v>
      </c>
      <c r="B87" s="64">
        <f t="shared" si="23"/>
        <v>149.06617682174925</v>
      </c>
      <c r="C87" s="45">
        <v>4</v>
      </c>
      <c r="D87" s="53">
        <f t="shared" si="30"/>
        <v>16</v>
      </c>
      <c r="E87" s="51">
        <f t="shared" si="25"/>
        <v>3.5042735042735047</v>
      </c>
      <c r="F87" s="51">
        <f t="shared" si="25"/>
        <v>3.002136752136753</v>
      </c>
      <c r="G87" s="51">
        <f t="shared" si="25"/>
        <v>5.6747863247863242</v>
      </c>
      <c r="H87" s="51">
        <f t="shared" si="25"/>
        <v>5.5931623931623911</v>
      </c>
      <c r="I87" s="30">
        <v>3813.0118500190906</v>
      </c>
      <c r="J87" s="30">
        <v>196.13029563297897</v>
      </c>
      <c r="K87" s="30" t="e">
        <v>#N/A</v>
      </c>
      <c r="L87" s="30" t="e">
        <v>#N/A</v>
      </c>
      <c r="M87" s="30" t="e">
        <v>#N/A</v>
      </c>
      <c r="N87" s="30" t="e">
        <v>#N/A</v>
      </c>
      <c r="O87" s="30" t="e">
        <v>#N/A</v>
      </c>
      <c r="P87" s="17">
        <f t="shared" si="26"/>
        <v>155.96838041957653</v>
      </c>
      <c r="Q87" s="22"/>
      <c r="R87" t="s">
        <v>2</v>
      </c>
      <c r="W87" s="76">
        <v>2006</v>
      </c>
      <c r="X87" s="30">
        <v>25</v>
      </c>
      <c r="Y87" s="77">
        <v>5</v>
      </c>
      <c r="Z87" s="68">
        <v>2744.8630266001664</v>
      </c>
      <c r="AA87" s="30">
        <v>493.52898873986919</v>
      </c>
      <c r="AB87" s="72" t="e">
        <v>#N/A</v>
      </c>
      <c r="AC87" s="74">
        <f t="shared" si="27"/>
        <v>152.82340521245257</v>
      </c>
      <c r="AD87" s="73">
        <f t="shared" si="28"/>
        <v>-1.1981585913121897</v>
      </c>
      <c r="AE87" s="75">
        <f t="shared" si="29"/>
        <v>1.1981585913121897</v>
      </c>
    </row>
    <row r="88" spans="1:37">
      <c r="A88" s="13">
        <v>2007</v>
      </c>
      <c r="B88" s="64">
        <f t="shared" si="23"/>
        <v>140.13484669732858</v>
      </c>
      <c r="C88" s="45">
        <v>5</v>
      </c>
      <c r="D88" s="53">
        <f t="shared" si="30"/>
        <v>25</v>
      </c>
      <c r="E88" s="51">
        <f t="shared" si="25"/>
        <v>4.0685039370078737</v>
      </c>
      <c r="F88" s="51">
        <f t="shared" si="25"/>
        <v>3.3078740157480335</v>
      </c>
      <c r="G88" s="51">
        <f t="shared" si="25"/>
        <v>5.6283464566929133</v>
      </c>
      <c r="H88" s="51">
        <f t="shared" si="25"/>
        <v>7.4346456692913385</v>
      </c>
      <c r="P88" s="17">
        <f t="shared" si="26"/>
        <v>141.97543178297133</v>
      </c>
      <c r="Q88" s="22"/>
      <c r="R88" t="s">
        <v>2</v>
      </c>
      <c r="W88" s="76">
        <v>2007</v>
      </c>
      <c r="X88" s="30">
        <v>36</v>
      </c>
      <c r="Y88" s="77">
        <v>6</v>
      </c>
      <c r="AC88" s="74">
        <f t="shared" si="27"/>
        <v>151.41048012067611</v>
      </c>
      <c r="AD88" s="73">
        <f t="shared" si="28"/>
        <v>-1.6276915922407524</v>
      </c>
      <c r="AE88" s="75">
        <f t="shared" si="29"/>
        <v>1.6276915922407524</v>
      </c>
    </row>
    <row r="89" spans="1:37">
      <c r="A89" s="13">
        <v>2008</v>
      </c>
      <c r="B89" s="64">
        <f t="shared" si="23"/>
        <v>144.98375304178199</v>
      </c>
      <c r="C89" s="45">
        <v>6</v>
      </c>
      <c r="D89" s="53">
        <f t="shared" si="30"/>
        <v>36</v>
      </c>
      <c r="E89" s="51">
        <f t="shared" si="25"/>
        <v>3.7457831325301245</v>
      </c>
      <c r="F89" s="51">
        <f t="shared" si="25"/>
        <v>2.9730923694779117</v>
      </c>
      <c r="G89" s="51">
        <f t="shared" si="25"/>
        <v>5.7755020080321273</v>
      </c>
      <c r="H89" s="51">
        <f t="shared" si="25"/>
        <v>6.895582329317266</v>
      </c>
      <c r="P89" s="17">
        <f t="shared" si="26"/>
        <v>143.67994357218259</v>
      </c>
      <c r="Q89" s="22"/>
      <c r="R89" t="s">
        <v>2</v>
      </c>
      <c r="W89" s="76">
        <v>2008</v>
      </c>
      <c r="X89" s="30">
        <v>49</v>
      </c>
      <c r="Y89" s="77">
        <v>7</v>
      </c>
      <c r="AC89" s="74">
        <f t="shared" si="27"/>
        <v>149.56802202797107</v>
      </c>
      <c r="AD89" s="73">
        <f t="shared" si="28"/>
        <v>-2.0572245931693147</v>
      </c>
      <c r="AE89" s="75">
        <f t="shared" si="29"/>
        <v>2.0572245931693147</v>
      </c>
    </row>
    <row r="90" spans="1:37">
      <c r="A90" s="13">
        <v>2009</v>
      </c>
      <c r="B90" s="64">
        <f t="shared" si="23"/>
        <v>145.86175340738075</v>
      </c>
      <c r="C90" s="45">
        <v>7</v>
      </c>
      <c r="D90" s="53">
        <f t="shared" si="30"/>
        <v>49</v>
      </c>
      <c r="E90" s="51">
        <f t="shared" si="25"/>
        <v>3.3833333333333346</v>
      </c>
      <c r="F90" s="51">
        <f t="shared" si="25"/>
        <v>3.4939024390243927</v>
      </c>
      <c r="G90" s="51">
        <f t="shared" si="25"/>
        <v>5.5817073170731692</v>
      </c>
      <c r="H90" s="51">
        <f t="shared" si="25"/>
        <v>5.9865853658536547</v>
      </c>
      <c r="P90" s="17">
        <f t="shared" si="26"/>
        <v>149.55057844159165</v>
      </c>
      <c r="Q90" s="22"/>
      <c r="R90" t="s">
        <v>2</v>
      </c>
      <c r="W90" s="76">
        <v>2009</v>
      </c>
      <c r="X90" s="30">
        <v>64</v>
      </c>
      <c r="Y90" s="77">
        <v>8</v>
      </c>
      <c r="AC90" s="74">
        <f t="shared" si="27"/>
        <v>147.29603093433747</v>
      </c>
      <c r="AD90" s="73">
        <f t="shared" si="28"/>
        <v>-2.4867575940978774</v>
      </c>
      <c r="AE90" s="75">
        <f t="shared" si="29"/>
        <v>2.4867575940978774</v>
      </c>
    </row>
    <row r="91" spans="1:37">
      <c r="A91" s="13">
        <v>2010</v>
      </c>
      <c r="B91" s="64">
        <f t="shared" si="23"/>
        <v>156.19296531868545</v>
      </c>
      <c r="C91" s="45">
        <v>8</v>
      </c>
      <c r="D91" s="53">
        <f t="shared" si="30"/>
        <v>64</v>
      </c>
      <c r="E91" s="51">
        <f t="shared" si="25"/>
        <v>3.4837638376383762</v>
      </c>
      <c r="F91" s="51">
        <f t="shared" si="25"/>
        <v>2.8361623616236176</v>
      </c>
      <c r="G91" s="51">
        <f t="shared" si="25"/>
        <v>6.083394833948339</v>
      </c>
      <c r="H91" s="51">
        <f t="shared" si="25"/>
        <v>4.7793357933579346</v>
      </c>
      <c r="P91" s="17">
        <f t="shared" si="26"/>
        <v>154.23484173318508</v>
      </c>
      <c r="Q91" s="22"/>
      <c r="R91" t="s">
        <v>2</v>
      </c>
      <c r="W91" s="76">
        <v>2010</v>
      </c>
      <c r="X91" s="30">
        <v>81</v>
      </c>
      <c r="Y91" s="77">
        <v>9</v>
      </c>
      <c r="AC91" s="74">
        <f t="shared" si="27"/>
        <v>144.59450683977531</v>
      </c>
      <c r="AD91" s="73">
        <f t="shared" si="28"/>
        <v>-2.9162905950264402</v>
      </c>
      <c r="AE91" s="75">
        <f t="shared" si="29"/>
        <v>2.9162905950264402</v>
      </c>
    </row>
    <row r="92" spans="1:37">
      <c r="A92" s="13">
        <v>2011</v>
      </c>
      <c r="B92" s="64">
        <f t="shared" si="23"/>
        <v>140.38545949992559</v>
      </c>
      <c r="C92" s="45">
        <v>9</v>
      </c>
      <c r="D92" s="53">
        <f t="shared" si="30"/>
        <v>81</v>
      </c>
      <c r="E92" s="51">
        <f t="shared" si="25"/>
        <v>3.7813852813852828</v>
      </c>
      <c r="F92" s="51">
        <f t="shared" si="25"/>
        <v>3.9437229437229457</v>
      </c>
      <c r="G92" s="51">
        <f t="shared" si="25"/>
        <v>5.089177489177489</v>
      </c>
      <c r="H92" s="51">
        <f t="shared" si="25"/>
        <v>6.1714285714285717</v>
      </c>
      <c r="P92" s="17">
        <f t="shared" si="26"/>
        <v>143.31355836622549</v>
      </c>
      <c r="Q92" s="22"/>
      <c r="R92" t="s">
        <v>2</v>
      </c>
      <c r="W92" s="76">
        <v>2011</v>
      </c>
      <c r="X92" s="30">
        <v>100</v>
      </c>
      <c r="Y92" s="77">
        <v>10</v>
      </c>
      <c r="AC92" s="74">
        <f t="shared" si="27"/>
        <v>141.46344974428459</v>
      </c>
      <c r="AD92" s="73">
        <f t="shared" si="28"/>
        <v>-3.3458235959550024</v>
      </c>
      <c r="AE92" s="75">
        <f t="shared" si="29"/>
        <v>3.3458235959550024</v>
      </c>
    </row>
    <row r="93" spans="1:37">
      <c r="A93" s="13">
        <v>2012</v>
      </c>
      <c r="B93" s="64">
        <f t="shared" si="23"/>
        <v>145.24053485993716</v>
      </c>
      <c r="C93" s="45">
        <v>10</v>
      </c>
      <c r="D93" s="53">
        <f t="shared" si="30"/>
        <v>100</v>
      </c>
      <c r="E93" s="51">
        <f t="shared" si="25"/>
        <v>3.6658634538152626</v>
      </c>
      <c r="F93" s="51">
        <f t="shared" si="25"/>
        <v>3.2190843373493987</v>
      </c>
      <c r="G93" s="51">
        <f t="shared" si="25"/>
        <v>5.6799196787148611</v>
      </c>
      <c r="H93" s="51">
        <f t="shared" si="25"/>
        <v>5.9337349397590353</v>
      </c>
      <c r="P93" s="17">
        <f t="shared" si="26"/>
        <v>140.49351748740062</v>
      </c>
      <c r="Q93" s="22"/>
      <c r="R93" t="s">
        <v>2</v>
      </c>
      <c r="W93" s="76">
        <v>2012</v>
      </c>
      <c r="X93" s="30">
        <v>121</v>
      </c>
      <c r="Y93" s="77">
        <v>11</v>
      </c>
      <c r="AC93" s="74">
        <f t="shared" si="27"/>
        <v>137.90285964786531</v>
      </c>
      <c r="AD93" s="73">
        <f t="shared" si="28"/>
        <v>-3.7753565968835647</v>
      </c>
      <c r="AE93" s="75">
        <f t="shared" si="29"/>
        <v>3.7753565968835647</v>
      </c>
    </row>
    <row r="94" spans="1:37">
      <c r="A94" s="13">
        <v>2013</v>
      </c>
      <c r="B94" s="64">
        <f t="shared" si="23"/>
        <v>141.84421745966998</v>
      </c>
      <c r="C94" s="45">
        <v>11</v>
      </c>
      <c r="D94" s="53">
        <f t="shared" si="30"/>
        <v>121</v>
      </c>
      <c r="E94" s="51">
        <f t="shared" si="25"/>
        <v>3.4220408163265299</v>
      </c>
      <c r="F94" s="51">
        <f t="shared" si="25"/>
        <v>2.5094530612244901</v>
      </c>
      <c r="G94" s="51">
        <f t="shared" si="25"/>
        <v>6.0979591836734697</v>
      </c>
      <c r="H94" s="51">
        <f t="shared" si="25"/>
        <v>5.3963265306122477</v>
      </c>
      <c r="P94" s="17">
        <f t="shared" si="26"/>
        <v>139.39264909513975</v>
      </c>
      <c r="Q94" s="22"/>
      <c r="R94" t="s">
        <v>2</v>
      </c>
      <c r="W94" s="76">
        <v>2013</v>
      </c>
      <c r="X94" s="30">
        <v>144</v>
      </c>
      <c r="Y94" s="77">
        <v>12</v>
      </c>
      <c r="AC94" s="74">
        <f t="shared" si="27"/>
        <v>133.91273655051745</v>
      </c>
      <c r="AD94" s="73">
        <f t="shared" si="28"/>
        <v>-4.2048895978121283</v>
      </c>
      <c r="AE94" s="75">
        <f t="shared" si="29"/>
        <v>4.2048895978121283</v>
      </c>
    </row>
    <row r="95" spans="1:37">
      <c r="A95" s="13">
        <v>2014</v>
      </c>
      <c r="B95" s="64">
        <f t="shared" si="23"/>
        <v>117.93413336805642</v>
      </c>
      <c r="C95" s="45">
        <v>12</v>
      </c>
      <c r="D95" s="53">
        <f t="shared" si="30"/>
        <v>144</v>
      </c>
      <c r="E95" s="51">
        <f t="shared" si="25"/>
        <v>3.5610655737704917</v>
      </c>
      <c r="F95" s="51">
        <f t="shared" si="25"/>
        <v>3.3709016393442628</v>
      </c>
      <c r="G95" s="51">
        <f t="shared" si="25"/>
        <v>5.7053278688524554</v>
      </c>
      <c r="H95" s="51">
        <f t="shared" si="25"/>
        <v>7.6934426229508226</v>
      </c>
      <c r="P95" s="17">
        <f t="shared" si="26"/>
        <v>120.95835416228329</v>
      </c>
      <c r="Q95" s="22"/>
      <c r="R95" t="s">
        <v>2</v>
      </c>
      <c r="W95" s="76">
        <v>2014</v>
      </c>
      <c r="X95" s="30">
        <f>Y95*Y95</f>
        <v>169</v>
      </c>
      <c r="Y95" s="77">
        <v>13</v>
      </c>
      <c r="AC95" s="74">
        <f t="shared" si="27"/>
        <v>129.49308045224106</v>
      </c>
      <c r="AD95" s="73">
        <f t="shared" si="28"/>
        <v>-4.6344225987406906</v>
      </c>
      <c r="AE95" s="75">
        <f t="shared" si="29"/>
        <v>4.6344225987406906</v>
      </c>
    </row>
    <row r="96" spans="1:37">
      <c r="A96" s="13">
        <v>2015</v>
      </c>
      <c r="B96" s="64">
        <f t="shared" si="23"/>
        <v>122.37993866273547</v>
      </c>
      <c r="C96" s="45">
        <v>13</v>
      </c>
      <c r="D96" s="53">
        <f t="shared" si="30"/>
        <v>169</v>
      </c>
      <c r="E96" s="51">
        <f t="shared" si="25"/>
        <v>3.8544061302681993</v>
      </c>
      <c r="F96" s="51">
        <f t="shared" si="25"/>
        <v>3.7615363984674333</v>
      </c>
      <c r="G96" s="51">
        <f t="shared" si="25"/>
        <v>5.4567049808429111</v>
      </c>
      <c r="H96" s="51">
        <f t="shared" si="25"/>
        <v>7.7072796934865879</v>
      </c>
      <c r="P96" s="17">
        <f t="shared" si="26"/>
        <v>116.94630078116677</v>
      </c>
      <c r="Q96" s="22"/>
      <c r="W96" s="76">
        <v>2015</v>
      </c>
      <c r="X96" s="30">
        <f t="shared" ref="X96:X98" si="31">Y96*Y96</f>
        <v>196</v>
      </c>
      <c r="Y96" s="77">
        <v>14</v>
      </c>
      <c r="AC96" s="74">
        <f t="shared" si="27"/>
        <v>124.64389135303608</v>
      </c>
      <c r="AD96" s="73">
        <f t="shared" si="28"/>
        <v>-5.0639555996692529</v>
      </c>
      <c r="AE96" s="75">
        <f t="shared" si="29"/>
        <v>5.0639555996692529</v>
      </c>
    </row>
    <row r="97" spans="1:31">
      <c r="A97" s="13">
        <v>2016</v>
      </c>
      <c r="B97" s="64">
        <f t="shared" si="23"/>
        <v>127.10404280949466</v>
      </c>
      <c r="C97" s="45">
        <v>14</v>
      </c>
      <c r="D97" s="53">
        <f t="shared" si="30"/>
        <v>196</v>
      </c>
      <c r="E97" s="51">
        <f t="shared" si="25"/>
        <v>3.6716157205240179</v>
      </c>
      <c r="F97" s="51">
        <f t="shared" si="25"/>
        <v>2.7302707423580785</v>
      </c>
      <c r="G97" s="51">
        <f t="shared" si="25"/>
        <v>5.9231441048034936</v>
      </c>
      <c r="H97" s="51">
        <f t="shared" si="25"/>
        <v>5.524890829694324</v>
      </c>
      <c r="I97" s="67">
        <f>CORREL(P83:P98,B83:B98)</f>
        <v>0.97091480828801524</v>
      </c>
      <c r="J97" s="20" t="s">
        <v>11</v>
      </c>
      <c r="P97" s="17">
        <f t="shared" si="26"/>
        <v>125.37542587589452</v>
      </c>
      <c r="Q97" s="22"/>
      <c r="W97" s="76">
        <v>2016</v>
      </c>
      <c r="X97" s="30">
        <f t="shared" si="31"/>
        <v>225</v>
      </c>
      <c r="Y97" s="77">
        <v>15</v>
      </c>
      <c r="AC97" s="74">
        <f t="shared" si="27"/>
        <v>119.36516925290255</v>
      </c>
      <c r="AD97" s="73">
        <f t="shared" si="28"/>
        <v>-5.4934886005978161</v>
      </c>
      <c r="AE97" s="75">
        <f t="shared" si="29"/>
        <v>5.4934886005978161</v>
      </c>
    </row>
    <row r="98" spans="1:31">
      <c r="A98" s="13">
        <v>2017</v>
      </c>
      <c r="B98" s="64">
        <f t="shared" si="23"/>
        <v>108.45468702512795</v>
      </c>
      <c r="C98" s="46">
        <v>15</v>
      </c>
      <c r="D98" s="53">
        <f t="shared" si="30"/>
        <v>225</v>
      </c>
      <c r="E98" s="51">
        <f t="shared" si="25"/>
        <v>4.0559670781893011</v>
      </c>
      <c r="F98" s="51">
        <f t="shared" si="25"/>
        <v>2.7034403292181075</v>
      </c>
      <c r="G98" s="51">
        <f t="shared" si="25"/>
        <v>5.9893004115226329</v>
      </c>
      <c r="H98" s="51">
        <f t="shared" si="25"/>
        <v>6.411522633744859</v>
      </c>
      <c r="P98" s="17">
        <f t="shared" si="26"/>
        <v>113.53685514157901</v>
      </c>
      <c r="Q98" s="22"/>
      <c r="W98" s="76">
        <v>2017</v>
      </c>
      <c r="X98" s="30">
        <f t="shared" si="31"/>
        <v>256</v>
      </c>
      <c r="Y98" s="77">
        <v>16</v>
      </c>
      <c r="AC98" s="74">
        <f t="shared" si="27"/>
        <v>113.65691415184045</v>
      </c>
      <c r="AD98" s="73">
        <f t="shared" si="28"/>
        <v>-5.9230216015263784</v>
      </c>
      <c r="AE98" s="75">
        <f t="shared" si="29"/>
        <v>5.9230216015263784</v>
      </c>
    </row>
    <row r="99" spans="1:31">
      <c r="A99" s="104">
        <v>2018</v>
      </c>
      <c r="B99" s="64">
        <f t="shared" si="23"/>
        <v>116.42193229935714</v>
      </c>
      <c r="C99" s="46">
        <v>16</v>
      </c>
      <c r="D99" s="53">
        <f t="shared" si="30"/>
        <v>256</v>
      </c>
      <c r="E99" s="51">
        <f t="shared" si="25"/>
        <v>3.8690476190476173</v>
      </c>
      <c r="F99" s="51">
        <f t="shared" si="25"/>
        <v>3.1530761904761899</v>
      </c>
      <c r="G99" s="51">
        <f t="shared" si="25"/>
        <v>5.6499999999999959</v>
      </c>
      <c r="H99" s="51">
        <f t="shared" si="25"/>
        <v>5.3076190476190508</v>
      </c>
      <c r="P99" s="17">
        <f t="shared" si="26"/>
        <v>116.72619477104976</v>
      </c>
      <c r="Q99" s="22"/>
      <c r="W99" s="113">
        <v>2018</v>
      </c>
      <c r="X99" s="114">
        <f>Y99*Y99</f>
        <v>289</v>
      </c>
      <c r="Y99" s="115">
        <v>17</v>
      </c>
      <c r="Z99" s="22"/>
      <c r="AA99" s="22"/>
      <c r="AB99" s="22"/>
      <c r="AC99" s="116">
        <f t="shared" si="27"/>
        <v>107.51912604984979</v>
      </c>
      <c r="AD99" s="87">
        <f t="shared" si="28"/>
        <v>-6.3525546024549406</v>
      </c>
      <c r="AE99" s="117">
        <f t="shared" si="29"/>
        <v>6.3525546024549406</v>
      </c>
    </row>
    <row r="100" spans="1:31">
      <c r="A100" s="21"/>
      <c r="B100" s="105">
        <f>SUM(B83:B99)</f>
        <v>2379.6889528079532</v>
      </c>
      <c r="C100" s="21"/>
      <c r="D100" s="21"/>
      <c r="E100" s="21"/>
      <c r="F100" s="21"/>
      <c r="G100" s="21"/>
      <c r="H100" s="21"/>
      <c r="I100" s="21"/>
      <c r="J100" s="21"/>
      <c r="K100" s="21" t="s">
        <v>2</v>
      </c>
      <c r="L100" s="21"/>
      <c r="M100" s="21"/>
      <c r="N100" s="21"/>
      <c r="O100" s="21"/>
      <c r="P100" s="105">
        <f>SUM(P83:P99)</f>
        <v>2379.6889528079537</v>
      </c>
      <c r="Q100" s="21"/>
      <c r="R100" s="21"/>
      <c r="S100" s="78"/>
      <c r="T100" s="78"/>
      <c r="U100" s="78"/>
      <c r="V100" s="78" t="s">
        <v>2</v>
      </c>
      <c r="W100" s="118">
        <v>2019</v>
      </c>
      <c r="X100" s="119">
        <f>Y100*Y100</f>
        <v>324</v>
      </c>
      <c r="Y100" s="120">
        <v>18</v>
      </c>
      <c r="Z100" s="78"/>
      <c r="AA100" s="78"/>
      <c r="AB100" s="78"/>
      <c r="AC100" s="121">
        <f t="shared" si="27"/>
        <v>100.95180494693057</v>
      </c>
      <c r="AD100" s="122">
        <f t="shared" si="28"/>
        <v>-6.7820876033835038</v>
      </c>
      <c r="AE100" s="123">
        <f t="shared" si="29"/>
        <v>6.7820876033835038</v>
      </c>
    </row>
    <row r="101" spans="1:31">
      <c r="O101" t="s">
        <v>41</v>
      </c>
      <c r="W101" s="124">
        <v>2020</v>
      </c>
      <c r="X101" s="125">
        <f>Y101*Y101</f>
        <v>361</v>
      </c>
      <c r="Y101" s="126">
        <v>19</v>
      </c>
      <c r="Z101" s="127"/>
      <c r="AA101" s="127"/>
      <c r="AB101" s="127"/>
      <c r="AC101" s="128">
        <f t="shared" si="27"/>
        <v>93.954950843082784</v>
      </c>
      <c r="AD101" s="129">
        <f t="shared" si="28"/>
        <v>-7.2116206043120652</v>
      </c>
      <c r="AE101" s="130">
        <f t="shared" si="29"/>
        <v>7.2116206043120652</v>
      </c>
    </row>
    <row r="102" spans="1:31">
      <c r="O102">
        <f>Z83</f>
        <v>0.94950641333062291</v>
      </c>
      <c r="W102" s="124">
        <v>2021</v>
      </c>
      <c r="X102" s="125">
        <f>Y102*Y102</f>
        <v>400</v>
      </c>
      <c r="Y102" s="126">
        <v>20</v>
      </c>
      <c r="Z102" s="127"/>
      <c r="AA102" s="127"/>
      <c r="AB102" s="127"/>
      <c r="AC102" s="128">
        <f t="shared" si="27"/>
        <v>86.528563738306445</v>
      </c>
      <c r="AD102" s="129">
        <f t="shared" si="28"/>
        <v>-7.6411536052406284</v>
      </c>
      <c r="AE102" s="130">
        <f t="shared" si="29"/>
        <v>7.6411536052406284</v>
      </c>
    </row>
    <row r="103" spans="1:31">
      <c r="O103">
        <f>AA83</f>
        <v>-0.21476650046428128</v>
      </c>
      <c r="W103" s="124">
        <v>2022</v>
      </c>
      <c r="X103" s="125">
        <f t="shared" ref="X103:X106" si="32">Y103*Y103</f>
        <v>441</v>
      </c>
      <c r="Y103" s="126">
        <v>21</v>
      </c>
      <c r="Z103" s="127"/>
      <c r="AA103" s="127"/>
      <c r="AB103" s="127"/>
      <c r="AC103" s="128">
        <f t="shared" si="27"/>
        <v>78.672643632601535</v>
      </c>
      <c r="AD103" s="129">
        <f t="shared" si="28"/>
        <v>-8.0706866061691915</v>
      </c>
      <c r="AE103" s="130">
        <f t="shared" si="29"/>
        <v>8.0706866061691915</v>
      </c>
    </row>
    <row r="104" spans="1:31">
      <c r="O104">
        <f>AB83</f>
        <v>153.44503565740649</v>
      </c>
      <c r="W104" s="124">
        <v>2023</v>
      </c>
      <c r="X104" s="125">
        <f t="shared" si="32"/>
        <v>484</v>
      </c>
      <c r="Y104" s="126">
        <v>22</v>
      </c>
      <c r="Z104" s="127"/>
      <c r="AA104" s="127"/>
      <c r="AB104" s="127"/>
      <c r="AC104" s="128">
        <f t="shared" si="27"/>
        <v>70.387190525968066</v>
      </c>
      <c r="AD104" s="129">
        <f t="shared" si="28"/>
        <v>-8.5002196070977529</v>
      </c>
      <c r="AE104" s="130">
        <f t="shared" si="29"/>
        <v>8.5002196070977529</v>
      </c>
    </row>
    <row r="105" spans="1:31">
      <c r="O105" t="s">
        <v>42</v>
      </c>
      <c r="W105" s="124">
        <v>2024</v>
      </c>
      <c r="X105" s="125">
        <f t="shared" si="32"/>
        <v>529</v>
      </c>
      <c r="Y105" s="126">
        <v>23</v>
      </c>
      <c r="Z105" s="127"/>
      <c r="AA105" s="127"/>
      <c r="AB105" s="127"/>
      <c r="AC105" s="128">
        <f t="shared" si="27"/>
        <v>61.672204418406025</v>
      </c>
      <c r="AD105" s="129">
        <f t="shared" si="28"/>
        <v>-8.9297526080263161</v>
      </c>
      <c r="AE105" s="130">
        <f t="shared" si="29"/>
        <v>8.9297526080263161</v>
      </c>
    </row>
    <row r="106" spans="1:31">
      <c r="O106">
        <f>Z85</f>
        <v>0.84760060350876076</v>
      </c>
      <c r="W106" s="124">
        <v>2025</v>
      </c>
      <c r="X106" s="125">
        <f t="shared" ref="X106:X112" si="33">Y106*Y106</f>
        <v>576</v>
      </c>
      <c r="Y106" s="126">
        <v>24</v>
      </c>
      <c r="Z106" s="127"/>
      <c r="AA106" s="127"/>
      <c r="AB106" s="127"/>
      <c r="AC106" s="128">
        <f t="shared" ref="AC106:AC111" si="34">Z$83*Y106+AA$83*X106+AB$83</f>
        <v>52.527685309915427</v>
      </c>
      <c r="AD106" s="129">
        <f t="shared" ref="AD106:AD111" si="35">2*AA$83*Y106+Z$83</f>
        <v>-9.3592856089548793</v>
      </c>
      <c r="AE106" s="130">
        <f t="shared" ref="AE106:AE111" si="36">AD106*-1</f>
        <v>9.3592856089548793</v>
      </c>
    </row>
    <row r="107" spans="1:31">
      <c r="O107" t="s">
        <v>43</v>
      </c>
      <c r="W107" s="124">
        <v>2026</v>
      </c>
      <c r="X107" s="125">
        <f t="shared" si="33"/>
        <v>625</v>
      </c>
      <c r="Y107" s="126">
        <v>25</v>
      </c>
      <c r="AC107" s="128">
        <f t="shared" si="34"/>
        <v>42.953633200496284</v>
      </c>
      <c r="AD107" s="129">
        <f t="shared" si="35"/>
        <v>-9.7888186098834407</v>
      </c>
      <c r="AE107" s="130">
        <f t="shared" si="36"/>
        <v>9.7888186098834407</v>
      </c>
    </row>
    <row r="108" spans="1:31">
      <c r="O108">
        <f>SLOPE(P83:P98,Y83:Y98)</f>
        <v>-2.701524094562159</v>
      </c>
      <c r="W108" s="124">
        <v>2027</v>
      </c>
      <c r="X108" s="125">
        <f t="shared" si="33"/>
        <v>676</v>
      </c>
      <c r="Y108" s="126">
        <v>26</v>
      </c>
      <c r="AC108" s="128">
        <f t="shared" si="34"/>
        <v>32.950048090148542</v>
      </c>
      <c r="AD108" s="129">
        <f t="shared" si="35"/>
        <v>-10.218351610812004</v>
      </c>
      <c r="AE108" s="130">
        <f t="shared" si="36"/>
        <v>10.218351610812004</v>
      </c>
    </row>
    <row r="109" spans="1:31">
      <c r="O109">
        <f>INTERCEPT(P83:P98,Y83:Y98)</f>
        <v>164.39812718108485</v>
      </c>
      <c r="W109" s="124">
        <v>2028</v>
      </c>
      <c r="X109" s="125">
        <f t="shared" si="33"/>
        <v>729</v>
      </c>
      <c r="Y109" s="126">
        <v>27</v>
      </c>
      <c r="AC109" s="128">
        <f t="shared" si="34"/>
        <v>22.51692997887227</v>
      </c>
      <c r="AD109" s="129">
        <f t="shared" si="35"/>
        <v>-10.647884611740567</v>
      </c>
      <c r="AE109" s="130">
        <f t="shared" si="36"/>
        <v>10.647884611740567</v>
      </c>
    </row>
    <row r="110" spans="1:31">
      <c r="O110" t="s">
        <v>42</v>
      </c>
      <c r="W110" s="124">
        <v>2029</v>
      </c>
      <c r="X110" s="125">
        <f t="shared" si="33"/>
        <v>784</v>
      </c>
      <c r="Y110" s="126">
        <v>28</v>
      </c>
      <c r="AC110" s="128">
        <f t="shared" si="34"/>
        <v>11.654278866667426</v>
      </c>
      <c r="AD110" s="129">
        <f t="shared" si="35"/>
        <v>-11.077417612669128</v>
      </c>
      <c r="AE110" s="130">
        <f t="shared" si="36"/>
        <v>11.077417612669128</v>
      </c>
    </row>
    <row r="111" spans="1:31" ht="17" thickBot="1">
      <c r="O111">
        <f>CORREL(P83:P98,Y83:Y98)</f>
        <v>-0.87535374441551883</v>
      </c>
      <c r="W111" s="131">
        <v>2030</v>
      </c>
      <c r="X111" s="132">
        <f t="shared" si="33"/>
        <v>841</v>
      </c>
      <c r="Y111" s="133">
        <v>29</v>
      </c>
      <c r="AC111" s="134">
        <f t="shared" si="34"/>
        <v>0.36209475353399512</v>
      </c>
      <c r="AD111" s="135">
        <f t="shared" si="35"/>
        <v>-11.506950613597692</v>
      </c>
      <c r="AE111" s="136">
        <f t="shared" si="36"/>
        <v>11.506950613597692</v>
      </c>
    </row>
  </sheetData>
  <mergeCells count="13">
    <mergeCell ref="Z82:AB82"/>
    <mergeCell ref="AG83:AK83"/>
    <mergeCell ref="Z2:AB2"/>
    <mergeCell ref="C41:I41"/>
    <mergeCell ref="J41:Q41"/>
    <mergeCell ref="C61:G61"/>
    <mergeCell ref="H61:M61"/>
    <mergeCell ref="C1:I1"/>
    <mergeCell ref="J1:Q1"/>
    <mergeCell ref="C21:I21"/>
    <mergeCell ref="J21:Q21"/>
    <mergeCell ref="C81:G81"/>
    <mergeCell ref="I81:O81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DEFF-8162-2B46-89EE-841EA81AEFBE}">
  <dimension ref="A1:H18"/>
  <sheetViews>
    <sheetView zoomScale="200" zoomScaleNormal="200" workbookViewId="0">
      <selection activeCell="H18" sqref="H2:H18"/>
    </sheetView>
  </sheetViews>
  <sheetFormatPr baseColWidth="10" defaultRowHeight="16"/>
  <sheetData>
    <row r="1" spans="1:8">
      <c r="A1" t="s">
        <v>45</v>
      </c>
      <c r="B1" t="s">
        <v>46</v>
      </c>
      <c r="C1" t="s">
        <v>47</v>
      </c>
      <c r="D1" t="s">
        <v>48</v>
      </c>
    </row>
    <row r="2" spans="1:8">
      <c r="A2">
        <v>2002</v>
      </c>
      <c r="B2" s="153">
        <v>1949.3144246353322</v>
      </c>
      <c r="C2" s="153">
        <v>3471.1907293354952</v>
      </c>
      <c r="D2" s="153">
        <v>156.39184764991899</v>
      </c>
      <c r="E2" s="154">
        <v>2002</v>
      </c>
      <c r="F2" s="155">
        <v>1949.3144246353322</v>
      </c>
      <c r="G2" s="155">
        <v>3471.1907293354952</v>
      </c>
      <c r="H2" s="155">
        <v>156.39184764991899</v>
      </c>
    </row>
    <row r="3" spans="1:8">
      <c r="A3">
        <v>2003</v>
      </c>
      <c r="B3" s="153">
        <v>1946.6958587915817</v>
      </c>
      <c r="C3" s="153">
        <v>3180.9125118805209</v>
      </c>
      <c r="D3" s="153">
        <v>160.71201629327879</v>
      </c>
      <c r="E3" s="154">
        <v>2003</v>
      </c>
      <c r="F3" s="155">
        <v>1946.6958587915817</v>
      </c>
      <c r="G3" s="155">
        <v>3180.9125118805209</v>
      </c>
      <c r="H3" s="155">
        <v>160.71201629327879</v>
      </c>
    </row>
    <row r="4" spans="1:8">
      <c r="A4">
        <v>2004</v>
      </c>
      <c r="B4" s="153">
        <v>1947.6102409638554</v>
      </c>
      <c r="C4" s="153">
        <v>3077.7053433734964</v>
      </c>
      <c r="D4" s="153">
        <v>156.71839156626504</v>
      </c>
      <c r="E4" s="154">
        <v>2004</v>
      </c>
      <c r="F4" s="155">
        <v>1947.6102409638554</v>
      </c>
      <c r="G4" s="155">
        <v>3077.7053433734964</v>
      </c>
      <c r="H4" s="155">
        <v>156.71839156626504</v>
      </c>
    </row>
    <row r="5" spans="1:8">
      <c r="A5">
        <v>2005</v>
      </c>
      <c r="B5" s="153">
        <v>1945.7443181818182</v>
      </c>
      <c r="C5" s="153">
        <v>2841.2822246503556</v>
      </c>
      <c r="D5" s="153">
        <v>155.29793269230728</v>
      </c>
      <c r="E5" s="154">
        <v>2005</v>
      </c>
      <c r="F5" s="155">
        <v>1945.7443181818182</v>
      </c>
      <c r="G5" s="155">
        <v>2841.2822246503556</v>
      </c>
      <c r="H5" s="155">
        <v>155.29793269230728</v>
      </c>
    </row>
    <row r="6" spans="1:8">
      <c r="A6">
        <v>2006</v>
      </c>
      <c r="B6" s="153">
        <v>1944.2891939769709</v>
      </c>
      <c r="C6" s="153">
        <v>2926.5301682905238</v>
      </c>
      <c r="D6" s="153">
        <v>146.39790079716587</v>
      </c>
      <c r="E6" s="154">
        <v>2006</v>
      </c>
      <c r="F6" s="155">
        <v>1944.2891939769709</v>
      </c>
      <c r="G6" s="155">
        <v>2926.5301682905238</v>
      </c>
      <c r="H6" s="155">
        <v>146.39790079716587</v>
      </c>
    </row>
    <row r="7" spans="1:8">
      <c r="A7">
        <v>2007</v>
      </c>
      <c r="B7" s="153">
        <v>1945.3500703894886</v>
      </c>
      <c r="C7" s="153">
        <v>3149.3048099483835</v>
      </c>
      <c r="D7" s="153">
        <v>137.81455185359025</v>
      </c>
      <c r="E7" s="154">
        <v>2007</v>
      </c>
      <c r="F7" s="155">
        <v>1945.3500703894886</v>
      </c>
      <c r="G7" s="155">
        <v>3149.3048099483835</v>
      </c>
      <c r="H7" s="155">
        <v>137.81455185359025</v>
      </c>
    </row>
    <row r="8" spans="1:8">
      <c r="A8">
        <v>2008</v>
      </c>
      <c r="B8" s="153">
        <v>1946.7463529411764</v>
      </c>
      <c r="C8" s="153">
        <v>3578.9187294117778</v>
      </c>
      <c r="D8" s="153">
        <v>139.55238117647062</v>
      </c>
      <c r="E8" s="154">
        <v>2008</v>
      </c>
      <c r="F8" s="155">
        <v>1946.7463529411764</v>
      </c>
      <c r="G8" s="155">
        <v>3578.9187294117778</v>
      </c>
      <c r="H8" s="155">
        <v>139.55238117647062</v>
      </c>
    </row>
    <row r="9" spans="1:8">
      <c r="A9">
        <v>2009</v>
      </c>
      <c r="B9" s="153">
        <v>1947.8199265006124</v>
      </c>
      <c r="C9" s="153">
        <v>4399.6177868517834</v>
      </c>
      <c r="D9" s="153">
        <v>140.80820743160496</v>
      </c>
      <c r="E9" s="154">
        <v>2009</v>
      </c>
      <c r="F9" s="155">
        <v>1947.8199265006124</v>
      </c>
      <c r="G9" s="155">
        <v>4399.6177868517834</v>
      </c>
      <c r="H9" s="155">
        <v>140.80820743160496</v>
      </c>
    </row>
    <row r="10" spans="1:8">
      <c r="A10">
        <v>2010</v>
      </c>
      <c r="B10" s="153">
        <v>1944.7220812182741</v>
      </c>
      <c r="C10" s="153">
        <v>3637.8254758883281</v>
      </c>
      <c r="D10" s="153">
        <v>158.13611040609138</v>
      </c>
      <c r="E10" s="154">
        <v>2010</v>
      </c>
      <c r="F10" s="155">
        <v>1944.7220812182741</v>
      </c>
      <c r="G10" s="155">
        <v>3637.8254758883281</v>
      </c>
      <c r="H10" s="155">
        <v>158.13611040609138</v>
      </c>
    </row>
    <row r="11" spans="1:8">
      <c r="A11">
        <v>2011</v>
      </c>
      <c r="B11" s="153">
        <v>1945.9691228070176</v>
      </c>
      <c r="C11" s="153">
        <v>3196.8020912280749</v>
      </c>
      <c r="D11" s="153">
        <v>142.84161403508818</v>
      </c>
      <c r="E11" s="154">
        <v>2011</v>
      </c>
      <c r="F11" s="155">
        <v>1945.9691228070176</v>
      </c>
      <c r="G11" s="155">
        <v>3196.8020912280749</v>
      </c>
      <c r="H11" s="155">
        <v>142.84161403508818</v>
      </c>
    </row>
    <row r="12" spans="1:8">
      <c r="A12">
        <v>2012</v>
      </c>
      <c r="B12" s="153">
        <v>1946.0303720577069</v>
      </c>
      <c r="C12" s="153">
        <v>3368.022422171603</v>
      </c>
      <c r="D12" s="153">
        <v>147.6409719058469</v>
      </c>
      <c r="E12" s="154">
        <v>2012</v>
      </c>
      <c r="F12" s="155">
        <v>1946.0303720577069</v>
      </c>
      <c r="G12" s="155">
        <v>3368.022422171603</v>
      </c>
      <c r="H12" s="155">
        <v>147.6409719058469</v>
      </c>
    </row>
    <row r="13" spans="1:8">
      <c r="A13">
        <v>2013</v>
      </c>
      <c r="B13" s="153">
        <v>1946.9873257287707</v>
      </c>
      <c r="C13" s="153">
        <v>3127.6314068441097</v>
      </c>
      <c r="D13" s="153">
        <v>148.96226869455018</v>
      </c>
      <c r="E13" s="154">
        <v>2013</v>
      </c>
      <c r="F13" s="155">
        <v>1946.9873257287707</v>
      </c>
      <c r="G13" s="155">
        <v>3127.6314068441097</v>
      </c>
      <c r="H13" s="155">
        <v>148.96226869455018</v>
      </c>
    </row>
    <row r="14" spans="1:8">
      <c r="A14">
        <v>2014</v>
      </c>
      <c r="B14" s="153">
        <v>1948.5470852017938</v>
      </c>
      <c r="C14" s="153">
        <v>3434.175739910313</v>
      </c>
      <c r="D14" s="153">
        <v>122.47143497757857</v>
      </c>
      <c r="E14" s="154">
        <v>2014</v>
      </c>
      <c r="F14" s="155">
        <v>1948.5470852017938</v>
      </c>
      <c r="G14" s="155">
        <v>3434.175739910313</v>
      </c>
      <c r="H14" s="155">
        <v>122.47143497757857</v>
      </c>
    </row>
    <row r="15" spans="1:8">
      <c r="A15">
        <v>2015</v>
      </c>
      <c r="B15" s="153">
        <v>1944.5677799607072</v>
      </c>
      <c r="C15" s="153">
        <v>3049.2066011787792</v>
      </c>
      <c r="D15" s="153">
        <v>121.61174852652255</v>
      </c>
      <c r="E15" s="154">
        <v>2015</v>
      </c>
      <c r="F15" s="155">
        <v>1944.5677799607072</v>
      </c>
      <c r="G15" s="155">
        <v>3049.2066011787792</v>
      </c>
      <c r="H15" s="155">
        <v>121.61174852652255</v>
      </c>
    </row>
    <row r="16" spans="1:8">
      <c r="A16">
        <v>2016</v>
      </c>
      <c r="B16" s="153">
        <v>1941.841059602649</v>
      </c>
      <c r="C16" s="153">
        <v>3271.4108388520972</v>
      </c>
      <c r="D16" s="153">
        <v>115.69437086092712</v>
      </c>
      <c r="E16" s="154">
        <v>2016</v>
      </c>
      <c r="F16" s="155">
        <v>1941.841059602649</v>
      </c>
      <c r="G16" s="155">
        <v>3271.4108388520972</v>
      </c>
      <c r="H16" s="155">
        <v>115.69437086092712</v>
      </c>
    </row>
    <row r="17" spans="1:8">
      <c r="A17">
        <v>2017</v>
      </c>
      <c r="B17" s="153">
        <v>1942.0610021786492</v>
      </c>
      <c r="C17" s="153">
        <v>2293.5425599128498</v>
      </c>
      <c r="D17" s="153">
        <v>110.5415795206971</v>
      </c>
      <c r="E17" s="154">
        <v>2017</v>
      </c>
      <c r="F17" s="155">
        <v>1942.0610021786492</v>
      </c>
      <c r="G17" s="155">
        <v>2293.5425599128498</v>
      </c>
      <c r="H17" s="155">
        <v>110.5415795206971</v>
      </c>
    </row>
    <row r="18" spans="1:8">
      <c r="A18">
        <v>2018</v>
      </c>
      <c r="B18" s="153">
        <v>1919.1612903225807</v>
      </c>
      <c r="C18" s="153">
        <v>468.50322580645155</v>
      </c>
      <c r="D18" s="153">
        <v>122.97161290322582</v>
      </c>
      <c r="E18">
        <v>2018</v>
      </c>
      <c r="F18" s="156">
        <f>TREND(F2:F17,$E2:$E17,$E18)</f>
        <v>1943.8523009554958</v>
      </c>
      <c r="G18" s="156">
        <f t="shared" ref="G18:H18" si="0">TREND(G2:G17,$E2:$E17,$E18)</f>
        <v>3114.348286082597</v>
      </c>
      <c r="H18" s="156">
        <f t="shared" si="0"/>
        <v>118.09562442005154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6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Diagrammtitel</vt:lpstr>
      <vt:lpstr>Regression 1</vt:lpstr>
      <vt:lpstr>Tabelle1</vt:lpstr>
      <vt:lpstr>Dia 1</vt:lpstr>
      <vt:lpstr>Dia 2</vt:lpstr>
      <vt:lpstr>Dia 3</vt:lpstr>
      <vt:lpstr>Dia 4</vt:lpstr>
      <vt:lpstr>Dia 5</vt:lpstr>
      <vt:lpstr>Dia 6</vt:lpstr>
      <vt:lpstr>Dia 7</vt:lpstr>
      <vt:lpstr>Dia 8</vt:lpstr>
      <vt:lpstr>Dia 9</vt:lpstr>
      <vt:lpstr>Dia 10</vt:lpstr>
      <vt:lpstr>Zeitraum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2018-04-04T12:38:33Z</dcterms:created>
  <dcterms:modified xsi:type="dcterms:W3CDTF">2019-03-08T11:03:12Z</dcterms:modified>
</cp:coreProperties>
</file>