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1 Deutschland/1.1. 1-2 FH/1.1.0. Alle ET/1.1.0.0.1. Verlauf/"/>
    </mc:Choice>
  </mc:AlternateContent>
  <xr:revisionPtr revIDLastSave="0" documentId="13_ncr:1_{B1120BB8-9644-2243-AD1A-9FBDB113A0AE}" xr6:coauthVersionLast="38" xr6:coauthVersionMax="38" xr10:uidLastSave="{00000000-0000-0000-0000-000000000000}"/>
  <bookViews>
    <workbookView xWindow="0" yWindow="460" windowWidth="38400" windowHeight="21140" activeTab="11" xr2:uid="{5AD167B3-EFEC-044B-AA3D-DDDB1C993424}"/>
  </bookViews>
  <sheets>
    <sheet name="Diagrammtitel" sheetId="29" r:id="rId1"/>
    <sheet name="Dia 1" sheetId="6" r:id="rId2"/>
    <sheet name="Dia 2" sheetId="4" r:id="rId3"/>
    <sheet name="Dia 3" sheetId="7" r:id="rId4"/>
    <sheet name="Dia 4" sheetId="19" r:id="rId5"/>
    <sheet name="Dia 5" sheetId="20" r:id="rId6"/>
    <sheet name="Dia 6" sheetId="21" r:id="rId7"/>
    <sheet name="Dia 7" sheetId="22" r:id="rId8"/>
    <sheet name="Dia 8" sheetId="25" r:id="rId9"/>
    <sheet name="Dia 9" sheetId="23" r:id="rId10"/>
    <sheet name="Dia 10" sheetId="24" r:id="rId11"/>
    <sheet name="Regression" sheetId="2" r:id="rId12"/>
    <sheet name="Tabelle1" sheetId="30" r:id="rId13"/>
  </sheets>
  <externalReferences>
    <externalReference r:id="rId14"/>
  </externalReferences>
  <definedNames>
    <definedName name="_xlnm._FilterDatabase" localSheetId="12" hidden="1">Tabelle1!$B$1:$B$8</definedName>
    <definedName name="Zeitraum">Diagrammtitel!$H$4</definedName>
    <definedName name="Zwei">'[1]Variablen für REG'!$A$6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2" l="1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E23" i="2"/>
  <c r="D23" i="2"/>
  <c r="B10" i="30" l="1"/>
  <c r="C10" i="30"/>
  <c r="D99" i="2" l="1"/>
  <c r="E99" i="2"/>
  <c r="F99" i="2"/>
  <c r="G99" i="2"/>
  <c r="H99" i="2"/>
  <c r="D79" i="2"/>
  <c r="E79" i="2"/>
  <c r="F79" i="2"/>
  <c r="G79" i="2"/>
  <c r="F59" i="2"/>
  <c r="G59" i="2"/>
  <c r="H59" i="2"/>
  <c r="I59" i="2"/>
  <c r="B39" i="2"/>
  <c r="F39" i="2"/>
  <c r="G39" i="2"/>
  <c r="H39" i="2"/>
  <c r="I39" i="2"/>
  <c r="J3" i="2" a="1"/>
  <c r="J3" i="2" s="1"/>
  <c r="T4" i="2"/>
  <c r="B20" i="2"/>
  <c r="Q7" i="2" l="1"/>
  <c r="Q6" i="2"/>
  <c r="Q5" i="2"/>
  <c r="Q4" i="2"/>
  <c r="Q3" i="2"/>
  <c r="P7" i="2"/>
  <c r="P6" i="2"/>
  <c r="P5" i="2"/>
  <c r="P4" i="2"/>
  <c r="P3" i="2"/>
  <c r="O7" i="2"/>
  <c r="O6" i="2"/>
  <c r="O5" i="2"/>
  <c r="O4" i="2"/>
  <c r="O3" i="2"/>
  <c r="N7" i="2"/>
  <c r="N6" i="2"/>
  <c r="N5" i="2"/>
  <c r="N4" i="2"/>
  <c r="N3" i="2"/>
  <c r="M7" i="2"/>
  <c r="M6" i="2"/>
  <c r="M5" i="2"/>
  <c r="M4" i="2"/>
  <c r="M3" i="2"/>
  <c r="L7" i="2"/>
  <c r="L6" i="2"/>
  <c r="L5" i="2"/>
  <c r="L4" i="2"/>
  <c r="L3" i="2"/>
  <c r="K7" i="2"/>
  <c r="K6" i="2"/>
  <c r="K5" i="2"/>
  <c r="K4" i="2"/>
  <c r="K3" i="2"/>
  <c r="J7" i="2"/>
  <c r="J6" i="2"/>
  <c r="J5" i="2"/>
  <c r="J4" i="2"/>
  <c r="X95" i="2"/>
  <c r="X96" i="2"/>
  <c r="X97" i="2"/>
  <c r="X98" i="2"/>
  <c r="X99" i="2"/>
  <c r="X100" i="2"/>
  <c r="X101" i="2"/>
  <c r="X102" i="2"/>
  <c r="X103" i="2"/>
  <c r="X104" i="2"/>
  <c r="X105" i="2"/>
  <c r="X106" i="2"/>
  <c r="E43" i="2"/>
  <c r="D43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A10" i="29"/>
  <c r="A9" i="29"/>
  <c r="A8" i="29"/>
  <c r="A7" i="29"/>
  <c r="A6" i="29"/>
  <c r="A5" i="29"/>
  <c r="A4" i="29"/>
  <c r="A3" i="29"/>
  <c r="A2" i="29"/>
  <c r="A1" i="29"/>
  <c r="D83" i="2"/>
  <c r="D84" i="2"/>
  <c r="D85" i="2"/>
  <c r="D86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E83" i="2"/>
  <c r="F83" i="2"/>
  <c r="G83" i="2"/>
  <c r="H83" i="2"/>
  <c r="E84" i="2"/>
  <c r="F84" i="2"/>
  <c r="G84" i="2"/>
  <c r="H84" i="2"/>
  <c r="E85" i="2"/>
  <c r="F85" i="2"/>
  <c r="G85" i="2"/>
  <c r="H85" i="2"/>
  <c r="E86" i="2"/>
  <c r="F86" i="2"/>
  <c r="G86" i="2"/>
  <c r="H86" i="2"/>
  <c r="D87" i="2"/>
  <c r="E87" i="2"/>
  <c r="F87" i="2"/>
  <c r="G87" i="2"/>
  <c r="H87" i="2"/>
  <c r="D88" i="2"/>
  <c r="E88" i="2"/>
  <c r="F88" i="2"/>
  <c r="G88" i="2"/>
  <c r="H88" i="2"/>
  <c r="D89" i="2"/>
  <c r="E89" i="2"/>
  <c r="F89" i="2"/>
  <c r="G89" i="2"/>
  <c r="H89" i="2"/>
  <c r="D90" i="2"/>
  <c r="E90" i="2"/>
  <c r="F90" i="2"/>
  <c r="G90" i="2"/>
  <c r="H90" i="2"/>
  <c r="D91" i="2"/>
  <c r="E91" i="2"/>
  <c r="F91" i="2"/>
  <c r="G91" i="2"/>
  <c r="H91" i="2"/>
  <c r="D92" i="2"/>
  <c r="E92" i="2"/>
  <c r="F92" i="2"/>
  <c r="G92" i="2"/>
  <c r="H92" i="2"/>
  <c r="D93" i="2"/>
  <c r="E93" i="2"/>
  <c r="F93" i="2"/>
  <c r="G93" i="2"/>
  <c r="H93" i="2"/>
  <c r="D94" i="2"/>
  <c r="E94" i="2"/>
  <c r="F94" i="2"/>
  <c r="G94" i="2"/>
  <c r="H94" i="2"/>
  <c r="D95" i="2"/>
  <c r="E95" i="2"/>
  <c r="F95" i="2"/>
  <c r="G95" i="2"/>
  <c r="H95" i="2"/>
  <c r="D96" i="2"/>
  <c r="E96" i="2"/>
  <c r="F96" i="2"/>
  <c r="G96" i="2"/>
  <c r="H96" i="2"/>
  <c r="D97" i="2"/>
  <c r="E97" i="2"/>
  <c r="F97" i="2"/>
  <c r="G97" i="2"/>
  <c r="H97" i="2"/>
  <c r="D98" i="2"/>
  <c r="E98" i="2"/>
  <c r="F98" i="2"/>
  <c r="G98" i="2"/>
  <c r="H98" i="2"/>
  <c r="D63" i="2"/>
  <c r="D64" i="2"/>
  <c r="D65" i="2"/>
  <c r="D66" i="2"/>
  <c r="E63" i="2"/>
  <c r="F63" i="2"/>
  <c r="G63" i="2"/>
  <c r="E64" i="2"/>
  <c r="F64" i="2"/>
  <c r="G64" i="2"/>
  <c r="E65" i="2"/>
  <c r="F65" i="2"/>
  <c r="G65" i="2"/>
  <c r="E66" i="2"/>
  <c r="F66" i="2"/>
  <c r="G66" i="2"/>
  <c r="D67" i="2"/>
  <c r="E67" i="2"/>
  <c r="F67" i="2"/>
  <c r="G67" i="2"/>
  <c r="D68" i="2"/>
  <c r="E68" i="2"/>
  <c r="F68" i="2"/>
  <c r="G68" i="2"/>
  <c r="D69" i="2"/>
  <c r="E69" i="2"/>
  <c r="F69" i="2"/>
  <c r="G69" i="2"/>
  <c r="D70" i="2"/>
  <c r="E70" i="2"/>
  <c r="F70" i="2"/>
  <c r="G70" i="2"/>
  <c r="D71" i="2"/>
  <c r="E71" i="2"/>
  <c r="F71" i="2"/>
  <c r="G71" i="2"/>
  <c r="D72" i="2"/>
  <c r="E72" i="2"/>
  <c r="F72" i="2"/>
  <c r="G72" i="2"/>
  <c r="D73" i="2"/>
  <c r="E73" i="2"/>
  <c r="F73" i="2"/>
  <c r="G73" i="2"/>
  <c r="D74" i="2"/>
  <c r="E74" i="2"/>
  <c r="F74" i="2"/>
  <c r="G74" i="2"/>
  <c r="D75" i="2"/>
  <c r="E75" i="2"/>
  <c r="F75" i="2"/>
  <c r="G75" i="2"/>
  <c r="D76" i="2"/>
  <c r="E76" i="2"/>
  <c r="F76" i="2"/>
  <c r="G76" i="2"/>
  <c r="G77" i="2"/>
  <c r="F77" i="2"/>
  <c r="E77" i="2"/>
  <c r="D77" i="2"/>
  <c r="G78" i="2"/>
  <c r="F78" i="2"/>
  <c r="E78" i="2"/>
  <c r="D78" i="2"/>
  <c r="I6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43" i="2"/>
  <c r="J62" i="2"/>
  <c r="K62" i="2"/>
  <c r="N62" i="2"/>
  <c r="M42" i="2"/>
  <c r="L42" i="2"/>
  <c r="K42" i="2"/>
  <c r="J42" i="2"/>
  <c r="M22" i="2"/>
  <c r="L22" i="2"/>
  <c r="K22" i="2"/>
  <c r="J22" i="2"/>
  <c r="R2" i="2"/>
  <c r="M2" i="2"/>
  <c r="L2" i="2"/>
  <c r="K2" i="2"/>
  <c r="J2" i="2"/>
  <c r="R6" i="2" l="1"/>
  <c r="S6" i="2" s="1"/>
  <c r="T24" i="2"/>
  <c r="R19" i="2"/>
  <c r="S19" i="2" s="1"/>
  <c r="R4" i="2"/>
  <c r="R12" i="2"/>
  <c r="R7" i="2"/>
  <c r="R3" i="2"/>
  <c r="S3" i="2" s="1"/>
  <c r="J23" i="2" a="1"/>
  <c r="R17" i="2"/>
  <c r="S17" i="2" s="1"/>
  <c r="R11" i="2"/>
  <c r="S11" i="2" s="1"/>
  <c r="R8" i="2"/>
  <c r="S8" i="2" s="1"/>
  <c r="R15" i="2"/>
  <c r="S15" i="2" s="1"/>
  <c r="R10" i="2"/>
  <c r="S10" i="2" s="1"/>
  <c r="R9" i="2"/>
  <c r="S9" i="2" s="1"/>
  <c r="R14" i="2"/>
  <c r="S14" i="2" s="1"/>
  <c r="R18" i="2"/>
  <c r="S18" i="2" s="1"/>
  <c r="R16" i="2"/>
  <c r="S16" i="2" s="1"/>
  <c r="R5" i="2"/>
  <c r="S5" i="2" s="1"/>
  <c r="R13" i="2"/>
  <c r="S13" i="2" s="1"/>
  <c r="B40" i="2"/>
  <c r="S4" i="2"/>
  <c r="S7" i="2"/>
  <c r="S12" i="2"/>
  <c r="J23" i="2" l="1"/>
  <c r="Q27" i="2"/>
  <c r="P24" i="2"/>
  <c r="N26" i="2"/>
  <c r="M23" i="2"/>
  <c r="K25" i="2"/>
  <c r="O24" i="2"/>
  <c r="M25" i="2"/>
  <c r="J24" i="2"/>
  <c r="P25" i="2"/>
  <c r="Q26" i="2"/>
  <c r="P23" i="2"/>
  <c r="N25" i="2"/>
  <c r="L27" i="2"/>
  <c r="K24" i="2"/>
  <c r="P27" i="2"/>
  <c r="Q25" i="2"/>
  <c r="O27" i="2"/>
  <c r="N24" i="2"/>
  <c r="L26" i="2"/>
  <c r="K23" i="2"/>
  <c r="Q23" i="2"/>
  <c r="L24" i="2"/>
  <c r="J26" i="2"/>
  <c r="M26" i="2"/>
  <c r="P26" i="2"/>
  <c r="K26" i="2"/>
  <c r="Q24" i="2"/>
  <c r="O26" i="2"/>
  <c r="N23" i="2"/>
  <c r="L25" i="2"/>
  <c r="J27" i="2"/>
  <c r="M27" i="2"/>
  <c r="J25" i="2"/>
  <c r="O23" i="2"/>
  <c r="M24" i="2"/>
  <c r="O25" i="2"/>
  <c r="L23" i="2"/>
  <c r="K27" i="2"/>
  <c r="N27" i="2"/>
  <c r="J17" i="2"/>
  <c r="R20" i="2"/>
  <c r="T3" i="2"/>
  <c r="S20" i="2"/>
  <c r="R39" i="2" l="1"/>
  <c r="R30" i="2"/>
  <c r="R29" i="2"/>
  <c r="R35" i="2"/>
  <c r="R25" i="2"/>
  <c r="R23" i="2"/>
  <c r="R24" i="2"/>
  <c r="R31" i="2"/>
  <c r="R38" i="2"/>
  <c r="R34" i="2"/>
  <c r="R26" i="2"/>
  <c r="R27" i="2"/>
  <c r="R32" i="2"/>
  <c r="R28" i="2"/>
  <c r="R33" i="2"/>
  <c r="R37" i="2"/>
  <c r="R36" i="2"/>
  <c r="S39" i="2" l="1"/>
  <c r="U39" i="2"/>
  <c r="B59" i="2" s="1"/>
  <c r="B79" i="2" s="1"/>
  <c r="B99" i="2" s="1"/>
  <c r="R40" i="2"/>
  <c r="T23" i="2"/>
  <c r="S36" i="2"/>
  <c r="U36" i="2"/>
  <c r="B56" i="2" s="1"/>
  <c r="B76" i="2" s="1"/>
  <c r="B96" i="2" s="1"/>
  <c r="S31" i="2"/>
  <c r="U31" i="2"/>
  <c r="B51" i="2" s="1"/>
  <c r="B71" i="2" s="1"/>
  <c r="B91" i="2" s="1"/>
  <c r="S32" i="2"/>
  <c r="U32" i="2"/>
  <c r="B52" i="2" s="1"/>
  <c r="B72" i="2" s="1"/>
  <c r="B92" i="2" s="1"/>
  <c r="S38" i="2"/>
  <c r="U38" i="2"/>
  <c r="B58" i="2" s="1"/>
  <c r="B78" i="2" s="1"/>
  <c r="B98" i="2" s="1"/>
  <c r="S24" i="2"/>
  <c r="U24" i="2"/>
  <c r="B44" i="2" s="1"/>
  <c r="B64" i="2" s="1"/>
  <c r="B84" i="2" s="1"/>
  <c r="S35" i="2"/>
  <c r="U35" i="2"/>
  <c r="B55" i="2" s="1"/>
  <c r="B75" i="2" s="1"/>
  <c r="B95" i="2" s="1"/>
  <c r="S28" i="2"/>
  <c r="U28" i="2"/>
  <c r="B48" i="2" s="1"/>
  <c r="B68" i="2" s="1"/>
  <c r="B88" i="2" s="1"/>
  <c r="S27" i="2"/>
  <c r="U27" i="2"/>
  <c r="B47" i="2" s="1"/>
  <c r="B67" i="2" s="1"/>
  <c r="B87" i="2" s="1"/>
  <c r="S26" i="2"/>
  <c r="U26" i="2"/>
  <c r="B46" i="2" s="1"/>
  <c r="B66" i="2" s="1"/>
  <c r="B86" i="2" s="1"/>
  <c r="S29" i="2"/>
  <c r="U29" i="2"/>
  <c r="B49" i="2" s="1"/>
  <c r="B69" i="2" s="1"/>
  <c r="B89" i="2" s="1"/>
  <c r="S37" i="2"/>
  <c r="U37" i="2"/>
  <c r="B57" i="2" s="1"/>
  <c r="B77" i="2" s="1"/>
  <c r="B97" i="2" s="1"/>
  <c r="S33" i="2"/>
  <c r="U33" i="2"/>
  <c r="B53" i="2" s="1"/>
  <c r="B73" i="2" s="1"/>
  <c r="B93" i="2" s="1"/>
  <c r="S23" i="2"/>
  <c r="U23" i="2"/>
  <c r="J37" i="2"/>
  <c r="S25" i="2"/>
  <c r="U25" i="2"/>
  <c r="B45" i="2" s="1"/>
  <c r="B65" i="2" s="1"/>
  <c r="B85" i="2" s="1"/>
  <c r="U34" i="2"/>
  <c r="B54" i="2" s="1"/>
  <c r="B74" i="2" s="1"/>
  <c r="B94" i="2" s="1"/>
  <c r="S34" i="2"/>
  <c r="S30" i="2"/>
  <c r="U30" i="2"/>
  <c r="B50" i="2" s="1"/>
  <c r="B70" i="2" s="1"/>
  <c r="B90" i="2" s="1"/>
  <c r="U40" i="2" l="1"/>
  <c r="S40" i="2"/>
  <c r="B43" i="2"/>
  <c r="B60" i="2" l="1"/>
  <c r="T44" i="2"/>
  <c r="J43" i="2" a="1"/>
  <c r="B63" i="2"/>
  <c r="Z3" i="2" a="1"/>
  <c r="H63" i="2" l="1" a="1"/>
  <c r="P64" i="2"/>
  <c r="B80" i="2"/>
  <c r="J43" i="2"/>
  <c r="Q47" i="2"/>
  <c r="P44" i="2"/>
  <c r="N46" i="2"/>
  <c r="L43" i="2"/>
  <c r="K45" i="2"/>
  <c r="Q46" i="2"/>
  <c r="P43" i="2"/>
  <c r="N45" i="2"/>
  <c r="M46" i="2"/>
  <c r="K44" i="2"/>
  <c r="N47" i="2"/>
  <c r="Q45" i="2"/>
  <c r="O47" i="2"/>
  <c r="N44" i="2"/>
  <c r="L47" i="2"/>
  <c r="K43" i="2"/>
  <c r="P45" i="2"/>
  <c r="Q44" i="2"/>
  <c r="O46" i="2"/>
  <c r="N43" i="2"/>
  <c r="L46" i="2"/>
  <c r="J47" i="2"/>
  <c r="M43" i="2"/>
  <c r="Q43" i="2"/>
  <c r="O45" i="2"/>
  <c r="M47" i="2"/>
  <c r="L45" i="2"/>
  <c r="J46" i="2"/>
  <c r="P47" i="2"/>
  <c r="O44" i="2"/>
  <c r="M45" i="2"/>
  <c r="L44" i="2"/>
  <c r="J45" i="2"/>
  <c r="P46" i="2"/>
  <c r="O43" i="2"/>
  <c r="M44" i="2"/>
  <c r="K47" i="2"/>
  <c r="J44" i="2"/>
  <c r="K46" i="2"/>
  <c r="Z3" i="2"/>
  <c r="AA4" i="2"/>
  <c r="Z6" i="2"/>
  <c r="AB5" i="2"/>
  <c r="Z7" i="2"/>
  <c r="AB3" i="2"/>
  <c r="AB6" i="2"/>
  <c r="AA5" i="2"/>
  <c r="Z4" i="2"/>
  <c r="AB7" i="2"/>
  <c r="AA6" i="2"/>
  <c r="Z5" i="2"/>
  <c r="AB4" i="2"/>
  <c r="AA3" i="2"/>
  <c r="AA7" i="2"/>
  <c r="B83" i="2"/>
  <c r="B100" i="2" l="1"/>
  <c r="R84" i="2"/>
  <c r="I83" i="2" a="1"/>
  <c r="H63" i="2"/>
  <c r="M66" i="2"/>
  <c r="I67" i="2"/>
  <c r="K66" i="2"/>
  <c r="I66" i="2"/>
  <c r="K67" i="2"/>
  <c r="K65" i="2"/>
  <c r="M65" i="2"/>
  <c r="I65" i="2"/>
  <c r="M64" i="2"/>
  <c r="I64" i="2"/>
  <c r="K64" i="2"/>
  <c r="M63" i="2"/>
  <c r="H67" i="2"/>
  <c r="K63" i="2"/>
  <c r="I63" i="2"/>
  <c r="L67" i="2"/>
  <c r="L65" i="2"/>
  <c r="J67" i="2"/>
  <c r="L66" i="2"/>
  <c r="J66" i="2"/>
  <c r="J64" i="2"/>
  <c r="H66" i="2"/>
  <c r="J65" i="2"/>
  <c r="H65" i="2"/>
  <c r="M67" i="2"/>
  <c r="L64" i="2"/>
  <c r="H64" i="2"/>
  <c r="L63" i="2"/>
  <c r="J63" i="2"/>
  <c r="R59" i="2"/>
  <c r="S59" i="2" s="1"/>
  <c r="R54" i="2"/>
  <c r="S54" i="2" s="1"/>
  <c r="R55" i="2"/>
  <c r="S55" i="2" s="1"/>
  <c r="R58" i="2"/>
  <c r="S58" i="2" s="1"/>
  <c r="R56" i="2"/>
  <c r="S56" i="2" s="1"/>
  <c r="R57" i="2"/>
  <c r="S57" i="2" s="1"/>
  <c r="AD16" i="2"/>
  <c r="AE16" i="2" s="1"/>
  <c r="AD17" i="2"/>
  <c r="AE17" i="2" s="1"/>
  <c r="AD18" i="2"/>
  <c r="AE18" i="2" s="1"/>
  <c r="AD3" i="2"/>
  <c r="AE3" i="2" s="1"/>
  <c r="AD8" i="2"/>
  <c r="AE8" i="2" s="1"/>
  <c r="AD9" i="2"/>
  <c r="AE9" i="2" s="1"/>
  <c r="AD4" i="2"/>
  <c r="AE4" i="2" s="1"/>
  <c r="AD5" i="2"/>
  <c r="AE5" i="2" s="1"/>
  <c r="AD6" i="2"/>
  <c r="AE6" i="2" s="1"/>
  <c r="AD7" i="2"/>
  <c r="AE7" i="2" s="1"/>
  <c r="AD11" i="2"/>
  <c r="AE11" i="2" s="1"/>
  <c r="AD10" i="2"/>
  <c r="AE10" i="2" s="1"/>
  <c r="AD14" i="2"/>
  <c r="AE14" i="2" s="1"/>
  <c r="AD13" i="2"/>
  <c r="AE13" i="2" s="1"/>
  <c r="AD15" i="2"/>
  <c r="AE15" i="2" s="1"/>
  <c r="AD12" i="2"/>
  <c r="AE12" i="2" s="1"/>
  <c r="AC10" i="2"/>
  <c r="AC5" i="2"/>
  <c r="AC17" i="2"/>
  <c r="AC14" i="2"/>
  <c r="AC12" i="2"/>
  <c r="AC9" i="2"/>
  <c r="AC4" i="2"/>
  <c r="AC16" i="2"/>
  <c r="AC8" i="2"/>
  <c r="AC15" i="2"/>
  <c r="AC13" i="2"/>
  <c r="AC6" i="2"/>
  <c r="AC7" i="2"/>
  <c r="AC11" i="2"/>
  <c r="AC3" i="2"/>
  <c r="AC18" i="2"/>
  <c r="R43" i="2"/>
  <c r="R49" i="2"/>
  <c r="S49" i="2" s="1"/>
  <c r="R44" i="2"/>
  <c r="S44" i="2" s="1"/>
  <c r="R45" i="2"/>
  <c r="S45" i="2" s="1"/>
  <c r="R46" i="2"/>
  <c r="S46" i="2" s="1"/>
  <c r="R47" i="2"/>
  <c r="S47" i="2" s="1"/>
  <c r="R48" i="2"/>
  <c r="S48" i="2" s="1"/>
  <c r="R50" i="2"/>
  <c r="S50" i="2" s="1"/>
  <c r="R51" i="2"/>
  <c r="S51" i="2" s="1"/>
  <c r="R52" i="2"/>
  <c r="S52" i="2" s="1"/>
  <c r="R53" i="2"/>
  <c r="S53" i="2" s="1"/>
  <c r="I83" i="2" l="1"/>
  <c r="J85" i="2"/>
  <c r="K87" i="2"/>
  <c r="N84" i="2"/>
  <c r="M85" i="2"/>
  <c r="K85" i="2"/>
  <c r="I87" i="2"/>
  <c r="I84" i="2"/>
  <c r="J87" i="2"/>
  <c r="J86" i="2"/>
  <c r="M83" i="2"/>
  <c r="L84" i="2"/>
  <c r="J84" i="2"/>
  <c r="O87" i="2"/>
  <c r="N83" i="2"/>
  <c r="I85" i="2"/>
  <c r="O86" i="2"/>
  <c r="K83" i="2"/>
  <c r="O85" i="2"/>
  <c r="M86" i="2"/>
  <c r="O83" i="2"/>
  <c r="N85" i="2"/>
  <c r="N87" i="2"/>
  <c r="M87" i="2"/>
  <c r="L86" i="2"/>
  <c r="J83" i="2"/>
  <c r="I86" i="2"/>
  <c r="M84" i="2"/>
  <c r="L85" i="2"/>
  <c r="K86" i="2"/>
  <c r="N86" i="2"/>
  <c r="L87" i="2"/>
  <c r="O84" i="2"/>
  <c r="L83" i="2"/>
  <c r="K84" i="2"/>
  <c r="N79" i="2"/>
  <c r="O79" i="2" s="1"/>
  <c r="T43" i="2"/>
  <c r="R60" i="2"/>
  <c r="N75" i="2"/>
  <c r="O75" i="2" s="1"/>
  <c r="N77" i="2"/>
  <c r="O77" i="2" s="1"/>
  <c r="N64" i="2"/>
  <c r="O64" i="2" s="1"/>
  <c r="N70" i="2"/>
  <c r="O70" i="2" s="1"/>
  <c r="N68" i="2"/>
  <c r="O68" i="2" s="1"/>
  <c r="N74" i="2"/>
  <c r="O74" i="2" s="1"/>
  <c r="N72" i="2"/>
  <c r="O72" i="2" s="1"/>
  <c r="N78" i="2"/>
  <c r="O78" i="2" s="1"/>
  <c r="N76" i="2"/>
  <c r="O76" i="2" s="1"/>
  <c r="N66" i="2"/>
  <c r="O66" i="2" s="1"/>
  <c r="N71" i="2"/>
  <c r="O71" i="2" s="1"/>
  <c r="N65" i="2"/>
  <c r="O65" i="2" s="1"/>
  <c r="N69" i="2"/>
  <c r="O69" i="2" s="1"/>
  <c r="N67" i="2"/>
  <c r="O67" i="2" s="1"/>
  <c r="N73" i="2"/>
  <c r="O73" i="2" s="1"/>
  <c r="N63" i="2"/>
  <c r="J57" i="2"/>
  <c r="S43" i="2"/>
  <c r="S60" i="2" s="1"/>
  <c r="P99" i="2" l="1"/>
  <c r="Q99" i="2" s="1"/>
  <c r="P63" i="2"/>
  <c r="N80" i="2"/>
  <c r="O63" i="2"/>
  <c r="O80" i="2" s="1"/>
  <c r="H77" i="2"/>
  <c r="P87" i="2"/>
  <c r="Q87" i="2" s="1"/>
  <c r="P92" i="2"/>
  <c r="Q92" i="2" s="1"/>
  <c r="P94" i="2"/>
  <c r="Q94" i="2" s="1"/>
  <c r="P93" i="2"/>
  <c r="Q93" i="2" s="1"/>
  <c r="P91" i="2"/>
  <c r="Q91" i="2" s="1"/>
  <c r="P96" i="2"/>
  <c r="Q96" i="2" s="1"/>
  <c r="P97" i="2"/>
  <c r="Q97" i="2" s="1"/>
  <c r="P98" i="2"/>
  <c r="Q98" i="2" s="1"/>
  <c r="P85" i="2"/>
  <c r="Q85" i="2" s="1"/>
  <c r="P83" i="2"/>
  <c r="P89" i="2"/>
  <c r="Q89" i="2" s="1"/>
  <c r="P84" i="2"/>
  <c r="Q84" i="2" s="1"/>
  <c r="P90" i="2"/>
  <c r="Q90" i="2" s="1"/>
  <c r="P88" i="2"/>
  <c r="Q88" i="2" s="1"/>
  <c r="P86" i="2"/>
  <c r="Q86" i="2" s="1"/>
  <c r="P95" i="2"/>
  <c r="Q95" i="2" s="1"/>
  <c r="Z83" i="2" l="1" a="1"/>
  <c r="Z83" i="2" s="1"/>
  <c r="P100" i="2"/>
  <c r="R83" i="2"/>
  <c r="Q83" i="2"/>
  <c r="Q100" i="2" s="1"/>
  <c r="I97" i="2"/>
  <c r="Z85" i="2" l="1"/>
  <c r="AA84" i="2"/>
  <c r="AA86" i="2"/>
  <c r="Z87" i="2"/>
  <c r="AB87" i="2"/>
  <c r="AB85" i="2"/>
  <c r="Z84" i="2"/>
  <c r="AB84" i="2"/>
  <c r="Z86" i="2"/>
  <c r="AB86" i="2"/>
  <c r="AA85" i="2"/>
  <c r="AA87" i="2"/>
  <c r="AA83" i="2"/>
  <c r="AC105" i="2" s="1"/>
  <c r="AB83" i="2"/>
  <c r="AC93" i="2"/>
  <c r="AD91" i="2" l="1"/>
  <c r="AE91" i="2" s="1"/>
  <c r="AD100" i="2"/>
  <c r="AE100" i="2" s="1"/>
  <c r="AC86" i="2"/>
  <c r="AD89" i="2"/>
  <c r="AE89" i="2" s="1"/>
  <c r="AC89" i="2"/>
  <c r="AD98" i="2"/>
  <c r="AE98" i="2" s="1"/>
  <c r="AC103" i="2"/>
  <c r="AD101" i="2"/>
  <c r="AE101" i="2" s="1"/>
  <c r="AD88" i="2"/>
  <c r="AE88" i="2" s="1"/>
  <c r="AD96" i="2"/>
  <c r="AE96" i="2" s="1"/>
  <c r="AC101" i="2"/>
  <c r="AC95" i="2"/>
  <c r="AC99" i="2"/>
  <c r="AD106" i="2"/>
  <c r="AE106" i="2" s="1"/>
  <c r="AD92" i="2"/>
  <c r="AE92" i="2" s="1"/>
  <c r="AD95" i="2"/>
  <c r="AE95" i="2" s="1"/>
  <c r="AC88" i="2"/>
  <c r="AC104" i="2"/>
  <c r="AC92" i="2"/>
  <c r="AD90" i="2"/>
  <c r="AE90" i="2" s="1"/>
  <c r="AC87" i="2"/>
  <c r="AD105" i="2"/>
  <c r="AE105" i="2" s="1"/>
  <c r="AC90" i="2"/>
  <c r="AD102" i="2"/>
  <c r="AE102" i="2" s="1"/>
  <c r="AC96" i="2"/>
  <c r="AC98" i="2"/>
  <c r="AD104" i="2"/>
  <c r="AE104" i="2" s="1"/>
  <c r="AD97" i="2"/>
  <c r="AE97" i="2" s="1"/>
  <c r="AD86" i="2"/>
  <c r="AE86" i="2" s="1"/>
  <c r="AC85" i="2"/>
  <c r="AC102" i="2"/>
  <c r="AC94" i="2"/>
  <c r="AC106" i="2"/>
  <c r="AD84" i="2"/>
  <c r="AE84" i="2" s="1"/>
  <c r="AC84" i="2"/>
  <c r="AD94" i="2"/>
  <c r="AE94" i="2" s="1"/>
  <c r="AC91" i="2"/>
  <c r="AD93" i="2"/>
  <c r="AE93" i="2" s="1"/>
  <c r="AC100" i="2"/>
  <c r="AD103" i="2"/>
  <c r="AE103" i="2" s="1"/>
  <c r="AD83" i="2"/>
  <c r="AE83" i="2" s="1"/>
  <c r="AD99" i="2"/>
  <c r="AE99" i="2" s="1"/>
  <c r="AD87" i="2"/>
  <c r="AE87" i="2" s="1"/>
  <c r="AD85" i="2"/>
  <c r="AE85" i="2" s="1"/>
  <c r="AC83" i="2"/>
  <c r="AC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Hengstenberg</author>
  </authors>
  <commentList>
    <comment ref="D37" authorId="0" shapeId="0" xr:uid="{6FEB83D0-EEAC-B548-AE44-EB24823DC3F0}">
      <text>
        <r>
          <rPr>
            <b/>
            <sz val="9"/>
            <color rgb="FF000000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  <comment ref="D57" authorId="0" shapeId="0" xr:uid="{E74C0C83-B00F-504F-9C86-0C911877BDF7}">
      <text>
        <r>
          <rPr>
            <b/>
            <sz val="9"/>
            <color rgb="FF000000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</commentList>
</comments>
</file>

<file path=xl/sharedStrings.xml><?xml version="1.0" encoding="utf-8"?>
<sst xmlns="http://schemas.openxmlformats.org/spreadsheetml/2006/main" count="159" uniqueCount="50">
  <si>
    <t>Jahr</t>
  </si>
  <si>
    <t>Absolutglied</t>
  </si>
  <si>
    <t xml:space="preserve"> </t>
  </si>
  <si>
    <t>Parameter für Regressionsschätzung</t>
  </si>
  <si>
    <t>Regressionsparameter</t>
  </si>
  <si>
    <t>Quantil geschätzt</t>
  </si>
  <si>
    <t>Differenz</t>
  </si>
  <si>
    <t>Wohnfläche</t>
  </si>
  <si>
    <t>Mittleres Baualter im Abrech-nungsjahr</t>
  </si>
  <si>
    <t>Mittleres Baujahr</t>
  </si>
  <si>
    <t>Wohfläche</t>
  </si>
  <si>
    <t>Korrelation zwischen geschätzt und gemessen</t>
  </si>
  <si>
    <t>Effekt Wohnfläche und Baualter</t>
  </si>
  <si>
    <t>Mittleres Baualter</t>
  </si>
  <si>
    <t>Prognose</t>
  </si>
  <si>
    <t>Mittel-wert</t>
  </si>
  <si>
    <t>Mittel-wert korrigiert</t>
  </si>
  <si>
    <r>
      <t>x</t>
    </r>
    <r>
      <rPr>
        <b/>
        <vertAlign val="superscript"/>
        <sz val="12"/>
        <color theme="1"/>
        <rFont val="Calibri (Textkörper)"/>
      </rPr>
      <t>2</t>
    </r>
  </si>
  <si>
    <t>x</t>
  </si>
  <si>
    <t>Polynomischer Trend</t>
  </si>
  <si>
    <t>SV [AN]</t>
  </si>
  <si>
    <t>1. Ableitung</t>
  </si>
  <si>
    <r>
      <t>Jahr</t>
    </r>
    <r>
      <rPr>
        <vertAlign val="superscript"/>
        <sz val="12"/>
        <color theme="1"/>
        <rFont val="Calibri (Textkörper)"/>
      </rPr>
      <t>2</t>
    </r>
  </si>
  <si>
    <t>FM Wind</t>
  </si>
  <si>
    <t>SDK Sonne</t>
  </si>
  <si>
    <t>NM Bedeckung</t>
  </si>
  <si>
    <t>TMK Tagestem-peratur</t>
  </si>
  <si>
    <t>Mittelwert geschätzt</t>
  </si>
  <si>
    <t>1. Ableitung positiv</t>
  </si>
  <si>
    <t>Schätzung POLY</t>
  </si>
  <si>
    <t xml:space="preserve">Stichprobenumfang: </t>
  </si>
  <si>
    <t>MFH / 1-2 FH</t>
  </si>
  <si>
    <t>1-2 FH</t>
  </si>
  <si>
    <t>Zeitraum</t>
  </si>
  <si>
    <t>Deutschland</t>
  </si>
  <si>
    <t>Land/Standort:</t>
  </si>
  <si>
    <t>mean_baujahr</t>
  </si>
  <si>
    <t>mean_nutzflaeche</t>
  </si>
  <si>
    <t>Rohdaten</t>
  </si>
  <si>
    <t>HEV gemessen</t>
  </si>
  <si>
    <t>2002 - 2018 / 1.1</t>
  </si>
  <si>
    <t xml:space="preserve">Jan </t>
  </si>
  <si>
    <t>Feb</t>
  </si>
  <si>
    <t>Mrz</t>
  </si>
  <si>
    <t>Apr</t>
  </si>
  <si>
    <t>Sep</t>
  </si>
  <si>
    <t>Nov</t>
  </si>
  <si>
    <t>Dez</t>
  </si>
  <si>
    <t>Okt</t>
  </si>
  <si>
    <t>Nutzfläche (Falsch! Div 1,2!)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</si>
</sst>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#,##0_ ;\-#,##0\ "/>
    <numFmt numFmtId="167" formatCode="_-* #,##0.0000\ _€_-;\-* #,##0.0000\ _€_-;_-* &quot;-&quot;??\ _€_-;_-@_-"/>
    <numFmt numFmtId="168" formatCode="_-* #,##0.0\ _€_-;\-* #,##0.0\ _€_-;_-* &quot;-&quot;?\ _€_-;_-@_-"/>
    <numFmt numFmtId="169" formatCode="0.0"/>
    <numFmt numFmtId="170" formatCode="_-* #,##0.00000\ _€_-;\-* #,##0.00000\ _€_-;_-* &quot;-&quot;??\ _€_-;_-@_-"/>
    <numFmt numFmtId="171" formatCode="_-* #,##0.000\ _€_-;\-* #,##0.000\ _€_-;_-* &quot;-&quot;??\ _€_-;_-@_-"/>
    <numFmt numFmtId="172" formatCode="0.0_ ;\-0.0\ 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vertAlign val="superscript"/>
      <sz val="12"/>
      <color theme="1"/>
      <name val="Calibri (Textkörper)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Textkörper)"/>
    </font>
    <font>
      <b/>
      <sz val="9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3" fontId="0" fillId="3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3" xfId="1" applyNumberFormat="1" applyFont="1" applyBorder="1"/>
    <xf numFmtId="168" fontId="0" fillId="0" borderId="2" xfId="0" applyNumberFormat="1" applyBorder="1"/>
    <xf numFmtId="164" fontId="0" fillId="0" borderId="2" xfId="1" applyNumberFormat="1" applyFont="1" applyBorder="1"/>
    <xf numFmtId="170" fontId="0" fillId="2" borderId="0" xfId="1" applyNumberFormat="1" applyFont="1" applyFill="1"/>
    <xf numFmtId="0" fontId="3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5" fontId="5" fillId="0" borderId="2" xfId="1" applyNumberFormat="1" applyFont="1" applyBorder="1"/>
    <xf numFmtId="164" fontId="5" fillId="0" borderId="2" xfId="1" applyNumberFormat="1" applyFont="1" applyBorder="1"/>
    <xf numFmtId="167" fontId="6" fillId="0" borderId="0" xfId="1" applyNumberFormat="1" applyFont="1" applyFill="1"/>
    <xf numFmtId="167" fontId="7" fillId="0" borderId="0" xfId="1" applyNumberFormat="1" applyFont="1" applyFill="1"/>
    <xf numFmtId="0" fontId="0" fillId="0" borderId="2" xfId="0" applyNumberForma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9" fontId="5" fillId="0" borderId="2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6" fillId="3" borderId="0" xfId="0" applyFont="1" applyFill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3" fontId="0" fillId="3" borderId="2" xfId="1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0" fillId="2" borderId="12" xfId="0" applyFill="1" applyBorder="1"/>
    <xf numFmtId="43" fontId="0" fillId="0" borderId="0" xfId="1" applyNumberFormat="1" applyFont="1"/>
    <xf numFmtId="43" fontId="1" fillId="0" borderId="8" xfId="0" applyNumberFormat="1" applyFont="1" applyBorder="1"/>
    <xf numFmtId="43" fontId="0" fillId="0" borderId="0" xfId="0" applyNumberFormat="1"/>
    <xf numFmtId="168" fontId="0" fillId="0" borderId="0" xfId="0" applyNumberFormat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6" fontId="1" fillId="0" borderId="8" xfId="0" applyNumberFormat="1" applyFont="1" applyBorder="1" applyAlignment="1">
      <alignment horizontal="center"/>
    </xf>
    <xf numFmtId="43" fontId="0" fillId="0" borderId="8" xfId="0" applyNumberFormat="1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8" fontId="0" fillId="0" borderId="24" xfId="0" applyNumberFormat="1" applyBorder="1"/>
    <xf numFmtId="168" fontId="0" fillId="0" borderId="25" xfId="0" applyNumberFormat="1" applyBorder="1"/>
    <xf numFmtId="164" fontId="9" fillId="5" borderId="2" xfId="1" applyNumberFormat="1" applyFont="1" applyFill="1" applyBorder="1" applyAlignment="1">
      <alignment horizontal="center"/>
    </xf>
    <xf numFmtId="164" fontId="10" fillId="5" borderId="2" xfId="1" applyNumberFormat="1" applyFont="1" applyFill="1" applyBorder="1" applyAlignment="1">
      <alignment horizontal="center"/>
    </xf>
    <xf numFmtId="43" fontId="9" fillId="5" borderId="2" xfId="1" applyNumberFormat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170" fontId="2" fillId="2" borderId="0" xfId="1" applyNumberFormat="1" applyFont="1" applyFill="1"/>
    <xf numFmtId="164" fontId="0" fillId="0" borderId="29" xfId="1" applyNumberFormat="1" applyFont="1" applyBorder="1"/>
    <xf numFmtId="171" fontId="0" fillId="0" borderId="30" xfId="1" applyNumberFormat="1" applyFont="1" applyBorder="1"/>
    <xf numFmtId="0" fontId="0" fillId="0" borderId="29" xfId="0" applyBorder="1"/>
    <xf numFmtId="0" fontId="0" fillId="0" borderId="31" xfId="0" applyBorder="1"/>
    <xf numFmtId="0" fontId="0" fillId="6" borderId="0" xfId="0" applyFill="1"/>
    <xf numFmtId="0" fontId="0" fillId="0" borderId="5" xfId="0" applyBorder="1"/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27" xfId="0" applyBorder="1"/>
    <xf numFmtId="0" fontId="0" fillId="0" borderId="32" xfId="0" applyBorder="1"/>
    <xf numFmtId="43" fontId="0" fillId="0" borderId="9" xfId="0" applyNumberFormat="1" applyFont="1" applyBorder="1"/>
    <xf numFmtId="43" fontId="1" fillId="0" borderId="9" xfId="0" applyNumberFormat="1" applyFont="1" applyBorder="1"/>
    <xf numFmtId="168" fontId="2" fillId="2" borderId="0" xfId="0" applyNumberFormat="1" applyFont="1" applyFill="1"/>
    <xf numFmtId="164" fontId="2" fillId="2" borderId="0" xfId="0" applyNumberFormat="1" applyFont="1" applyFill="1"/>
    <xf numFmtId="165" fontId="0" fillId="0" borderId="0" xfId="1" applyNumberFormat="1" applyFont="1"/>
    <xf numFmtId="0" fontId="14" fillId="0" borderId="0" xfId="0" applyFont="1"/>
    <xf numFmtId="0" fontId="13" fillId="0" borderId="0" xfId="0" applyFont="1"/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43" fontId="0" fillId="3" borderId="37" xfId="1" applyNumberFormat="1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164" fontId="0" fillId="0" borderId="37" xfId="1" applyNumberFormat="1" applyFont="1" applyBorder="1"/>
    <xf numFmtId="43" fontId="0" fillId="0" borderId="37" xfId="1" applyFont="1" applyBorder="1"/>
    <xf numFmtId="43" fontId="0" fillId="3" borderId="3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64" fontId="15" fillId="0" borderId="0" xfId="1" applyNumberFormat="1" applyFont="1" applyBorder="1"/>
    <xf numFmtId="0" fontId="15" fillId="0" borderId="0" xfId="0" applyNumberFormat="1" applyFont="1" applyBorder="1" applyAlignment="1">
      <alignment horizontal="center"/>
    </xf>
    <xf numFmtId="168" fontId="15" fillId="0" borderId="0" xfId="0" applyNumberFormat="1" applyFont="1" applyBorder="1"/>
    <xf numFmtId="0" fontId="0" fillId="0" borderId="0" xfId="0" applyBorder="1" applyAlignment="1">
      <alignment horizontal="center"/>
    </xf>
    <xf numFmtId="0" fontId="0" fillId="0" borderId="37" xfId="0" applyBorder="1"/>
    <xf numFmtId="0" fontId="0" fillId="2" borderId="37" xfId="0" applyFill="1" applyBorder="1"/>
    <xf numFmtId="164" fontId="15" fillId="0" borderId="2" xfId="1" applyNumberFormat="1" applyFont="1" applyBorder="1" applyAlignment="1">
      <alignment horizontal="center"/>
    </xf>
    <xf numFmtId="0" fontId="15" fillId="0" borderId="2" xfId="0" applyNumberFormat="1" applyFont="1" applyFill="1" applyBorder="1" applyAlignment="1">
      <alignment horizontal="center"/>
    </xf>
    <xf numFmtId="43" fontId="15" fillId="0" borderId="8" xfId="0" applyNumberFormat="1" applyFont="1" applyBorder="1"/>
    <xf numFmtId="166" fontId="0" fillId="0" borderId="30" xfId="0" applyNumberFormat="1" applyBorder="1"/>
    <xf numFmtId="171" fontId="0" fillId="6" borderId="27" xfId="1" applyNumberFormat="1" applyFont="1" applyFill="1" applyBorder="1"/>
    <xf numFmtId="171" fontId="0" fillId="6" borderId="28" xfId="1" applyNumberFormat="1" applyFont="1" applyFill="1" applyBorder="1"/>
    <xf numFmtId="171" fontId="0" fillId="0" borderId="37" xfId="1" applyNumberFormat="1" applyFont="1" applyBorder="1"/>
    <xf numFmtId="0" fontId="0" fillId="0" borderId="2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8" fontId="0" fillId="0" borderId="7" xfId="0" applyNumberFormat="1" applyBorder="1"/>
    <xf numFmtId="168" fontId="0" fillId="0" borderId="36" xfId="0" applyNumberFormat="1" applyBorder="1"/>
    <xf numFmtId="168" fontId="0" fillId="0" borderId="38" xfId="0" applyNumberFormat="1" applyBorder="1"/>
    <xf numFmtId="168" fontId="0" fillId="2" borderId="37" xfId="0" applyNumberFormat="1" applyFill="1" applyBorder="1"/>
    <xf numFmtId="0" fontId="0" fillId="7" borderId="29" xfId="0" applyFill="1" applyBorder="1"/>
    <xf numFmtId="0" fontId="0" fillId="7" borderId="0" xfId="0" applyFill="1"/>
    <xf numFmtId="164" fontId="0" fillId="7" borderId="29" xfId="1" applyNumberFormat="1" applyFont="1" applyFill="1" applyBorder="1"/>
    <xf numFmtId="171" fontId="0" fillId="7" borderId="30" xfId="1" applyNumberFormat="1" applyFont="1" applyFill="1" applyBorder="1"/>
    <xf numFmtId="0" fontId="0" fillId="7" borderId="31" xfId="0" applyFill="1" applyBorder="1"/>
    <xf numFmtId="164" fontId="0" fillId="7" borderId="31" xfId="1" applyNumberFormat="1" applyFont="1" applyFill="1" applyBorder="1"/>
    <xf numFmtId="171" fontId="0" fillId="7" borderId="32" xfId="1" applyNumberFormat="1" applyFont="1" applyFill="1" applyBorder="1"/>
    <xf numFmtId="171" fontId="0" fillId="7" borderId="33" xfId="1" applyNumberFormat="1" applyFont="1" applyFill="1" applyBorder="1"/>
    <xf numFmtId="0" fontId="0" fillId="7" borderId="37" xfId="0" applyFill="1" applyBorder="1"/>
    <xf numFmtId="166" fontId="0" fillId="7" borderId="30" xfId="0" applyNumberFormat="1" applyFill="1" applyBorder="1"/>
    <xf numFmtId="0" fontId="0" fillId="7" borderId="32" xfId="0" applyFill="1" applyBorder="1"/>
    <xf numFmtId="166" fontId="0" fillId="7" borderId="33" xfId="0" applyNumberFormat="1" applyFill="1" applyBorder="1"/>
    <xf numFmtId="0" fontId="0" fillId="6" borderId="16" xfId="0" applyFill="1" applyBorder="1"/>
    <xf numFmtId="0" fontId="0" fillId="6" borderId="8" xfId="0" applyFill="1" applyBorder="1"/>
    <xf numFmtId="166" fontId="0" fillId="6" borderId="39" xfId="0" applyNumberFormat="1" applyFill="1" applyBorder="1"/>
    <xf numFmtId="0" fontId="0" fillId="0" borderId="31" xfId="0" applyFill="1" applyBorder="1"/>
    <xf numFmtId="0" fontId="0" fillId="0" borderId="32" xfId="0" applyFill="1" applyBorder="1"/>
    <xf numFmtId="166" fontId="0" fillId="0" borderId="33" xfId="0" applyNumberFormat="1" applyFill="1" applyBorder="1"/>
    <xf numFmtId="171" fontId="0" fillId="7" borderId="37" xfId="1" applyNumberFormat="1" applyFont="1" applyFill="1" applyBorder="1"/>
    <xf numFmtId="0" fontId="0" fillId="0" borderId="3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71" fontId="0" fillId="0" borderId="27" xfId="1" applyNumberFormat="1" applyFont="1" applyBorder="1"/>
    <xf numFmtId="171" fontId="0" fillId="0" borderId="28" xfId="1" applyNumberFormat="1" applyFont="1" applyBorder="1"/>
    <xf numFmtId="164" fontId="0" fillId="0" borderId="31" xfId="1" applyNumberFormat="1" applyFont="1" applyFill="1" applyBorder="1"/>
    <xf numFmtId="171" fontId="0" fillId="0" borderId="32" xfId="1" applyNumberFormat="1" applyFont="1" applyFill="1" applyBorder="1"/>
    <xf numFmtId="171" fontId="0" fillId="0" borderId="33" xfId="1" applyNumberFormat="1" applyFont="1" applyFill="1" applyBorder="1"/>
    <xf numFmtId="164" fontId="0" fillId="6" borderId="5" xfId="1" applyNumberFormat="1" applyFont="1" applyFill="1" applyBorder="1"/>
    <xf numFmtId="166" fontId="0" fillId="0" borderId="41" xfId="0" applyNumberFormat="1" applyBorder="1"/>
    <xf numFmtId="166" fontId="0" fillId="0" borderId="22" xfId="0" applyNumberFormat="1" applyBorder="1"/>
    <xf numFmtId="164" fontId="0" fillId="0" borderId="6" xfId="1" applyNumberFormat="1" applyFont="1" applyBorder="1"/>
    <xf numFmtId="0" fontId="0" fillId="0" borderId="28" xfId="0" applyBorder="1"/>
    <xf numFmtId="0" fontId="0" fillId="0" borderId="30" xfId="0" applyBorder="1"/>
    <xf numFmtId="0" fontId="0" fillId="2" borderId="29" xfId="0" applyFill="1" applyBorder="1"/>
    <xf numFmtId="0" fontId="0" fillId="0" borderId="33" xfId="0" applyBorder="1"/>
    <xf numFmtId="164" fontId="1" fillId="0" borderId="37" xfId="1" applyNumberFormat="1" applyFont="1" applyBorder="1"/>
    <xf numFmtId="43" fontId="1" fillId="0" borderId="37" xfId="1" applyFont="1" applyBorder="1"/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8" fontId="0" fillId="0" borderId="37" xfId="0" applyNumberFormat="1" applyBorder="1"/>
    <xf numFmtId="0" fontId="0" fillId="0" borderId="2" xfId="0" applyNumberFormat="1" applyFont="1" applyFill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37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72" fontId="0" fillId="0" borderId="37" xfId="1" applyNumberFormat="1" applyFont="1" applyBorder="1" applyAlignment="1">
      <alignment horizontal="center"/>
    </xf>
    <xf numFmtId="164" fontId="15" fillId="0" borderId="37" xfId="1" applyNumberFormat="1" applyFont="1" applyBorder="1"/>
    <xf numFmtId="0" fontId="16" fillId="0" borderId="37" xfId="0" applyFont="1" applyFill="1" applyBorder="1" applyAlignment="1">
      <alignment horizontal="center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worksheet" Target="worksheets/sheet3.xml"/><Relationship Id="rId1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theme" Target="theme/theme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</c:f>
          <c:strCache>
            <c:ptCount val="1"/>
            <c:pt idx="0">
              <c:v>1. Deutschland, 1-2 FH, N = 1783860, Rohdaten 2002 - 2018 / 1.1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Regression!$A$3:$A$20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Regression!$B$3:$B$19</c:f>
              <c:numCache>
                <c:formatCode>_(* #,##0.00_);_(* \(#,##0.00\);_(* "-"??_);_(@_)</c:formatCode>
                <c:ptCount val="17"/>
                <c:pt idx="0">
                  <c:v>147.85551439055783</c:v>
                </c:pt>
                <c:pt idx="1">
                  <c:v>149.27686866230582</c:v>
                </c:pt>
                <c:pt idx="2">
                  <c:v>148.36876707169239</c:v>
                </c:pt>
                <c:pt idx="3">
                  <c:v>144.31143316726519</c:v>
                </c:pt>
                <c:pt idx="4">
                  <c:v>136.10114239645284</c:v>
                </c:pt>
                <c:pt idx="5">
                  <c:v>132.39513698642048</c:v>
                </c:pt>
                <c:pt idx="6">
                  <c:v>134.33970635057517</c:v>
                </c:pt>
                <c:pt idx="7">
                  <c:v>133.64001071980442</c:v>
                </c:pt>
                <c:pt idx="8">
                  <c:v>136.24549900230178</c:v>
                </c:pt>
                <c:pt idx="9">
                  <c:v>128.93157561087887</c:v>
                </c:pt>
                <c:pt idx="10">
                  <c:v>129.59398350567298</c:v>
                </c:pt>
                <c:pt idx="11">
                  <c:v>126.92958807517094</c:v>
                </c:pt>
                <c:pt idx="12">
                  <c:v>119.36613969778801</c:v>
                </c:pt>
                <c:pt idx="13">
                  <c:v>122.71933246932593</c:v>
                </c:pt>
                <c:pt idx="14">
                  <c:v>125.91786049029689</c:v>
                </c:pt>
                <c:pt idx="15">
                  <c:v>125.32507546749285</c:v>
                </c:pt>
                <c:pt idx="16">
                  <c:v>113.18011872759864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9-6E44-B25F-1045B9C11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Diagrammtitel!$A$2</c:f>
          <c:strCache>
            <c:ptCount val="1"/>
            <c:pt idx="0">
              <c:v>2. Deutschland, 1-2 FH, N = 1783860, Rohdaten und bereinigte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Regression!$B$3:$B$19</c:f>
              <c:numCache>
                <c:formatCode>_(* #,##0.00_);_(* \(#,##0.00\);_(* "-"??_);_(@_)</c:formatCode>
                <c:ptCount val="17"/>
                <c:pt idx="0">
                  <c:v>147.85551439055783</c:v>
                </c:pt>
                <c:pt idx="1">
                  <c:v>149.27686866230582</c:v>
                </c:pt>
                <c:pt idx="2">
                  <c:v>148.36876707169239</c:v>
                </c:pt>
                <c:pt idx="3">
                  <c:v>144.31143316726519</c:v>
                </c:pt>
                <c:pt idx="4">
                  <c:v>136.10114239645284</c:v>
                </c:pt>
                <c:pt idx="5">
                  <c:v>132.39513698642048</c:v>
                </c:pt>
                <c:pt idx="6">
                  <c:v>134.33970635057517</c:v>
                </c:pt>
                <c:pt idx="7">
                  <c:v>133.64001071980442</c:v>
                </c:pt>
                <c:pt idx="8">
                  <c:v>136.24549900230178</c:v>
                </c:pt>
                <c:pt idx="9">
                  <c:v>128.93157561087887</c:v>
                </c:pt>
                <c:pt idx="10">
                  <c:v>129.59398350567298</c:v>
                </c:pt>
                <c:pt idx="11">
                  <c:v>126.92958807517094</c:v>
                </c:pt>
                <c:pt idx="12">
                  <c:v>119.36613969778801</c:v>
                </c:pt>
                <c:pt idx="13">
                  <c:v>122.71933246932593</c:v>
                </c:pt>
                <c:pt idx="14">
                  <c:v>125.91786049029689</c:v>
                </c:pt>
                <c:pt idx="15">
                  <c:v>125.32507546749285</c:v>
                </c:pt>
                <c:pt idx="16">
                  <c:v>113.18011872759864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0-5C4C-8E12-31F8A4F104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Regression!$B$43:$B$59</c:f>
              <c:numCache>
                <c:formatCode>_-* #,##0.0\ _€_-;\-* #,##0.0\ _€_-;_-* "-"??\ _€_-;_-@_-</c:formatCode>
                <c:ptCount val="17"/>
                <c:pt idx="0">
                  <c:v>149.60375003671126</c:v>
                </c:pt>
                <c:pt idx="1">
                  <c:v>146.77305590074576</c:v>
                </c:pt>
                <c:pt idx="2">
                  <c:v>147.02074476955258</c:v>
                </c:pt>
                <c:pt idx="3">
                  <c:v>143.95593572598253</c:v>
                </c:pt>
                <c:pt idx="4">
                  <c:v>137.06173477049481</c:v>
                </c:pt>
                <c:pt idx="5">
                  <c:v>133.63128028377898</c:v>
                </c:pt>
                <c:pt idx="6">
                  <c:v>135.33542084407537</c:v>
                </c:pt>
                <c:pt idx="7">
                  <c:v>133.02518318668473</c:v>
                </c:pt>
                <c:pt idx="8">
                  <c:v>136.71887041867964</c:v>
                </c:pt>
                <c:pt idx="9">
                  <c:v>128.78575169675139</c:v>
                </c:pt>
                <c:pt idx="10">
                  <c:v>130.9183221639459</c:v>
                </c:pt>
                <c:pt idx="11">
                  <c:v>128.45302425074073</c:v>
                </c:pt>
                <c:pt idx="12">
                  <c:v>119.79257739098001</c:v>
                </c:pt>
                <c:pt idx="13">
                  <c:v>121.45201865336621</c:v>
                </c:pt>
                <c:pt idx="14">
                  <c:v>122.06376091557892</c:v>
                </c:pt>
                <c:pt idx="15">
                  <c:v>120.33086668762985</c:v>
                </c:pt>
                <c:pt idx="16">
                  <c:v>119.57545509590256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20-5C4C-8E12-31F8A4F10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Diagrammtitel!$A$3</c:f>
          <c:strCache>
            <c:ptCount val="1"/>
            <c:pt idx="0">
              <c:v>3. Deutschland, 1-2 FH, N = 1783860, bereinigte Daten 2002 - 2018 / 1.1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Regression!$B$43:$B$59</c:f>
              <c:numCache>
                <c:formatCode>_-* #,##0.0\ _€_-;\-* #,##0.0\ _€_-;_-* "-"??\ _€_-;_-@_-</c:formatCode>
                <c:ptCount val="17"/>
                <c:pt idx="0">
                  <c:v>149.60375003671126</c:v>
                </c:pt>
                <c:pt idx="1">
                  <c:v>146.77305590074576</c:v>
                </c:pt>
                <c:pt idx="2">
                  <c:v>147.02074476955258</c:v>
                </c:pt>
                <c:pt idx="3">
                  <c:v>143.95593572598253</c:v>
                </c:pt>
                <c:pt idx="4">
                  <c:v>137.06173477049481</c:v>
                </c:pt>
                <c:pt idx="5">
                  <c:v>133.63128028377898</c:v>
                </c:pt>
                <c:pt idx="6">
                  <c:v>135.33542084407537</c:v>
                </c:pt>
                <c:pt idx="7">
                  <c:v>133.02518318668473</c:v>
                </c:pt>
                <c:pt idx="8">
                  <c:v>136.71887041867964</c:v>
                </c:pt>
                <c:pt idx="9">
                  <c:v>128.78575169675139</c:v>
                </c:pt>
                <c:pt idx="10">
                  <c:v>130.9183221639459</c:v>
                </c:pt>
                <c:pt idx="11">
                  <c:v>128.45302425074073</c:v>
                </c:pt>
                <c:pt idx="12">
                  <c:v>119.79257739098001</c:v>
                </c:pt>
                <c:pt idx="13">
                  <c:v>121.45201865336621</c:v>
                </c:pt>
                <c:pt idx="14">
                  <c:v>122.06376091557892</c:v>
                </c:pt>
                <c:pt idx="15">
                  <c:v>120.33086668762985</c:v>
                </c:pt>
                <c:pt idx="16">
                  <c:v>119.57545509590256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35-2840-AD08-532B7B34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Diagrammtitel!$A$4</c:f>
          <c:strCache>
            <c:ptCount val="1"/>
            <c:pt idx="0">
              <c:v>4. Deutschland, 1-2 FH, N = 1783860, bereinigte und geschätzte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Regression!$P$83:$P$99</c:f>
              <c:numCache>
                <c:formatCode>_-* #,##0.0\ _€_-;\-* #,##0.0\ _€_-;_-* "-"?\ _€_-;_-@_-</c:formatCode>
                <c:ptCount val="17"/>
                <c:pt idx="0">
                  <c:v>148.75933209564019</c:v>
                </c:pt>
                <c:pt idx="1">
                  <c:v>147.60121703521256</c:v>
                </c:pt>
                <c:pt idx="2">
                  <c:v>143.88312757092291</c:v>
                </c:pt>
                <c:pt idx="3">
                  <c:v>142.79585569590245</c:v>
                </c:pt>
                <c:pt idx="4">
                  <c:v>141.77100749755658</c:v>
                </c:pt>
                <c:pt idx="5">
                  <c:v>137.00816415915102</c:v>
                </c:pt>
                <c:pt idx="6">
                  <c:v>135.56337891210907</c:v>
                </c:pt>
                <c:pt idx="7">
                  <c:v>132.33080854231576</c:v>
                </c:pt>
                <c:pt idx="8">
                  <c:v>135.30809433518471</c:v>
                </c:pt>
                <c:pt idx="9">
                  <c:v>128.64562163056459</c:v>
                </c:pt>
                <c:pt idx="10">
                  <c:v>128.07382749826817</c:v>
                </c:pt>
                <c:pt idx="11">
                  <c:v>126.95698452472166</c:v>
                </c:pt>
                <c:pt idx="12">
                  <c:v>121.11388341877264</c:v>
                </c:pt>
                <c:pt idx="13">
                  <c:v>121.42112458245529</c:v>
                </c:pt>
                <c:pt idx="14">
                  <c:v>122.88228817001284</c:v>
                </c:pt>
                <c:pt idx="15">
                  <c:v>120.72430301290076</c:v>
                </c:pt>
                <c:pt idx="16">
                  <c:v>119.65873410991077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B-B14A-9EFC-2351907D234D}"/>
            </c:ext>
          </c:extLst>
        </c:ser>
        <c:ser>
          <c:idx val="0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Regression!$B$83:$B$98</c:f>
              <c:numCache>
                <c:formatCode>_-* #,##0.0\ _€_-;\-* #,##0.0\ _€_-;_-* "-"??\ _€_-;_-@_-</c:formatCode>
                <c:ptCount val="16"/>
                <c:pt idx="0">
                  <c:v>149.60375003671126</c:v>
                </c:pt>
                <c:pt idx="1">
                  <c:v>146.77305590074576</c:v>
                </c:pt>
                <c:pt idx="2">
                  <c:v>147.02074476955258</c:v>
                </c:pt>
                <c:pt idx="3">
                  <c:v>143.95593572598253</c:v>
                </c:pt>
                <c:pt idx="4">
                  <c:v>137.06173477049481</c:v>
                </c:pt>
                <c:pt idx="5">
                  <c:v>133.63128028377898</c:v>
                </c:pt>
                <c:pt idx="6">
                  <c:v>135.33542084407537</c:v>
                </c:pt>
                <c:pt idx="7">
                  <c:v>133.02518318668473</c:v>
                </c:pt>
                <c:pt idx="8">
                  <c:v>136.71887041867964</c:v>
                </c:pt>
                <c:pt idx="9">
                  <c:v>128.78575169675139</c:v>
                </c:pt>
                <c:pt idx="10">
                  <c:v>130.9183221639459</c:v>
                </c:pt>
                <c:pt idx="11">
                  <c:v>128.45302425074073</c:v>
                </c:pt>
                <c:pt idx="12">
                  <c:v>119.79257739098001</c:v>
                </c:pt>
                <c:pt idx="13">
                  <c:v>121.45201865336621</c:v>
                </c:pt>
                <c:pt idx="14">
                  <c:v>122.06376091557892</c:v>
                </c:pt>
                <c:pt idx="15">
                  <c:v>120.33086668762985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A-1640-AAFD-A5D358898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Diagrammtitel!$A$5</c:f>
          <c:strCache>
            <c:ptCount val="1"/>
            <c:pt idx="0">
              <c:v>5. Deutschland, 1-2 FH, N = 1783860, geschätzte Daten 2002 - 2018 / 1.1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Regression!$P$83:$P$99</c:f>
              <c:numCache>
                <c:formatCode>_-* #,##0.0\ _€_-;\-* #,##0.0\ _€_-;_-* "-"?\ _€_-;_-@_-</c:formatCode>
                <c:ptCount val="17"/>
                <c:pt idx="0">
                  <c:v>148.75933209564019</c:v>
                </c:pt>
                <c:pt idx="1">
                  <c:v>147.60121703521256</c:v>
                </c:pt>
                <c:pt idx="2">
                  <c:v>143.88312757092291</c:v>
                </c:pt>
                <c:pt idx="3">
                  <c:v>142.79585569590245</c:v>
                </c:pt>
                <c:pt idx="4">
                  <c:v>141.77100749755658</c:v>
                </c:pt>
                <c:pt idx="5">
                  <c:v>137.00816415915102</c:v>
                </c:pt>
                <c:pt idx="6">
                  <c:v>135.56337891210907</c:v>
                </c:pt>
                <c:pt idx="7">
                  <c:v>132.33080854231576</c:v>
                </c:pt>
                <c:pt idx="8">
                  <c:v>135.30809433518471</c:v>
                </c:pt>
                <c:pt idx="9">
                  <c:v>128.64562163056459</c:v>
                </c:pt>
                <c:pt idx="10">
                  <c:v>128.07382749826817</c:v>
                </c:pt>
                <c:pt idx="11">
                  <c:v>126.95698452472166</c:v>
                </c:pt>
                <c:pt idx="12">
                  <c:v>121.11388341877264</c:v>
                </c:pt>
                <c:pt idx="13">
                  <c:v>121.42112458245529</c:v>
                </c:pt>
                <c:pt idx="14">
                  <c:v>122.88228817001284</c:v>
                </c:pt>
                <c:pt idx="15">
                  <c:v>120.72430301290076</c:v>
                </c:pt>
                <c:pt idx="16">
                  <c:v>119.65873410991077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E-004F-AAA3-4A25FB76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Diagrammtitel!$A$6</c:f>
          <c:strCache>
            <c:ptCount val="1"/>
            <c:pt idx="0">
              <c:v>6. Deutschland, 1-2 FH, N = 1783860, geschätzte Daten und linearer Trend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linear"/>
            <c:dispRSqr val="1"/>
            <c:dispEq val="1"/>
            <c:trendlineLbl>
              <c:layout>
                <c:manualLayout>
                  <c:x val="-3.9467380091515854E-2"/>
                  <c:y val="-0.1057449950994702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Regression!$P$83:$P$99</c:f>
              <c:numCache>
                <c:formatCode>_-* #,##0.0\ _€_-;\-* #,##0.0\ _€_-;_-* "-"?\ _€_-;_-@_-</c:formatCode>
                <c:ptCount val="17"/>
                <c:pt idx="0">
                  <c:v>148.75933209564019</c:v>
                </c:pt>
                <c:pt idx="1">
                  <c:v>147.60121703521256</c:v>
                </c:pt>
                <c:pt idx="2">
                  <c:v>143.88312757092291</c:v>
                </c:pt>
                <c:pt idx="3">
                  <c:v>142.79585569590245</c:v>
                </c:pt>
                <c:pt idx="4">
                  <c:v>141.77100749755658</c:v>
                </c:pt>
                <c:pt idx="5">
                  <c:v>137.00816415915102</c:v>
                </c:pt>
                <c:pt idx="6">
                  <c:v>135.56337891210907</c:v>
                </c:pt>
                <c:pt idx="7">
                  <c:v>132.33080854231576</c:v>
                </c:pt>
                <c:pt idx="8">
                  <c:v>135.30809433518471</c:v>
                </c:pt>
                <c:pt idx="9">
                  <c:v>128.64562163056459</c:v>
                </c:pt>
                <c:pt idx="10">
                  <c:v>128.07382749826817</c:v>
                </c:pt>
                <c:pt idx="11">
                  <c:v>126.95698452472166</c:v>
                </c:pt>
                <c:pt idx="12">
                  <c:v>121.11388341877264</c:v>
                </c:pt>
                <c:pt idx="13">
                  <c:v>121.42112458245529</c:v>
                </c:pt>
                <c:pt idx="14">
                  <c:v>122.88228817001284</c:v>
                </c:pt>
                <c:pt idx="15">
                  <c:v>120.72430301290076</c:v>
                </c:pt>
                <c:pt idx="16">
                  <c:v>119.65873410991077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E-FF4E-A7D1-A75D1623B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Diagrammtitel!$A$7</c:f>
          <c:strCache>
            <c:ptCount val="1"/>
            <c:pt idx="0">
              <c:v>7. Deutschland, 1-2 FH, N = 1783860, geschätzte Daten und nicht-linearer Trend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7815992022300612E-2"/>
                  <c:y val="-9.759726247874804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Regression!$A$3:$A$19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Regression!$P$83:$P$99</c:f>
              <c:numCache>
                <c:formatCode>_-* #,##0.0\ _€_-;\-* #,##0.0\ _€_-;_-* "-"?\ _€_-;_-@_-</c:formatCode>
                <c:ptCount val="17"/>
                <c:pt idx="0">
                  <c:v>148.75933209564019</c:v>
                </c:pt>
                <c:pt idx="1">
                  <c:v>147.60121703521256</c:v>
                </c:pt>
                <c:pt idx="2">
                  <c:v>143.88312757092291</c:v>
                </c:pt>
                <c:pt idx="3">
                  <c:v>142.79585569590245</c:v>
                </c:pt>
                <c:pt idx="4">
                  <c:v>141.77100749755658</c:v>
                </c:pt>
                <c:pt idx="5">
                  <c:v>137.00816415915102</c:v>
                </c:pt>
                <c:pt idx="6">
                  <c:v>135.56337891210907</c:v>
                </c:pt>
                <c:pt idx="7">
                  <c:v>132.33080854231576</c:v>
                </c:pt>
                <c:pt idx="8">
                  <c:v>135.30809433518471</c:v>
                </c:pt>
                <c:pt idx="9">
                  <c:v>128.64562163056459</c:v>
                </c:pt>
                <c:pt idx="10">
                  <c:v>128.07382749826817</c:v>
                </c:pt>
                <c:pt idx="11">
                  <c:v>126.95698452472166</c:v>
                </c:pt>
                <c:pt idx="12">
                  <c:v>121.11388341877264</c:v>
                </c:pt>
                <c:pt idx="13">
                  <c:v>121.42112458245529</c:v>
                </c:pt>
                <c:pt idx="14">
                  <c:v>122.88228817001284</c:v>
                </c:pt>
                <c:pt idx="15">
                  <c:v>120.72430301290076</c:v>
                </c:pt>
                <c:pt idx="16">
                  <c:v>119.65873410991077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C-1747-B9C8-E97BC5E1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Diagrammtitel!$A$8</c:f>
          <c:strCache>
            <c:ptCount val="1"/>
            <c:pt idx="0">
              <c:v>8. Deutschland, 1-2 FH, N = 1783860, geschätzte Daten und Prognose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Regression!$W$83:$W$106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</c:numCache>
            </c:numRef>
          </c:cat>
          <c:val>
            <c:numRef>
              <c:f>Regression!$P$83:$P$99</c:f>
              <c:numCache>
                <c:formatCode>_-* #,##0.0\ _€_-;\-* #,##0.0\ _€_-;_-* "-"?\ _€_-;_-@_-</c:formatCode>
                <c:ptCount val="17"/>
                <c:pt idx="0">
                  <c:v>148.75933209564019</c:v>
                </c:pt>
                <c:pt idx="1">
                  <c:v>147.60121703521256</c:v>
                </c:pt>
                <c:pt idx="2">
                  <c:v>143.88312757092291</c:v>
                </c:pt>
                <c:pt idx="3">
                  <c:v>142.79585569590245</c:v>
                </c:pt>
                <c:pt idx="4">
                  <c:v>141.77100749755658</c:v>
                </c:pt>
                <c:pt idx="5">
                  <c:v>137.00816415915102</c:v>
                </c:pt>
                <c:pt idx="6">
                  <c:v>135.56337891210907</c:v>
                </c:pt>
                <c:pt idx="7">
                  <c:v>132.33080854231576</c:v>
                </c:pt>
                <c:pt idx="8">
                  <c:v>135.30809433518471</c:v>
                </c:pt>
                <c:pt idx="9">
                  <c:v>128.64562163056459</c:v>
                </c:pt>
                <c:pt idx="10">
                  <c:v>128.07382749826817</c:v>
                </c:pt>
                <c:pt idx="11">
                  <c:v>126.95698452472166</c:v>
                </c:pt>
                <c:pt idx="12">
                  <c:v>121.11388341877264</c:v>
                </c:pt>
                <c:pt idx="13">
                  <c:v>121.42112458245529</c:v>
                </c:pt>
                <c:pt idx="14">
                  <c:v>122.88228817001284</c:v>
                </c:pt>
                <c:pt idx="15">
                  <c:v>120.72430301290076</c:v>
                </c:pt>
                <c:pt idx="16">
                  <c:v>119.65873410991077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6-2F41-BD4F-FC3D245DED26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  <a:prstDash val="sysDash"/>
            </a:ln>
          </c:spPr>
          <c:marker>
            <c:symbol val="none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trendline>
            <c:spPr>
              <a:ln>
                <a:noFill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1715758480198863E-2"/>
                  <c:y val="-0.2095809258297936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>
                      <a:solidFill>
                        <a:schemeClr val="accent2"/>
                      </a:solidFill>
                    </a:defRPr>
                  </a:pPr>
                  <a:endParaRPr lang="de-DE"/>
                </a:p>
              </c:txPr>
            </c:trendlineLbl>
          </c:trendline>
          <c:val>
            <c:numRef>
              <c:f>Regression!$AC$83:$AC$106</c:f>
              <c:numCache>
                <c:formatCode>_-* #,##0.0\ _€_-;\-* #,##0.0\ _€_-;_-* "-"??\ _€_-;_-@_-</c:formatCode>
                <c:ptCount val="24"/>
                <c:pt idx="0">
                  <c:v>149.69248458564263</c:v>
                </c:pt>
                <c:pt idx="1">
                  <c:v>147.1387248588442</c:v>
                </c:pt>
                <c:pt idx="2">
                  <c:v>144.66884283451674</c:v>
                </c:pt>
                <c:pt idx="3">
                  <c:v>142.28283851266025</c:v>
                </c:pt>
                <c:pt idx="4">
                  <c:v>139.98071189327476</c:v>
                </c:pt>
                <c:pt idx="5">
                  <c:v>137.76246297636021</c:v>
                </c:pt>
                <c:pt idx="6">
                  <c:v>135.62809176191666</c:v>
                </c:pt>
                <c:pt idx="7">
                  <c:v>133.57759824994412</c:v>
                </c:pt>
                <c:pt idx="8">
                  <c:v>131.61098244044251</c:v>
                </c:pt>
                <c:pt idx="9">
                  <c:v>129.72824433341191</c:v>
                </c:pt>
                <c:pt idx="10">
                  <c:v>127.92938392885226</c:v>
                </c:pt>
                <c:pt idx="11">
                  <c:v>126.2144012267636</c:v>
                </c:pt>
                <c:pt idx="12">
                  <c:v>124.58329622714592</c:v>
                </c:pt>
                <c:pt idx="13">
                  <c:v>123.0360689299992</c:v>
                </c:pt>
                <c:pt idx="14">
                  <c:v>121.57271933532348</c:v>
                </c:pt>
                <c:pt idx="15">
                  <c:v>120.19324744311874</c:v>
                </c:pt>
                <c:pt idx="16">
                  <c:v>118.89765325338496</c:v>
                </c:pt>
                <c:pt idx="17">
                  <c:v>117.68593676612215</c:v>
                </c:pt>
                <c:pt idx="18">
                  <c:v>116.55809798133035</c:v>
                </c:pt>
                <c:pt idx="19">
                  <c:v>115.5141368990095</c:v>
                </c:pt>
                <c:pt idx="20">
                  <c:v>114.55405351915962</c:v>
                </c:pt>
                <c:pt idx="21">
                  <c:v>113.67784784178075</c:v>
                </c:pt>
                <c:pt idx="22">
                  <c:v>112.88551986687284</c:v>
                </c:pt>
                <c:pt idx="23">
                  <c:v>112.17706959443591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6-2F41-BD4F-FC3D245D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Diagrammtitel!$A$9</c:f>
          <c:strCache>
            <c:ptCount val="1"/>
            <c:pt idx="0">
              <c:v>9. Deutschland, 1-2 FH, N = 1783860, Entwicklung der Verbrauchsminderung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cat>
            <c:numRef>
              <c:f>Regression!$A$23:$A$38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Regression!$AE$83:$AE$98</c:f>
              <c:numCache>
                <c:formatCode>_-* #,##0.000\ _€_-;\-* #,##0.000\ _€_-;_-* "-"??\ _€_-;_-@_-</c:formatCode>
                <c:ptCount val="16"/>
                <c:pt idx="0">
                  <c:v>2.595698578033923</c:v>
                </c:pt>
                <c:pt idx="1">
                  <c:v>2.5118208755629454</c:v>
                </c:pt>
                <c:pt idx="2">
                  <c:v>2.4279431730919683</c:v>
                </c:pt>
                <c:pt idx="3">
                  <c:v>2.3440654706209907</c:v>
                </c:pt>
                <c:pt idx="4">
                  <c:v>2.2601877681500135</c:v>
                </c:pt>
                <c:pt idx="5">
                  <c:v>2.1763100656790364</c:v>
                </c:pt>
                <c:pt idx="6">
                  <c:v>2.0924323632080588</c:v>
                </c:pt>
                <c:pt idx="7">
                  <c:v>2.0085546607370812</c:v>
                </c:pt>
                <c:pt idx="8">
                  <c:v>1.9246769582661041</c:v>
                </c:pt>
                <c:pt idx="9">
                  <c:v>1.8407992557951267</c:v>
                </c:pt>
                <c:pt idx="10">
                  <c:v>1.7569215533241493</c:v>
                </c:pt>
                <c:pt idx="11">
                  <c:v>1.6730438508531722</c:v>
                </c:pt>
                <c:pt idx="12">
                  <c:v>1.5891661483821948</c:v>
                </c:pt>
                <c:pt idx="13">
                  <c:v>1.5052884459112175</c:v>
                </c:pt>
                <c:pt idx="14">
                  <c:v>1.4214107434402401</c:v>
                </c:pt>
                <c:pt idx="15">
                  <c:v>1.3375330409692627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9E75-2347-A5F7-B91C8026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2659551"/>
        <c:axId val="784523567"/>
      </c:barChart>
      <c:catAx>
        <c:axId val="8426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523567"/>
        <c:crosses val="autoZero"/>
        <c:auto val="1"/>
        <c:lblAlgn val="ctr"/>
        <c:lblOffset val="100"/>
        <c:noMultiLvlLbl val="0"/>
      </c:catAx>
      <c:valAx>
        <c:axId val="784523567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6595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Diagrammtitel!$A$10</c:f>
          <c:strCache>
            <c:ptCount val="1"/>
            <c:pt idx="0">
              <c:v>10. Deutschland, 1-2 FH, N = 1783860, Prognose der Verbrauchsminderung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FA8C-B54E-8D8C-B2CACEB60D2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8C-B54E-8D8C-B2CACEB60D2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FA8C-B54E-8D8C-B2CACEB60D2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8C-B54E-8D8C-B2CACEB60D2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6-FA8C-B54E-8D8C-B2CACEB60D2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8C-B54E-8D8C-B2CACEB60D2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8-FA8C-B54E-8D8C-B2CACEB60D2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E-6ADF-904B-AE3F-C600A67A089B}"/>
              </c:ext>
            </c:extLst>
          </c:dPt>
          <c:cat>
            <c:numRef>
              <c:f>Regression!$W$83:$W$106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</c:numCache>
            </c:numRef>
          </c:cat>
          <c:val>
            <c:numRef>
              <c:f>Regression!$AE$83:$AE$106</c:f>
              <c:numCache>
                <c:formatCode>_-* #,##0.000\ _€_-;\-* #,##0.000\ _€_-;_-* "-"??\ _€_-;_-@_-</c:formatCode>
                <c:ptCount val="24"/>
                <c:pt idx="0">
                  <c:v>2.595698578033923</c:v>
                </c:pt>
                <c:pt idx="1">
                  <c:v>2.5118208755629454</c:v>
                </c:pt>
                <c:pt idx="2">
                  <c:v>2.4279431730919683</c:v>
                </c:pt>
                <c:pt idx="3">
                  <c:v>2.3440654706209907</c:v>
                </c:pt>
                <c:pt idx="4">
                  <c:v>2.2601877681500135</c:v>
                </c:pt>
                <c:pt idx="5">
                  <c:v>2.1763100656790364</c:v>
                </c:pt>
                <c:pt idx="6">
                  <c:v>2.0924323632080588</c:v>
                </c:pt>
                <c:pt idx="7">
                  <c:v>2.0085546607370812</c:v>
                </c:pt>
                <c:pt idx="8">
                  <c:v>1.9246769582661041</c:v>
                </c:pt>
                <c:pt idx="9">
                  <c:v>1.8407992557951267</c:v>
                </c:pt>
                <c:pt idx="10">
                  <c:v>1.7569215533241493</c:v>
                </c:pt>
                <c:pt idx="11">
                  <c:v>1.6730438508531722</c:v>
                </c:pt>
                <c:pt idx="12">
                  <c:v>1.5891661483821948</c:v>
                </c:pt>
                <c:pt idx="13">
                  <c:v>1.5052884459112175</c:v>
                </c:pt>
                <c:pt idx="14">
                  <c:v>1.4214107434402401</c:v>
                </c:pt>
                <c:pt idx="15">
                  <c:v>1.3375330409692627</c:v>
                </c:pt>
                <c:pt idx="16">
                  <c:v>1.2536553384982854</c:v>
                </c:pt>
                <c:pt idx="17">
                  <c:v>1.169777636027308</c:v>
                </c:pt>
                <c:pt idx="18">
                  <c:v>1.0858999335563306</c:v>
                </c:pt>
                <c:pt idx="19">
                  <c:v>1.0020222310853533</c:v>
                </c:pt>
                <c:pt idx="20">
                  <c:v>0.91814452861437612</c:v>
                </c:pt>
                <c:pt idx="21">
                  <c:v>0.83426682614339875</c:v>
                </c:pt>
                <c:pt idx="22">
                  <c:v>0.75038912367242139</c:v>
                </c:pt>
                <c:pt idx="23">
                  <c:v>0.66651142120144424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FA8C-B54E-8D8C-B2CACEB60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2659551"/>
        <c:axId val="784523567"/>
      </c:barChart>
      <c:catAx>
        <c:axId val="8426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523567"/>
        <c:crosses val="autoZero"/>
        <c:auto val="1"/>
        <c:lblAlgn val="ctr"/>
        <c:lblOffset val="100"/>
        <c:noMultiLvlLbl val="0"/>
      </c:catAx>
      <c:valAx>
        <c:axId val="784523567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6595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2569F9-8F2F-0B4F-89EF-811029115FB3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6EE2D5-0D12-984A-AC7E-EA7F01A053E9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580E7A-2B53-5941-90FA-2D4CF29AB59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BC26D1-57EF-D84A-B1DB-DBFF4DFA6001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00FC0-C422-EB48-8971-AB57338C944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0E13C-9A78-E347-97F9-B6F121A2322A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A2C3AF-5787-2447-900B-49E0CE22C27A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BBD7B1-B891-0F40-8B4A-A3F782E26351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BEB3A2-6ED0-6B4A-99C1-83A892339B07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3EAFD-2A89-714B-B590-B64B5350090E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A6CB3-BFFB-6542-A2B7-A2E2E6FC84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D78F4E9-1A28-0944-A7A8-580EF5FBED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BEAE648-39B2-B94C-9CD5-A1CEE6794E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4DED97-D56B-0E42-AABB-2F4AEABA43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B5FCA5-412F-2D4C-895E-83F756C0D0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E183D-F1F2-DD44-A3D1-FCAB8B70DC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4DC834-3196-C94C-9EE6-A5B0079F6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EA6272-3359-F04E-9DA1-511BCBA29A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7516544-5980-2641-A6EF-28283B65DC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A65380-5B77-C949-BF5E-789EC53E0B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anneshengstenberg/Dropbox/arbeit/Hamburg/Heizspiegel%20Hamburg%202017/1%20Erdgas%20MFH%20kleiner%20750%20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daten Gebäude"/>
      <sheetName val="Wetter"/>
      <sheetName val="Wetter normiert"/>
      <sheetName val="Diagrammtitel"/>
      <sheetName val="Verbrauch"/>
      <sheetName val="Fläche"/>
      <sheetName val="Baujahr"/>
      <sheetName val="Baujahr_Q1"/>
      <sheetName val="Baujahr_Q3"/>
      <sheetName val="Variablen für REG"/>
      <sheetName val="0 Dia empirisch"/>
      <sheetName val="1 Dia bereinigt"/>
      <sheetName val="2 Dia Differenz"/>
      <sheetName val="3 Dia Trend"/>
      <sheetName val="4 Dia Schätzung"/>
      <sheetName val="5 Dia Sync Schätzung"/>
      <sheetName val="6 Dia Gewicht 1"/>
      <sheetName val="7 Dia Gewicht 2"/>
      <sheetName val="8 Dia Gewicht 3"/>
      <sheetName val="9 Dia Statistik"/>
      <sheetName val="10 Dia Linerität I"/>
      <sheetName val="11 Dia Linearität II"/>
      <sheetName val="Ergebnis"/>
      <sheetName val="Quantil 1"/>
      <sheetName val="Quantil 1 Norm"/>
      <sheetName val="Quantil 2"/>
      <sheetName val="Quantil 2 Norm"/>
      <sheetName val="Quantil 3"/>
      <sheetName val="Quantil 3 Norm"/>
      <sheetName val="Mittelwert"/>
    </sheetNames>
    <sheetDataSet>
      <sheetData sheetId="0"/>
      <sheetData sheetId="1">
        <row r="2">
          <cell r="A2" t="str">
            <v xml:space="preserve">  FM Wind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A6">
            <v>0.5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3EC0-C83A-2944-9DE8-BF4A0ABB169B}">
  <dimension ref="A1:H10"/>
  <sheetViews>
    <sheetView zoomScale="200" zoomScaleNormal="200" workbookViewId="0">
      <selection sqref="A1:XFD1048576"/>
    </sheetView>
  </sheetViews>
  <sheetFormatPr baseColWidth="10" defaultRowHeight="16"/>
  <cols>
    <col min="1" max="1" width="44.83203125" customWidth="1"/>
    <col min="7" max="9" width="26.33203125" customWidth="1"/>
  </cols>
  <sheetData>
    <row r="1" spans="1:8">
      <c r="A1" t="str">
        <f>CONCATENATE("1. ",H$1,", ",H$3,", N = ",H$2,", Rohdaten ",Zeitraum)</f>
        <v>1. Deutschland, 1-2 FH, N = 1783860, Rohdaten 2002 - 2018 / 1.1</v>
      </c>
      <c r="G1" t="s">
        <v>35</v>
      </c>
      <c r="H1" t="s">
        <v>34</v>
      </c>
    </row>
    <row r="2" spans="1:8">
      <c r="A2" t="str">
        <f>CONCATENATE("2. ",H$1,", ",H$3,", N = ",H$2,", Rohdaten und bereinigte Daten")</f>
        <v>2. Deutschland, 1-2 FH, N = 1783860, Rohdaten und bereinigte Daten</v>
      </c>
      <c r="G2" t="s">
        <v>30</v>
      </c>
      <c r="H2" s="84">
        <v>1783860</v>
      </c>
    </row>
    <row r="3" spans="1:8">
      <c r="A3" t="str">
        <f>CONCATENATE("3. ",H$1,", ",H$3,", N = ",H$2,", bereinigte Daten ",Zeitraum)</f>
        <v>3. Deutschland, 1-2 FH, N = 1783860, bereinigte Daten 2002 - 2018 / 1.1</v>
      </c>
      <c r="G3" t="s">
        <v>31</v>
      </c>
      <c r="H3" t="s">
        <v>32</v>
      </c>
    </row>
    <row r="4" spans="1:8">
      <c r="A4" t="str">
        <f>CONCATENATE("4. ",H$1,", ",H$3,", N = ",H$2,", bereinigte und geschätzte Daten")</f>
        <v>4. Deutschland, 1-2 FH, N = 1783860, bereinigte und geschätzte Daten</v>
      </c>
      <c r="G4" t="s">
        <v>33</v>
      </c>
      <c r="H4" t="s">
        <v>40</v>
      </c>
    </row>
    <row r="5" spans="1:8">
      <c r="A5" t="str">
        <f>CONCATENATE("5. ",H$1,", ",H$3,", N = ",H$2,", geschätzte Daten ",Zeitraum)</f>
        <v>5. Deutschland, 1-2 FH, N = 1783860, geschätzte Daten 2002 - 2018 / 1.1</v>
      </c>
    </row>
    <row r="6" spans="1:8">
      <c r="A6" t="str">
        <f>CONCATENATE("6. ",H$1,", ",H$3,", N = ",H$2,", geschätzte Daten und linearer Trend")</f>
        <v>6. Deutschland, 1-2 FH, N = 1783860, geschätzte Daten und linearer Trend</v>
      </c>
    </row>
    <row r="7" spans="1:8">
      <c r="A7" t="str">
        <f>CONCATENATE("7. ",H$1,", ",H$3,", N = ",H$2,", geschätzte Daten und nicht-linearer Trend")</f>
        <v>7. Deutschland, 1-2 FH, N = 1783860, geschätzte Daten und nicht-linearer Trend</v>
      </c>
    </row>
    <row r="8" spans="1:8">
      <c r="A8" t="str">
        <f>CONCATENATE("8. ",H$1,", ",H$3,", N = ",H$2,", geschätzte Daten und Prognose")</f>
        <v>8. Deutschland, 1-2 FH, N = 1783860, geschätzte Daten und Prognose</v>
      </c>
    </row>
    <row r="9" spans="1:8">
      <c r="A9" t="str">
        <f>CONCATENATE("9. ",H$1,", ",H$3,", N = ",H$2,", Entwicklung der Verbrauchsminderung")</f>
        <v>9. Deutschland, 1-2 FH, N = 1783860, Entwicklung der Verbrauchsminderung</v>
      </c>
    </row>
    <row r="10" spans="1:8">
      <c r="A10" t="str">
        <f>CONCATENATE("10. ",H$1,", ",H$3,", N = ",H$2,", Prognose der Verbrauchsminderung")</f>
        <v>10. Deutschland, 1-2 FH, N = 1783860, Prognose der Verbrauchsminderung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83C7-2E88-894E-8A1F-2544C389FEC5}">
  <sheetPr>
    <tabColor rgb="FFC00000"/>
  </sheetPr>
  <dimension ref="A1:AP106"/>
  <sheetViews>
    <sheetView tabSelected="1" zoomScale="145" zoomScaleNormal="150" workbookViewId="0">
      <selection activeCell="D3" sqref="D3:D18"/>
    </sheetView>
  </sheetViews>
  <sheetFormatPr baseColWidth="10" defaultColWidth="10.83203125" defaultRowHeight="16"/>
  <cols>
    <col min="2" max="2" width="12" customWidth="1"/>
    <col min="6" max="6" width="10.6640625" customWidth="1"/>
    <col min="7" max="7" width="10.1640625" customWidth="1"/>
    <col min="8" max="9" width="11.83203125" customWidth="1"/>
    <col min="10" max="11" width="13.33203125" bestFit="1" customWidth="1"/>
    <col min="12" max="13" width="11.83203125" bestFit="1" customWidth="1"/>
    <col min="14" max="14" width="11.5" bestFit="1" customWidth="1"/>
    <col min="15" max="15" width="12.83203125" bestFit="1" customWidth="1"/>
    <col min="16" max="16" width="11.5" bestFit="1" customWidth="1"/>
    <col min="17" max="17" width="13.1640625" bestFit="1" customWidth="1"/>
    <col min="18" max="18" width="12.5" bestFit="1" customWidth="1"/>
    <col min="24" max="24" width="6.5" customWidth="1"/>
    <col min="25" max="25" width="5.83203125" customWidth="1"/>
  </cols>
  <sheetData>
    <row r="1" spans="1:42" s="2" customFormat="1" ht="35" thickBot="1">
      <c r="A1" s="87" t="s">
        <v>0</v>
      </c>
      <c r="B1" s="88" t="s">
        <v>39</v>
      </c>
      <c r="C1" s="161" t="s">
        <v>3</v>
      </c>
      <c r="D1" s="161"/>
      <c r="E1" s="161"/>
      <c r="F1" s="161"/>
      <c r="G1" s="161"/>
      <c r="H1" s="161"/>
      <c r="I1" s="161"/>
      <c r="J1" s="162" t="s">
        <v>4</v>
      </c>
      <c r="K1" s="162"/>
      <c r="L1" s="162"/>
      <c r="M1" s="162"/>
      <c r="N1" s="162"/>
      <c r="O1" s="162"/>
      <c r="P1" s="162"/>
      <c r="Q1" s="162"/>
      <c r="R1" s="3" t="s">
        <v>27</v>
      </c>
      <c r="S1" s="4" t="s">
        <v>6</v>
      </c>
      <c r="W1"/>
      <c r="X1"/>
      <c r="Y1"/>
      <c r="Z1"/>
      <c r="AA1"/>
      <c r="AB1"/>
      <c r="AC1"/>
      <c r="AD1"/>
      <c r="AE1"/>
      <c r="AF1"/>
      <c r="AG1"/>
    </row>
    <row r="2" spans="1:42" s="5" customFormat="1" ht="51">
      <c r="A2" s="89" t="s">
        <v>0</v>
      </c>
      <c r="B2" s="90" t="s">
        <v>20</v>
      </c>
      <c r="C2" s="91" t="s">
        <v>0</v>
      </c>
      <c r="D2" s="175" t="s">
        <v>49</v>
      </c>
      <c r="E2" s="92" t="s">
        <v>9</v>
      </c>
      <c r="F2" s="93" t="s">
        <v>23</v>
      </c>
      <c r="G2" s="93" t="s">
        <v>24</v>
      </c>
      <c r="H2" s="93" t="s">
        <v>25</v>
      </c>
      <c r="I2" s="93" t="s">
        <v>26</v>
      </c>
      <c r="J2" s="10" t="str">
        <f>I2</f>
        <v>TMK Tagestem-peratur</v>
      </c>
      <c r="K2" s="10" t="str">
        <f>H2</f>
        <v>NM Bedeckung</v>
      </c>
      <c r="L2" s="10" t="str">
        <f>G2</f>
        <v>SDK Sonne</v>
      </c>
      <c r="M2" s="10" t="str">
        <f>F2</f>
        <v>FM Wind</v>
      </c>
      <c r="N2" s="10" t="s">
        <v>9</v>
      </c>
      <c r="O2" s="10" t="s">
        <v>10</v>
      </c>
      <c r="P2" s="10" t="s">
        <v>0</v>
      </c>
      <c r="Q2" s="11" t="s">
        <v>1</v>
      </c>
      <c r="R2" s="12" t="str">
        <f>B2</f>
        <v>SV [AN]</v>
      </c>
      <c r="S2" s="6"/>
      <c r="W2"/>
      <c r="X2" s="3" t="s">
        <v>17</v>
      </c>
      <c r="Y2" s="3" t="s">
        <v>18</v>
      </c>
      <c r="Z2" s="170" t="s">
        <v>19</v>
      </c>
      <c r="AA2" s="169"/>
      <c r="AB2" s="171"/>
      <c r="AC2"/>
      <c r="AD2" s="5" t="s">
        <v>21</v>
      </c>
      <c r="AE2"/>
      <c r="AF2"/>
      <c r="AG2"/>
      <c r="AI2" s="85" t="s">
        <v>36</v>
      </c>
      <c r="AJ2" s="85" t="s">
        <v>37</v>
      </c>
      <c r="AK2" s="85" t="s">
        <v>38</v>
      </c>
    </row>
    <row r="3" spans="1:42">
      <c r="A3" s="154">
        <v>2002</v>
      </c>
      <c r="B3" s="95">
        <v>147.85551439055783</v>
      </c>
      <c r="C3" s="156">
        <v>0</v>
      </c>
      <c r="D3" s="174">
        <v>188.82686154447507</v>
      </c>
      <c r="E3" s="173">
        <v>1965.7278767547145</v>
      </c>
      <c r="F3" s="94">
        <v>60.949923010742488</v>
      </c>
      <c r="G3" s="94">
        <v>105.47777777777779</v>
      </c>
      <c r="H3" s="95">
        <v>1</v>
      </c>
      <c r="I3" s="95">
        <v>6.7777777777777768</v>
      </c>
      <c r="J3" s="102">
        <f t="array" ref="J3:Q7">LINEST(B3:B19,C3:I19,,TRUE)</f>
        <v>-2.5408783365724354</v>
      </c>
      <c r="K3" s="102">
        <v>0</v>
      </c>
      <c r="L3" s="102">
        <v>6.0279416820422538E-2</v>
      </c>
      <c r="M3" s="102">
        <v>5.866883304730118E-2</v>
      </c>
      <c r="N3" s="102">
        <v>-4.3249690644586052E-2</v>
      </c>
      <c r="O3" s="102">
        <v>0.91462702440050536</v>
      </c>
      <c r="P3" s="102">
        <v>-2.3033880228294628</v>
      </c>
      <c r="Q3" s="102">
        <v>66.326197990391393</v>
      </c>
      <c r="R3" s="18">
        <f>Q$3+P$3*C3+O$3*D3+N$3*E3+M$3*F3+L$3*G3+K$3*H3+J$3*I3</f>
        <v>146.72771699428455</v>
      </c>
      <c r="S3" s="17">
        <f>R3-B3</f>
        <v>-1.1277973962732801</v>
      </c>
      <c r="T3">
        <f>LINEST(R3:R19,C3:C19)</f>
        <v>-1.924676958266107</v>
      </c>
      <c r="X3">
        <v>1</v>
      </c>
      <c r="Y3" s="48">
        <v>1</v>
      </c>
      <c r="Z3" s="34">
        <f t="array" ref="Z3:AB7">LINEST(B43:B57,X3:Y17,,TRUE)</f>
        <v>-2.5172337747634272</v>
      </c>
      <c r="AA3" s="35">
        <v>3.0185040488533137E-2</v>
      </c>
      <c r="AB3" s="36">
        <v>151.94866891825993</v>
      </c>
      <c r="AC3" s="1">
        <f>Z$3*Y3+AA$3*X3+AB$3</f>
        <v>149.46162018398502</v>
      </c>
      <c r="AD3" s="50">
        <f>2*AA$3*Y3+Z$3</f>
        <v>-2.456863693786361</v>
      </c>
      <c r="AE3" s="52">
        <f>AD3*-1</f>
        <v>2.456863693786361</v>
      </c>
      <c r="AI3" s="86">
        <v>1965.7293071435599</v>
      </c>
      <c r="AJ3" s="86">
        <v>188.82523632691601</v>
      </c>
      <c r="AK3" s="86">
        <v>147.84637528909701</v>
      </c>
      <c r="AM3">
        <v>2002</v>
      </c>
      <c r="AN3">
        <v>1965.7278767547145</v>
      </c>
      <c r="AO3">
        <v>188.82686154447507</v>
      </c>
      <c r="AP3">
        <v>147.85551439055783</v>
      </c>
    </row>
    <row r="4" spans="1:42">
      <c r="A4" s="154">
        <v>2003</v>
      </c>
      <c r="B4" s="95">
        <v>149.27686866230582</v>
      </c>
      <c r="C4" s="156">
        <v>1</v>
      </c>
      <c r="D4" s="174">
        <v>190.77251572858941</v>
      </c>
      <c r="E4" s="173">
        <v>1966.741892506318</v>
      </c>
      <c r="F4" s="94">
        <v>54.756058205951653</v>
      </c>
      <c r="G4" s="94">
        <v>135.61111111111109</v>
      </c>
      <c r="H4" s="95">
        <v>1</v>
      </c>
      <c r="I4" s="95">
        <v>5.9222222222222216</v>
      </c>
      <c r="J4" s="102">
        <v>0.88024217050525388</v>
      </c>
      <c r="K4" s="102">
        <v>0</v>
      </c>
      <c r="L4" s="102">
        <v>5.8420237149298261E-2</v>
      </c>
      <c r="M4" s="102">
        <v>0.11042258207345321</v>
      </c>
      <c r="N4" s="102">
        <v>1.0914695504969849</v>
      </c>
      <c r="O4" s="102">
        <v>0.39688416659475739</v>
      </c>
      <c r="P4" s="102">
        <v>0.38279451412328186</v>
      </c>
      <c r="Q4" s="102">
        <v>2201.6325525269908</v>
      </c>
      <c r="R4" s="18">
        <f t="shared" ref="R4:R19" si="0">Q$3+P$3*C4+O$3*D4+N$3*E4+M$3*F4+L$3*G4+K$3*H4+J$3*I4</f>
        <v>149.78691651770254</v>
      </c>
      <c r="S4" s="17">
        <f t="shared" ref="S4:S19" si="1">R4-B4</f>
        <v>0.51004785539672071</v>
      </c>
      <c r="T4">
        <f>LINEST(B3:B19,C3:C19)</f>
        <v>-1.9246769582661056</v>
      </c>
      <c r="X4">
        <v>4</v>
      </c>
      <c r="Y4" s="48">
        <v>2</v>
      </c>
      <c r="Z4" s="34">
        <v>0.74054144250677945</v>
      </c>
      <c r="AA4" s="35">
        <v>4.5006838028847571E-2</v>
      </c>
      <c r="AB4" s="36">
        <v>2.5748736808297874</v>
      </c>
      <c r="AC4" s="1">
        <f t="shared" ref="AC4:AC18" si="2">Z$3*Y4+AA$3*X4+AB$3</f>
        <v>147.03494153068721</v>
      </c>
      <c r="AD4" s="50">
        <f t="shared" ref="AD4:AD18" si="3">2*AA$3*Y4+Z$3</f>
        <v>-2.3964936128092948</v>
      </c>
      <c r="AE4" s="52">
        <f t="shared" ref="AE4:AE18" si="4">AD4*-1</f>
        <v>2.3964936128092948</v>
      </c>
      <c r="AI4" s="86">
        <v>1966.7408472748</v>
      </c>
      <c r="AJ4" s="86">
        <v>190.77224603963501</v>
      </c>
      <c r="AK4" s="86">
        <v>149.27437607072599</v>
      </c>
      <c r="AM4">
        <v>2003</v>
      </c>
      <c r="AN4">
        <v>1966.741892506318</v>
      </c>
      <c r="AO4">
        <v>190.77251572858941</v>
      </c>
      <c r="AP4">
        <v>149.27686866230582</v>
      </c>
    </row>
    <row r="5" spans="1:42">
      <c r="A5" s="154">
        <v>2004</v>
      </c>
      <c r="B5" s="95">
        <v>148.36876707169239</v>
      </c>
      <c r="C5" s="156">
        <v>2</v>
      </c>
      <c r="D5" s="174">
        <v>192.6373444590279</v>
      </c>
      <c r="E5" s="173">
        <v>1967.3083964249106</v>
      </c>
      <c r="F5" s="94">
        <v>62.252190463656881</v>
      </c>
      <c r="G5" s="94">
        <v>118.17999999999999</v>
      </c>
      <c r="H5" s="95">
        <v>1</v>
      </c>
      <c r="I5" s="95">
        <v>7.2099999999999991</v>
      </c>
      <c r="J5" s="103">
        <v>0.96441369942800592</v>
      </c>
      <c r="K5" s="102">
        <v>2.6142738869710866</v>
      </c>
      <c r="L5" s="102" t="e">
        <v>#N/A</v>
      </c>
      <c r="M5" s="102" t="e">
        <v>#N/A</v>
      </c>
      <c r="N5" s="102" t="e">
        <v>#N/A</v>
      </c>
      <c r="O5" s="102" t="e">
        <v>#N/A</v>
      </c>
      <c r="P5" s="102" t="e">
        <v>#N/A</v>
      </c>
      <c r="Q5" s="102" t="e">
        <v>#N/A</v>
      </c>
      <c r="R5" s="18">
        <f t="shared" si="0"/>
        <v>145.28161559012568</v>
      </c>
      <c r="S5" s="17">
        <f t="shared" si="1"/>
        <v>-3.0871514815667069</v>
      </c>
      <c r="X5">
        <v>9</v>
      </c>
      <c r="Y5" s="48">
        <v>3</v>
      </c>
      <c r="Z5" s="49">
        <v>0.92058911198436655</v>
      </c>
      <c r="AA5" s="35">
        <v>2.8907333007812226</v>
      </c>
      <c r="AB5" s="36" t="e">
        <v>#N/A</v>
      </c>
      <c r="AC5" s="1">
        <f t="shared" si="2"/>
        <v>144.66863295836643</v>
      </c>
      <c r="AD5" s="50">
        <f t="shared" si="3"/>
        <v>-2.3361235318322287</v>
      </c>
      <c r="AE5" s="52">
        <f t="shared" si="4"/>
        <v>2.3361235318322287</v>
      </c>
      <c r="AI5" s="86">
        <v>1967.3089079942899</v>
      </c>
      <c r="AJ5" s="86">
        <v>192.63912478866101</v>
      </c>
      <c r="AK5" s="86">
        <v>148.36619207925099</v>
      </c>
      <c r="AM5">
        <v>2004</v>
      </c>
      <c r="AN5">
        <v>1967.3083964249106</v>
      </c>
      <c r="AO5">
        <v>192.6373444590279</v>
      </c>
      <c r="AP5">
        <v>148.36876707169239</v>
      </c>
    </row>
    <row r="6" spans="1:42">
      <c r="A6" s="154">
        <v>2005</v>
      </c>
      <c r="B6" s="95">
        <v>144.31143316726519</v>
      </c>
      <c r="C6" s="156">
        <v>3</v>
      </c>
      <c r="D6" s="174">
        <v>190.50215849843778</v>
      </c>
      <c r="E6" s="173">
        <v>1967.5059761325456</v>
      </c>
      <c r="F6" s="94">
        <v>59.418598548606063</v>
      </c>
      <c r="G6" s="94">
        <v>124.23333333333332</v>
      </c>
      <c r="H6" s="95">
        <v>1</v>
      </c>
      <c r="I6" s="95">
        <v>6.4222222222222225</v>
      </c>
      <c r="J6" s="102">
        <v>34.843758715087759</v>
      </c>
      <c r="K6" s="102">
        <v>9</v>
      </c>
      <c r="L6" s="102" t="e">
        <v>#N/A</v>
      </c>
      <c r="M6" s="102" t="e">
        <v>#N/A</v>
      </c>
      <c r="N6" s="102" t="e">
        <v>#N/A</v>
      </c>
      <c r="O6" s="102" t="e">
        <v>#N/A</v>
      </c>
      <c r="P6" s="102" t="e">
        <v>#N/A</v>
      </c>
      <c r="Q6" s="102" t="e">
        <v>#N/A</v>
      </c>
      <c r="R6" s="18">
        <f t="shared" si="0"/>
        <v>143.21707888614046</v>
      </c>
      <c r="S6" s="17">
        <f t="shared" si="1"/>
        <v>-1.0943542811247369</v>
      </c>
      <c r="X6">
        <v>16</v>
      </c>
      <c r="Y6" s="48">
        <v>4</v>
      </c>
      <c r="Z6" s="34">
        <v>69.556389683223216</v>
      </c>
      <c r="AA6" s="35">
        <v>12</v>
      </c>
      <c r="AB6" s="36" t="e">
        <v>#N/A</v>
      </c>
      <c r="AC6" s="1">
        <f t="shared" si="2"/>
        <v>142.36269446702275</v>
      </c>
      <c r="AD6" s="50">
        <f t="shared" si="3"/>
        <v>-2.275753450855162</v>
      </c>
      <c r="AE6" s="52">
        <f t="shared" si="4"/>
        <v>2.275753450855162</v>
      </c>
      <c r="AI6" s="86">
        <v>1967.5053328327299</v>
      </c>
      <c r="AJ6" s="86">
        <v>190.50324350256599</v>
      </c>
      <c r="AK6" s="86">
        <v>144.309918234533</v>
      </c>
      <c r="AM6">
        <v>2005</v>
      </c>
      <c r="AN6">
        <v>1967.5059761325456</v>
      </c>
      <c r="AO6">
        <v>190.50215849843778</v>
      </c>
      <c r="AP6">
        <v>144.31143316726519</v>
      </c>
    </row>
    <row r="7" spans="1:42" ht="17" thickBot="1">
      <c r="A7" s="154">
        <v>2006</v>
      </c>
      <c r="B7" s="95">
        <v>136.10114239645284</v>
      </c>
      <c r="C7" s="156">
        <v>4</v>
      </c>
      <c r="D7" s="174">
        <v>189.12383651806906</v>
      </c>
      <c r="E7" s="173">
        <v>1967.5123527209853</v>
      </c>
      <c r="F7" s="94">
        <v>55.588858419296379</v>
      </c>
      <c r="G7" s="94">
        <v>103.9375</v>
      </c>
      <c r="H7" s="95">
        <v>1</v>
      </c>
      <c r="I7" s="95">
        <v>5.3875000000000002</v>
      </c>
      <c r="J7" s="102">
        <v>1666.9601106057266</v>
      </c>
      <c r="K7" s="102">
        <v>61.50985160489023</v>
      </c>
      <c r="L7" s="102" t="e">
        <v>#N/A</v>
      </c>
      <c r="M7" s="102" t="e">
        <v>#N/A</v>
      </c>
      <c r="N7" s="102" t="e">
        <v>#N/A</v>
      </c>
      <c r="O7" s="102" t="e">
        <v>#N/A</v>
      </c>
      <c r="P7" s="102" t="e">
        <v>#N/A</v>
      </c>
      <c r="Q7" s="102" t="e">
        <v>#N/A</v>
      </c>
      <c r="R7" s="18">
        <f t="shared" si="0"/>
        <v>140.83376044359881</v>
      </c>
      <c r="S7" s="17">
        <f t="shared" si="1"/>
        <v>4.7326180471459622</v>
      </c>
      <c r="X7">
        <v>25</v>
      </c>
      <c r="Y7" s="48">
        <v>5</v>
      </c>
      <c r="Z7" s="37">
        <v>1162.4735458781886</v>
      </c>
      <c r="AA7" s="38">
        <v>100.27606819494603</v>
      </c>
      <c r="AB7" s="39" t="e">
        <v>#N/A</v>
      </c>
      <c r="AC7" s="1">
        <f t="shared" si="2"/>
        <v>140.1171260566561</v>
      </c>
      <c r="AD7" s="50">
        <f t="shared" si="3"/>
        <v>-2.2153833698780958</v>
      </c>
      <c r="AE7" s="52">
        <f t="shared" si="4"/>
        <v>2.2153833698780958</v>
      </c>
      <c r="AI7" s="86">
        <v>1967.5118148838101</v>
      </c>
      <c r="AJ7" s="86">
        <v>189.12361020242599</v>
      </c>
      <c r="AK7" s="86">
        <v>136.10214719506101</v>
      </c>
      <c r="AM7">
        <v>2006</v>
      </c>
      <c r="AN7">
        <v>1967.5123527209853</v>
      </c>
      <c r="AO7">
        <v>189.12383651806906</v>
      </c>
      <c r="AP7">
        <v>136.10114239645284</v>
      </c>
    </row>
    <row r="8" spans="1:42">
      <c r="A8" s="154">
        <v>2007</v>
      </c>
      <c r="B8" s="95">
        <v>132.39513698642048</v>
      </c>
      <c r="C8" s="156">
        <v>5</v>
      </c>
      <c r="D8" s="174">
        <v>190.51373244564186</v>
      </c>
      <c r="E8" s="173">
        <v>1968.4098278219237</v>
      </c>
      <c r="F8" s="94">
        <v>61.328764266572868</v>
      </c>
      <c r="G8" s="94">
        <v>122.88888888888891</v>
      </c>
      <c r="H8" s="95">
        <v>1</v>
      </c>
      <c r="I8" s="95">
        <v>7.4333333333333327</v>
      </c>
      <c r="R8" s="18">
        <f t="shared" si="0"/>
        <v>136.04371192787073</v>
      </c>
      <c r="S8" s="17">
        <f t="shared" si="1"/>
        <v>3.6485749414502493</v>
      </c>
      <c r="X8">
        <v>36</v>
      </c>
      <c r="Y8" s="48">
        <v>6</v>
      </c>
      <c r="AC8" s="1">
        <f t="shared" si="2"/>
        <v>137.93192772726655</v>
      </c>
      <c r="AD8" s="50">
        <f t="shared" si="3"/>
        <v>-2.1550132889010296</v>
      </c>
      <c r="AE8" s="52">
        <f t="shared" si="4"/>
        <v>2.1550132889010296</v>
      </c>
      <c r="AI8" s="86">
        <v>1968.4094692782801</v>
      </c>
      <c r="AJ8" s="86">
        <v>190.51098255025099</v>
      </c>
      <c r="AK8" s="86">
        <v>132.395760713356</v>
      </c>
      <c r="AM8">
        <v>2007</v>
      </c>
      <c r="AN8">
        <v>1968.4098278219237</v>
      </c>
      <c r="AO8">
        <v>190.51373244564186</v>
      </c>
      <c r="AP8">
        <v>132.39513698642048</v>
      </c>
    </row>
    <row r="9" spans="1:42">
      <c r="A9" s="154">
        <v>2008</v>
      </c>
      <c r="B9" s="95">
        <v>134.33970635057517</v>
      </c>
      <c r="C9" s="156">
        <v>6</v>
      </c>
      <c r="D9" s="174">
        <v>190.9588618295864</v>
      </c>
      <c r="E9" s="173">
        <v>1969.0525575553365</v>
      </c>
      <c r="F9" s="94">
        <v>58.991050546315968</v>
      </c>
      <c r="G9" s="94">
        <v>110.61111111111111</v>
      </c>
      <c r="H9" s="95">
        <v>1</v>
      </c>
      <c r="I9" s="95">
        <v>6.8222222222222229</v>
      </c>
      <c r="R9" s="18">
        <f t="shared" si="0"/>
        <v>134.79516417001312</v>
      </c>
      <c r="S9" s="17">
        <f t="shared" si="1"/>
        <v>0.45545781943795305</v>
      </c>
      <c r="X9">
        <v>49</v>
      </c>
      <c r="Y9" s="48">
        <v>7</v>
      </c>
      <c r="AC9" s="1">
        <f t="shared" si="2"/>
        <v>135.80709947885407</v>
      </c>
      <c r="AD9" s="50">
        <f t="shared" si="3"/>
        <v>-2.0946432079239634</v>
      </c>
      <c r="AE9" s="52">
        <f t="shared" si="4"/>
        <v>2.0946432079239634</v>
      </c>
      <c r="AI9" s="86">
        <v>1969.0520242519101</v>
      </c>
      <c r="AJ9" s="86">
        <v>190.95768185169001</v>
      </c>
      <c r="AK9" s="86">
        <v>134.340572861033</v>
      </c>
      <c r="AM9">
        <v>2008</v>
      </c>
      <c r="AN9">
        <v>1969.0525575553365</v>
      </c>
      <c r="AO9">
        <v>190.9588618295864</v>
      </c>
      <c r="AP9">
        <v>134.33970635057517</v>
      </c>
    </row>
    <row r="10" spans="1:42">
      <c r="A10" s="154">
        <v>2009</v>
      </c>
      <c r="B10" s="95">
        <v>133.64001071980442</v>
      </c>
      <c r="C10" s="156">
        <v>7</v>
      </c>
      <c r="D10" s="174">
        <v>192.51204195722559</v>
      </c>
      <c r="E10" s="173">
        <v>1969.2660901297209</v>
      </c>
      <c r="F10" s="94">
        <v>55.503468794501828</v>
      </c>
      <c r="G10" s="94">
        <v>122.19000000000001</v>
      </c>
      <c r="H10" s="95">
        <v>1</v>
      </c>
      <c r="I10" s="95">
        <v>7.3400000000000007</v>
      </c>
      <c r="R10" s="18">
        <f t="shared" si="0"/>
        <v>133.08086742730021</v>
      </c>
      <c r="S10" s="17">
        <f t="shared" si="1"/>
        <v>-0.55914329250421702</v>
      </c>
      <c r="X10">
        <v>64</v>
      </c>
      <c r="Y10" s="48">
        <v>8</v>
      </c>
      <c r="AC10" s="1">
        <f t="shared" si="2"/>
        <v>133.74264131141862</v>
      </c>
      <c r="AD10" s="50">
        <f t="shared" si="3"/>
        <v>-2.0342731269468972</v>
      </c>
      <c r="AE10" s="52">
        <f t="shared" si="4"/>
        <v>2.0342731269468972</v>
      </c>
      <c r="AI10" s="86">
        <v>1969.2658393479201</v>
      </c>
      <c r="AJ10" s="86">
        <v>192.51517852082699</v>
      </c>
      <c r="AK10" s="86">
        <v>133.647234191211</v>
      </c>
      <c r="AM10">
        <v>2009</v>
      </c>
      <c r="AN10">
        <v>1969.2660901297209</v>
      </c>
      <c r="AO10">
        <v>192.51204195722559</v>
      </c>
      <c r="AP10">
        <v>133.64001071980442</v>
      </c>
    </row>
    <row r="11" spans="1:42">
      <c r="A11" s="154">
        <v>2010</v>
      </c>
      <c r="B11" s="95">
        <v>136.24549900230178</v>
      </c>
      <c r="C11" s="156">
        <v>8</v>
      </c>
      <c r="D11" s="174">
        <v>190.81077494494539</v>
      </c>
      <c r="E11" s="173">
        <v>1969.0156400235724</v>
      </c>
      <c r="F11" s="94">
        <v>59.738876274737322</v>
      </c>
      <c r="G11" s="94">
        <v>95.788888888888891</v>
      </c>
      <c r="H11" s="95">
        <v>1</v>
      </c>
      <c r="I11" s="95">
        <v>4.5222222222222221</v>
      </c>
      <c r="R11" s="18">
        <f t="shared" si="0"/>
        <v>135.04895985491797</v>
      </c>
      <c r="S11" s="17">
        <f t="shared" si="1"/>
        <v>-1.1965391473838167</v>
      </c>
      <c r="X11">
        <v>81</v>
      </c>
      <c r="Y11" s="48">
        <v>9</v>
      </c>
      <c r="AC11" s="1">
        <f t="shared" si="2"/>
        <v>131.73855322496027</v>
      </c>
      <c r="AD11" s="50">
        <f t="shared" si="3"/>
        <v>-1.9739030459698308</v>
      </c>
      <c r="AE11" s="52">
        <f t="shared" si="4"/>
        <v>1.9739030459698308</v>
      </c>
      <c r="AI11" s="86">
        <v>1968.95132210561</v>
      </c>
      <c r="AJ11" s="86">
        <v>190.776414368237</v>
      </c>
      <c r="AK11" s="86">
        <v>136.13853978520899</v>
      </c>
      <c r="AM11">
        <v>2010</v>
      </c>
      <c r="AN11">
        <v>1969.0156400235724</v>
      </c>
      <c r="AO11">
        <v>190.81077494494539</v>
      </c>
      <c r="AP11">
        <v>136.24549900230178</v>
      </c>
    </row>
    <row r="12" spans="1:42">
      <c r="A12" s="154">
        <v>2011</v>
      </c>
      <c r="B12" s="95">
        <v>128.93157561087887</v>
      </c>
      <c r="C12" s="156">
        <v>9</v>
      </c>
      <c r="D12" s="174">
        <v>191.25548063623762</v>
      </c>
      <c r="E12" s="173">
        <v>1968.8693026472386</v>
      </c>
      <c r="F12" s="94">
        <v>55.611400076502584</v>
      </c>
      <c r="G12" s="94">
        <v>143.81111111111113</v>
      </c>
      <c r="H12" s="95">
        <v>1</v>
      </c>
      <c r="I12" s="95">
        <v>7.2555555555555555</v>
      </c>
      <c r="R12" s="18">
        <f t="shared" si="0"/>
        <v>128.86617060620264</v>
      </c>
      <c r="S12" s="17">
        <f t="shared" si="1"/>
        <v>-6.5405004676222234E-2</v>
      </c>
      <c r="X12">
        <v>100</v>
      </c>
      <c r="Y12" s="48">
        <v>10</v>
      </c>
      <c r="AC12" s="1">
        <f t="shared" si="2"/>
        <v>129.79483521947895</v>
      </c>
      <c r="AD12" s="50">
        <f t="shared" si="3"/>
        <v>-1.9135329649927644</v>
      </c>
      <c r="AE12" s="52">
        <f t="shared" si="4"/>
        <v>1.9135329649927644</v>
      </c>
      <c r="AI12" s="86">
        <v>1968.80598505834</v>
      </c>
      <c r="AJ12" s="86">
        <v>191.35348812221901</v>
      </c>
      <c r="AK12" s="86">
        <v>129.062802540642</v>
      </c>
      <c r="AM12">
        <v>2011</v>
      </c>
      <c r="AN12">
        <v>1968.8693026472386</v>
      </c>
      <c r="AO12">
        <v>191.25548063623762</v>
      </c>
      <c r="AP12">
        <v>128.93157561087887</v>
      </c>
    </row>
    <row r="13" spans="1:42">
      <c r="A13" s="154">
        <v>2012</v>
      </c>
      <c r="B13" s="95">
        <v>129.59398350567298</v>
      </c>
      <c r="C13" s="156">
        <v>10</v>
      </c>
      <c r="D13" s="174">
        <v>190.66004173945791</v>
      </c>
      <c r="E13" s="173">
        <v>1968.7875159355965</v>
      </c>
      <c r="F13" s="94">
        <v>57.653964897623688</v>
      </c>
      <c r="G13" s="94">
        <v>119.25555555555555</v>
      </c>
      <c r="H13" s="95">
        <v>1</v>
      </c>
      <c r="I13" s="95">
        <v>6.4111111111111114</v>
      </c>
      <c r="R13" s="18">
        <f t="shared" si="0"/>
        <v>126.80698624819269</v>
      </c>
      <c r="S13" s="17">
        <f t="shared" si="1"/>
        <v>-2.7869972574802944</v>
      </c>
      <c r="X13">
        <v>121</v>
      </c>
      <c r="Y13" s="48">
        <v>11</v>
      </c>
      <c r="AC13" s="1">
        <f t="shared" si="2"/>
        <v>127.91148729497473</v>
      </c>
      <c r="AD13" s="50">
        <f t="shared" si="3"/>
        <v>-1.8531628840156982</v>
      </c>
      <c r="AE13" s="52">
        <f t="shared" si="4"/>
        <v>1.8531628840156982</v>
      </c>
      <c r="AI13" s="86">
        <v>1968.66227303694</v>
      </c>
      <c r="AJ13" s="86">
        <v>190.69552422420301</v>
      </c>
      <c r="AK13" s="86">
        <v>129.66949463384799</v>
      </c>
      <c r="AM13">
        <v>2012</v>
      </c>
      <c r="AN13">
        <v>1968.7875159355965</v>
      </c>
      <c r="AO13">
        <v>190.66004173945791</v>
      </c>
      <c r="AP13">
        <v>129.59398350567298</v>
      </c>
    </row>
    <row r="14" spans="1:42">
      <c r="A14" s="154">
        <v>2013</v>
      </c>
      <c r="B14" s="95">
        <v>126.92958807517094</v>
      </c>
      <c r="C14" s="156">
        <v>11</v>
      </c>
      <c r="D14" s="174">
        <v>191.87910516165812</v>
      </c>
      <c r="E14" s="173">
        <v>1969.031641350412</v>
      </c>
      <c r="F14" s="94">
        <v>57.88977746019134</v>
      </c>
      <c r="G14" s="94">
        <v>86.944444444444443</v>
      </c>
      <c r="H14" s="95">
        <v>1</v>
      </c>
      <c r="I14" s="95">
        <v>5.7333333333333334</v>
      </c>
      <c r="R14" s="18">
        <f t="shared" si="0"/>
        <v>125.39631901292829</v>
      </c>
      <c r="S14" s="17">
        <f t="shared" si="1"/>
        <v>-1.5332690622426526</v>
      </c>
      <c r="X14">
        <v>144</v>
      </c>
      <c r="Y14" s="48">
        <v>12</v>
      </c>
      <c r="AC14" s="1">
        <f t="shared" si="2"/>
        <v>126.08850945144758</v>
      </c>
      <c r="AD14" s="50">
        <f t="shared" si="3"/>
        <v>-1.792792803038632</v>
      </c>
      <c r="AE14" s="52">
        <f t="shared" si="4"/>
        <v>1.792792803038632</v>
      </c>
      <c r="AI14" s="86">
        <v>1968.97767868233</v>
      </c>
      <c r="AJ14" s="86">
        <v>192.06430514495801</v>
      </c>
      <c r="AK14" s="86">
        <v>126.927570719367</v>
      </c>
      <c r="AM14">
        <v>2013</v>
      </c>
      <c r="AN14">
        <v>1969.031641350412</v>
      </c>
      <c r="AO14">
        <v>191.87910516165812</v>
      </c>
      <c r="AP14">
        <v>126.92958807517094</v>
      </c>
    </row>
    <row r="15" spans="1:42">
      <c r="A15" s="154">
        <v>2014</v>
      </c>
      <c r="B15" s="95">
        <v>119.36613969778801</v>
      </c>
      <c r="C15" s="156">
        <v>12</v>
      </c>
      <c r="D15" s="174">
        <v>194.1145640206984</v>
      </c>
      <c r="E15" s="173">
        <v>1968.812740834526</v>
      </c>
      <c r="F15" s="94">
        <v>56.438034364150134</v>
      </c>
      <c r="G15" s="94">
        <v>109.32222222222222</v>
      </c>
      <c r="H15" s="95">
        <v>1</v>
      </c>
      <c r="I15" s="95">
        <v>8.0555555555555554</v>
      </c>
      <c r="R15" s="18">
        <f t="shared" si="0"/>
        <v>120.51027263780732</v>
      </c>
      <c r="S15" s="17">
        <f t="shared" si="1"/>
        <v>1.1441329400193041</v>
      </c>
      <c r="X15">
        <v>169</v>
      </c>
      <c r="Y15" s="48">
        <v>13</v>
      </c>
      <c r="AC15" s="1">
        <f t="shared" si="2"/>
        <v>124.32590168889747</v>
      </c>
      <c r="AD15" s="50">
        <f t="shared" si="3"/>
        <v>-1.7324227220615658</v>
      </c>
      <c r="AE15" s="52">
        <f t="shared" si="4"/>
        <v>1.7324227220615658</v>
      </c>
      <c r="AI15" s="86">
        <v>1968.80163983431</v>
      </c>
      <c r="AJ15" s="86">
        <v>194.279200153734</v>
      </c>
      <c r="AK15" s="86">
        <v>119.478775865587</v>
      </c>
      <c r="AM15">
        <v>2014</v>
      </c>
      <c r="AN15">
        <v>1968.812740834526</v>
      </c>
      <c r="AO15">
        <v>194.1145640206984</v>
      </c>
      <c r="AP15">
        <v>119.36613969778801</v>
      </c>
    </row>
    <row r="16" spans="1:42">
      <c r="A16" s="154">
        <v>2015</v>
      </c>
      <c r="B16" s="95">
        <v>122.71933246932593</v>
      </c>
      <c r="C16" s="156">
        <v>13</v>
      </c>
      <c r="D16" s="174">
        <v>195.46838200393785</v>
      </c>
      <c r="E16" s="173">
        <v>1968.6660495177823</v>
      </c>
      <c r="F16" s="94">
        <v>61.525534188633991</v>
      </c>
      <c r="G16" s="94">
        <v>116.21111111111109</v>
      </c>
      <c r="H16" s="95">
        <v>1</v>
      </c>
      <c r="I16" s="95">
        <v>7.133333333333332</v>
      </c>
      <c r="R16" s="18">
        <f t="shared" si="0"/>
        <v>122.50845783118127</v>
      </c>
      <c r="S16" s="17">
        <f t="shared" si="1"/>
        <v>-0.21087463814465934</v>
      </c>
      <c r="X16">
        <v>196</v>
      </c>
      <c r="Y16" s="48">
        <v>14</v>
      </c>
      <c r="AC16" s="1">
        <f t="shared" si="2"/>
        <v>122.62366400732444</v>
      </c>
      <c r="AD16" s="50">
        <f t="shared" si="3"/>
        <v>-1.6720526410844994</v>
      </c>
      <c r="AE16" s="52">
        <f t="shared" si="4"/>
        <v>1.6720526410844994</v>
      </c>
      <c r="AI16" s="86">
        <v>1968.644225279</v>
      </c>
      <c r="AJ16" s="86">
        <v>195.617159269833</v>
      </c>
      <c r="AK16" s="86">
        <v>122.618197220059</v>
      </c>
      <c r="AM16">
        <v>2015</v>
      </c>
      <c r="AN16">
        <v>1968.6660495177823</v>
      </c>
      <c r="AO16">
        <v>195.46838200393785</v>
      </c>
      <c r="AP16">
        <v>122.71933246932593</v>
      </c>
    </row>
    <row r="17" spans="1:42">
      <c r="A17" s="154">
        <v>2016</v>
      </c>
      <c r="B17" s="95">
        <v>125.91786049029689</v>
      </c>
      <c r="C17" s="156">
        <v>14</v>
      </c>
      <c r="D17" s="174">
        <v>198.86793014010743</v>
      </c>
      <c r="E17" s="173">
        <v>1968.727808212537</v>
      </c>
      <c r="F17" s="94">
        <v>68.998488766070622</v>
      </c>
      <c r="G17" s="94">
        <v>96.624999999999986</v>
      </c>
      <c r="H17" s="95">
        <v>1</v>
      </c>
      <c r="I17" s="95">
        <v>5.5500000000000007</v>
      </c>
      <c r="J17" s="19">
        <f>CORREL(R3:R16,B3:B16)</f>
        <v>0.97355209182135682</v>
      </c>
      <c r="K17" s="20" t="s">
        <v>11</v>
      </c>
      <c r="R17" s="18">
        <f t="shared" si="0"/>
        <v>126.59256489515579</v>
      </c>
      <c r="S17" s="17">
        <f t="shared" si="1"/>
        <v>0.67470440485890038</v>
      </c>
      <c r="X17">
        <v>225</v>
      </c>
      <c r="Y17" s="48">
        <v>15</v>
      </c>
      <c r="AC17" s="1">
        <f t="shared" si="2"/>
        <v>120.98179640672848</v>
      </c>
      <c r="AD17" s="50">
        <f t="shared" si="3"/>
        <v>-1.6116825601074332</v>
      </c>
      <c r="AE17" s="52">
        <f t="shared" si="4"/>
        <v>1.6116825601074332</v>
      </c>
      <c r="AI17" s="86">
        <v>1968.80485176553</v>
      </c>
      <c r="AJ17" s="86">
        <v>199.08916948600401</v>
      </c>
      <c r="AK17" s="86">
        <v>125.651637721475</v>
      </c>
      <c r="AM17">
        <v>2016</v>
      </c>
      <c r="AN17">
        <v>1968.727808212537</v>
      </c>
      <c r="AO17">
        <v>198.86793014010743</v>
      </c>
      <c r="AP17">
        <v>125.91786049029689</v>
      </c>
    </row>
    <row r="18" spans="1:42">
      <c r="A18" s="155">
        <v>2017</v>
      </c>
      <c r="B18" s="95">
        <v>125.32507546749285</v>
      </c>
      <c r="C18" s="156">
        <v>15</v>
      </c>
      <c r="D18" s="174">
        <v>202.42772138819686</v>
      </c>
      <c r="E18" s="173">
        <v>1968.6423752507142</v>
      </c>
      <c r="F18" s="94">
        <v>84.16313785135317</v>
      </c>
      <c r="G18" s="94">
        <v>105.78888888888889</v>
      </c>
      <c r="H18" s="95">
        <v>1</v>
      </c>
      <c r="I18" s="95">
        <v>6.7888888888888896</v>
      </c>
      <c r="R18" s="18">
        <f t="shared" si="0"/>
        <v>125.84297330245964</v>
      </c>
      <c r="S18" s="17">
        <f t="shared" si="1"/>
        <v>0.51789783496678865</v>
      </c>
      <c r="X18">
        <v>256</v>
      </c>
      <c r="Y18" s="48">
        <v>16</v>
      </c>
      <c r="AC18" s="1">
        <f t="shared" si="2"/>
        <v>119.40029888710957</v>
      </c>
      <c r="AD18" s="50">
        <f t="shared" si="3"/>
        <v>-1.5513124791303667</v>
      </c>
      <c r="AE18" s="52">
        <f t="shared" si="4"/>
        <v>1.5513124791303667</v>
      </c>
      <c r="AI18" s="86">
        <v>1968.6917676297001</v>
      </c>
      <c r="AJ18" s="86">
        <v>202.636551724138</v>
      </c>
      <c r="AK18" s="86">
        <v>125.11303510406999</v>
      </c>
      <c r="AM18">
        <v>2017</v>
      </c>
      <c r="AN18">
        <v>1968.6423752507142</v>
      </c>
      <c r="AO18">
        <v>202.42772138819686</v>
      </c>
      <c r="AP18">
        <v>125.32507546749285</v>
      </c>
    </row>
    <row r="19" spans="1:42">
      <c r="A19" s="97">
        <v>2018</v>
      </c>
      <c r="B19" s="95">
        <v>113.18011872759864</v>
      </c>
      <c r="C19" s="99">
        <v>16</v>
      </c>
      <c r="D19" s="174">
        <v>189.39161290322579</v>
      </c>
      <c r="E19" s="173">
        <v>1973.4744623655913</v>
      </c>
      <c r="F19" s="152">
        <v>84</v>
      </c>
      <c r="G19" s="152">
        <v>118.6</v>
      </c>
      <c r="H19" s="153">
        <v>1</v>
      </c>
      <c r="I19" s="153">
        <v>6.4</v>
      </c>
      <c r="R19" s="98">
        <f t="shared" si="0"/>
        <v>113.15821644571896</v>
      </c>
      <c r="S19" s="100">
        <f t="shared" si="1"/>
        <v>-2.1902281879675911E-2</v>
      </c>
      <c r="Y19" s="48"/>
      <c r="AC19" s="1"/>
      <c r="AD19" s="50"/>
      <c r="AE19" s="52"/>
      <c r="AI19" s="86"/>
      <c r="AJ19" s="86"/>
      <c r="AK19" s="86"/>
      <c r="AM19">
        <v>2018</v>
      </c>
      <c r="AN19">
        <v>1973.4744623655913</v>
      </c>
      <c r="AO19">
        <v>189.39161290322579</v>
      </c>
      <c r="AP19">
        <v>113.18011872759864</v>
      </c>
    </row>
    <row r="20" spans="1:42">
      <c r="A20" s="21"/>
      <c r="B20" s="83">
        <f>SUM(B3:B19)</f>
        <v>2254.4977527916008</v>
      </c>
      <c r="C20" s="21"/>
      <c r="D20" s="21"/>
      <c r="E20" s="21"/>
      <c r="F20" s="21"/>
      <c r="G20" s="21"/>
      <c r="H20" s="21"/>
      <c r="I20" s="21"/>
      <c r="J20" s="21" t="s">
        <v>2</v>
      </c>
      <c r="K20" s="21"/>
      <c r="L20" s="21"/>
      <c r="M20" s="21"/>
      <c r="N20" s="21"/>
      <c r="O20" s="21"/>
      <c r="P20" s="21"/>
      <c r="Q20" s="21"/>
      <c r="R20" s="83">
        <f>SUM(R3:R19)</f>
        <v>2254.4977527916003</v>
      </c>
      <c r="S20" s="82">
        <f>SUM(S3:S19)</f>
        <v>-3.836930773104541E-13</v>
      </c>
      <c r="T20" s="22"/>
      <c r="X20" t="s">
        <v>2</v>
      </c>
      <c r="Y20" s="48" t="s">
        <v>2</v>
      </c>
    </row>
    <row r="21" spans="1:42" ht="35" thickBot="1">
      <c r="A21" s="2"/>
      <c r="B21" s="3" t="s">
        <v>15</v>
      </c>
      <c r="C21" s="163" t="s">
        <v>3</v>
      </c>
      <c r="D21" s="163"/>
      <c r="E21" s="163"/>
      <c r="F21" s="163"/>
      <c r="G21" s="163"/>
      <c r="H21" s="163"/>
      <c r="I21" s="163"/>
      <c r="J21" s="162" t="s">
        <v>4</v>
      </c>
      <c r="K21" s="162"/>
      <c r="L21" s="162"/>
      <c r="M21" s="162"/>
      <c r="N21" s="162"/>
      <c r="O21" s="162"/>
      <c r="P21" s="162"/>
      <c r="Q21" s="162"/>
      <c r="R21" s="3" t="s">
        <v>5</v>
      </c>
      <c r="S21" s="4" t="s">
        <v>6</v>
      </c>
      <c r="T21" s="23"/>
      <c r="U21" s="2"/>
      <c r="V21" s="2"/>
      <c r="X21" t="s">
        <v>2</v>
      </c>
      <c r="Y21" s="48" t="s">
        <v>2</v>
      </c>
    </row>
    <row r="22" spans="1:42" ht="69" thickBot="1">
      <c r="A22" s="6" t="s">
        <v>0</v>
      </c>
      <c r="B22" s="47" t="s">
        <v>15</v>
      </c>
      <c r="C22" s="7" t="s">
        <v>0</v>
      </c>
      <c r="D22" s="24" t="s">
        <v>7</v>
      </c>
      <c r="E22" s="8" t="s">
        <v>8</v>
      </c>
      <c r="F22" s="58" t="s">
        <v>23</v>
      </c>
      <c r="G22" s="58" t="s">
        <v>24</v>
      </c>
      <c r="H22" s="58" t="s">
        <v>25</v>
      </c>
      <c r="I22" s="59" t="s">
        <v>26</v>
      </c>
      <c r="J22" s="9" t="str">
        <f>I22</f>
        <v>TMK Tagestem-peratur</v>
      </c>
      <c r="K22" s="10" t="str">
        <f>H22</f>
        <v>NM Bedeckung</v>
      </c>
      <c r="L22" s="10" t="str">
        <f>G22</f>
        <v>SDK Sonne</v>
      </c>
      <c r="M22" s="10" t="str">
        <f>F22</f>
        <v>FM Wind</v>
      </c>
      <c r="N22" s="10" t="s">
        <v>9</v>
      </c>
      <c r="O22" s="10" t="s">
        <v>10</v>
      </c>
      <c r="P22" s="10" t="s">
        <v>0</v>
      </c>
      <c r="Q22" s="61" t="s">
        <v>1</v>
      </c>
      <c r="R22" s="62" t="s">
        <v>27</v>
      </c>
      <c r="S22" s="112"/>
      <c r="T22" s="25"/>
      <c r="U22" s="111" t="s">
        <v>12</v>
      </c>
      <c r="V22" s="5"/>
      <c r="X22" t="s">
        <v>2</v>
      </c>
      <c r="Y22" s="48" t="s">
        <v>2</v>
      </c>
    </row>
    <row r="23" spans="1:42">
      <c r="A23" s="13">
        <v>2002</v>
      </c>
      <c r="B23" s="14">
        <f t="shared" ref="B23:B39" si="5">B3</f>
        <v>147.85551439055783</v>
      </c>
      <c r="C23" s="15">
        <v>0</v>
      </c>
      <c r="D23" s="26">
        <f>AVERAGE(D$3:D$19)</f>
        <v>192.3954685835011</v>
      </c>
      <c r="E23" s="27">
        <f>AVERAGE(E$3:E$19)</f>
        <v>1968.5619121284956</v>
      </c>
      <c r="F23" s="57">
        <f>F3</f>
        <v>60.949923010742488</v>
      </c>
      <c r="G23" s="57">
        <f>G3</f>
        <v>105.47777777777779</v>
      </c>
      <c r="H23" s="57">
        <f>H3</f>
        <v>1</v>
      </c>
      <c r="I23" s="80">
        <f>I3</f>
        <v>6.7777777777777768</v>
      </c>
      <c r="J23" s="102">
        <f t="array" ref="J23:Q27">LINEST(B23:B39,C23:I39,,TRUE)</f>
        <v>-1.6970180260380583</v>
      </c>
      <c r="K23" s="102">
        <v>0</v>
      </c>
      <c r="L23" s="102">
        <v>1.0283386355477703E-2</v>
      </c>
      <c r="M23" s="102">
        <v>0.14388149746326717</v>
      </c>
      <c r="N23" s="102">
        <v>0</v>
      </c>
      <c r="O23" s="102">
        <v>0</v>
      </c>
      <c r="P23" s="102">
        <v>-2.0634322499970068</v>
      </c>
      <c r="Q23" s="102">
        <v>150.12372877194446</v>
      </c>
      <c r="R23" s="94">
        <f>J$23*I23+K$23*H23+L$23*G23+M$23*F23+N$23*E23+O$23*D23+P$23*C23+Q$23</f>
        <v>148.47595264043798</v>
      </c>
      <c r="S23" s="113">
        <f>R23-B23</f>
        <v>0.62043824988015217</v>
      </c>
      <c r="T23" s="28">
        <f>LINEST(R23:R39,C23:C39)</f>
        <v>-1.9246769582661056</v>
      </c>
      <c r="U23" s="63">
        <f t="shared" ref="U23:U39" si="6">R3-R23</f>
        <v>-1.7482356461534323</v>
      </c>
    </row>
    <row r="24" spans="1:42">
      <c r="A24" s="13">
        <v>2003</v>
      </c>
      <c r="B24" s="14">
        <f t="shared" si="5"/>
        <v>149.27686866230582</v>
      </c>
      <c r="C24" s="15">
        <v>1</v>
      </c>
      <c r="D24" s="26">
        <f t="shared" ref="D24:E39" si="7">AVERAGE(D$3:D$19)</f>
        <v>192.3954685835011</v>
      </c>
      <c r="E24" s="27">
        <f t="shared" si="7"/>
        <v>1968.5619121284956</v>
      </c>
      <c r="F24" s="57">
        <f t="shared" ref="F24:G39" si="8">F4</f>
        <v>54.756058205951653</v>
      </c>
      <c r="G24" s="57">
        <f t="shared" si="8"/>
        <v>135.61111111111109</v>
      </c>
      <c r="H24" s="57">
        <f t="shared" ref="H24:I24" si="9">H4</f>
        <v>1</v>
      </c>
      <c r="I24" s="80">
        <f t="shared" si="9"/>
        <v>5.9222222222222216</v>
      </c>
      <c r="J24" s="102">
        <v>1.1105034597596219</v>
      </c>
      <c r="K24" s="102">
        <v>0</v>
      </c>
      <c r="L24" s="102">
        <v>7.1438454856821584E-2</v>
      </c>
      <c r="M24" s="102">
        <v>0.1181531428747014</v>
      </c>
      <c r="N24" s="102">
        <v>0</v>
      </c>
      <c r="O24" s="102">
        <v>0</v>
      </c>
      <c r="P24" s="102">
        <v>0.21752232681704745</v>
      </c>
      <c r="Q24" s="102">
        <v>10.499875483880361</v>
      </c>
      <c r="R24" s="94">
        <f t="shared" ref="R24:R38" si="10">J$23*I24+K$23*H24+L$23*G24+M$23*F24+N$23*E24+O$23*D24+P$23*C24+Q$23</f>
        <v>147.28310375614248</v>
      </c>
      <c r="S24" s="114">
        <f t="shared" ref="S24:S38" si="11">R24-B24</f>
        <v>-1.9937649061633351</v>
      </c>
      <c r="T24" s="29">
        <f>LINEST(B23:B39,C23:C39)</f>
        <v>-1.9246769582661056</v>
      </c>
      <c r="U24" s="63">
        <f t="shared" si="6"/>
        <v>2.5038127615600558</v>
      </c>
    </row>
    <row r="25" spans="1:42">
      <c r="A25" s="13">
        <v>2004</v>
      </c>
      <c r="B25" s="14">
        <f t="shared" si="5"/>
        <v>148.36876707169239</v>
      </c>
      <c r="C25" s="15">
        <v>2</v>
      </c>
      <c r="D25" s="26">
        <f t="shared" si="7"/>
        <v>192.3954685835011</v>
      </c>
      <c r="E25" s="27">
        <f t="shared" si="7"/>
        <v>1968.5619121284956</v>
      </c>
      <c r="F25" s="57">
        <f t="shared" si="8"/>
        <v>62.252190463656881</v>
      </c>
      <c r="G25" s="57">
        <f t="shared" si="8"/>
        <v>118.17999999999999</v>
      </c>
      <c r="H25" s="57">
        <f t="shared" ref="H25:I25" si="12">H5</f>
        <v>1</v>
      </c>
      <c r="I25" s="80">
        <f t="shared" si="12"/>
        <v>7.2099999999999991</v>
      </c>
      <c r="J25" s="103">
        <v>0.92618001675738548</v>
      </c>
      <c r="K25" s="102">
        <v>3.4058188662366744</v>
      </c>
      <c r="L25" s="102" t="e">
        <v>#N/A</v>
      </c>
      <c r="M25" s="102" t="e">
        <v>#N/A</v>
      </c>
      <c r="N25" s="102" t="e">
        <v>#N/A</v>
      </c>
      <c r="O25" s="102" t="e">
        <v>#N/A</v>
      </c>
      <c r="P25" s="102" t="e">
        <v>#N/A</v>
      </c>
      <c r="Q25" s="102" t="e">
        <v>#N/A</v>
      </c>
      <c r="R25" s="94">
        <f t="shared" si="10"/>
        <v>143.93359328798587</v>
      </c>
      <c r="S25" s="114">
        <f t="shared" si="11"/>
        <v>-4.4351737837065173</v>
      </c>
      <c r="T25" s="22"/>
      <c r="U25" s="63">
        <f t="shared" si="6"/>
        <v>1.3480223021398103</v>
      </c>
    </row>
    <row r="26" spans="1:42">
      <c r="A26" s="13">
        <v>2005</v>
      </c>
      <c r="B26" s="14">
        <f t="shared" si="5"/>
        <v>144.31143316726519</v>
      </c>
      <c r="C26" s="15">
        <v>3</v>
      </c>
      <c r="D26" s="26">
        <f t="shared" si="7"/>
        <v>192.3954685835011</v>
      </c>
      <c r="E26" s="27">
        <f t="shared" si="7"/>
        <v>1968.5619121284956</v>
      </c>
      <c r="F26" s="57">
        <f t="shared" si="8"/>
        <v>59.418598548606063</v>
      </c>
      <c r="G26" s="57">
        <f t="shared" si="8"/>
        <v>124.23333333333332</v>
      </c>
      <c r="H26" s="57">
        <f t="shared" ref="H26:I26" si="13">H6</f>
        <v>1</v>
      </c>
      <c r="I26" s="80">
        <f t="shared" si="13"/>
        <v>6.4222222222222225</v>
      </c>
      <c r="J26" s="102">
        <v>27.602228385362078</v>
      </c>
      <c r="K26" s="102">
        <v>11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94">
        <f t="shared" si="10"/>
        <v>142.86158144485779</v>
      </c>
      <c r="S26" s="114">
        <f t="shared" si="11"/>
        <v>-1.4498517224074021</v>
      </c>
      <c r="T26" s="22"/>
      <c r="U26" s="63">
        <f t="shared" si="6"/>
        <v>0.35549744128266525</v>
      </c>
    </row>
    <row r="27" spans="1:42">
      <c r="A27" s="13">
        <v>2006</v>
      </c>
      <c r="B27" s="14">
        <f t="shared" si="5"/>
        <v>136.10114239645284</v>
      </c>
      <c r="C27" s="15">
        <v>4</v>
      </c>
      <c r="D27" s="26">
        <f t="shared" si="7"/>
        <v>192.3954685835011</v>
      </c>
      <c r="E27" s="27">
        <f t="shared" si="7"/>
        <v>1968.5619121284956</v>
      </c>
      <c r="F27" s="57">
        <f t="shared" si="8"/>
        <v>55.588858419296379</v>
      </c>
      <c r="G27" s="57">
        <f t="shared" si="8"/>
        <v>103.9375</v>
      </c>
      <c r="H27" s="57">
        <f t="shared" ref="H27:I27" si="14">H7</f>
        <v>1</v>
      </c>
      <c r="I27" s="80">
        <f t="shared" si="14"/>
        <v>5.3875000000000002</v>
      </c>
      <c r="J27" s="102">
        <v>1600.8743385648665</v>
      </c>
      <c r="K27" s="102">
        <v>127.59562364575034</v>
      </c>
      <c r="L27" s="102" t="e">
        <v>#N/A</v>
      </c>
      <c r="M27" s="102" t="e">
        <v>#N/A</v>
      </c>
      <c r="N27" s="102" t="e">
        <v>#N/A</v>
      </c>
      <c r="O27" s="102" t="e">
        <v>#N/A</v>
      </c>
      <c r="P27" s="102" t="e">
        <v>#N/A</v>
      </c>
      <c r="Q27" s="102" t="e">
        <v>#N/A</v>
      </c>
      <c r="R27" s="94">
        <f t="shared" si="10"/>
        <v>141.79435281764077</v>
      </c>
      <c r="S27" s="114">
        <f t="shared" si="11"/>
        <v>5.6932104211879277</v>
      </c>
      <c r="T27" s="22"/>
      <c r="U27" s="63">
        <f t="shared" si="6"/>
        <v>-0.96059237404196551</v>
      </c>
    </row>
    <row r="28" spans="1:42">
      <c r="A28" s="13">
        <v>2007</v>
      </c>
      <c r="B28" s="14">
        <f t="shared" si="5"/>
        <v>132.39513698642048</v>
      </c>
      <c r="C28" s="15">
        <v>5</v>
      </c>
      <c r="D28" s="26">
        <f t="shared" si="7"/>
        <v>192.3954685835011</v>
      </c>
      <c r="E28" s="27">
        <f t="shared" si="7"/>
        <v>1968.5619121284956</v>
      </c>
      <c r="F28" s="57">
        <f t="shared" si="8"/>
        <v>61.328764266572868</v>
      </c>
      <c r="G28" s="57">
        <f t="shared" si="8"/>
        <v>122.88888888888891</v>
      </c>
      <c r="H28" s="57">
        <f t="shared" ref="H28:I28" si="15">H8</f>
        <v>1</v>
      </c>
      <c r="I28" s="57">
        <f t="shared" si="15"/>
        <v>7.4333333333333327</v>
      </c>
      <c r="R28" s="94">
        <f t="shared" si="10"/>
        <v>137.27985522522923</v>
      </c>
      <c r="S28" s="114">
        <f t="shared" si="11"/>
        <v>4.8847182388087447</v>
      </c>
      <c r="T28" s="22"/>
      <c r="U28" s="63">
        <f t="shared" si="6"/>
        <v>-1.2361432973584954</v>
      </c>
    </row>
    <row r="29" spans="1:42">
      <c r="A29" s="13">
        <v>2008</v>
      </c>
      <c r="B29" s="14">
        <f t="shared" si="5"/>
        <v>134.33970635057517</v>
      </c>
      <c r="C29" s="15">
        <v>6</v>
      </c>
      <c r="D29" s="26">
        <f t="shared" si="7"/>
        <v>192.3954685835011</v>
      </c>
      <c r="E29" s="27">
        <f t="shared" si="7"/>
        <v>1968.5619121284956</v>
      </c>
      <c r="F29" s="57">
        <f t="shared" si="8"/>
        <v>58.991050546315968</v>
      </c>
      <c r="G29" s="57">
        <f t="shared" si="8"/>
        <v>110.61111111111111</v>
      </c>
      <c r="H29" s="57">
        <f t="shared" ref="H29:I29" si="16">H9</f>
        <v>1</v>
      </c>
      <c r="I29" s="57">
        <f t="shared" si="16"/>
        <v>6.8222222222222229</v>
      </c>
      <c r="R29" s="94">
        <f t="shared" si="10"/>
        <v>135.79087866351333</v>
      </c>
      <c r="S29" s="114">
        <f t="shared" si="11"/>
        <v>1.4511723129381551</v>
      </c>
      <c r="T29" s="22"/>
      <c r="U29" s="63">
        <f t="shared" si="6"/>
        <v>-0.99571449350020202</v>
      </c>
    </row>
    <row r="30" spans="1:42">
      <c r="A30" s="13">
        <v>2009</v>
      </c>
      <c r="B30" s="14">
        <f t="shared" si="5"/>
        <v>133.64001071980442</v>
      </c>
      <c r="C30" s="15">
        <v>7</v>
      </c>
      <c r="D30" s="26">
        <f t="shared" si="7"/>
        <v>192.3954685835011</v>
      </c>
      <c r="E30" s="27">
        <f t="shared" si="7"/>
        <v>1968.5619121284956</v>
      </c>
      <c r="F30" s="57">
        <f t="shared" si="8"/>
        <v>55.503468794501828</v>
      </c>
      <c r="G30" s="57">
        <f t="shared" si="8"/>
        <v>122.19000000000001</v>
      </c>
      <c r="H30" s="57">
        <f t="shared" ref="H30:I30" si="17">H10</f>
        <v>1</v>
      </c>
      <c r="I30" s="57">
        <f t="shared" si="17"/>
        <v>7.3400000000000007</v>
      </c>
      <c r="R30" s="94">
        <f t="shared" si="10"/>
        <v>132.46603989418051</v>
      </c>
      <c r="S30" s="114">
        <f t="shared" si="11"/>
        <v>-1.1739708256239112</v>
      </c>
      <c r="T30" s="22"/>
      <c r="U30" s="63">
        <f t="shared" si="6"/>
        <v>0.61482753311969418</v>
      </c>
    </row>
    <row r="31" spans="1:42">
      <c r="A31" s="13">
        <v>2010</v>
      </c>
      <c r="B31" s="14">
        <f t="shared" si="5"/>
        <v>136.24549900230178</v>
      </c>
      <c r="C31" s="15">
        <v>8</v>
      </c>
      <c r="D31" s="26">
        <f t="shared" si="7"/>
        <v>192.3954685835011</v>
      </c>
      <c r="E31" s="27">
        <f t="shared" si="7"/>
        <v>1968.5619121284956</v>
      </c>
      <c r="F31" s="57">
        <f t="shared" si="8"/>
        <v>59.738876274737322</v>
      </c>
      <c r="G31" s="57">
        <f t="shared" si="8"/>
        <v>95.788888888888891</v>
      </c>
      <c r="H31" s="57">
        <f t="shared" ref="H31:I31" si="18">H11</f>
        <v>1</v>
      </c>
      <c r="I31" s="57">
        <f t="shared" si="18"/>
        <v>4.5222222222222221</v>
      </c>
      <c r="R31" s="94">
        <f t="shared" si="10"/>
        <v>135.52233127129583</v>
      </c>
      <c r="S31" s="114">
        <f t="shared" si="11"/>
        <v>-0.7231677310059581</v>
      </c>
      <c r="T31" s="22"/>
      <c r="U31" s="63">
        <f t="shared" si="6"/>
        <v>-0.47337141637785862</v>
      </c>
    </row>
    <row r="32" spans="1:42">
      <c r="A32" s="13">
        <v>2011</v>
      </c>
      <c r="B32" s="14">
        <f t="shared" si="5"/>
        <v>128.93157561087887</v>
      </c>
      <c r="C32" s="15">
        <v>9</v>
      </c>
      <c r="D32" s="26">
        <f t="shared" si="7"/>
        <v>192.3954685835011</v>
      </c>
      <c r="E32" s="27">
        <f t="shared" si="7"/>
        <v>1968.5619121284956</v>
      </c>
      <c r="F32" s="57">
        <f t="shared" si="8"/>
        <v>55.611400076502584</v>
      </c>
      <c r="G32" s="57">
        <f t="shared" si="8"/>
        <v>143.81111111111113</v>
      </c>
      <c r="H32" s="57">
        <f t="shared" ref="H32:I32" si="19">H12</f>
        <v>1</v>
      </c>
      <c r="I32" s="57">
        <f t="shared" si="19"/>
        <v>7.2555555555555555</v>
      </c>
      <c r="R32" s="94">
        <f t="shared" si="10"/>
        <v>128.72034669207517</v>
      </c>
      <c r="S32" s="114">
        <f t="shared" si="11"/>
        <v>-0.21122891880369821</v>
      </c>
      <c r="T32" s="22"/>
      <c r="U32" s="63">
        <f t="shared" si="6"/>
        <v>0.14582391412747597</v>
      </c>
    </row>
    <row r="33" spans="1:21">
      <c r="A33" s="13">
        <v>2012</v>
      </c>
      <c r="B33" s="14">
        <f t="shared" si="5"/>
        <v>129.59398350567298</v>
      </c>
      <c r="C33" s="15">
        <v>10</v>
      </c>
      <c r="D33" s="26">
        <f t="shared" si="7"/>
        <v>192.3954685835011</v>
      </c>
      <c r="E33" s="27">
        <f t="shared" si="7"/>
        <v>1968.5619121284956</v>
      </c>
      <c r="F33" s="57">
        <f t="shared" si="8"/>
        <v>57.653964897623688</v>
      </c>
      <c r="G33" s="57">
        <f t="shared" si="8"/>
        <v>119.25555555555555</v>
      </c>
      <c r="H33" s="57">
        <f t="shared" ref="H33:I33" si="20">H13</f>
        <v>1</v>
      </c>
      <c r="I33" s="57">
        <f t="shared" si="20"/>
        <v>6.4111111111111114</v>
      </c>
      <c r="R33" s="94">
        <f t="shared" si="10"/>
        <v>128.13132490646561</v>
      </c>
      <c r="S33" s="114">
        <f t="shared" si="11"/>
        <v>-1.4626585992073728</v>
      </c>
      <c r="T33" s="22"/>
      <c r="U33" s="63">
        <f t="shared" si="6"/>
        <v>-1.3243386582729215</v>
      </c>
    </row>
    <row r="34" spans="1:21">
      <c r="A34" s="13">
        <v>2013</v>
      </c>
      <c r="B34" s="14">
        <f t="shared" si="5"/>
        <v>126.92958807517094</v>
      </c>
      <c r="C34" s="15">
        <v>11</v>
      </c>
      <c r="D34" s="26">
        <f t="shared" si="7"/>
        <v>192.3954685835011</v>
      </c>
      <c r="E34" s="27">
        <f t="shared" si="7"/>
        <v>1968.5619121284956</v>
      </c>
      <c r="F34" s="57">
        <f t="shared" si="8"/>
        <v>57.88977746019134</v>
      </c>
      <c r="G34" s="57">
        <f t="shared" si="8"/>
        <v>86.944444444444443</v>
      </c>
      <c r="H34" s="57">
        <f t="shared" ref="H34:I34" si="21">H14</f>
        <v>1</v>
      </c>
      <c r="I34" s="57">
        <f t="shared" si="21"/>
        <v>5.7333333333333334</v>
      </c>
      <c r="R34" s="94">
        <f t="shared" si="10"/>
        <v>126.91975518849806</v>
      </c>
      <c r="S34" s="114">
        <f t="shared" si="11"/>
        <v>-9.8328866728820685E-3</v>
      </c>
      <c r="T34" s="22"/>
      <c r="U34" s="63">
        <f t="shared" si="6"/>
        <v>-1.5234361755697705</v>
      </c>
    </row>
    <row r="35" spans="1:21">
      <c r="A35" s="13">
        <v>2014</v>
      </c>
      <c r="B35" s="14">
        <f t="shared" si="5"/>
        <v>119.36613969778801</v>
      </c>
      <c r="C35" s="15">
        <v>12</v>
      </c>
      <c r="D35" s="26">
        <f t="shared" si="7"/>
        <v>192.3954685835011</v>
      </c>
      <c r="E35" s="27">
        <f t="shared" si="7"/>
        <v>1968.5619121284956</v>
      </c>
      <c r="F35" s="57">
        <f t="shared" si="8"/>
        <v>56.438034364150134</v>
      </c>
      <c r="G35" s="57">
        <f t="shared" si="8"/>
        <v>109.32222222222222</v>
      </c>
      <c r="H35" s="57">
        <f t="shared" ref="H35:I35" si="22">H15</f>
        <v>1</v>
      </c>
      <c r="I35" s="57">
        <f t="shared" si="22"/>
        <v>8.0555555555555554</v>
      </c>
      <c r="R35" s="94">
        <f t="shared" si="10"/>
        <v>120.93671033099932</v>
      </c>
      <c r="S35" s="114">
        <f t="shared" si="11"/>
        <v>1.5705706332113039</v>
      </c>
      <c r="T35" s="22"/>
      <c r="U35" s="63">
        <f t="shared" si="6"/>
        <v>-0.42643769319199976</v>
      </c>
    </row>
    <row r="36" spans="1:21">
      <c r="A36" s="13">
        <v>2015</v>
      </c>
      <c r="B36" s="14">
        <f t="shared" si="5"/>
        <v>122.71933246932593</v>
      </c>
      <c r="C36" s="15">
        <v>13</v>
      </c>
      <c r="D36" s="26">
        <f t="shared" si="7"/>
        <v>192.3954685835011</v>
      </c>
      <c r="E36" s="27">
        <f t="shared" si="7"/>
        <v>1968.5619121284956</v>
      </c>
      <c r="F36" s="57">
        <f t="shared" si="8"/>
        <v>61.525534188633991</v>
      </c>
      <c r="G36" s="57">
        <f t="shared" si="8"/>
        <v>116.21111111111109</v>
      </c>
      <c r="H36" s="57">
        <f t="shared" ref="H36:I36" si="23">H16</f>
        <v>1</v>
      </c>
      <c r="I36" s="57">
        <f t="shared" si="23"/>
        <v>7.133333333333332</v>
      </c>
      <c r="R36" s="94">
        <f t="shared" si="10"/>
        <v>121.24114401522155</v>
      </c>
      <c r="S36" s="114">
        <f t="shared" si="11"/>
        <v>-1.4781884541043837</v>
      </c>
      <c r="T36" s="22"/>
      <c r="U36" s="63">
        <f t="shared" si="6"/>
        <v>1.2673138159597244</v>
      </c>
    </row>
    <row r="37" spans="1:21">
      <c r="A37" s="13">
        <v>2016</v>
      </c>
      <c r="B37" s="14">
        <f t="shared" si="5"/>
        <v>125.91786049029689</v>
      </c>
      <c r="C37" s="15">
        <v>14</v>
      </c>
      <c r="D37" s="26">
        <f t="shared" si="7"/>
        <v>192.3954685835011</v>
      </c>
      <c r="E37" s="27">
        <f t="shared" si="7"/>
        <v>1968.5619121284956</v>
      </c>
      <c r="F37" s="57">
        <f t="shared" si="8"/>
        <v>68.998488766070622</v>
      </c>
      <c r="G37" s="57">
        <f t="shared" si="8"/>
        <v>96.624999999999986</v>
      </c>
      <c r="H37" s="57">
        <f t="shared" ref="H37:I37" si="24">H17</f>
        <v>1</v>
      </c>
      <c r="I37" s="57">
        <f t="shared" si="24"/>
        <v>5.5500000000000007</v>
      </c>
      <c r="J37" s="19">
        <f>CORREL(R23:R36,B23:B36)</f>
        <v>0.9594796411394666</v>
      </c>
      <c r="K37" s="20" t="s">
        <v>11</v>
      </c>
      <c r="R37" s="94">
        <f t="shared" si="10"/>
        <v>122.73846532043783</v>
      </c>
      <c r="S37" s="114">
        <f t="shared" si="11"/>
        <v>-3.1793951698590632</v>
      </c>
      <c r="T37" s="22"/>
      <c r="U37" s="63">
        <f t="shared" si="6"/>
        <v>3.8540995747179636</v>
      </c>
    </row>
    <row r="38" spans="1:21">
      <c r="A38" s="13">
        <v>2017</v>
      </c>
      <c r="B38" s="14">
        <f t="shared" si="5"/>
        <v>125.32507546749285</v>
      </c>
      <c r="C38" s="30">
        <v>15</v>
      </c>
      <c r="D38" s="26">
        <f t="shared" si="7"/>
        <v>192.3954685835011</v>
      </c>
      <c r="E38" s="27">
        <f t="shared" si="7"/>
        <v>1968.5619121284956</v>
      </c>
      <c r="F38" s="57">
        <f t="shared" si="8"/>
        <v>84.16313785135317</v>
      </c>
      <c r="G38" s="57">
        <f t="shared" si="8"/>
        <v>105.78888888888889</v>
      </c>
      <c r="H38" s="57">
        <f t="shared" ref="H38:I39" si="25">H18</f>
        <v>1</v>
      </c>
      <c r="I38" s="57">
        <f t="shared" si="25"/>
        <v>6.7888888888888896</v>
      </c>
      <c r="R38" s="94">
        <f t="shared" si="10"/>
        <v>120.84876452259664</v>
      </c>
      <c r="S38" s="114">
        <f t="shared" si="11"/>
        <v>-4.4763109448962126</v>
      </c>
      <c r="T38" s="22"/>
      <c r="U38" s="63">
        <f t="shared" si="6"/>
        <v>4.9942087798630013</v>
      </c>
    </row>
    <row r="39" spans="1:21" ht="17" thickBot="1">
      <c r="A39" s="101">
        <v>2018</v>
      </c>
      <c r="B39" s="104">
        <f t="shared" si="5"/>
        <v>113.18011872759864</v>
      </c>
      <c r="C39" s="105">
        <v>16</v>
      </c>
      <c r="D39" s="26">
        <f t="shared" si="7"/>
        <v>192.3954685835011</v>
      </c>
      <c r="E39" s="27">
        <f t="shared" si="7"/>
        <v>1968.5619121284956</v>
      </c>
      <c r="F39" s="106">
        <f t="shared" si="8"/>
        <v>84</v>
      </c>
      <c r="G39" s="106">
        <f t="shared" si="8"/>
        <v>118.6</v>
      </c>
      <c r="H39" s="106">
        <f t="shared" si="25"/>
        <v>1</v>
      </c>
      <c r="I39" s="106">
        <f t="shared" si="25"/>
        <v>6.4</v>
      </c>
      <c r="R39" s="94">
        <f t="shared" ref="R39" si="26">J$23*I39+K$23*H39+L$23*G39+M$23*F39+N$23*E39+O$23*D39+P$23*C39+Q$23</f>
        <v>119.55355281402288</v>
      </c>
      <c r="S39" s="115">
        <f t="shared" ref="S39" si="27">R39-B39</f>
        <v>6.3734340864242398</v>
      </c>
      <c r="T39" s="22"/>
      <c r="U39" s="64">
        <f t="shared" si="6"/>
        <v>-6.3953363683039157</v>
      </c>
    </row>
    <row r="40" spans="1:21">
      <c r="A40" s="21"/>
      <c r="B40" s="83">
        <f>SUM(B23:B38)</f>
        <v>2141.317634064002</v>
      </c>
      <c r="C40" s="21"/>
      <c r="D40" s="21"/>
      <c r="E40" s="21"/>
      <c r="F40" s="21"/>
      <c r="G40" s="21"/>
      <c r="H40" s="21"/>
      <c r="I40" s="21"/>
      <c r="J40" s="21" t="s">
        <v>2</v>
      </c>
      <c r="K40" s="21"/>
      <c r="L40" s="21"/>
      <c r="M40" s="21"/>
      <c r="N40" s="21"/>
      <c r="O40" s="21"/>
      <c r="P40" s="21"/>
      <c r="Q40" s="21"/>
      <c r="R40" s="83">
        <f>SUM(R23:R39)</f>
        <v>2254.4977527916012</v>
      </c>
      <c r="S40" s="82">
        <f>SUM(S23:S39)</f>
        <v>-2.1316282072803006E-13</v>
      </c>
      <c r="T40" s="22"/>
      <c r="U40" s="82">
        <f>SUM(U23:U39)</f>
        <v>-1.7053025658242404E-13</v>
      </c>
    </row>
    <row r="41" spans="1:21" ht="35" thickBot="1">
      <c r="A41" s="2"/>
      <c r="B41" s="3" t="s">
        <v>15</v>
      </c>
      <c r="C41" s="163" t="s">
        <v>3</v>
      </c>
      <c r="D41" s="163"/>
      <c r="E41" s="163"/>
      <c r="F41" s="163"/>
      <c r="G41" s="163"/>
      <c r="H41" s="163"/>
      <c r="I41" s="163"/>
      <c r="J41" s="162" t="s">
        <v>4</v>
      </c>
      <c r="K41" s="162"/>
      <c r="L41" s="162"/>
      <c r="M41" s="162"/>
      <c r="N41" s="162"/>
      <c r="O41" s="162"/>
      <c r="P41" s="162"/>
      <c r="Q41" s="162"/>
      <c r="R41" s="3" t="s">
        <v>5</v>
      </c>
      <c r="S41" s="4" t="s">
        <v>6</v>
      </c>
      <c r="T41" s="23"/>
    </row>
    <row r="42" spans="1:21" ht="68">
      <c r="A42" s="6" t="s">
        <v>0</v>
      </c>
      <c r="B42" s="67" t="s">
        <v>16</v>
      </c>
      <c r="C42" s="7" t="s">
        <v>0</v>
      </c>
      <c r="D42" s="24" t="s">
        <v>7</v>
      </c>
      <c r="E42" s="8" t="s">
        <v>8</v>
      </c>
      <c r="F42" s="58" t="s">
        <v>23</v>
      </c>
      <c r="G42" s="58" t="s">
        <v>24</v>
      </c>
      <c r="H42" s="58" t="s">
        <v>25</v>
      </c>
      <c r="I42" s="59" t="s">
        <v>26</v>
      </c>
      <c r="J42" s="9" t="str">
        <f>I42</f>
        <v>TMK Tagestem-peratur</v>
      </c>
      <c r="K42" s="10" t="str">
        <f>H42</f>
        <v>NM Bedeckung</v>
      </c>
      <c r="L42" s="10" t="str">
        <f>G42</f>
        <v>SDK Sonne</v>
      </c>
      <c r="M42" s="10" t="str">
        <f>F42</f>
        <v>FM Wind</v>
      </c>
      <c r="N42" s="10" t="s">
        <v>13</v>
      </c>
      <c r="O42" s="10" t="s">
        <v>10</v>
      </c>
      <c r="P42" s="31" t="s">
        <v>0</v>
      </c>
      <c r="Q42" s="32" t="s">
        <v>1</v>
      </c>
      <c r="R42" s="62" t="s">
        <v>27</v>
      </c>
      <c r="S42" s="6"/>
      <c r="T42" s="25"/>
    </row>
    <row r="43" spans="1:21">
      <c r="A43" s="13">
        <v>2002</v>
      </c>
      <c r="B43" s="65">
        <f t="shared" ref="B43:B59" si="28">B3-U23</f>
        <v>149.60375003671126</v>
      </c>
      <c r="C43" s="15">
        <v>0</v>
      </c>
      <c r="D43" s="26">
        <f t="shared" ref="D43:E43" si="29">D23</f>
        <v>192.3954685835011</v>
      </c>
      <c r="E43" s="33">
        <f t="shared" si="29"/>
        <v>1968.5619121284956</v>
      </c>
      <c r="F43" s="57">
        <f t="shared" ref="F43:F59" si="30">F3</f>
        <v>60.949923010742488</v>
      </c>
      <c r="G43" s="57">
        <f t="shared" ref="G43:I43" si="31">G3</f>
        <v>105.47777777777779</v>
      </c>
      <c r="H43" s="57">
        <f t="shared" si="31"/>
        <v>1</v>
      </c>
      <c r="I43" s="80">
        <f t="shared" si="31"/>
        <v>6.7777777777777768</v>
      </c>
      <c r="J43" s="102">
        <f t="array" ref="J43:Q47">LINEST(B43:B59,C43:I59,,TRUE)</f>
        <v>-1.6970180260380781</v>
      </c>
      <c r="K43" s="102">
        <v>0</v>
      </c>
      <c r="L43" s="102">
        <v>1.0283386355478366E-2</v>
      </c>
      <c r="M43" s="102">
        <v>0.14388149746326598</v>
      </c>
      <c r="N43" s="102">
        <v>0</v>
      </c>
      <c r="O43" s="102">
        <v>0</v>
      </c>
      <c r="P43" s="102">
        <v>-2.0634322499970037</v>
      </c>
      <c r="Q43" s="102">
        <v>150.12372877194463</v>
      </c>
      <c r="R43" s="16">
        <f>Q$43+P$43*C43+O$43*D43+N$43*E43+M$43*F43+L$43*G43+K$43*H43+J$43*I43</f>
        <v>148.47595264043798</v>
      </c>
      <c r="S43" s="17">
        <f>R43-B43</f>
        <v>-1.1277973962732801</v>
      </c>
      <c r="T43" s="40">
        <f>LINEST(R43:R59,C43:C59)</f>
        <v>-1.9246769582661034</v>
      </c>
    </row>
    <row r="44" spans="1:21">
      <c r="A44" s="13">
        <v>2003</v>
      </c>
      <c r="B44" s="65">
        <f t="shared" si="28"/>
        <v>146.77305590074576</v>
      </c>
      <c r="C44" s="15">
        <v>1</v>
      </c>
      <c r="D44" s="26">
        <f t="shared" ref="D44:E44" si="32">D24</f>
        <v>192.3954685835011</v>
      </c>
      <c r="E44" s="33">
        <f t="shared" si="32"/>
        <v>1968.5619121284956</v>
      </c>
      <c r="F44" s="57">
        <f t="shared" si="30"/>
        <v>54.756058205951653</v>
      </c>
      <c r="G44" s="57">
        <f t="shared" ref="G44:I59" si="33">G4</f>
        <v>135.61111111111109</v>
      </c>
      <c r="H44" s="57">
        <f t="shared" si="33"/>
        <v>1</v>
      </c>
      <c r="I44" s="80">
        <f t="shared" si="33"/>
        <v>5.9222222222222216</v>
      </c>
      <c r="J44" s="102">
        <v>0.62217503767527116</v>
      </c>
      <c r="K44" s="102">
        <v>0</v>
      </c>
      <c r="L44" s="102">
        <v>4.0024389794901784E-2</v>
      </c>
      <c r="M44" s="102">
        <v>6.61969447041897E-2</v>
      </c>
      <c r="N44" s="102">
        <v>0</v>
      </c>
      <c r="O44" s="102">
        <v>0</v>
      </c>
      <c r="P44" s="102">
        <v>0.1218699146708683</v>
      </c>
      <c r="Q44" s="102">
        <v>5.8827015506849403</v>
      </c>
      <c r="R44" s="16">
        <f t="shared" ref="R44:R59" si="34">Q$43+P$43*C44+O$43*D44+N$43*E44+M$43*F44+L$43*G44+K$43*H44+J$43*I44</f>
        <v>147.28310375614257</v>
      </c>
      <c r="S44" s="17">
        <f t="shared" ref="S44:S59" si="35">R44-B44</f>
        <v>0.51004785539680597</v>
      </c>
      <c r="T44" s="40">
        <f>LINEST(B43:B59,C43:C59)</f>
        <v>-1.9246769582661045</v>
      </c>
    </row>
    <row r="45" spans="1:21">
      <c r="A45" s="13">
        <v>2004</v>
      </c>
      <c r="B45" s="65">
        <f t="shared" si="28"/>
        <v>147.02074476955258</v>
      </c>
      <c r="C45" s="15">
        <v>2</v>
      </c>
      <c r="D45" s="26">
        <f t="shared" ref="D45:E45" si="36">D25</f>
        <v>192.3954685835011</v>
      </c>
      <c r="E45" s="33">
        <f t="shared" si="36"/>
        <v>1968.5619121284956</v>
      </c>
      <c r="F45" s="57">
        <f t="shared" si="30"/>
        <v>62.252190463656881</v>
      </c>
      <c r="G45" s="57">
        <f t="shared" si="33"/>
        <v>118.17999999999999</v>
      </c>
      <c r="H45" s="57">
        <f t="shared" si="33"/>
        <v>1</v>
      </c>
      <c r="I45" s="80">
        <f t="shared" si="33"/>
        <v>7.2099999999999991</v>
      </c>
      <c r="J45" s="103">
        <v>0.9753766752561327</v>
      </c>
      <c r="K45" s="102">
        <v>1.9081574782978448</v>
      </c>
      <c r="L45" s="102" t="e">
        <v>#N/A</v>
      </c>
      <c r="M45" s="102" t="e">
        <v>#N/A</v>
      </c>
      <c r="N45" s="102" t="e">
        <v>#N/A</v>
      </c>
      <c r="O45" s="102" t="e">
        <v>#N/A</v>
      </c>
      <c r="P45" s="102" t="e">
        <v>#N/A</v>
      </c>
      <c r="Q45" s="102" t="e">
        <v>#N/A</v>
      </c>
      <c r="R45" s="16">
        <f t="shared" si="34"/>
        <v>143.9335932879859</v>
      </c>
      <c r="S45" s="17">
        <f t="shared" si="35"/>
        <v>-3.0871514815666785</v>
      </c>
      <c r="T45" s="22"/>
    </row>
    <row r="46" spans="1:21">
      <c r="A46" s="13">
        <v>2005</v>
      </c>
      <c r="B46" s="65">
        <f t="shared" si="28"/>
        <v>143.95593572598253</v>
      </c>
      <c r="C46" s="15">
        <v>3</v>
      </c>
      <c r="D46" s="26">
        <f t="shared" ref="D46:E46" si="37">D26</f>
        <v>192.3954685835011</v>
      </c>
      <c r="E46" s="33">
        <f t="shared" si="37"/>
        <v>1968.5619121284956</v>
      </c>
      <c r="F46" s="57">
        <f t="shared" si="30"/>
        <v>59.418598548606063</v>
      </c>
      <c r="G46" s="57">
        <f t="shared" si="33"/>
        <v>124.23333333333332</v>
      </c>
      <c r="H46" s="57">
        <f t="shared" si="33"/>
        <v>1</v>
      </c>
      <c r="I46" s="80">
        <f t="shared" si="33"/>
        <v>6.4222222222222225</v>
      </c>
      <c r="J46" s="102">
        <v>87.146179806524017</v>
      </c>
      <c r="K46" s="102">
        <v>11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6">
        <f t="shared" si="34"/>
        <v>142.86158144485788</v>
      </c>
      <c r="S46" s="17">
        <f t="shared" si="35"/>
        <v>-1.0943542811246516</v>
      </c>
      <c r="T46" s="22"/>
    </row>
    <row r="47" spans="1:21">
      <c r="A47" s="13">
        <v>2006</v>
      </c>
      <c r="B47" s="65">
        <f t="shared" si="28"/>
        <v>137.06173477049481</v>
      </c>
      <c r="C47" s="15">
        <v>4</v>
      </c>
      <c r="D47" s="26">
        <f t="shared" ref="D47:E47" si="38">D27</f>
        <v>192.3954685835011</v>
      </c>
      <c r="E47" s="33">
        <f t="shared" si="38"/>
        <v>1968.5619121284956</v>
      </c>
      <c r="F47" s="57">
        <f t="shared" si="30"/>
        <v>55.588858419296379</v>
      </c>
      <c r="G47" s="57">
        <f t="shared" si="33"/>
        <v>103.9375</v>
      </c>
      <c r="H47" s="57">
        <f t="shared" si="33"/>
        <v>1</v>
      </c>
      <c r="I47" s="80">
        <f t="shared" si="33"/>
        <v>5.3875000000000002</v>
      </c>
      <c r="J47" s="102">
        <v>1586.5245093214569</v>
      </c>
      <c r="K47" s="102">
        <v>40.051714581823894</v>
      </c>
      <c r="L47" s="102" t="e">
        <v>#N/A</v>
      </c>
      <c r="M47" s="102" t="e">
        <v>#N/A</v>
      </c>
      <c r="N47" s="102" t="e">
        <v>#N/A</v>
      </c>
      <c r="O47" s="102" t="e">
        <v>#N/A</v>
      </c>
      <c r="P47" s="102" t="e">
        <v>#N/A</v>
      </c>
      <c r="Q47" s="102" t="e">
        <v>#N/A</v>
      </c>
      <c r="R47" s="16">
        <f t="shared" si="34"/>
        <v>141.79435281764086</v>
      </c>
      <c r="S47" s="17">
        <f t="shared" si="35"/>
        <v>4.7326180471460475</v>
      </c>
      <c r="T47" s="22"/>
    </row>
    <row r="48" spans="1:21">
      <c r="A48" s="13">
        <v>2007</v>
      </c>
      <c r="B48" s="65">
        <f t="shared" si="28"/>
        <v>133.63128028377898</v>
      </c>
      <c r="C48" s="15">
        <v>5</v>
      </c>
      <c r="D48" s="26">
        <f t="shared" ref="D48:E48" si="39">D28</f>
        <v>192.3954685835011</v>
      </c>
      <c r="E48" s="33">
        <f t="shared" si="39"/>
        <v>1968.5619121284956</v>
      </c>
      <c r="F48" s="57">
        <f t="shared" si="30"/>
        <v>61.328764266572868</v>
      </c>
      <c r="G48" s="57">
        <f t="shared" si="33"/>
        <v>122.88888888888891</v>
      </c>
      <c r="H48" s="57">
        <f t="shared" si="33"/>
        <v>1</v>
      </c>
      <c r="I48" s="57">
        <f t="shared" si="33"/>
        <v>7.4333333333333327</v>
      </c>
      <c r="R48" s="18">
        <f t="shared" si="34"/>
        <v>137.27985522522926</v>
      </c>
      <c r="S48" s="17">
        <f t="shared" si="35"/>
        <v>3.6485749414502777</v>
      </c>
      <c r="T48" s="22"/>
    </row>
    <row r="49" spans="1:21">
      <c r="A49" s="13">
        <v>2008</v>
      </c>
      <c r="B49" s="65">
        <f t="shared" si="28"/>
        <v>135.33542084407537</v>
      </c>
      <c r="C49" s="15">
        <v>6</v>
      </c>
      <c r="D49" s="26">
        <f t="shared" ref="D49:E49" si="40">D29</f>
        <v>192.3954685835011</v>
      </c>
      <c r="E49" s="33">
        <f t="shared" si="40"/>
        <v>1968.5619121284956</v>
      </c>
      <c r="F49" s="57">
        <f t="shared" si="30"/>
        <v>58.991050546315968</v>
      </c>
      <c r="G49" s="57">
        <f t="shared" si="33"/>
        <v>110.61111111111111</v>
      </c>
      <c r="H49" s="57">
        <f t="shared" si="33"/>
        <v>1</v>
      </c>
      <c r="I49" s="57">
        <f t="shared" si="33"/>
        <v>6.8222222222222229</v>
      </c>
      <c r="R49" s="18">
        <f t="shared" si="34"/>
        <v>135.79087866351341</v>
      </c>
      <c r="S49" s="17">
        <f t="shared" si="35"/>
        <v>0.45545781943803831</v>
      </c>
      <c r="T49" s="22"/>
    </row>
    <row r="50" spans="1:21">
      <c r="A50" s="13">
        <v>2009</v>
      </c>
      <c r="B50" s="65">
        <f t="shared" si="28"/>
        <v>133.02518318668473</v>
      </c>
      <c r="C50" s="15">
        <v>7</v>
      </c>
      <c r="D50" s="26">
        <f t="shared" ref="D50:E50" si="41">D30</f>
        <v>192.3954685835011</v>
      </c>
      <c r="E50" s="33">
        <f t="shared" si="41"/>
        <v>1968.5619121284956</v>
      </c>
      <c r="F50" s="57">
        <f t="shared" si="30"/>
        <v>55.503468794501828</v>
      </c>
      <c r="G50" s="57">
        <f t="shared" si="33"/>
        <v>122.19000000000001</v>
      </c>
      <c r="H50" s="57">
        <f t="shared" si="33"/>
        <v>1</v>
      </c>
      <c r="I50" s="57">
        <f t="shared" si="33"/>
        <v>7.3400000000000007</v>
      </c>
      <c r="R50" s="18">
        <f t="shared" si="34"/>
        <v>132.4660398941806</v>
      </c>
      <c r="S50" s="17">
        <f t="shared" si="35"/>
        <v>-0.55914329250413175</v>
      </c>
      <c r="T50" s="22"/>
    </row>
    <row r="51" spans="1:21">
      <c r="A51" s="13">
        <v>2010</v>
      </c>
      <c r="B51" s="65">
        <f t="shared" si="28"/>
        <v>136.71887041867964</v>
      </c>
      <c r="C51" s="15">
        <v>8</v>
      </c>
      <c r="D51" s="26">
        <f t="shared" ref="D51:E51" si="42">D31</f>
        <v>192.3954685835011</v>
      </c>
      <c r="E51" s="33">
        <f t="shared" si="42"/>
        <v>1968.5619121284956</v>
      </c>
      <c r="F51" s="57">
        <f t="shared" si="30"/>
        <v>59.738876274737322</v>
      </c>
      <c r="G51" s="57">
        <f t="shared" si="33"/>
        <v>95.788888888888891</v>
      </c>
      <c r="H51" s="57">
        <f t="shared" si="33"/>
        <v>1</v>
      </c>
      <c r="I51" s="57">
        <f t="shared" si="33"/>
        <v>4.5222222222222221</v>
      </c>
      <c r="R51" s="18">
        <f t="shared" si="34"/>
        <v>135.52233127129594</v>
      </c>
      <c r="S51" s="17">
        <f t="shared" si="35"/>
        <v>-1.196539147383703</v>
      </c>
      <c r="T51" s="22"/>
    </row>
    <row r="52" spans="1:21">
      <c r="A52" s="13">
        <v>2011</v>
      </c>
      <c r="B52" s="65">
        <f t="shared" si="28"/>
        <v>128.78575169675139</v>
      </c>
      <c r="C52" s="15">
        <v>9</v>
      </c>
      <c r="D52" s="26">
        <f t="shared" ref="D52:E52" si="43">D32</f>
        <v>192.3954685835011</v>
      </c>
      <c r="E52" s="33">
        <f t="shared" si="43"/>
        <v>1968.5619121284956</v>
      </c>
      <c r="F52" s="57">
        <f t="shared" si="30"/>
        <v>55.611400076502584</v>
      </c>
      <c r="G52" s="57">
        <f t="shared" si="33"/>
        <v>143.81111111111113</v>
      </c>
      <c r="H52" s="57">
        <f t="shared" si="33"/>
        <v>1</v>
      </c>
      <c r="I52" s="57">
        <f t="shared" si="33"/>
        <v>7.2555555555555555</v>
      </c>
      <c r="R52" s="18">
        <f t="shared" si="34"/>
        <v>128.72034669207525</v>
      </c>
      <c r="S52" s="17">
        <f t="shared" si="35"/>
        <v>-6.5405004676136969E-2</v>
      </c>
      <c r="T52" s="22"/>
    </row>
    <row r="53" spans="1:21">
      <c r="A53" s="13">
        <v>2012</v>
      </c>
      <c r="B53" s="65">
        <f t="shared" si="28"/>
        <v>130.9183221639459</v>
      </c>
      <c r="C53" s="15">
        <v>10</v>
      </c>
      <c r="D53" s="26">
        <f t="shared" ref="D53:E53" si="44">D33</f>
        <v>192.3954685835011</v>
      </c>
      <c r="E53" s="33">
        <f t="shared" si="44"/>
        <v>1968.5619121284956</v>
      </c>
      <c r="F53" s="57">
        <f t="shared" si="30"/>
        <v>57.653964897623688</v>
      </c>
      <c r="G53" s="57">
        <f t="shared" si="33"/>
        <v>119.25555555555555</v>
      </c>
      <c r="H53" s="57">
        <f t="shared" si="33"/>
        <v>1</v>
      </c>
      <c r="I53" s="57">
        <f t="shared" si="33"/>
        <v>6.4111111111111114</v>
      </c>
      <c r="R53" s="18">
        <f t="shared" si="34"/>
        <v>128.13132490646566</v>
      </c>
      <c r="S53" s="17">
        <f t="shared" si="35"/>
        <v>-2.7869972574802375</v>
      </c>
      <c r="T53" s="22"/>
    </row>
    <row r="54" spans="1:21">
      <c r="A54" s="13">
        <v>2013</v>
      </c>
      <c r="B54" s="65">
        <f t="shared" si="28"/>
        <v>128.45302425074073</v>
      </c>
      <c r="C54" s="15">
        <v>11</v>
      </c>
      <c r="D54" s="26">
        <f t="shared" ref="D54:E54" si="45">D34</f>
        <v>192.3954685835011</v>
      </c>
      <c r="E54" s="33">
        <f t="shared" si="45"/>
        <v>1968.5619121284956</v>
      </c>
      <c r="F54" s="57">
        <f t="shared" si="30"/>
        <v>57.88977746019134</v>
      </c>
      <c r="G54" s="57">
        <f t="shared" si="33"/>
        <v>86.944444444444443</v>
      </c>
      <c r="H54" s="57">
        <f t="shared" si="33"/>
        <v>1</v>
      </c>
      <c r="I54" s="57">
        <f t="shared" si="33"/>
        <v>5.7333333333333334</v>
      </c>
      <c r="R54" s="18">
        <f t="shared" si="34"/>
        <v>126.91975518849816</v>
      </c>
      <c r="S54" s="17">
        <f t="shared" si="35"/>
        <v>-1.5332690622425673</v>
      </c>
      <c r="T54" s="22"/>
    </row>
    <row r="55" spans="1:21">
      <c r="A55" s="13">
        <v>2014</v>
      </c>
      <c r="B55" s="65">
        <f t="shared" si="28"/>
        <v>119.79257739098001</v>
      </c>
      <c r="C55" s="15">
        <v>12</v>
      </c>
      <c r="D55" s="26">
        <f t="shared" ref="D55:E55" si="46">D35</f>
        <v>192.3954685835011</v>
      </c>
      <c r="E55" s="33">
        <f t="shared" si="46"/>
        <v>1968.5619121284956</v>
      </c>
      <c r="F55" s="57">
        <f t="shared" si="30"/>
        <v>56.438034364150134</v>
      </c>
      <c r="G55" s="57">
        <f t="shared" si="33"/>
        <v>109.32222222222222</v>
      </c>
      <c r="H55" s="57">
        <f t="shared" si="33"/>
        <v>1</v>
      </c>
      <c r="I55" s="57">
        <f t="shared" si="33"/>
        <v>8.0555555555555554</v>
      </c>
      <c r="R55" s="18">
        <f t="shared" si="34"/>
        <v>120.93671033099936</v>
      </c>
      <c r="S55" s="17">
        <f t="shared" si="35"/>
        <v>1.1441329400193467</v>
      </c>
      <c r="T55" s="22"/>
    </row>
    <row r="56" spans="1:21">
      <c r="A56" s="13">
        <v>2015</v>
      </c>
      <c r="B56" s="65">
        <f t="shared" si="28"/>
        <v>121.45201865336621</v>
      </c>
      <c r="C56" s="15">
        <v>13</v>
      </c>
      <c r="D56" s="26">
        <f t="shared" ref="D56:E56" si="47">D36</f>
        <v>192.3954685835011</v>
      </c>
      <c r="E56" s="33">
        <f t="shared" si="47"/>
        <v>1968.5619121284956</v>
      </c>
      <c r="F56" s="57">
        <f t="shared" si="30"/>
        <v>61.525534188633991</v>
      </c>
      <c r="G56" s="57">
        <f t="shared" si="33"/>
        <v>116.21111111111109</v>
      </c>
      <c r="H56" s="57">
        <f t="shared" si="33"/>
        <v>1</v>
      </c>
      <c r="I56" s="57">
        <f t="shared" si="33"/>
        <v>7.133333333333332</v>
      </c>
      <c r="R56" s="18">
        <f t="shared" si="34"/>
        <v>121.24114401522162</v>
      </c>
      <c r="S56" s="17">
        <f t="shared" si="35"/>
        <v>-0.21087463814458829</v>
      </c>
      <c r="T56" s="22"/>
    </row>
    <row r="57" spans="1:21">
      <c r="A57" s="13">
        <v>2016</v>
      </c>
      <c r="B57" s="65">
        <f t="shared" si="28"/>
        <v>122.06376091557892</v>
      </c>
      <c r="C57" s="15">
        <v>14</v>
      </c>
      <c r="D57" s="26">
        <f t="shared" ref="D57:E57" si="48">D37</f>
        <v>192.3954685835011</v>
      </c>
      <c r="E57" s="33">
        <f t="shared" si="48"/>
        <v>1968.5619121284956</v>
      </c>
      <c r="F57" s="57">
        <f t="shared" si="30"/>
        <v>68.998488766070622</v>
      </c>
      <c r="G57" s="57">
        <f t="shared" si="33"/>
        <v>96.624999999999986</v>
      </c>
      <c r="H57" s="57">
        <f t="shared" si="33"/>
        <v>1</v>
      </c>
      <c r="I57" s="57">
        <f t="shared" si="33"/>
        <v>5.5500000000000007</v>
      </c>
      <c r="J57" s="19">
        <f>CORREL(R43:R56,B43:B56)</f>
        <v>0.97189644287853705</v>
      </c>
      <c r="K57" s="20" t="s">
        <v>11</v>
      </c>
      <c r="R57" s="18">
        <f t="shared" si="34"/>
        <v>122.73846532043794</v>
      </c>
      <c r="S57" s="17">
        <f t="shared" si="35"/>
        <v>0.67470440485901406</v>
      </c>
      <c r="T57" s="22"/>
    </row>
    <row r="58" spans="1:21">
      <c r="A58" s="13">
        <v>2017</v>
      </c>
      <c r="B58" s="65">
        <f t="shared" si="28"/>
        <v>120.33086668762985</v>
      </c>
      <c r="C58" s="30">
        <v>15</v>
      </c>
      <c r="D58" s="26">
        <f t="shared" ref="D58:E58" si="49">D38</f>
        <v>192.3954685835011</v>
      </c>
      <c r="E58" s="33">
        <f t="shared" si="49"/>
        <v>1968.5619121284956</v>
      </c>
      <c r="F58" s="57">
        <f t="shared" si="30"/>
        <v>84.16313785135317</v>
      </c>
      <c r="G58" s="57">
        <f t="shared" si="33"/>
        <v>105.78888888888889</v>
      </c>
      <c r="H58" s="57">
        <f t="shared" si="33"/>
        <v>1</v>
      </c>
      <c r="I58" s="57">
        <f t="shared" si="33"/>
        <v>6.7888888888888896</v>
      </c>
      <c r="R58" s="18">
        <f t="shared" si="34"/>
        <v>120.8487645225967</v>
      </c>
      <c r="S58" s="17">
        <f t="shared" si="35"/>
        <v>0.51789783496684549</v>
      </c>
      <c r="T58" s="22"/>
    </row>
    <row r="59" spans="1:21">
      <c r="A59" s="101">
        <v>2018</v>
      </c>
      <c r="B59" s="65">
        <f t="shared" si="28"/>
        <v>119.57545509590256</v>
      </c>
      <c r="C59" s="30">
        <v>16</v>
      </c>
      <c r="D59" s="26">
        <f t="shared" ref="D59:E59" si="50">D39</f>
        <v>192.3954685835011</v>
      </c>
      <c r="E59" s="33">
        <f t="shared" si="50"/>
        <v>1968.5619121284956</v>
      </c>
      <c r="F59" s="57">
        <f t="shared" si="30"/>
        <v>84</v>
      </c>
      <c r="G59" s="57">
        <f t="shared" si="33"/>
        <v>118.6</v>
      </c>
      <c r="H59" s="57">
        <f t="shared" si="33"/>
        <v>1</v>
      </c>
      <c r="I59" s="57">
        <f t="shared" si="33"/>
        <v>6.4</v>
      </c>
      <c r="R59" s="18">
        <f t="shared" si="34"/>
        <v>119.55355281402296</v>
      </c>
      <c r="S59" s="17">
        <f t="shared" si="35"/>
        <v>-2.1902281879590646E-2</v>
      </c>
      <c r="T59" s="22"/>
    </row>
    <row r="60" spans="1:21" ht="17" thickBot="1">
      <c r="A60" s="21"/>
      <c r="B60" s="83">
        <f>SUM(B43:B59)</f>
        <v>2254.4977527916017</v>
      </c>
      <c r="C60" s="21"/>
      <c r="D60" s="21"/>
      <c r="E60" s="21"/>
      <c r="F60" s="21"/>
      <c r="G60" s="21"/>
      <c r="H60" s="21"/>
      <c r="I60" s="21"/>
      <c r="J60" s="21" t="s">
        <v>2</v>
      </c>
      <c r="K60" s="21"/>
      <c r="L60" s="21"/>
      <c r="M60" s="21"/>
      <c r="N60" s="21"/>
      <c r="O60" s="21"/>
      <c r="P60" s="21"/>
      <c r="Q60" s="21"/>
      <c r="R60" s="83">
        <f>SUM(R43:R59)</f>
        <v>2254.4977527916021</v>
      </c>
      <c r="S60" s="83">
        <f>SUM(S43:S59)</f>
        <v>8.1001871876651421E-13</v>
      </c>
      <c r="T60" s="22"/>
      <c r="U60" t="s">
        <v>2</v>
      </c>
    </row>
    <row r="61" spans="1:21" ht="34">
      <c r="A61" s="41"/>
      <c r="B61" s="3" t="s">
        <v>15</v>
      </c>
      <c r="C61" s="164" t="s">
        <v>3</v>
      </c>
      <c r="D61" s="165"/>
      <c r="E61" s="165"/>
      <c r="F61" s="165"/>
      <c r="G61" s="165"/>
      <c r="H61" s="172" t="s">
        <v>4</v>
      </c>
      <c r="I61" s="165"/>
      <c r="J61" s="165"/>
      <c r="K61" s="165"/>
      <c r="L61" s="165"/>
      <c r="M61" s="165"/>
      <c r="N61" s="62" t="s">
        <v>27</v>
      </c>
      <c r="O61" s="42" t="s">
        <v>6</v>
      </c>
      <c r="P61" s="2"/>
      <c r="Q61" s="2"/>
      <c r="R61" s="3" t="s">
        <v>2</v>
      </c>
      <c r="S61" s="4" t="s">
        <v>2</v>
      </c>
      <c r="T61" s="23"/>
    </row>
    <row r="62" spans="1:21" ht="51">
      <c r="A62" s="6" t="s">
        <v>0</v>
      </c>
      <c r="B62" s="67" t="s">
        <v>16</v>
      </c>
      <c r="C62" s="7" t="s">
        <v>0</v>
      </c>
      <c r="D62" s="58" t="s">
        <v>23</v>
      </c>
      <c r="E62" s="58" t="s">
        <v>24</v>
      </c>
      <c r="F62" s="58" t="s">
        <v>25</v>
      </c>
      <c r="G62" s="59" t="s">
        <v>26</v>
      </c>
      <c r="H62" s="59" t="s">
        <v>26</v>
      </c>
      <c r="I62" s="43" t="str">
        <f>F62</f>
        <v>NM Bedeckung</v>
      </c>
      <c r="J62" s="43" t="str">
        <f>E62</f>
        <v>SDK Sonne</v>
      </c>
      <c r="K62" s="43" t="str">
        <f>D62</f>
        <v>FM Wind</v>
      </c>
      <c r="L62" s="43" t="s">
        <v>0</v>
      </c>
      <c r="M62" s="44" t="s">
        <v>1</v>
      </c>
      <c r="N62" s="96" t="str">
        <f>B62</f>
        <v>Mittel-wert korrigiert</v>
      </c>
      <c r="O62" s="6"/>
      <c r="P62" s="25"/>
      <c r="Q62" t="s">
        <v>14</v>
      </c>
    </row>
    <row r="63" spans="1:21">
      <c r="A63" s="13">
        <v>2002</v>
      </c>
      <c r="B63" s="66">
        <f t="shared" ref="B63:B79" si="51">B43</f>
        <v>149.60375003671126</v>
      </c>
      <c r="C63" s="45">
        <v>0</v>
      </c>
      <c r="D63" s="51">
        <f t="shared" ref="D63:D79" si="52">F3</f>
        <v>60.949923010742488</v>
      </c>
      <c r="E63" s="51">
        <f t="shared" ref="E63:E79" si="53">G3</f>
        <v>105.47777777777779</v>
      </c>
      <c r="F63" s="51">
        <f t="shared" ref="F63:F79" si="54">H3</f>
        <v>1</v>
      </c>
      <c r="G63" s="81">
        <f t="shared" ref="G63:G79" si="55">I3</f>
        <v>6.7777777777777768</v>
      </c>
      <c r="H63">
        <f t="array" ref="H63:M67">LINEST(B63:B79,C63:G79,,TRUE)</f>
        <v>-1.6970180260380781</v>
      </c>
      <c r="I63">
        <v>0</v>
      </c>
      <c r="J63">
        <v>1.0283386355478366E-2</v>
      </c>
      <c r="K63">
        <v>0.14388149746326598</v>
      </c>
      <c r="L63">
        <v>-2.0634322499970037</v>
      </c>
      <c r="M63">
        <v>150.12372877194463</v>
      </c>
      <c r="N63" s="16">
        <f>H$63*G63+I$63*F63+J$63*E63+K$63*D63+L$63*C63+M$63</f>
        <v>148.47595264043801</v>
      </c>
      <c r="O63" s="17">
        <f t="shared" ref="O63:O78" si="56">N63-B63</f>
        <v>-1.1277973962732517</v>
      </c>
      <c r="P63" s="40">
        <f>LINEST(N63:N79,C63:C79)</f>
        <v>-1.9246769582661045</v>
      </c>
      <c r="Q63" t="s">
        <v>2</v>
      </c>
    </row>
    <row r="64" spans="1:21">
      <c r="A64" s="13">
        <v>2003</v>
      </c>
      <c r="B64" s="66">
        <f t="shared" si="51"/>
        <v>146.77305590074576</v>
      </c>
      <c r="C64" s="45">
        <v>1</v>
      </c>
      <c r="D64" s="51">
        <f t="shared" si="52"/>
        <v>54.756058205951653</v>
      </c>
      <c r="E64" s="51">
        <f t="shared" si="53"/>
        <v>135.61111111111109</v>
      </c>
      <c r="F64" s="51">
        <f t="shared" si="54"/>
        <v>1</v>
      </c>
      <c r="G64" s="81">
        <f t="shared" si="55"/>
        <v>5.9222222222222216</v>
      </c>
      <c r="H64">
        <v>0.62217503767527116</v>
      </c>
      <c r="I64">
        <v>0</v>
      </c>
      <c r="J64">
        <v>4.0024389794901784E-2</v>
      </c>
      <c r="K64">
        <v>6.61969447041897E-2</v>
      </c>
      <c r="L64">
        <v>0.1218699146708683</v>
      </c>
      <c r="M64">
        <v>5.8827015506849403</v>
      </c>
      <c r="N64" s="16">
        <f t="shared" ref="N64:N78" si="57">H$63*G64+I$63*F64+J$63*E64+K$63*D64+L$63*C64+M$63</f>
        <v>147.28310375614257</v>
      </c>
      <c r="O64" s="17">
        <f t="shared" si="56"/>
        <v>0.51004785539680597</v>
      </c>
      <c r="P64" s="40">
        <f>LINEST(B63:B79,C63:C79)</f>
        <v>-1.9246769582661045</v>
      </c>
      <c r="Q64" t="s">
        <v>2</v>
      </c>
    </row>
    <row r="65" spans="1:31">
      <c r="A65" s="13">
        <v>2004</v>
      </c>
      <c r="B65" s="66">
        <f t="shared" si="51"/>
        <v>147.02074476955258</v>
      </c>
      <c r="C65" s="45">
        <v>2</v>
      </c>
      <c r="D65" s="51">
        <f t="shared" si="52"/>
        <v>62.252190463656881</v>
      </c>
      <c r="E65" s="51">
        <f t="shared" si="53"/>
        <v>118.17999999999999</v>
      </c>
      <c r="F65" s="51">
        <f t="shared" si="54"/>
        <v>1</v>
      </c>
      <c r="G65" s="81">
        <f t="shared" si="55"/>
        <v>7.2099999999999991</v>
      </c>
      <c r="H65">
        <v>0.9753766752561327</v>
      </c>
      <c r="I65">
        <v>1.9081574782978448</v>
      </c>
      <c r="J65" t="e">
        <v>#N/A</v>
      </c>
      <c r="K65" t="e">
        <v>#N/A</v>
      </c>
      <c r="L65" t="e">
        <v>#N/A</v>
      </c>
      <c r="M65" t="e">
        <v>#N/A</v>
      </c>
      <c r="N65" s="16">
        <f t="shared" si="57"/>
        <v>143.9335932879859</v>
      </c>
      <c r="O65" s="17">
        <f t="shared" si="56"/>
        <v>-3.0871514815666785</v>
      </c>
      <c r="P65" s="22"/>
      <c r="Q65" t="s">
        <v>2</v>
      </c>
    </row>
    <row r="66" spans="1:31">
      <c r="A66" s="13">
        <v>2005</v>
      </c>
      <c r="B66" s="66">
        <f t="shared" si="51"/>
        <v>143.95593572598253</v>
      </c>
      <c r="C66" s="45">
        <v>3</v>
      </c>
      <c r="D66" s="51">
        <f t="shared" si="52"/>
        <v>59.418598548606063</v>
      </c>
      <c r="E66" s="51">
        <f t="shared" si="53"/>
        <v>124.23333333333332</v>
      </c>
      <c r="F66" s="51">
        <f t="shared" si="54"/>
        <v>1</v>
      </c>
      <c r="G66" s="81">
        <f t="shared" si="55"/>
        <v>6.4222222222222225</v>
      </c>
      <c r="H66">
        <v>87.146179806524017</v>
      </c>
      <c r="I66">
        <v>11</v>
      </c>
      <c r="J66" t="e">
        <v>#N/A</v>
      </c>
      <c r="K66" t="e">
        <v>#N/A</v>
      </c>
      <c r="L66" t="e">
        <v>#N/A</v>
      </c>
      <c r="M66" t="e">
        <v>#N/A</v>
      </c>
      <c r="N66" s="16">
        <f t="shared" si="57"/>
        <v>142.86158144485785</v>
      </c>
      <c r="O66" s="17">
        <f t="shared" si="56"/>
        <v>-1.09435428112468</v>
      </c>
      <c r="P66" s="22"/>
      <c r="Q66" t="s">
        <v>2</v>
      </c>
    </row>
    <row r="67" spans="1:31">
      <c r="A67" s="13">
        <v>2006</v>
      </c>
      <c r="B67" s="66">
        <f t="shared" si="51"/>
        <v>137.06173477049481</v>
      </c>
      <c r="C67" s="45">
        <v>4</v>
      </c>
      <c r="D67" s="51">
        <f t="shared" si="52"/>
        <v>55.588858419296379</v>
      </c>
      <c r="E67" s="51">
        <f t="shared" si="53"/>
        <v>103.9375</v>
      </c>
      <c r="F67" s="51">
        <f t="shared" si="54"/>
        <v>1</v>
      </c>
      <c r="G67" s="81">
        <f t="shared" si="55"/>
        <v>5.3875000000000002</v>
      </c>
      <c r="H67">
        <v>1586.5245093214569</v>
      </c>
      <c r="I67">
        <v>40.051714581823894</v>
      </c>
      <c r="J67" t="e">
        <v>#N/A</v>
      </c>
      <c r="K67" t="e">
        <v>#N/A</v>
      </c>
      <c r="L67" t="e">
        <v>#N/A</v>
      </c>
      <c r="M67" t="e">
        <v>#N/A</v>
      </c>
      <c r="N67" s="16">
        <f t="shared" si="57"/>
        <v>141.79435281764086</v>
      </c>
      <c r="O67" s="17">
        <f t="shared" si="56"/>
        <v>4.7326180471460475</v>
      </c>
      <c r="P67" s="22"/>
      <c r="Q67" t="s">
        <v>2</v>
      </c>
    </row>
    <row r="68" spans="1:31">
      <c r="A68" s="13">
        <v>2007</v>
      </c>
      <c r="B68" s="66">
        <f t="shared" si="51"/>
        <v>133.63128028377898</v>
      </c>
      <c r="C68" s="45">
        <v>5</v>
      </c>
      <c r="D68" s="51">
        <f t="shared" si="52"/>
        <v>61.328764266572868</v>
      </c>
      <c r="E68" s="51">
        <f t="shared" si="53"/>
        <v>122.88888888888891</v>
      </c>
      <c r="F68" s="51">
        <f t="shared" si="54"/>
        <v>1</v>
      </c>
      <c r="G68" s="51">
        <f t="shared" si="55"/>
        <v>7.4333333333333327</v>
      </c>
      <c r="N68" s="18">
        <f t="shared" si="57"/>
        <v>137.27985522522926</v>
      </c>
      <c r="O68" s="17">
        <f t="shared" si="56"/>
        <v>3.6485749414502777</v>
      </c>
      <c r="P68" s="22"/>
      <c r="Q68" t="s">
        <v>2</v>
      </c>
    </row>
    <row r="69" spans="1:31">
      <c r="A69" s="13">
        <v>2008</v>
      </c>
      <c r="B69" s="66">
        <f t="shared" si="51"/>
        <v>135.33542084407537</v>
      </c>
      <c r="C69" s="45">
        <v>6</v>
      </c>
      <c r="D69" s="51">
        <f t="shared" si="52"/>
        <v>58.991050546315968</v>
      </c>
      <c r="E69" s="51">
        <f t="shared" si="53"/>
        <v>110.61111111111111</v>
      </c>
      <c r="F69" s="51">
        <f t="shared" si="54"/>
        <v>1</v>
      </c>
      <c r="G69" s="51">
        <f t="shared" si="55"/>
        <v>6.8222222222222229</v>
      </c>
      <c r="N69" s="18">
        <f t="shared" si="57"/>
        <v>135.79087866351338</v>
      </c>
      <c r="O69" s="17">
        <f t="shared" si="56"/>
        <v>0.45545781943800989</v>
      </c>
      <c r="P69" s="22"/>
      <c r="Q69" t="s">
        <v>2</v>
      </c>
    </row>
    <row r="70" spans="1:31">
      <c r="A70" s="13">
        <v>2009</v>
      </c>
      <c r="B70" s="66">
        <f t="shared" si="51"/>
        <v>133.02518318668473</v>
      </c>
      <c r="C70" s="45">
        <v>7</v>
      </c>
      <c r="D70" s="51">
        <f t="shared" si="52"/>
        <v>55.503468794501828</v>
      </c>
      <c r="E70" s="51">
        <f t="shared" si="53"/>
        <v>122.19000000000001</v>
      </c>
      <c r="F70" s="51">
        <f t="shared" si="54"/>
        <v>1</v>
      </c>
      <c r="G70" s="51">
        <f t="shared" si="55"/>
        <v>7.3400000000000007</v>
      </c>
      <c r="N70" s="18">
        <f t="shared" si="57"/>
        <v>132.4660398941806</v>
      </c>
      <c r="O70" s="17">
        <f t="shared" si="56"/>
        <v>-0.55914329250413175</v>
      </c>
      <c r="P70" s="22"/>
      <c r="Q70" t="s">
        <v>2</v>
      </c>
    </row>
    <row r="71" spans="1:31">
      <c r="A71" s="13">
        <v>2010</v>
      </c>
      <c r="B71" s="66">
        <f t="shared" si="51"/>
        <v>136.71887041867964</v>
      </c>
      <c r="C71" s="45">
        <v>8</v>
      </c>
      <c r="D71" s="51">
        <f t="shared" si="52"/>
        <v>59.738876274737322</v>
      </c>
      <c r="E71" s="51">
        <f t="shared" si="53"/>
        <v>95.788888888888891</v>
      </c>
      <c r="F71" s="51">
        <f t="shared" si="54"/>
        <v>1</v>
      </c>
      <c r="G71" s="51">
        <f t="shared" si="55"/>
        <v>4.5222222222222221</v>
      </c>
      <c r="N71" s="18">
        <f t="shared" si="57"/>
        <v>135.52233127129591</v>
      </c>
      <c r="O71" s="17">
        <f t="shared" si="56"/>
        <v>-1.1965391473837315</v>
      </c>
      <c r="P71" s="22"/>
      <c r="Q71" t="s">
        <v>2</v>
      </c>
    </row>
    <row r="72" spans="1:31">
      <c r="A72" s="13">
        <v>2011</v>
      </c>
      <c r="B72" s="66">
        <f t="shared" si="51"/>
        <v>128.78575169675139</v>
      </c>
      <c r="C72" s="45">
        <v>9</v>
      </c>
      <c r="D72" s="51">
        <f t="shared" si="52"/>
        <v>55.611400076502584</v>
      </c>
      <c r="E72" s="51">
        <f t="shared" si="53"/>
        <v>143.81111111111113</v>
      </c>
      <c r="F72" s="51">
        <f t="shared" si="54"/>
        <v>1</v>
      </c>
      <c r="G72" s="51">
        <f t="shared" si="55"/>
        <v>7.2555555555555555</v>
      </c>
      <c r="N72" s="18">
        <f t="shared" si="57"/>
        <v>128.72034669207525</v>
      </c>
      <c r="O72" s="17">
        <f t="shared" si="56"/>
        <v>-6.5405004676136969E-2</v>
      </c>
      <c r="P72" s="22"/>
      <c r="Q72" t="s">
        <v>2</v>
      </c>
    </row>
    <row r="73" spans="1:31">
      <c r="A73" s="13">
        <v>2012</v>
      </c>
      <c r="B73" s="66">
        <f t="shared" si="51"/>
        <v>130.9183221639459</v>
      </c>
      <c r="C73" s="45">
        <v>10</v>
      </c>
      <c r="D73" s="51">
        <f t="shared" si="52"/>
        <v>57.653964897623688</v>
      </c>
      <c r="E73" s="51">
        <f t="shared" si="53"/>
        <v>119.25555555555555</v>
      </c>
      <c r="F73" s="51">
        <f t="shared" si="54"/>
        <v>1</v>
      </c>
      <c r="G73" s="51">
        <f t="shared" si="55"/>
        <v>6.4111111111111114</v>
      </c>
      <c r="N73" s="18">
        <f t="shared" si="57"/>
        <v>128.13132490646569</v>
      </c>
      <c r="O73" s="17">
        <f t="shared" si="56"/>
        <v>-2.7869972574802091</v>
      </c>
      <c r="P73" s="22"/>
      <c r="Q73" t="s">
        <v>2</v>
      </c>
    </row>
    <row r="74" spans="1:31">
      <c r="A74" s="13">
        <v>2013</v>
      </c>
      <c r="B74" s="66">
        <f t="shared" si="51"/>
        <v>128.45302425074073</v>
      </c>
      <c r="C74" s="45">
        <v>11</v>
      </c>
      <c r="D74" s="51">
        <f t="shared" si="52"/>
        <v>57.88977746019134</v>
      </c>
      <c r="E74" s="51">
        <f t="shared" si="53"/>
        <v>86.944444444444443</v>
      </c>
      <c r="F74" s="51">
        <f t="shared" si="54"/>
        <v>1</v>
      </c>
      <c r="G74" s="51">
        <f t="shared" si="55"/>
        <v>5.7333333333333334</v>
      </c>
      <c r="N74" s="18">
        <f t="shared" si="57"/>
        <v>126.91975518849813</v>
      </c>
      <c r="O74" s="17">
        <f t="shared" si="56"/>
        <v>-1.5332690622425957</v>
      </c>
      <c r="P74" s="22"/>
      <c r="Q74" t="s">
        <v>2</v>
      </c>
    </row>
    <row r="75" spans="1:31">
      <c r="A75" s="13">
        <v>2014</v>
      </c>
      <c r="B75" s="66">
        <f t="shared" si="51"/>
        <v>119.79257739098001</v>
      </c>
      <c r="C75" s="45">
        <v>12</v>
      </c>
      <c r="D75" s="51">
        <f t="shared" si="52"/>
        <v>56.438034364150134</v>
      </c>
      <c r="E75" s="51">
        <f t="shared" si="53"/>
        <v>109.32222222222222</v>
      </c>
      <c r="F75" s="51">
        <f t="shared" si="54"/>
        <v>1</v>
      </c>
      <c r="G75" s="51">
        <f t="shared" si="55"/>
        <v>8.0555555555555554</v>
      </c>
      <c r="N75" s="18">
        <f t="shared" si="57"/>
        <v>120.93671033099938</v>
      </c>
      <c r="O75" s="17">
        <f t="shared" si="56"/>
        <v>1.1441329400193609</v>
      </c>
      <c r="P75" s="22"/>
      <c r="Q75" t="s">
        <v>2</v>
      </c>
    </row>
    <row r="76" spans="1:31">
      <c r="A76" s="13">
        <v>2015</v>
      </c>
      <c r="B76" s="66">
        <f t="shared" si="51"/>
        <v>121.45201865336621</v>
      </c>
      <c r="C76" s="45">
        <v>13</v>
      </c>
      <c r="D76" s="51">
        <f t="shared" si="52"/>
        <v>61.525534188633991</v>
      </c>
      <c r="E76" s="51">
        <f t="shared" si="53"/>
        <v>116.21111111111109</v>
      </c>
      <c r="F76" s="51">
        <f t="shared" si="54"/>
        <v>1</v>
      </c>
      <c r="G76" s="51">
        <f t="shared" si="55"/>
        <v>7.133333333333332</v>
      </c>
      <c r="N76" s="18">
        <f t="shared" si="57"/>
        <v>121.24114401522164</v>
      </c>
      <c r="O76" s="17">
        <f t="shared" si="56"/>
        <v>-0.21087463814457408</v>
      </c>
      <c r="P76" s="22"/>
    </row>
    <row r="77" spans="1:31">
      <c r="A77" s="13">
        <v>2016</v>
      </c>
      <c r="B77" s="66">
        <f t="shared" si="51"/>
        <v>122.06376091557892</v>
      </c>
      <c r="C77" s="45">
        <v>14</v>
      </c>
      <c r="D77" s="51">
        <f t="shared" si="52"/>
        <v>68.998488766070622</v>
      </c>
      <c r="E77" s="51">
        <f t="shared" si="53"/>
        <v>96.624999999999986</v>
      </c>
      <c r="F77" s="51">
        <f t="shared" si="54"/>
        <v>1</v>
      </c>
      <c r="G77" s="51">
        <f t="shared" si="55"/>
        <v>5.5500000000000007</v>
      </c>
      <c r="H77" s="19">
        <f>CORREL(N63:N76,B63:B76)</f>
        <v>0.97189644287853694</v>
      </c>
      <c r="I77" s="20" t="s">
        <v>11</v>
      </c>
      <c r="N77" s="18">
        <f t="shared" si="57"/>
        <v>122.73846532043791</v>
      </c>
      <c r="O77" s="17">
        <f t="shared" si="56"/>
        <v>0.67470440485898564</v>
      </c>
      <c r="P77" s="22"/>
    </row>
    <row r="78" spans="1:31">
      <c r="A78" s="13">
        <v>2017</v>
      </c>
      <c r="B78" s="66">
        <f t="shared" si="51"/>
        <v>120.33086668762985</v>
      </c>
      <c r="C78" s="46">
        <v>15</v>
      </c>
      <c r="D78" s="51">
        <f t="shared" si="52"/>
        <v>84.16313785135317</v>
      </c>
      <c r="E78" s="51">
        <f t="shared" si="53"/>
        <v>105.78888888888889</v>
      </c>
      <c r="F78" s="51">
        <f t="shared" si="54"/>
        <v>1</v>
      </c>
      <c r="G78" s="51">
        <f t="shared" si="55"/>
        <v>6.7888888888888896</v>
      </c>
      <c r="N78" s="18">
        <f t="shared" si="57"/>
        <v>120.8487645225967</v>
      </c>
      <c r="O78" s="17">
        <f t="shared" si="56"/>
        <v>0.51789783496684549</v>
      </c>
      <c r="P78" s="22"/>
    </row>
    <row r="79" spans="1:31">
      <c r="A79" s="101">
        <v>2018</v>
      </c>
      <c r="B79" s="66">
        <f t="shared" si="51"/>
        <v>119.57545509590256</v>
      </c>
      <c r="C79" s="46">
        <v>16</v>
      </c>
      <c r="D79" s="51">
        <f t="shared" si="52"/>
        <v>84</v>
      </c>
      <c r="E79" s="51">
        <f t="shared" si="53"/>
        <v>118.6</v>
      </c>
      <c r="F79" s="51">
        <f t="shared" si="54"/>
        <v>1</v>
      </c>
      <c r="G79" s="51">
        <f t="shared" si="55"/>
        <v>6.4</v>
      </c>
      <c r="N79" s="18">
        <f t="shared" ref="N79" si="58">H$63*G79+I$63*F79+J$63*E79+K$63*D79+L$63*C79+M$63</f>
        <v>119.55355281402294</v>
      </c>
      <c r="O79" s="17">
        <f t="shared" ref="O79" si="59">N79-B79</f>
        <v>-2.1902281879619068E-2</v>
      </c>
      <c r="P79" s="22"/>
    </row>
    <row r="80" spans="1:31">
      <c r="A80" s="21"/>
      <c r="B80" s="83">
        <f>SUM(B63:B79)</f>
        <v>2254.4977527916017</v>
      </c>
      <c r="C80" s="21"/>
      <c r="D80" s="21"/>
      <c r="E80" s="21"/>
      <c r="F80" s="21"/>
      <c r="G80" s="21"/>
      <c r="H80" s="21"/>
      <c r="I80" s="21"/>
      <c r="J80" s="21" t="s">
        <v>2</v>
      </c>
      <c r="K80" s="21"/>
      <c r="L80" s="21"/>
      <c r="M80" s="21"/>
      <c r="N80" s="83">
        <f>SUM(N63:N79)</f>
        <v>2254.4977527916021</v>
      </c>
      <c r="O80" s="83">
        <f>SUM(O63:O79)</f>
        <v>7.2475359047530219E-13</v>
      </c>
      <c r="P80" s="21"/>
      <c r="Q80" s="21"/>
      <c r="R80" s="21"/>
      <c r="S80" s="74"/>
      <c r="T80" s="74"/>
      <c r="U80" s="74" t="s">
        <v>2</v>
      </c>
      <c r="V80" s="74"/>
      <c r="W80" s="74"/>
      <c r="X80" s="74"/>
      <c r="Y80" s="74"/>
      <c r="Z80" s="74"/>
      <c r="AA80" s="74"/>
      <c r="AB80" s="74"/>
      <c r="AC80" s="74"/>
      <c r="AD80" s="74"/>
      <c r="AE80" s="74"/>
    </row>
    <row r="81" spans="1:31" ht="18" thickBot="1">
      <c r="A81" s="55"/>
      <c r="B81" s="3" t="s">
        <v>15</v>
      </c>
      <c r="C81" s="164" t="s">
        <v>3</v>
      </c>
      <c r="D81" s="165"/>
      <c r="E81" s="165"/>
      <c r="F81" s="165"/>
      <c r="G81" s="165"/>
      <c r="H81" s="54" t="s">
        <v>2</v>
      </c>
      <c r="I81" s="166" t="s">
        <v>4</v>
      </c>
      <c r="J81" s="167"/>
      <c r="K81" s="167"/>
      <c r="L81" s="167"/>
      <c r="M81" s="167"/>
      <c r="N81" s="167"/>
      <c r="O81" s="168"/>
      <c r="P81" s="2"/>
      <c r="Q81" s="2"/>
      <c r="R81" s="3" t="s">
        <v>2</v>
      </c>
      <c r="S81" s="4" t="s">
        <v>2</v>
      </c>
      <c r="T81" s="23"/>
    </row>
    <row r="82" spans="1:31" ht="52" thickBot="1">
      <c r="A82" s="6" t="s">
        <v>0</v>
      </c>
      <c r="B82" s="67" t="s">
        <v>16</v>
      </c>
      <c r="C82" s="7" t="s">
        <v>0</v>
      </c>
      <c r="D82" s="58" t="s">
        <v>22</v>
      </c>
      <c r="E82" s="58" t="s">
        <v>23</v>
      </c>
      <c r="F82" s="58" t="s">
        <v>24</v>
      </c>
      <c r="G82" s="58" t="s">
        <v>25</v>
      </c>
      <c r="H82" s="60" t="s">
        <v>26</v>
      </c>
      <c r="I82" s="60" t="s">
        <v>26</v>
      </c>
      <c r="J82" s="60" t="s">
        <v>25</v>
      </c>
      <c r="K82" s="60" t="s">
        <v>24</v>
      </c>
      <c r="L82" s="60" t="s">
        <v>23</v>
      </c>
      <c r="M82" s="60" t="s">
        <v>22</v>
      </c>
      <c r="N82" s="7" t="s">
        <v>0</v>
      </c>
      <c r="O82" s="60" t="s">
        <v>1</v>
      </c>
      <c r="P82" s="68" t="s">
        <v>27</v>
      </c>
      <c r="R82" s="25"/>
      <c r="X82" s="76" t="s">
        <v>17</v>
      </c>
      <c r="Y82" s="77" t="s">
        <v>18</v>
      </c>
      <c r="Z82" s="169" t="s">
        <v>19</v>
      </c>
      <c r="AA82" s="169"/>
      <c r="AB82" s="169"/>
      <c r="AC82" s="136" t="s">
        <v>29</v>
      </c>
      <c r="AD82" s="137" t="s">
        <v>21</v>
      </c>
      <c r="AE82" s="138" t="s">
        <v>28</v>
      </c>
    </row>
    <row r="83" spans="1:31">
      <c r="A83" s="13">
        <v>2002</v>
      </c>
      <c r="B83" s="66">
        <f t="shared" ref="B83:B99" si="60">B63</f>
        <v>149.60375003671126</v>
      </c>
      <c r="C83" s="45">
        <v>0</v>
      </c>
      <c r="D83" s="56">
        <f>C83*C83</f>
        <v>0</v>
      </c>
      <c r="E83" s="51">
        <f>F3</f>
        <v>60.949923010742488</v>
      </c>
      <c r="F83" s="51">
        <f t="shared" ref="F83:H83" si="61">G3</f>
        <v>105.47777777777779</v>
      </c>
      <c r="G83" s="51">
        <f t="shared" si="61"/>
        <v>1</v>
      </c>
      <c r="H83" s="51">
        <f t="shared" si="61"/>
        <v>6.7777777777777768</v>
      </c>
      <c r="I83">
        <f t="array" ref="I83:O87">LINEST(B83:B99,C83:H99,,TRUE)</f>
        <v>-1.7069480885875881</v>
      </c>
      <c r="J83">
        <v>0</v>
      </c>
      <c r="K83">
        <v>1.0273830848790596E-2</v>
      </c>
      <c r="L83">
        <v>0.11409693606842855</v>
      </c>
      <c r="M83">
        <v>1.2633334849852854E-2</v>
      </c>
      <c r="N83">
        <v>-2.2340210884417138</v>
      </c>
      <c r="O83">
        <v>152.29078660196186</v>
      </c>
      <c r="P83" s="17">
        <f>I$83*H83+J$83*G83+K$83*F83+L$83*E83+M$83*D83+N$83*C83+O$83</f>
        <v>148.75933209564019</v>
      </c>
      <c r="Q83" s="157">
        <f>P83-B83</f>
        <v>-0.84441794107107171</v>
      </c>
      <c r="R83" s="40">
        <f>LINEST(P83:P99,C83:C99)</f>
        <v>-1.924676958266105</v>
      </c>
      <c r="W83" s="75">
        <v>2002</v>
      </c>
      <c r="X83" s="78">
        <v>1</v>
      </c>
      <c r="Y83" s="145">
        <v>1</v>
      </c>
      <c r="Z83" s="75">
        <f t="array" ref="Z83:AB87">LINEST(P83:P99,X83:Y99,,TRUE)</f>
        <v>-2.6795762805049002</v>
      </c>
      <c r="AA83" s="78">
        <v>4.1938851235488669E-2</v>
      </c>
      <c r="AB83" s="148">
        <v>152.33012201491204</v>
      </c>
      <c r="AC83" s="147">
        <f>Z$83*Y83+AA$83*X83+AB$83</f>
        <v>149.69248458564263</v>
      </c>
      <c r="AD83" s="139">
        <f>2*AA$83*Y83+Z$83</f>
        <v>-2.595698578033923</v>
      </c>
      <c r="AE83" s="140">
        <f>AD83*-1</f>
        <v>2.595698578033923</v>
      </c>
    </row>
    <row r="84" spans="1:31">
      <c r="A84" s="13">
        <v>2003</v>
      </c>
      <c r="B84" s="66">
        <f t="shared" si="60"/>
        <v>146.77305590074576</v>
      </c>
      <c r="C84" s="45">
        <v>1</v>
      </c>
      <c r="D84" s="56">
        <f>C84*C84</f>
        <v>1</v>
      </c>
      <c r="E84" s="51">
        <f t="shared" ref="E84:H84" si="62">F4</f>
        <v>54.756058205951653</v>
      </c>
      <c r="F84" s="51">
        <f t="shared" si="62"/>
        <v>135.61111111111109</v>
      </c>
      <c r="G84" s="51">
        <f t="shared" si="62"/>
        <v>1</v>
      </c>
      <c r="H84" s="51">
        <f t="shared" si="62"/>
        <v>5.9222222222222216</v>
      </c>
      <c r="I84">
        <v>0.79420085804874097</v>
      </c>
      <c r="J84">
        <v>0</v>
      </c>
      <c r="K84">
        <v>5.1043462076475705E-2</v>
      </c>
      <c r="L84">
        <v>0.13279503056049449</v>
      </c>
      <c r="M84">
        <v>4.3478744584356299E-2</v>
      </c>
      <c r="N84">
        <v>0.60732067035225823</v>
      </c>
      <c r="O84">
        <v>10.578633898172775</v>
      </c>
      <c r="P84" s="17">
        <f t="shared" ref="P84:P98" si="63">I$83*H84+J$83*G84+K$83*F84+L$83*E84+M$83*D84+N$83*C84+O$83</f>
        <v>147.60121703521256</v>
      </c>
      <c r="Q84" s="157">
        <f t="shared" ref="Q84:Q98" si="64">P84-B84</f>
        <v>0.82816113446679651</v>
      </c>
      <c r="R84" s="40">
        <f>LINEST(B83:B99,C83:C99)</f>
        <v>-1.9246769582661045</v>
      </c>
      <c r="W84" s="72">
        <v>2003</v>
      </c>
      <c r="X84" s="102">
        <v>4</v>
      </c>
      <c r="Y84" s="146">
        <v>2</v>
      </c>
      <c r="Z84" s="72">
        <v>0.35525263046924427</v>
      </c>
      <c r="AA84" s="102">
        <v>1.9181839037207108E-2</v>
      </c>
      <c r="AB84" s="149">
        <v>1.3890618502305219</v>
      </c>
      <c r="AC84" s="16">
        <f t="shared" ref="AC84:AC98" si="65">Z$83*Y84+AA$83*X84+AB$83</f>
        <v>147.1387248588442</v>
      </c>
      <c r="AD84" s="110">
        <f t="shared" ref="AD84:AD98" si="66">2*AA$83*Y84+Z$83</f>
        <v>-2.5118208755629454</v>
      </c>
      <c r="AE84" s="71">
        <f t="shared" ref="AE84:AE98" si="67">AD84*-1</f>
        <v>2.5118208755629454</v>
      </c>
    </row>
    <row r="85" spans="1:31">
      <c r="A85" s="13">
        <v>2004</v>
      </c>
      <c r="B85" s="66">
        <f t="shared" si="60"/>
        <v>147.02074476955258</v>
      </c>
      <c r="C85" s="45">
        <v>2</v>
      </c>
      <c r="D85" s="56">
        <f t="shared" ref="D85:D98" si="68">C85*C85</f>
        <v>4</v>
      </c>
      <c r="E85" s="51">
        <f t="shared" ref="E85:H85" si="69">F5</f>
        <v>62.252190463656881</v>
      </c>
      <c r="F85" s="51">
        <f t="shared" si="69"/>
        <v>118.17999999999999</v>
      </c>
      <c r="G85" s="51">
        <f t="shared" si="69"/>
        <v>1</v>
      </c>
      <c r="H85" s="51">
        <f t="shared" si="69"/>
        <v>7.2099999999999991</v>
      </c>
      <c r="I85">
        <v>0.96359302170819139</v>
      </c>
      <c r="J85">
        <v>2.4334897836978628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s="17">
        <f t="shared" si="63"/>
        <v>143.88312757092291</v>
      </c>
      <c r="Q85" s="157">
        <f t="shared" si="64"/>
        <v>-3.1376171986296697</v>
      </c>
      <c r="R85" s="22"/>
      <c r="W85" s="72">
        <v>2004</v>
      </c>
      <c r="X85" s="102">
        <v>9</v>
      </c>
      <c r="Y85" s="146">
        <v>3</v>
      </c>
      <c r="Z85" s="150">
        <v>0.9744835307496692</v>
      </c>
      <c r="AA85" s="102">
        <v>1.6888735119836382</v>
      </c>
      <c r="AB85" s="149" t="e">
        <v>#N/A</v>
      </c>
      <c r="AC85" s="16">
        <f t="shared" si="65"/>
        <v>144.66884283451674</v>
      </c>
      <c r="AD85" s="110">
        <f t="shared" si="66"/>
        <v>-2.4279431730919683</v>
      </c>
      <c r="AE85" s="71">
        <f t="shared" si="67"/>
        <v>2.4279431730919683</v>
      </c>
    </row>
    <row r="86" spans="1:31">
      <c r="A86" s="13">
        <v>2005</v>
      </c>
      <c r="B86" s="66">
        <f t="shared" si="60"/>
        <v>143.95593572598253</v>
      </c>
      <c r="C86" s="45">
        <v>3</v>
      </c>
      <c r="D86" s="56">
        <f t="shared" si="68"/>
        <v>9</v>
      </c>
      <c r="E86" s="51">
        <f t="shared" ref="E86:H86" si="70">F6</f>
        <v>59.418598548606063</v>
      </c>
      <c r="F86" s="51">
        <f t="shared" si="70"/>
        <v>124.23333333333332</v>
      </c>
      <c r="G86" s="51">
        <f t="shared" si="70"/>
        <v>1</v>
      </c>
      <c r="H86" s="51">
        <f t="shared" si="70"/>
        <v>6.4222222222222225</v>
      </c>
      <c r="I86">
        <v>44.112102812855333</v>
      </c>
      <c r="J86">
        <v>10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s="17">
        <f t="shared" si="63"/>
        <v>142.79585569590245</v>
      </c>
      <c r="Q86" s="157">
        <f t="shared" si="64"/>
        <v>-1.1600800300800813</v>
      </c>
      <c r="R86" s="22"/>
      <c r="W86" s="72">
        <v>2005</v>
      </c>
      <c r="X86" s="102">
        <v>16</v>
      </c>
      <c r="Y86" s="146">
        <v>4</v>
      </c>
      <c r="Z86" s="72">
        <v>267.33262538504385</v>
      </c>
      <c r="AA86" s="102">
        <v>14</v>
      </c>
      <c r="AB86" s="149" t="e">
        <v>#N/A</v>
      </c>
      <c r="AC86" s="16">
        <f t="shared" si="65"/>
        <v>142.28283851266025</v>
      </c>
      <c r="AD86" s="110">
        <f t="shared" si="66"/>
        <v>-2.3440654706209907</v>
      </c>
      <c r="AE86" s="71">
        <f t="shared" si="67"/>
        <v>2.3440654706209907</v>
      </c>
    </row>
    <row r="87" spans="1:31" ht="17" thickBot="1">
      <c r="A87" s="13">
        <v>2006</v>
      </c>
      <c r="B87" s="66">
        <f t="shared" si="60"/>
        <v>137.06173477049481</v>
      </c>
      <c r="C87" s="45">
        <v>4</v>
      </c>
      <c r="D87" s="56">
        <f t="shared" si="68"/>
        <v>16</v>
      </c>
      <c r="E87" s="51">
        <f t="shared" ref="E87:H87" si="71">F7</f>
        <v>55.588858419296379</v>
      </c>
      <c r="F87" s="51">
        <f t="shared" si="71"/>
        <v>103.9375</v>
      </c>
      <c r="G87" s="51">
        <f t="shared" si="71"/>
        <v>1</v>
      </c>
      <c r="H87" s="51">
        <f t="shared" si="71"/>
        <v>5.3875000000000002</v>
      </c>
      <c r="I87">
        <v>1567.3574986296621</v>
      </c>
      <c r="J87">
        <v>59.218725273618716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s="17">
        <f t="shared" si="63"/>
        <v>141.77100749755658</v>
      </c>
      <c r="Q87" s="157">
        <f t="shared" si="64"/>
        <v>4.7092727270617729</v>
      </c>
      <c r="R87" s="22"/>
      <c r="W87" s="72">
        <v>2006</v>
      </c>
      <c r="X87" s="102">
        <v>25</v>
      </c>
      <c r="Y87" s="146">
        <v>5</v>
      </c>
      <c r="Z87" s="73">
        <v>1525.0223474889979</v>
      </c>
      <c r="AA87" s="79">
        <v>39.93211235271928</v>
      </c>
      <c r="AB87" s="151" t="e">
        <v>#N/A</v>
      </c>
      <c r="AC87" s="16">
        <f t="shared" si="65"/>
        <v>139.98071189327476</v>
      </c>
      <c r="AD87" s="110">
        <f t="shared" si="66"/>
        <v>-2.2601877681500135</v>
      </c>
      <c r="AE87" s="71">
        <f t="shared" si="67"/>
        <v>2.2601877681500135</v>
      </c>
    </row>
    <row r="88" spans="1:31">
      <c r="A88" s="13">
        <v>2007</v>
      </c>
      <c r="B88" s="66">
        <f t="shared" si="60"/>
        <v>133.63128028377898</v>
      </c>
      <c r="C88" s="45">
        <v>5</v>
      </c>
      <c r="D88" s="56">
        <f t="shared" si="68"/>
        <v>25</v>
      </c>
      <c r="E88" s="51">
        <f t="shared" ref="E88:H88" si="72">F8</f>
        <v>61.328764266572868</v>
      </c>
      <c r="F88" s="51">
        <f t="shared" si="72"/>
        <v>122.88888888888891</v>
      </c>
      <c r="G88" s="51">
        <f t="shared" si="72"/>
        <v>1</v>
      </c>
      <c r="H88" s="51">
        <f t="shared" si="72"/>
        <v>7.4333333333333327</v>
      </c>
      <c r="P88" s="17">
        <f t="shared" si="63"/>
        <v>137.00816415915102</v>
      </c>
      <c r="Q88" s="157">
        <f t="shared" si="64"/>
        <v>3.3768838753720445</v>
      </c>
      <c r="R88" s="22"/>
      <c r="W88" s="72">
        <v>2007</v>
      </c>
      <c r="X88" s="102">
        <v>36</v>
      </c>
      <c r="Y88" s="107">
        <v>6</v>
      </c>
      <c r="AC88" s="70">
        <f t="shared" si="65"/>
        <v>137.76246297636021</v>
      </c>
      <c r="AD88" s="110">
        <f t="shared" si="66"/>
        <v>-2.1763100656790364</v>
      </c>
      <c r="AE88" s="71">
        <f t="shared" si="67"/>
        <v>2.1763100656790364</v>
      </c>
    </row>
    <row r="89" spans="1:31">
      <c r="A89" s="13">
        <v>2008</v>
      </c>
      <c r="B89" s="66">
        <f t="shared" si="60"/>
        <v>135.33542084407537</v>
      </c>
      <c r="C89" s="45">
        <v>6</v>
      </c>
      <c r="D89" s="56">
        <f t="shared" si="68"/>
        <v>36</v>
      </c>
      <c r="E89" s="51">
        <f t="shared" ref="E89:H89" si="73">F9</f>
        <v>58.991050546315968</v>
      </c>
      <c r="F89" s="51">
        <f t="shared" si="73"/>
        <v>110.61111111111111</v>
      </c>
      <c r="G89" s="51">
        <f t="shared" si="73"/>
        <v>1</v>
      </c>
      <c r="H89" s="51">
        <f t="shared" si="73"/>
        <v>6.8222222222222229</v>
      </c>
      <c r="P89" s="17">
        <f t="shared" si="63"/>
        <v>135.56337891210907</v>
      </c>
      <c r="Q89" s="157">
        <f t="shared" si="64"/>
        <v>0.22795806803370056</v>
      </c>
      <c r="R89" s="22"/>
      <c r="W89" s="72">
        <v>2008</v>
      </c>
      <c r="X89" s="102">
        <v>49</v>
      </c>
      <c r="Y89" s="107">
        <v>7</v>
      </c>
      <c r="AC89" s="70">
        <f t="shared" si="65"/>
        <v>135.62809176191666</v>
      </c>
      <c r="AD89" s="110">
        <f t="shared" si="66"/>
        <v>-2.0924323632080588</v>
      </c>
      <c r="AE89" s="71">
        <f t="shared" si="67"/>
        <v>2.0924323632080588</v>
      </c>
    </row>
    <row r="90" spans="1:31">
      <c r="A90" s="13">
        <v>2009</v>
      </c>
      <c r="B90" s="66">
        <f t="shared" si="60"/>
        <v>133.02518318668473</v>
      </c>
      <c r="C90" s="45">
        <v>7</v>
      </c>
      <c r="D90" s="56">
        <f t="shared" si="68"/>
        <v>49</v>
      </c>
      <c r="E90" s="51">
        <f t="shared" ref="E90:H90" si="74">F10</f>
        <v>55.503468794501828</v>
      </c>
      <c r="F90" s="51">
        <f t="shared" si="74"/>
        <v>122.19000000000001</v>
      </c>
      <c r="G90" s="51">
        <f t="shared" si="74"/>
        <v>1</v>
      </c>
      <c r="H90" s="51">
        <f t="shared" si="74"/>
        <v>7.3400000000000007</v>
      </c>
      <c r="P90" s="17">
        <f t="shared" si="63"/>
        <v>132.33080854231576</v>
      </c>
      <c r="Q90" s="157">
        <f t="shared" si="64"/>
        <v>-0.69437464436896335</v>
      </c>
      <c r="R90" s="22"/>
      <c r="W90" s="72">
        <v>2009</v>
      </c>
      <c r="X90" s="102">
        <v>64</v>
      </c>
      <c r="Y90" s="107">
        <v>8</v>
      </c>
      <c r="AC90" s="70">
        <f t="shared" si="65"/>
        <v>133.57759824994412</v>
      </c>
      <c r="AD90" s="110">
        <f t="shared" si="66"/>
        <v>-2.0085546607370812</v>
      </c>
      <c r="AE90" s="71">
        <f t="shared" si="67"/>
        <v>2.0085546607370812</v>
      </c>
    </row>
    <row r="91" spans="1:31">
      <c r="A91" s="13">
        <v>2010</v>
      </c>
      <c r="B91" s="66">
        <f t="shared" si="60"/>
        <v>136.71887041867964</v>
      </c>
      <c r="C91" s="45">
        <v>8</v>
      </c>
      <c r="D91" s="56">
        <f t="shared" si="68"/>
        <v>64</v>
      </c>
      <c r="E91" s="51">
        <f t="shared" ref="E91:H91" si="75">F11</f>
        <v>59.738876274737322</v>
      </c>
      <c r="F91" s="51">
        <f t="shared" si="75"/>
        <v>95.788888888888891</v>
      </c>
      <c r="G91" s="51">
        <f t="shared" si="75"/>
        <v>1</v>
      </c>
      <c r="H91" s="51">
        <f t="shared" si="75"/>
        <v>4.5222222222222221</v>
      </c>
      <c r="P91" s="17">
        <f t="shared" si="63"/>
        <v>135.30809433518471</v>
      </c>
      <c r="Q91" s="157">
        <f t="shared" si="64"/>
        <v>-1.4107760834949374</v>
      </c>
      <c r="R91" s="22"/>
      <c r="W91" s="72">
        <v>2010</v>
      </c>
      <c r="X91" s="102">
        <v>81</v>
      </c>
      <c r="Y91" s="107">
        <v>9</v>
      </c>
      <c r="AC91" s="70">
        <f t="shared" si="65"/>
        <v>131.61098244044251</v>
      </c>
      <c r="AD91" s="110">
        <f t="shared" si="66"/>
        <v>-1.9246769582661041</v>
      </c>
      <c r="AE91" s="71">
        <f t="shared" si="67"/>
        <v>1.9246769582661041</v>
      </c>
    </row>
    <row r="92" spans="1:31">
      <c r="A92" s="13">
        <v>2011</v>
      </c>
      <c r="B92" s="66">
        <f t="shared" si="60"/>
        <v>128.78575169675139</v>
      </c>
      <c r="C92" s="45">
        <v>9</v>
      </c>
      <c r="D92" s="56">
        <f t="shared" si="68"/>
        <v>81</v>
      </c>
      <c r="E92" s="51">
        <f t="shared" ref="E92:H92" si="76">F12</f>
        <v>55.611400076502584</v>
      </c>
      <c r="F92" s="51">
        <f t="shared" si="76"/>
        <v>143.81111111111113</v>
      </c>
      <c r="G92" s="51">
        <f t="shared" si="76"/>
        <v>1</v>
      </c>
      <c r="H92" s="51">
        <f t="shared" si="76"/>
        <v>7.2555555555555555</v>
      </c>
      <c r="P92" s="17">
        <f t="shared" si="63"/>
        <v>128.64562163056459</v>
      </c>
      <c r="Q92" s="157">
        <f t="shared" si="64"/>
        <v>-0.14013006618679924</v>
      </c>
      <c r="R92" s="22"/>
      <c r="W92" s="72">
        <v>2011</v>
      </c>
      <c r="X92" s="102">
        <v>100</v>
      </c>
      <c r="Y92" s="107">
        <v>10</v>
      </c>
      <c r="AC92" s="70">
        <f t="shared" si="65"/>
        <v>129.72824433341191</v>
      </c>
      <c r="AD92" s="110">
        <f t="shared" si="66"/>
        <v>-1.8407992557951267</v>
      </c>
      <c r="AE92" s="71">
        <f t="shared" si="67"/>
        <v>1.8407992557951267</v>
      </c>
    </row>
    <row r="93" spans="1:31">
      <c r="A93" s="13">
        <v>2012</v>
      </c>
      <c r="B93" s="66">
        <f t="shared" si="60"/>
        <v>130.9183221639459</v>
      </c>
      <c r="C93" s="45">
        <v>10</v>
      </c>
      <c r="D93" s="56">
        <f t="shared" si="68"/>
        <v>100</v>
      </c>
      <c r="E93" s="51">
        <f t="shared" ref="E93:H93" si="77">F13</f>
        <v>57.653964897623688</v>
      </c>
      <c r="F93" s="51">
        <f t="shared" si="77"/>
        <v>119.25555555555555</v>
      </c>
      <c r="G93" s="51">
        <f t="shared" si="77"/>
        <v>1</v>
      </c>
      <c r="H93" s="51">
        <f t="shared" si="77"/>
        <v>6.4111111111111114</v>
      </c>
      <c r="P93" s="17">
        <f t="shared" si="63"/>
        <v>128.07382749826817</v>
      </c>
      <c r="Q93" s="157">
        <f t="shared" si="64"/>
        <v>-2.844494665677729</v>
      </c>
      <c r="R93" s="22"/>
      <c r="W93" s="72">
        <v>2012</v>
      </c>
      <c r="X93" s="102">
        <v>121</v>
      </c>
      <c r="Y93" s="107">
        <v>11</v>
      </c>
      <c r="AC93" s="70">
        <f t="shared" si="65"/>
        <v>127.92938392885226</v>
      </c>
      <c r="AD93" s="110">
        <f t="shared" si="66"/>
        <v>-1.7569215533241493</v>
      </c>
      <c r="AE93" s="71">
        <f t="shared" si="67"/>
        <v>1.7569215533241493</v>
      </c>
    </row>
    <row r="94" spans="1:31">
      <c r="A94" s="13">
        <v>2013</v>
      </c>
      <c r="B94" s="66">
        <f t="shared" si="60"/>
        <v>128.45302425074073</v>
      </c>
      <c r="C94" s="45">
        <v>11</v>
      </c>
      <c r="D94" s="56">
        <f t="shared" si="68"/>
        <v>121</v>
      </c>
      <c r="E94" s="51">
        <f t="shared" ref="E94:H94" si="78">F14</f>
        <v>57.88977746019134</v>
      </c>
      <c r="F94" s="51">
        <f t="shared" si="78"/>
        <v>86.944444444444443</v>
      </c>
      <c r="G94" s="51">
        <f t="shared" si="78"/>
        <v>1</v>
      </c>
      <c r="H94" s="51">
        <f t="shared" si="78"/>
        <v>5.7333333333333334</v>
      </c>
      <c r="P94" s="17">
        <f t="shared" si="63"/>
        <v>126.95698452472166</v>
      </c>
      <c r="Q94" s="157">
        <f t="shared" si="64"/>
        <v>-1.4960397260190632</v>
      </c>
      <c r="R94" s="22"/>
      <c r="W94" s="72">
        <v>2013</v>
      </c>
      <c r="X94" s="102">
        <v>144</v>
      </c>
      <c r="Y94" s="107">
        <v>12</v>
      </c>
      <c r="AC94" s="70">
        <f t="shared" si="65"/>
        <v>126.2144012267636</v>
      </c>
      <c r="AD94" s="110">
        <f t="shared" si="66"/>
        <v>-1.6730438508531722</v>
      </c>
      <c r="AE94" s="71">
        <f t="shared" si="67"/>
        <v>1.6730438508531722</v>
      </c>
    </row>
    <row r="95" spans="1:31">
      <c r="A95" s="13">
        <v>2014</v>
      </c>
      <c r="B95" s="66">
        <f t="shared" si="60"/>
        <v>119.79257739098001</v>
      </c>
      <c r="C95" s="45">
        <v>12</v>
      </c>
      <c r="D95" s="56">
        <f t="shared" si="68"/>
        <v>144</v>
      </c>
      <c r="E95" s="51">
        <f t="shared" ref="E95:H95" si="79">F15</f>
        <v>56.438034364150134</v>
      </c>
      <c r="F95" s="51">
        <f t="shared" si="79"/>
        <v>109.32222222222222</v>
      </c>
      <c r="G95" s="51">
        <f t="shared" si="79"/>
        <v>1</v>
      </c>
      <c r="H95" s="51">
        <f t="shared" si="79"/>
        <v>8.0555555555555554</v>
      </c>
      <c r="P95" s="17">
        <f t="shared" si="63"/>
        <v>121.11388341877264</v>
      </c>
      <c r="Q95" s="157">
        <f t="shared" si="64"/>
        <v>1.3213060277926303</v>
      </c>
      <c r="R95" s="22"/>
      <c r="W95" s="72">
        <v>2014</v>
      </c>
      <c r="X95" s="102">
        <f>Y95*Y95</f>
        <v>169</v>
      </c>
      <c r="Y95" s="107">
        <v>13</v>
      </c>
      <c r="AC95" s="70">
        <f t="shared" si="65"/>
        <v>124.58329622714592</v>
      </c>
      <c r="AD95" s="110">
        <f t="shared" si="66"/>
        <v>-1.5891661483821948</v>
      </c>
      <c r="AE95" s="71">
        <f t="shared" si="67"/>
        <v>1.5891661483821948</v>
      </c>
    </row>
    <row r="96" spans="1:31">
      <c r="A96" s="13">
        <v>2015</v>
      </c>
      <c r="B96" s="66">
        <f t="shared" si="60"/>
        <v>121.45201865336621</v>
      </c>
      <c r="C96" s="45">
        <v>13</v>
      </c>
      <c r="D96" s="56">
        <f t="shared" si="68"/>
        <v>169</v>
      </c>
      <c r="E96" s="51">
        <f t="shared" ref="E96:H96" si="80">F16</f>
        <v>61.525534188633991</v>
      </c>
      <c r="F96" s="51">
        <f t="shared" si="80"/>
        <v>116.21111111111109</v>
      </c>
      <c r="G96" s="51">
        <f t="shared" si="80"/>
        <v>1</v>
      </c>
      <c r="H96" s="51">
        <f t="shared" si="80"/>
        <v>7.133333333333332</v>
      </c>
      <c r="P96" s="17">
        <f t="shared" si="63"/>
        <v>121.42112458245529</v>
      </c>
      <c r="Q96" s="157">
        <f t="shared" si="64"/>
        <v>-3.0894070910918003E-2</v>
      </c>
      <c r="R96" s="22"/>
      <c r="W96" s="72">
        <v>2015</v>
      </c>
      <c r="X96" s="102">
        <f t="shared" ref="X96:X98" si="81">Y96*Y96</f>
        <v>196</v>
      </c>
      <c r="Y96" s="107">
        <v>14</v>
      </c>
      <c r="AC96" s="70">
        <f t="shared" si="65"/>
        <v>123.0360689299992</v>
      </c>
      <c r="AD96" s="110">
        <f t="shared" si="66"/>
        <v>-1.5052884459112175</v>
      </c>
      <c r="AE96" s="71">
        <f t="shared" si="67"/>
        <v>1.5052884459112175</v>
      </c>
    </row>
    <row r="97" spans="1:33">
      <c r="A97" s="13">
        <v>2016</v>
      </c>
      <c r="B97" s="66">
        <f t="shared" si="60"/>
        <v>122.06376091557892</v>
      </c>
      <c r="C97" s="45">
        <v>14</v>
      </c>
      <c r="D97" s="56">
        <f t="shared" si="68"/>
        <v>196</v>
      </c>
      <c r="E97" s="51">
        <f t="shared" ref="E97:H97" si="82">F17</f>
        <v>68.998488766070622</v>
      </c>
      <c r="F97" s="51">
        <f t="shared" si="82"/>
        <v>96.624999999999986</v>
      </c>
      <c r="G97" s="51">
        <f t="shared" si="82"/>
        <v>1</v>
      </c>
      <c r="H97" s="51">
        <f t="shared" si="82"/>
        <v>5.5500000000000007</v>
      </c>
      <c r="I97" s="69">
        <f>CORREL(P83:P98,B83:B98)</f>
        <v>0.97846103742045631</v>
      </c>
      <c r="J97" s="20" t="s">
        <v>11</v>
      </c>
      <c r="P97" s="17">
        <f t="shared" si="63"/>
        <v>122.88228817001284</v>
      </c>
      <c r="Q97" s="157">
        <f t="shared" si="64"/>
        <v>0.81852725443391705</v>
      </c>
      <c r="R97" s="22"/>
      <c r="W97" s="72">
        <v>2016</v>
      </c>
      <c r="X97" s="102">
        <f t="shared" si="81"/>
        <v>225</v>
      </c>
      <c r="Y97" s="107">
        <v>15</v>
      </c>
      <c r="AC97" s="70">
        <f t="shared" si="65"/>
        <v>121.57271933532348</v>
      </c>
      <c r="AD97" s="110">
        <f t="shared" si="66"/>
        <v>-1.4214107434402401</v>
      </c>
      <c r="AE97" s="71">
        <f t="shared" si="67"/>
        <v>1.4214107434402401</v>
      </c>
    </row>
    <row r="98" spans="1:33">
      <c r="A98" s="13">
        <v>2017</v>
      </c>
      <c r="B98" s="66">
        <f t="shared" si="60"/>
        <v>120.33086668762985</v>
      </c>
      <c r="C98" s="46">
        <v>15</v>
      </c>
      <c r="D98" s="56">
        <f t="shared" si="68"/>
        <v>225</v>
      </c>
      <c r="E98" s="51">
        <f t="shared" ref="E98:H98" si="83">F18</f>
        <v>84.16313785135317</v>
      </c>
      <c r="F98" s="51">
        <f t="shared" si="83"/>
        <v>105.78888888888889</v>
      </c>
      <c r="G98" s="51">
        <f t="shared" si="83"/>
        <v>1</v>
      </c>
      <c r="H98" s="51">
        <f t="shared" si="83"/>
        <v>6.7888888888888896</v>
      </c>
      <c r="P98" s="17">
        <f t="shared" si="63"/>
        <v>120.72430301290076</v>
      </c>
      <c r="Q98" s="157">
        <f t="shared" si="64"/>
        <v>0.39343632527091188</v>
      </c>
      <c r="R98" s="22"/>
      <c r="W98" s="72">
        <v>2017</v>
      </c>
      <c r="X98" s="102">
        <f t="shared" si="81"/>
        <v>256</v>
      </c>
      <c r="Y98" s="107">
        <v>16</v>
      </c>
      <c r="AC98" s="70">
        <f t="shared" si="65"/>
        <v>120.19324744311874</v>
      </c>
      <c r="AD98" s="110">
        <f t="shared" si="66"/>
        <v>-1.3375330409692627</v>
      </c>
      <c r="AE98" s="71">
        <f t="shared" si="67"/>
        <v>1.3375330409692627</v>
      </c>
      <c r="AG98" s="53" t="s">
        <v>2</v>
      </c>
    </row>
    <row r="99" spans="1:33" ht="17" thickBot="1">
      <c r="A99" s="160">
        <v>2018</v>
      </c>
      <c r="B99" s="66">
        <f t="shared" si="60"/>
        <v>119.57545509590256</v>
      </c>
      <c r="C99" s="158">
        <v>16</v>
      </c>
      <c r="D99" s="159">
        <f t="shared" ref="D99" si="84">C99*C99</f>
        <v>256</v>
      </c>
      <c r="E99" s="57">
        <f t="shared" ref="E99" si="85">F19</f>
        <v>84</v>
      </c>
      <c r="F99" s="57">
        <f t="shared" ref="F99" si="86">G19</f>
        <v>118.6</v>
      </c>
      <c r="G99" s="57">
        <f t="shared" ref="G99" si="87">H19</f>
        <v>1</v>
      </c>
      <c r="H99" s="57">
        <f t="shared" ref="H99" si="88">I19</f>
        <v>6.4</v>
      </c>
      <c r="P99" s="17">
        <f t="shared" ref="P99" si="89">I$83*H99+J$83*G99+K$83*F99+L$83*E99+M$83*D99+N$83*C99+O$83</f>
        <v>119.65873410991077</v>
      </c>
      <c r="Q99" s="157">
        <f t="shared" ref="Q99" si="90">P99-B99</f>
        <v>8.3279014008212471E-2</v>
      </c>
      <c r="R99" s="22"/>
      <c r="W99" s="132">
        <v>2018</v>
      </c>
      <c r="X99" s="133">
        <f>Y99*Y99</f>
        <v>289</v>
      </c>
      <c r="Y99" s="134">
        <v>17</v>
      </c>
      <c r="Z99" s="22"/>
      <c r="AA99" s="22"/>
      <c r="AB99" s="22"/>
      <c r="AC99" s="141">
        <f t="shared" ref="AC99:AC105" si="91">Z$83*Y99+AA$83*X99+AB$83</f>
        <v>118.89765325338496</v>
      </c>
      <c r="AD99" s="142">
        <f t="shared" ref="AD99:AD105" si="92">2*AA$83*Y99+Z$83</f>
        <v>-1.2536553384982854</v>
      </c>
      <c r="AE99" s="143">
        <f t="shared" ref="AE99:AE105" si="93">AD99*-1</f>
        <v>1.2536553384982854</v>
      </c>
      <c r="AG99" s="53"/>
    </row>
    <row r="100" spans="1:33">
      <c r="A100" s="21"/>
      <c r="B100" s="116">
        <f>SUM(B83:B99)</f>
        <v>2254.4977527916017</v>
      </c>
      <c r="C100" s="21"/>
      <c r="D100" s="21"/>
      <c r="E100" s="21"/>
      <c r="F100" s="21"/>
      <c r="G100" s="21"/>
      <c r="H100" s="21"/>
      <c r="I100" s="21"/>
      <c r="J100" s="21"/>
      <c r="K100" s="21" t="s">
        <v>2</v>
      </c>
      <c r="L100" s="21"/>
      <c r="M100" s="21"/>
      <c r="N100" s="21"/>
      <c r="O100" s="21"/>
      <c r="P100" s="116">
        <f>SUM(P83:P99)</f>
        <v>2254.4977527916021</v>
      </c>
      <c r="Q100" s="116">
        <f>SUM(Q83:Q99)</f>
        <v>7.531752999057062E-13</v>
      </c>
      <c r="R100" s="21"/>
      <c r="S100" s="74"/>
      <c r="T100" s="74"/>
      <c r="U100" s="74"/>
      <c r="V100" s="74" t="s">
        <v>2</v>
      </c>
      <c r="W100" s="129">
        <v>2019</v>
      </c>
      <c r="X100" s="130">
        <f>Y100*Y100</f>
        <v>324</v>
      </c>
      <c r="Y100" s="131">
        <v>18</v>
      </c>
      <c r="Z100" s="74"/>
      <c r="AA100" s="74"/>
      <c r="AB100" s="74"/>
      <c r="AC100" s="144">
        <f t="shared" si="91"/>
        <v>117.68593676612215</v>
      </c>
      <c r="AD100" s="108">
        <f t="shared" si="92"/>
        <v>-1.169777636027308</v>
      </c>
      <c r="AE100" s="109">
        <f t="shared" si="93"/>
        <v>1.169777636027308</v>
      </c>
    </row>
    <row r="101" spans="1:33">
      <c r="W101" s="117">
        <v>2020</v>
      </c>
      <c r="X101" s="125">
        <f>Y101*Y101</f>
        <v>361</v>
      </c>
      <c r="Y101" s="126">
        <v>19</v>
      </c>
      <c r="Z101" s="118"/>
      <c r="AA101" s="118"/>
      <c r="AB101" s="118"/>
      <c r="AC101" s="119">
        <f t="shared" si="91"/>
        <v>116.55809798133035</v>
      </c>
      <c r="AD101" s="135">
        <f t="shared" si="92"/>
        <v>-1.0858999335563306</v>
      </c>
      <c r="AE101" s="120">
        <f t="shared" si="93"/>
        <v>1.0858999335563306</v>
      </c>
    </row>
    <row r="102" spans="1:33">
      <c r="W102" s="117">
        <v>2021</v>
      </c>
      <c r="X102" s="125">
        <f>Y102*Y102</f>
        <v>400</v>
      </c>
      <c r="Y102" s="126">
        <v>20</v>
      </c>
      <c r="Z102" s="118"/>
      <c r="AA102" s="118"/>
      <c r="AB102" s="118"/>
      <c r="AC102" s="119">
        <f t="shared" si="91"/>
        <v>115.5141368990095</v>
      </c>
      <c r="AD102" s="135">
        <f t="shared" si="92"/>
        <v>-1.0020222310853533</v>
      </c>
      <c r="AE102" s="120">
        <f t="shared" si="93"/>
        <v>1.0020222310853533</v>
      </c>
    </row>
    <row r="103" spans="1:33">
      <c r="W103" s="117">
        <v>2022</v>
      </c>
      <c r="X103" s="125">
        <f t="shared" ref="X103:X106" si="94">Y103*Y103</f>
        <v>441</v>
      </c>
      <c r="Y103" s="126">
        <v>21</v>
      </c>
      <c r="Z103" s="118"/>
      <c r="AA103" s="118"/>
      <c r="AB103" s="118"/>
      <c r="AC103" s="119">
        <f t="shared" si="91"/>
        <v>114.55405351915962</v>
      </c>
      <c r="AD103" s="135">
        <f t="shared" si="92"/>
        <v>-0.91814452861437612</v>
      </c>
      <c r="AE103" s="120">
        <f t="shared" si="93"/>
        <v>0.91814452861437612</v>
      </c>
    </row>
    <row r="104" spans="1:33">
      <c r="W104" s="117">
        <v>2023</v>
      </c>
      <c r="X104" s="125">
        <f t="shared" si="94"/>
        <v>484</v>
      </c>
      <c r="Y104" s="126">
        <v>22</v>
      </c>
      <c r="Z104" s="118"/>
      <c r="AA104" s="118"/>
      <c r="AB104" s="118"/>
      <c r="AC104" s="119">
        <f t="shared" si="91"/>
        <v>113.67784784178075</v>
      </c>
      <c r="AD104" s="135">
        <f t="shared" si="92"/>
        <v>-0.83426682614339875</v>
      </c>
      <c r="AE104" s="120">
        <f t="shared" si="93"/>
        <v>0.83426682614339875</v>
      </c>
    </row>
    <row r="105" spans="1:33">
      <c r="W105" s="117">
        <v>2024</v>
      </c>
      <c r="X105" s="125">
        <f t="shared" si="94"/>
        <v>529</v>
      </c>
      <c r="Y105" s="126">
        <v>23</v>
      </c>
      <c r="Z105" s="118"/>
      <c r="AA105" s="118"/>
      <c r="AB105" s="118"/>
      <c r="AC105" s="119">
        <f t="shared" si="91"/>
        <v>112.88551986687284</v>
      </c>
      <c r="AD105" s="135">
        <f t="shared" si="92"/>
        <v>-0.75038912367242139</v>
      </c>
      <c r="AE105" s="120">
        <f t="shared" si="93"/>
        <v>0.75038912367242139</v>
      </c>
    </row>
    <row r="106" spans="1:33" ht="17" thickBot="1">
      <c r="W106" s="121">
        <v>2024</v>
      </c>
      <c r="X106" s="127">
        <f t="shared" si="94"/>
        <v>576</v>
      </c>
      <c r="Y106" s="128">
        <v>24</v>
      </c>
      <c r="Z106" s="118"/>
      <c r="AA106" s="118"/>
      <c r="AB106" s="118"/>
      <c r="AC106" s="122">
        <f t="shared" ref="AC106" si="95">Z$83*Y106+AA$83*X106+AB$83</f>
        <v>112.17706959443591</v>
      </c>
      <c r="AD106" s="123">
        <f t="shared" ref="AD106" si="96">2*AA$83*Y106+Z$83</f>
        <v>-0.66651142120144424</v>
      </c>
      <c r="AE106" s="124">
        <f t="shared" ref="AE106" si="97">AD106*-1</f>
        <v>0.66651142120144424</v>
      </c>
    </row>
  </sheetData>
  <mergeCells count="12">
    <mergeCell ref="C81:G81"/>
    <mergeCell ref="I81:O81"/>
    <mergeCell ref="Z82:AB82"/>
    <mergeCell ref="Z2:AB2"/>
    <mergeCell ref="C61:G61"/>
    <mergeCell ref="H61:M61"/>
    <mergeCell ref="C1:I1"/>
    <mergeCell ref="J1:Q1"/>
    <mergeCell ref="C21:I21"/>
    <mergeCell ref="J21:Q21"/>
    <mergeCell ref="C41:I41"/>
    <mergeCell ref="J41:Q41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A908-8679-8A40-A1F0-7C64D05B8EFE}">
  <dimension ref="A1:C10"/>
  <sheetViews>
    <sheetView zoomScale="200" zoomScaleNormal="200" workbookViewId="0">
      <selection activeCell="B11" sqref="B11"/>
    </sheetView>
  </sheetViews>
  <sheetFormatPr baseColWidth="10" defaultRowHeight="16"/>
  <cols>
    <col min="2" max="3" width="10.83203125" style="1"/>
  </cols>
  <sheetData>
    <row r="1" spans="1:3">
      <c r="A1" t="s">
        <v>41</v>
      </c>
      <c r="B1" s="1">
        <v>3.7</v>
      </c>
      <c r="C1" s="1">
        <v>33.200000000000003</v>
      </c>
    </row>
    <row r="2" spans="1:3">
      <c r="A2" t="s">
        <v>42</v>
      </c>
      <c r="B2" s="1">
        <v>-1.9</v>
      </c>
      <c r="C2" s="1">
        <v>113.7</v>
      </c>
    </row>
    <row r="3" spans="1:3">
      <c r="A3" t="s">
        <v>43</v>
      </c>
      <c r="B3" s="1">
        <v>2.4</v>
      </c>
      <c r="C3" s="1">
        <v>112.6</v>
      </c>
    </row>
    <row r="4" spans="1:3">
      <c r="A4" t="s">
        <v>44</v>
      </c>
      <c r="B4" s="1">
        <v>12.3</v>
      </c>
      <c r="C4" s="1">
        <v>225.6</v>
      </c>
    </row>
    <row r="5" spans="1:3">
      <c r="A5" t="s">
        <v>45</v>
      </c>
      <c r="B5" s="1">
        <v>15.1</v>
      </c>
      <c r="C5" s="1">
        <v>206.5</v>
      </c>
    </row>
    <row r="6" spans="1:3">
      <c r="A6" t="s">
        <v>48</v>
      </c>
      <c r="B6" s="1">
        <v>10.7</v>
      </c>
      <c r="C6" s="1">
        <v>157.19999999999999</v>
      </c>
    </row>
    <row r="7" spans="1:3">
      <c r="A7" t="s">
        <v>46</v>
      </c>
      <c r="B7" s="1">
        <v>5.2</v>
      </c>
      <c r="C7" s="1">
        <v>75.099999999999994</v>
      </c>
    </row>
    <row r="8" spans="1:3">
      <c r="A8" t="s">
        <v>47</v>
      </c>
      <c r="B8" s="1">
        <v>3.9</v>
      </c>
      <c r="C8" s="1">
        <v>25.2</v>
      </c>
    </row>
    <row r="10" spans="1:3">
      <c r="B10" s="1">
        <f>AVERAGE(B1:B8)</f>
        <v>6.4249999999999998</v>
      </c>
      <c r="C10" s="1">
        <f>AVERAGE(C1:C8)</f>
        <v>118.6375</v>
      </c>
    </row>
  </sheetData>
  <autoFilter ref="B1:B8" xr:uid="{22A0D1AB-7FDE-6347-AE92-2EB8C7A9B2D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Diagrammtitel</vt:lpstr>
      <vt:lpstr>Regression</vt:lpstr>
      <vt:lpstr>Tabelle1</vt:lpstr>
      <vt:lpstr>Dia 1</vt:lpstr>
      <vt:lpstr>Dia 2</vt:lpstr>
      <vt:lpstr>Dia 3</vt:lpstr>
      <vt:lpstr>Dia 4</vt:lpstr>
      <vt:lpstr>Dia 5</vt:lpstr>
      <vt:lpstr>Dia 6</vt:lpstr>
      <vt:lpstr>Dia 7</vt:lpstr>
      <vt:lpstr>Dia 8</vt:lpstr>
      <vt:lpstr>Dia 9</vt:lpstr>
      <vt:lpstr>Dia 10</vt:lpstr>
      <vt:lpstr>Zeitraum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2018-04-04T12:38:33Z</dcterms:created>
  <dcterms:modified xsi:type="dcterms:W3CDTF">2019-05-16T11:53:47Z</dcterms:modified>
</cp:coreProperties>
</file>