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AAA Entwicklung HEV 2018/Berechnung/2 Bundesländer/2.2. MFH/2.2.1. Bundesländer/2.2.1.1. Baden Württemberg/2.2.1.1.1. Verlauf/"/>
    </mc:Choice>
  </mc:AlternateContent>
  <xr:revisionPtr revIDLastSave="0" documentId="13_ncr:1_{AFC99B78-AA64-EF4D-8E9A-09CA33BA32C9}" xr6:coauthVersionLast="33" xr6:coauthVersionMax="33" xr10:uidLastSave="{00000000-0000-0000-0000-000000000000}"/>
  <bookViews>
    <workbookView xWindow="0" yWindow="460" windowWidth="38400" windowHeight="21140" activeTab="11" xr2:uid="{5AD167B3-EFEC-044B-AA3D-DDDB1C993424}"/>
  </bookViews>
  <sheets>
    <sheet name="Diagrammtitel" sheetId="29" r:id="rId1"/>
    <sheet name="Dia 1" sheetId="6" r:id="rId2"/>
    <sheet name="Dia 2" sheetId="4" r:id="rId3"/>
    <sheet name="Dia 3" sheetId="7" r:id="rId4"/>
    <sheet name="Dia 4" sheetId="19" r:id="rId5"/>
    <sheet name="Dia 5" sheetId="20" r:id="rId6"/>
    <sheet name="Dia 6" sheetId="21" r:id="rId7"/>
    <sheet name="Dia 7" sheetId="22" r:id="rId8"/>
    <sheet name="Dia 8" sheetId="25" r:id="rId9"/>
    <sheet name="Dia 9" sheetId="23" r:id="rId10"/>
    <sheet name="Dia 10" sheetId="24" r:id="rId11"/>
    <sheet name="Regression 1" sheetId="2" r:id="rId12"/>
  </sheets>
  <externalReferences>
    <externalReference r:id="rId13"/>
  </externalReferences>
  <definedNames>
    <definedName name="Zwei">'[1]Variablen für REG'!$A$6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29" l="1"/>
  <c r="A9" i="29"/>
  <c r="A8" i="29"/>
  <c r="A7" i="29"/>
  <c r="A6" i="29"/>
  <c r="A5" i="29"/>
  <c r="A4" i="29"/>
  <c r="A3" i="29"/>
  <c r="A2" i="29"/>
  <c r="A1" i="29"/>
  <c r="D79" i="2"/>
  <c r="D80" i="2"/>
  <c r="D81" i="2"/>
  <c r="D82" i="2"/>
  <c r="J3" i="2" a="1"/>
  <c r="Q3" i="2"/>
  <c r="P3" i="2"/>
  <c r="O3" i="2"/>
  <c r="N3" i="2"/>
  <c r="M3" i="2"/>
  <c r="L3" i="2"/>
  <c r="K3" i="2"/>
  <c r="J3" i="2"/>
  <c r="R3" i="2"/>
  <c r="D22" i="2"/>
  <c r="D23" i="2"/>
  <c r="D24" i="2"/>
  <c r="D25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E22" i="2"/>
  <c r="F22" i="2"/>
  <c r="G22" i="2"/>
  <c r="H22" i="2"/>
  <c r="I22" i="2"/>
  <c r="E23" i="2"/>
  <c r="F23" i="2"/>
  <c r="G23" i="2"/>
  <c r="H23" i="2"/>
  <c r="I23" i="2"/>
  <c r="E24" i="2"/>
  <c r="F24" i="2"/>
  <c r="G24" i="2"/>
  <c r="H24" i="2"/>
  <c r="I24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H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J22" i="2" a="1"/>
  <c r="J22" i="2"/>
  <c r="K22" i="2"/>
  <c r="L22" i="2"/>
  <c r="M22" i="2"/>
  <c r="N22" i="2"/>
  <c r="O22" i="2"/>
  <c r="P22" i="2"/>
  <c r="Q22" i="2"/>
  <c r="R22" i="2"/>
  <c r="U22" i="2"/>
  <c r="B41" i="2"/>
  <c r="B60" i="2"/>
  <c r="B79" i="2"/>
  <c r="R4" i="2"/>
  <c r="R23" i="2"/>
  <c r="U23" i="2"/>
  <c r="B42" i="2"/>
  <c r="B61" i="2"/>
  <c r="B80" i="2"/>
  <c r="R5" i="2"/>
  <c r="R24" i="2"/>
  <c r="U24" i="2"/>
  <c r="B43" i="2"/>
  <c r="B62" i="2"/>
  <c r="B81" i="2"/>
  <c r="R6" i="2"/>
  <c r="R25" i="2"/>
  <c r="U25" i="2"/>
  <c r="B44" i="2"/>
  <c r="B63" i="2"/>
  <c r="B82" i="2"/>
  <c r="R7" i="2"/>
  <c r="R26" i="2"/>
  <c r="U26" i="2"/>
  <c r="B45" i="2"/>
  <c r="B64" i="2"/>
  <c r="B83" i="2"/>
  <c r="R8" i="2"/>
  <c r="R27" i="2"/>
  <c r="U27" i="2"/>
  <c r="B46" i="2"/>
  <c r="B65" i="2"/>
  <c r="B84" i="2"/>
  <c r="R9" i="2"/>
  <c r="R28" i="2"/>
  <c r="U28" i="2"/>
  <c r="B47" i="2"/>
  <c r="B66" i="2"/>
  <c r="B85" i="2"/>
  <c r="R10" i="2"/>
  <c r="R29" i="2"/>
  <c r="U29" i="2"/>
  <c r="B48" i="2"/>
  <c r="B67" i="2"/>
  <c r="B86" i="2"/>
  <c r="R11" i="2"/>
  <c r="R30" i="2"/>
  <c r="U30" i="2"/>
  <c r="B49" i="2"/>
  <c r="B68" i="2"/>
  <c r="B87" i="2"/>
  <c r="R12" i="2"/>
  <c r="R31" i="2"/>
  <c r="U31" i="2"/>
  <c r="B50" i="2"/>
  <c r="B69" i="2"/>
  <c r="B88" i="2"/>
  <c r="R13" i="2"/>
  <c r="R32" i="2"/>
  <c r="U32" i="2"/>
  <c r="B51" i="2"/>
  <c r="B70" i="2"/>
  <c r="B89" i="2"/>
  <c r="R14" i="2"/>
  <c r="R33" i="2"/>
  <c r="U33" i="2"/>
  <c r="B52" i="2"/>
  <c r="B71" i="2"/>
  <c r="B90" i="2"/>
  <c r="R15" i="2"/>
  <c r="R34" i="2"/>
  <c r="U34" i="2"/>
  <c r="B53" i="2"/>
  <c r="B72" i="2"/>
  <c r="B91" i="2"/>
  <c r="R16" i="2"/>
  <c r="R35" i="2"/>
  <c r="U35" i="2"/>
  <c r="B54" i="2"/>
  <c r="B73" i="2"/>
  <c r="B92" i="2"/>
  <c r="R17" i="2"/>
  <c r="R36" i="2"/>
  <c r="U36" i="2"/>
  <c r="B55" i="2"/>
  <c r="B74" i="2"/>
  <c r="B93" i="2"/>
  <c r="R18" i="2"/>
  <c r="R37" i="2"/>
  <c r="U37" i="2"/>
  <c r="B56" i="2"/>
  <c r="B75" i="2"/>
  <c r="B94" i="2"/>
  <c r="E79" i="2"/>
  <c r="F79" i="2"/>
  <c r="G79" i="2"/>
  <c r="H79" i="2"/>
  <c r="E80" i="2"/>
  <c r="F80" i="2"/>
  <c r="G80" i="2"/>
  <c r="H80" i="2"/>
  <c r="E81" i="2"/>
  <c r="F81" i="2"/>
  <c r="G81" i="2"/>
  <c r="H81" i="2"/>
  <c r="E82" i="2"/>
  <c r="F82" i="2"/>
  <c r="G82" i="2"/>
  <c r="H82" i="2"/>
  <c r="D83" i="2"/>
  <c r="E83" i="2"/>
  <c r="F83" i="2"/>
  <c r="G83" i="2"/>
  <c r="H83" i="2"/>
  <c r="D84" i="2"/>
  <c r="E84" i="2"/>
  <c r="F84" i="2"/>
  <c r="G84" i="2"/>
  <c r="H84" i="2"/>
  <c r="D85" i="2"/>
  <c r="E85" i="2"/>
  <c r="F85" i="2"/>
  <c r="G85" i="2"/>
  <c r="H85" i="2"/>
  <c r="D86" i="2"/>
  <c r="E86" i="2"/>
  <c r="F86" i="2"/>
  <c r="G86" i="2"/>
  <c r="H86" i="2"/>
  <c r="D87" i="2"/>
  <c r="E87" i="2"/>
  <c r="F87" i="2"/>
  <c r="G87" i="2"/>
  <c r="H87" i="2"/>
  <c r="D88" i="2"/>
  <c r="E88" i="2"/>
  <c r="F88" i="2"/>
  <c r="G88" i="2"/>
  <c r="H88" i="2"/>
  <c r="D89" i="2"/>
  <c r="E89" i="2"/>
  <c r="F89" i="2"/>
  <c r="G89" i="2"/>
  <c r="H89" i="2"/>
  <c r="D90" i="2"/>
  <c r="E90" i="2"/>
  <c r="F90" i="2"/>
  <c r="G90" i="2"/>
  <c r="H90" i="2"/>
  <c r="D91" i="2"/>
  <c r="E91" i="2"/>
  <c r="F91" i="2"/>
  <c r="G91" i="2"/>
  <c r="H91" i="2"/>
  <c r="D92" i="2"/>
  <c r="E92" i="2"/>
  <c r="F92" i="2"/>
  <c r="G92" i="2"/>
  <c r="H92" i="2"/>
  <c r="D93" i="2"/>
  <c r="E93" i="2"/>
  <c r="F93" i="2"/>
  <c r="G93" i="2"/>
  <c r="H93" i="2"/>
  <c r="D94" i="2"/>
  <c r="E94" i="2"/>
  <c r="F94" i="2"/>
  <c r="G94" i="2"/>
  <c r="H94" i="2"/>
  <c r="I79" i="2" a="1"/>
  <c r="I79" i="2"/>
  <c r="J79" i="2"/>
  <c r="K79" i="2"/>
  <c r="L79" i="2"/>
  <c r="M79" i="2"/>
  <c r="N79" i="2"/>
  <c r="O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79" i="2"/>
  <c r="O106" i="2"/>
  <c r="O104" i="2"/>
  <c r="O103" i="2"/>
  <c r="X91" i="2"/>
  <c r="X92" i="2"/>
  <c r="X93" i="2"/>
  <c r="X94" i="2"/>
  <c r="Z79" i="2" a="1"/>
  <c r="Z81" i="2"/>
  <c r="O101" i="2"/>
  <c r="AB79" i="2"/>
  <c r="O99" i="2"/>
  <c r="AA79" i="2"/>
  <c r="O98" i="2"/>
  <c r="Z79" i="2"/>
  <c r="O97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P61" i="2"/>
  <c r="D60" i="2"/>
  <c r="D61" i="2"/>
  <c r="D62" i="2"/>
  <c r="D63" i="2"/>
  <c r="E60" i="2"/>
  <c r="F60" i="2"/>
  <c r="G60" i="2"/>
  <c r="E61" i="2"/>
  <c r="F61" i="2"/>
  <c r="G61" i="2"/>
  <c r="E62" i="2"/>
  <c r="F62" i="2"/>
  <c r="G62" i="2"/>
  <c r="E63" i="2"/>
  <c r="F63" i="2"/>
  <c r="G63" i="2"/>
  <c r="D64" i="2"/>
  <c r="E64" i="2"/>
  <c r="F64" i="2"/>
  <c r="G64" i="2"/>
  <c r="D65" i="2"/>
  <c r="E65" i="2"/>
  <c r="F65" i="2"/>
  <c r="G65" i="2"/>
  <c r="D66" i="2"/>
  <c r="E66" i="2"/>
  <c r="F66" i="2"/>
  <c r="G66" i="2"/>
  <c r="D67" i="2"/>
  <c r="E67" i="2"/>
  <c r="F67" i="2"/>
  <c r="G67" i="2"/>
  <c r="D68" i="2"/>
  <c r="E68" i="2"/>
  <c r="F68" i="2"/>
  <c r="G68" i="2"/>
  <c r="D69" i="2"/>
  <c r="E69" i="2"/>
  <c r="F69" i="2"/>
  <c r="G69" i="2"/>
  <c r="D70" i="2"/>
  <c r="E70" i="2"/>
  <c r="F70" i="2"/>
  <c r="G70" i="2"/>
  <c r="D71" i="2"/>
  <c r="E71" i="2"/>
  <c r="F71" i="2"/>
  <c r="G71" i="2"/>
  <c r="D72" i="2"/>
  <c r="E72" i="2"/>
  <c r="F72" i="2"/>
  <c r="G72" i="2"/>
  <c r="D73" i="2"/>
  <c r="E73" i="2"/>
  <c r="F73" i="2"/>
  <c r="G73" i="2"/>
  <c r="D74" i="2"/>
  <c r="E74" i="2"/>
  <c r="F74" i="2"/>
  <c r="G74" i="2"/>
  <c r="D75" i="2"/>
  <c r="E75" i="2"/>
  <c r="F75" i="2"/>
  <c r="G75" i="2"/>
  <c r="H60" i="2" a="1"/>
  <c r="H60" i="2"/>
  <c r="I60" i="2"/>
  <c r="J60" i="2"/>
  <c r="K60" i="2"/>
  <c r="L60" i="2"/>
  <c r="M60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P60" i="2"/>
  <c r="H61" i="2"/>
  <c r="I61" i="2"/>
  <c r="J61" i="2"/>
  <c r="K61" i="2"/>
  <c r="L61" i="2"/>
  <c r="M61" i="2"/>
  <c r="H62" i="2"/>
  <c r="I62" i="2"/>
  <c r="J62" i="2"/>
  <c r="K62" i="2"/>
  <c r="L62" i="2"/>
  <c r="M62" i="2"/>
  <c r="H63" i="2"/>
  <c r="I63" i="2"/>
  <c r="J63" i="2"/>
  <c r="K63" i="2"/>
  <c r="L63" i="2"/>
  <c r="M63" i="2"/>
  <c r="H64" i="2"/>
  <c r="I64" i="2"/>
  <c r="J64" i="2"/>
  <c r="K64" i="2"/>
  <c r="L64" i="2"/>
  <c r="M64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D41" i="2"/>
  <c r="D42" i="2"/>
  <c r="D43" i="2"/>
  <c r="D44" i="2"/>
  <c r="E41" i="2"/>
  <c r="F41" i="2"/>
  <c r="G41" i="2"/>
  <c r="H41" i="2"/>
  <c r="I41" i="2"/>
  <c r="E42" i="2"/>
  <c r="F42" i="2"/>
  <c r="G42" i="2"/>
  <c r="H42" i="2"/>
  <c r="I42" i="2"/>
  <c r="E43" i="2"/>
  <c r="F43" i="2"/>
  <c r="G43" i="2"/>
  <c r="H43" i="2"/>
  <c r="I43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J41" i="2" a="1"/>
  <c r="Q41" i="2"/>
  <c r="P41" i="2"/>
  <c r="O41" i="2"/>
  <c r="N41" i="2"/>
  <c r="M41" i="2"/>
  <c r="L41" i="2"/>
  <c r="K41" i="2"/>
  <c r="J41" i="2"/>
  <c r="R41" i="2"/>
  <c r="S41" i="2"/>
  <c r="R42" i="2"/>
  <c r="S42" i="2"/>
  <c r="R43" i="2"/>
  <c r="S43" i="2"/>
  <c r="R44" i="2"/>
  <c r="S44" i="2"/>
  <c r="R45" i="2"/>
  <c r="S45" i="2"/>
  <c r="R46" i="2"/>
  <c r="S46" i="2"/>
  <c r="R47" i="2"/>
  <c r="S47" i="2"/>
  <c r="R48" i="2"/>
  <c r="S48" i="2"/>
  <c r="R49" i="2"/>
  <c r="S49" i="2"/>
  <c r="R50" i="2"/>
  <c r="S50" i="2"/>
  <c r="R51" i="2"/>
  <c r="S51" i="2"/>
  <c r="R52" i="2"/>
  <c r="S52" i="2"/>
  <c r="R53" i="2"/>
  <c r="S53" i="2"/>
  <c r="R54" i="2"/>
  <c r="S54" i="2"/>
  <c r="R55" i="2"/>
  <c r="S55" i="2"/>
  <c r="R56" i="2"/>
  <c r="S56" i="2"/>
  <c r="S57" i="2"/>
  <c r="J42" i="2"/>
  <c r="K42" i="2"/>
  <c r="L42" i="2"/>
  <c r="M42" i="2"/>
  <c r="N42" i="2"/>
  <c r="O42" i="2"/>
  <c r="P42" i="2"/>
  <c r="Q42" i="2"/>
  <c r="J43" i="2"/>
  <c r="K43" i="2"/>
  <c r="L43" i="2"/>
  <c r="M43" i="2"/>
  <c r="N43" i="2"/>
  <c r="O43" i="2"/>
  <c r="P43" i="2"/>
  <c r="Q43" i="2"/>
  <c r="J44" i="2"/>
  <c r="K44" i="2"/>
  <c r="L44" i="2"/>
  <c r="M44" i="2"/>
  <c r="N44" i="2"/>
  <c r="O44" i="2"/>
  <c r="P44" i="2"/>
  <c r="Q44" i="2"/>
  <c r="J45" i="2"/>
  <c r="K45" i="2"/>
  <c r="L45" i="2"/>
  <c r="M45" i="2"/>
  <c r="N45" i="2"/>
  <c r="O45" i="2"/>
  <c r="P45" i="2"/>
  <c r="Q45" i="2"/>
  <c r="U38" i="2"/>
  <c r="J23" i="2"/>
  <c r="K23" i="2"/>
  <c r="L23" i="2"/>
  <c r="M23" i="2"/>
  <c r="N23" i="2"/>
  <c r="O23" i="2"/>
  <c r="P23" i="2"/>
  <c r="Q23" i="2"/>
  <c r="J24" i="2"/>
  <c r="K24" i="2"/>
  <c r="L24" i="2"/>
  <c r="M24" i="2"/>
  <c r="N24" i="2"/>
  <c r="O24" i="2"/>
  <c r="P24" i="2"/>
  <c r="Q24" i="2"/>
  <c r="J25" i="2"/>
  <c r="K25" i="2"/>
  <c r="L25" i="2"/>
  <c r="M25" i="2"/>
  <c r="N25" i="2"/>
  <c r="O25" i="2"/>
  <c r="P25" i="2"/>
  <c r="Q25" i="2"/>
  <c r="J26" i="2"/>
  <c r="K26" i="2"/>
  <c r="L26" i="2"/>
  <c r="M26" i="2"/>
  <c r="N26" i="2"/>
  <c r="O26" i="2"/>
  <c r="P26" i="2"/>
  <c r="Q26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T23" i="2"/>
  <c r="T22" i="2"/>
  <c r="T4" i="2"/>
  <c r="T3" i="2"/>
  <c r="J4" i="2"/>
  <c r="K4" i="2"/>
  <c r="L4" i="2"/>
  <c r="M4" i="2"/>
  <c r="N4" i="2"/>
  <c r="O4" i="2"/>
  <c r="P4" i="2"/>
  <c r="Q4" i="2"/>
  <c r="J5" i="2"/>
  <c r="K5" i="2"/>
  <c r="L5" i="2"/>
  <c r="M5" i="2"/>
  <c r="N5" i="2"/>
  <c r="O5" i="2"/>
  <c r="P5" i="2"/>
  <c r="Q5" i="2"/>
  <c r="J6" i="2"/>
  <c r="K6" i="2"/>
  <c r="L6" i="2"/>
  <c r="M6" i="2"/>
  <c r="N6" i="2"/>
  <c r="O6" i="2"/>
  <c r="P6" i="2"/>
  <c r="Q6" i="2"/>
  <c r="J7" i="2"/>
  <c r="K7" i="2"/>
  <c r="L7" i="2"/>
  <c r="M7" i="2"/>
  <c r="N7" i="2"/>
  <c r="O7" i="2"/>
  <c r="P7" i="2"/>
  <c r="Q7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79" i="2"/>
  <c r="X96" i="2"/>
  <c r="AC96" i="2"/>
  <c r="AD96" i="2"/>
  <c r="AE96" i="2"/>
  <c r="X97" i="2"/>
  <c r="AC97" i="2"/>
  <c r="AD97" i="2"/>
  <c r="AE97" i="2"/>
  <c r="X98" i="2"/>
  <c r="AC98" i="2"/>
  <c r="AD98" i="2"/>
  <c r="AE98" i="2"/>
  <c r="X99" i="2"/>
  <c r="AC99" i="2"/>
  <c r="AD99" i="2"/>
  <c r="AE99" i="2"/>
  <c r="X100" i="2"/>
  <c r="AC100" i="2"/>
  <c r="AD100" i="2"/>
  <c r="AE100" i="2"/>
  <c r="X101" i="2"/>
  <c r="AC101" i="2"/>
  <c r="AD101" i="2"/>
  <c r="AE101" i="2"/>
  <c r="X102" i="2"/>
  <c r="AC102" i="2"/>
  <c r="AD102" i="2"/>
  <c r="AE102" i="2"/>
  <c r="X95" i="2"/>
  <c r="AC95" i="2"/>
  <c r="AD95" i="2"/>
  <c r="AE95" i="2"/>
  <c r="AD80" i="2"/>
  <c r="AE80" i="2"/>
  <c r="AD81" i="2"/>
  <c r="AE81" i="2"/>
  <c r="AD82" i="2"/>
  <c r="AE82" i="2"/>
  <c r="AD83" i="2"/>
  <c r="AE83" i="2"/>
  <c r="AD84" i="2"/>
  <c r="AE84" i="2"/>
  <c r="AD85" i="2"/>
  <c r="AE85" i="2"/>
  <c r="AD86" i="2"/>
  <c r="AE86" i="2"/>
  <c r="AD87" i="2"/>
  <c r="AE87" i="2"/>
  <c r="AD88" i="2"/>
  <c r="AE88" i="2"/>
  <c r="AD89" i="2"/>
  <c r="AE89" i="2"/>
  <c r="AD90" i="2"/>
  <c r="AE90" i="2"/>
  <c r="AD91" i="2"/>
  <c r="AE91" i="2"/>
  <c r="AD92" i="2"/>
  <c r="AE92" i="2"/>
  <c r="AD93" i="2"/>
  <c r="AE93" i="2"/>
  <c r="AD94" i="2"/>
  <c r="AE94" i="2"/>
  <c r="AD79" i="2"/>
  <c r="AE79" i="2"/>
  <c r="Z80" i="2"/>
  <c r="AA80" i="2"/>
  <c r="AB80" i="2"/>
  <c r="AA81" i="2"/>
  <c r="AB81" i="2"/>
  <c r="Z82" i="2"/>
  <c r="AA82" i="2"/>
  <c r="AB82" i="2"/>
  <c r="Z83" i="2"/>
  <c r="AA83" i="2"/>
  <c r="AB83" i="2"/>
  <c r="R80" i="2"/>
  <c r="I93" i="2"/>
  <c r="R79" i="2"/>
  <c r="I80" i="2"/>
  <c r="J80" i="2"/>
  <c r="K80" i="2"/>
  <c r="L80" i="2"/>
  <c r="M80" i="2"/>
  <c r="N80" i="2"/>
  <c r="O80" i="2"/>
  <c r="I81" i="2"/>
  <c r="J81" i="2"/>
  <c r="K81" i="2"/>
  <c r="L81" i="2"/>
  <c r="M81" i="2"/>
  <c r="N81" i="2"/>
  <c r="O81" i="2"/>
  <c r="I82" i="2"/>
  <c r="J82" i="2"/>
  <c r="K82" i="2"/>
  <c r="L82" i="2"/>
  <c r="M82" i="2"/>
  <c r="N82" i="2"/>
  <c r="O82" i="2"/>
  <c r="I83" i="2"/>
  <c r="J83" i="2"/>
  <c r="K83" i="2"/>
  <c r="L83" i="2"/>
  <c r="M83" i="2"/>
  <c r="N83" i="2"/>
  <c r="O83" i="2"/>
  <c r="I59" i="2"/>
  <c r="J59" i="2"/>
  <c r="K59" i="2"/>
  <c r="Z3" i="2" a="1"/>
  <c r="AA3" i="2"/>
  <c r="Z3" i="2"/>
  <c r="AD4" i="2"/>
  <c r="AE4" i="2"/>
  <c r="AD5" i="2"/>
  <c r="AE5" i="2"/>
  <c r="AD6" i="2"/>
  <c r="AE6" i="2"/>
  <c r="AD7" i="2"/>
  <c r="AE7" i="2"/>
  <c r="AD8" i="2"/>
  <c r="AE8" i="2"/>
  <c r="AD9" i="2"/>
  <c r="AE9" i="2"/>
  <c r="AD10" i="2"/>
  <c r="AE10" i="2"/>
  <c r="AD11" i="2"/>
  <c r="AE11" i="2"/>
  <c r="AD12" i="2"/>
  <c r="AE12" i="2"/>
  <c r="AD13" i="2"/>
  <c r="AE13" i="2"/>
  <c r="AD14" i="2"/>
  <c r="AE14" i="2"/>
  <c r="AD15" i="2"/>
  <c r="AE15" i="2"/>
  <c r="AD16" i="2"/>
  <c r="AE16" i="2"/>
  <c r="AD17" i="2"/>
  <c r="AE17" i="2"/>
  <c r="AD18" i="2"/>
  <c r="AE18" i="2"/>
  <c r="AD3" i="2"/>
  <c r="AE3" i="2"/>
  <c r="AB3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B7" i="2"/>
  <c r="AA7" i="2"/>
  <c r="Z7" i="2"/>
  <c r="AB6" i="2"/>
  <c r="AA6" i="2"/>
  <c r="Z6" i="2"/>
  <c r="AB5" i="2"/>
  <c r="AA5" i="2"/>
  <c r="Z5" i="2"/>
  <c r="AB4" i="2"/>
  <c r="AA4" i="2"/>
  <c r="Z4" i="2"/>
  <c r="N59" i="2"/>
  <c r="J55" i="2"/>
  <c r="T42" i="2"/>
  <c r="T41" i="2"/>
  <c r="M40" i="2"/>
  <c r="L40" i="2"/>
  <c r="K40" i="2"/>
  <c r="J40" i="2"/>
  <c r="J36" i="2"/>
  <c r="M21" i="2"/>
  <c r="L21" i="2"/>
  <c r="K21" i="2"/>
  <c r="J21" i="2"/>
  <c r="J17" i="2"/>
  <c r="R2" i="2"/>
  <c r="M2" i="2"/>
  <c r="L2" i="2"/>
  <c r="K2" i="2"/>
  <c r="J2" i="2"/>
  <c r="H7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Hengstenberg</author>
  </authors>
  <commentList>
    <comment ref="D36" authorId="0" shapeId="0" xr:uid="{6FEB83D0-EEAC-B548-AE44-EB24823DC3F0}">
      <text>
        <r>
          <rPr>
            <b/>
            <sz val="9"/>
            <color rgb="FF000000"/>
            <rFont val="Calibri"/>
            <family val="2"/>
          </rPr>
          <t xml:space="preserve">Hier wird der Mittelwert der vorangehenden Jahre verwendet, solange für das Jahr 2016 noch keine Gebäudedaten vorhanden sind. </t>
        </r>
      </text>
    </comment>
    <comment ref="D55" authorId="0" shapeId="0" xr:uid="{E74C0C83-B00F-504F-9C86-0C911877BDF7}">
      <text>
        <r>
          <rPr>
            <b/>
            <sz val="9"/>
            <color indexed="81"/>
            <rFont val="Calibri"/>
            <family val="2"/>
          </rPr>
          <t xml:space="preserve">Hier wird der Mittelwert der vorangehenden Jahre verwendet, solange für das Jahr 2016 noch keine Gebäudedaten vorhanden sind. </t>
        </r>
      </text>
    </comment>
  </commentList>
</comments>
</file>

<file path=xl/sharedStrings.xml><?xml version="1.0" encoding="utf-8"?>
<sst xmlns="http://schemas.openxmlformats.org/spreadsheetml/2006/main" count="163" uniqueCount="38">
  <si>
    <t>Jahr</t>
  </si>
  <si>
    <t>Absolutglied</t>
  </si>
  <si>
    <t xml:space="preserve"> </t>
  </si>
  <si>
    <t>Parameter für Regressionsschätzung</t>
  </si>
  <si>
    <t>Regressionsparameter</t>
  </si>
  <si>
    <t>Quantil geschätzt</t>
  </si>
  <si>
    <t>Differenz</t>
  </si>
  <si>
    <t>Wohnfläche</t>
  </si>
  <si>
    <t>Mittleres Baualter im Abrech-nungsjahr</t>
  </si>
  <si>
    <t>Mittleres Baujahr</t>
  </si>
  <si>
    <t>Wohfläche</t>
  </si>
  <si>
    <t>Korrelation zwischen geschätzt und gemessen</t>
  </si>
  <si>
    <t>Effekt Wohnfläche und Baualter</t>
  </si>
  <si>
    <t>Mittleres Baualter</t>
  </si>
  <si>
    <t>Prognose</t>
  </si>
  <si>
    <t>Mittel-wert</t>
  </si>
  <si>
    <t>Mittel-wert korrigiert</t>
  </si>
  <si>
    <r>
      <t>x</t>
    </r>
    <r>
      <rPr>
        <b/>
        <vertAlign val="superscript"/>
        <sz val="12"/>
        <color theme="1"/>
        <rFont val="Calibri (Textkörper)"/>
      </rPr>
      <t>2</t>
    </r>
  </si>
  <si>
    <t>x</t>
  </si>
  <si>
    <t>Polynomischer Trend</t>
  </si>
  <si>
    <t>SV [AN]</t>
  </si>
  <si>
    <t>1. Ableitung</t>
  </si>
  <si>
    <r>
      <t>Jahr</t>
    </r>
    <r>
      <rPr>
        <vertAlign val="superscript"/>
        <sz val="12"/>
        <color theme="1"/>
        <rFont val="Calibri (Textkörper)"/>
      </rPr>
      <t>2</t>
    </r>
  </si>
  <si>
    <t>FM Wind</t>
  </si>
  <si>
    <t>SDK Sonne</t>
  </si>
  <si>
    <t>NM Bedeckung</t>
  </si>
  <si>
    <t>TMK Tagestem-peratur</t>
  </si>
  <si>
    <t>Mittelwert geschätzt</t>
  </si>
  <si>
    <t>1. Ableitung positiv</t>
  </si>
  <si>
    <t>Schätzung POLY</t>
  </si>
  <si>
    <t>Polynom</t>
  </si>
  <si>
    <t>Korrelation</t>
  </si>
  <si>
    <t>LinTrend</t>
  </si>
  <si>
    <t>Baden-Württemberg</t>
  </si>
  <si>
    <t xml:space="preserve">Stichprobenumfang: </t>
  </si>
  <si>
    <t>Land:</t>
  </si>
  <si>
    <t>MFH / 1-2 FH</t>
  </si>
  <si>
    <t>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</si>
</sst>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  <numFmt numFmtId="166" formatCode="#,##0_ ;\-#,##0\ "/>
    <numFmt numFmtId="167" formatCode="_-* #,##0.0000\ _€_-;\-* #,##0.0000\ _€_-;_-* &quot;-&quot;??\ _€_-;_-@_-"/>
    <numFmt numFmtId="168" formatCode="_-* #,##0.0\ _€_-;\-* #,##0.0\ _€_-;_-* &quot;-&quot;?\ _€_-;_-@_-"/>
    <numFmt numFmtId="169" formatCode="0.0"/>
    <numFmt numFmtId="170" formatCode="_-* #,##0.00000\ _€_-;\-* #,##0.00000\ _€_-;_-* &quot;-&quot;??\ _€_-;_-@_-"/>
    <numFmt numFmtId="171" formatCode="_-* #,##0.000\ _€_-;\-* #,##0.000\ _€_-;_-* &quot;-&quot;??\ _€_-;_-@_-"/>
    <numFmt numFmtId="173" formatCode="0.0_ ;\-0.0\ "/>
  </numFmts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indexed="81"/>
      <name val="Calibri"/>
      <family val="2"/>
    </font>
    <font>
      <b/>
      <vertAlign val="superscript"/>
      <sz val="12"/>
      <color theme="1"/>
      <name val="Calibri (Textkörper)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Textkörper)"/>
    </font>
    <font>
      <b/>
      <sz val="9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1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3" fontId="0" fillId="3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164" fontId="0" fillId="0" borderId="3" xfId="1" applyNumberFormat="1" applyFont="1" applyBorder="1"/>
    <xf numFmtId="168" fontId="0" fillId="0" borderId="2" xfId="0" applyNumberFormat="1" applyBorder="1"/>
    <xf numFmtId="164" fontId="0" fillId="0" borderId="2" xfId="1" applyNumberFormat="1" applyFont="1" applyBorder="1"/>
    <xf numFmtId="170" fontId="0" fillId="2" borderId="0" xfId="1" applyNumberFormat="1" applyFont="1" applyFill="1"/>
    <xf numFmtId="0" fontId="3" fillId="0" borderId="0" xfId="0" applyFont="1"/>
    <xf numFmtId="0" fontId="0" fillId="0" borderId="11" xfId="0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165" fontId="5" fillId="0" borderId="2" xfId="1" applyNumberFormat="1" applyFont="1" applyBorder="1"/>
    <xf numFmtId="164" fontId="5" fillId="0" borderId="2" xfId="1" applyNumberFormat="1" applyFont="1" applyBorder="1"/>
    <xf numFmtId="167" fontId="6" fillId="0" borderId="0" xfId="1" applyNumberFormat="1" applyFont="1" applyFill="1"/>
    <xf numFmtId="168" fontId="0" fillId="0" borderId="17" xfId="0" applyNumberFormat="1" applyBorder="1"/>
    <xf numFmtId="167" fontId="7" fillId="0" borderId="0" xfId="1" applyNumberFormat="1" applyFont="1" applyFill="1"/>
    <xf numFmtId="0" fontId="0" fillId="0" borderId="2" xfId="0" applyBorder="1"/>
    <xf numFmtId="0" fontId="0" fillId="0" borderId="2" xfId="0" applyNumberFormat="1" applyFill="1" applyBorder="1" applyAlignment="1">
      <alignment horizontal="center"/>
    </xf>
    <xf numFmtId="168" fontId="0" fillId="0" borderId="18" xfId="0" applyNumberForma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9" fontId="5" fillId="0" borderId="2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6" fillId="3" borderId="0" xfId="0" applyFont="1" applyFill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3" fontId="0" fillId="3" borderId="2" xfId="1" applyNumberFormat="1" applyFont="1" applyFill="1" applyBorder="1" applyAlignment="1">
      <alignment horizontal="center" vertical="center" wrapText="1"/>
    </xf>
    <xf numFmtId="166" fontId="0" fillId="0" borderId="0" xfId="0" applyNumberFormat="1"/>
    <xf numFmtId="0" fontId="0" fillId="2" borderId="13" xfId="0" applyFill="1" applyBorder="1"/>
    <xf numFmtId="43" fontId="0" fillId="0" borderId="2" xfId="1" applyFont="1" applyBorder="1"/>
    <xf numFmtId="43" fontId="0" fillId="0" borderId="0" xfId="1" applyNumberFormat="1" applyFont="1"/>
    <xf numFmtId="43" fontId="1" fillId="0" borderId="8" xfId="0" applyNumberFormat="1" applyFont="1" applyBorder="1"/>
    <xf numFmtId="43" fontId="0" fillId="0" borderId="0" xfId="0" applyNumberFormat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6" fontId="1" fillId="0" borderId="8" xfId="0" applyNumberFormat="1" applyFont="1" applyBorder="1" applyAlignment="1">
      <alignment horizontal="center"/>
    </xf>
    <xf numFmtId="43" fontId="0" fillId="0" borderId="8" xfId="0" applyNumberFormat="1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64" fontId="0" fillId="0" borderId="25" xfId="1" applyNumberFormat="1" applyFont="1" applyBorder="1"/>
    <xf numFmtId="164" fontId="0" fillId="0" borderId="26" xfId="1" applyNumberFormat="1" applyFont="1" applyBorder="1"/>
    <xf numFmtId="0" fontId="0" fillId="0" borderId="27" xfId="0" applyBorder="1" applyAlignment="1">
      <alignment horizontal="center" vertical="center"/>
    </xf>
    <xf numFmtId="168" fontId="0" fillId="0" borderId="25" xfId="0" applyNumberFormat="1" applyBorder="1"/>
    <xf numFmtId="164" fontId="10" fillId="5" borderId="2" xfId="1" applyNumberFormat="1" applyFont="1" applyFill="1" applyBorder="1" applyAlignment="1">
      <alignment horizontal="center"/>
    </xf>
    <xf numFmtId="164" fontId="11" fillId="5" borderId="2" xfId="1" applyNumberFormat="1" applyFont="1" applyFill="1" applyBorder="1" applyAlignment="1">
      <alignment horizontal="center"/>
    </xf>
    <xf numFmtId="43" fontId="10" fillId="5" borderId="2" xfId="1" applyNumberFormat="1" applyFont="1" applyFill="1" applyBorder="1" applyAlignment="1">
      <alignment horizontal="center" vertical="center" wrapText="1"/>
    </xf>
    <xf numFmtId="167" fontId="0" fillId="0" borderId="2" xfId="1" applyNumberFormat="1" applyFont="1" applyBorder="1"/>
    <xf numFmtId="0" fontId="2" fillId="0" borderId="23" xfId="0" applyFont="1" applyBorder="1" applyAlignment="1">
      <alignment horizontal="center" vertical="center" wrapText="1"/>
    </xf>
    <xf numFmtId="170" fontId="2" fillId="2" borderId="0" xfId="1" applyNumberFormat="1" applyFont="1" applyFill="1"/>
    <xf numFmtId="0" fontId="0" fillId="0" borderId="3" xfId="0" applyBorder="1"/>
    <xf numFmtId="0" fontId="0" fillId="0" borderId="8" xfId="0" applyBorder="1"/>
    <xf numFmtId="0" fontId="0" fillId="0" borderId="20" xfId="0" applyBorder="1"/>
    <xf numFmtId="0" fontId="0" fillId="0" borderId="9" xfId="0" applyBorder="1"/>
    <xf numFmtId="0" fontId="0" fillId="0" borderId="24" xfId="0" applyBorder="1"/>
    <xf numFmtId="171" fontId="0" fillId="0" borderId="2" xfId="1" applyNumberFormat="1" applyFont="1" applyBorder="1"/>
    <xf numFmtId="0" fontId="0" fillId="0" borderId="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164" fontId="0" fillId="0" borderId="31" xfId="1" applyNumberFormat="1" applyFont="1" applyBorder="1"/>
    <xf numFmtId="171" fontId="0" fillId="0" borderId="32" xfId="1" applyNumberFormat="1" applyFont="1" applyBorder="1"/>
    <xf numFmtId="0" fontId="0" fillId="0" borderId="19" xfId="0" applyBorder="1"/>
    <xf numFmtId="0" fontId="0" fillId="0" borderId="31" xfId="0" applyBorder="1"/>
    <xf numFmtId="166" fontId="0" fillId="0" borderId="32" xfId="0" applyNumberFormat="1" applyBorder="1"/>
    <xf numFmtId="0" fontId="0" fillId="0" borderId="33" xfId="0" applyBorder="1"/>
    <xf numFmtId="166" fontId="0" fillId="0" borderId="35" xfId="0" applyNumberFormat="1" applyBorder="1"/>
    <xf numFmtId="0" fontId="0" fillId="6" borderId="0" xfId="0" applyFill="1"/>
    <xf numFmtId="166" fontId="0" fillId="7" borderId="32" xfId="0" applyNumberFormat="1" applyFill="1" applyBorder="1"/>
    <xf numFmtId="0" fontId="0" fillId="7" borderId="0" xfId="0" applyFill="1"/>
    <xf numFmtId="164" fontId="0" fillId="7" borderId="33" xfId="1" applyNumberFormat="1" applyFont="1" applyFill="1" applyBorder="1"/>
    <xf numFmtId="171" fontId="0" fillId="7" borderId="34" xfId="1" applyNumberFormat="1" applyFont="1" applyFill="1" applyBorder="1"/>
    <xf numFmtId="171" fontId="0" fillId="7" borderId="35" xfId="1" applyNumberFormat="1" applyFont="1" applyFill="1" applyBorder="1"/>
    <xf numFmtId="166" fontId="0" fillId="7" borderId="35" xfId="0" applyNumberFormat="1" applyFill="1" applyBorder="1"/>
    <xf numFmtId="164" fontId="0" fillId="0" borderId="37" xfId="1" applyNumberFormat="1" applyFont="1" applyBorder="1"/>
    <xf numFmtId="171" fontId="0" fillId="0" borderId="38" xfId="1" applyNumberFormat="1" applyFont="1" applyBorder="1"/>
    <xf numFmtId="171" fontId="0" fillId="0" borderId="39" xfId="1" applyNumberFormat="1" applyFont="1" applyBorder="1"/>
    <xf numFmtId="171" fontId="0" fillId="7" borderId="2" xfId="1" applyNumberFormat="1" applyFont="1" applyFill="1" applyBorder="1"/>
    <xf numFmtId="164" fontId="0" fillId="7" borderId="5" xfId="1" applyNumberFormat="1" applyFont="1" applyFill="1" applyBorder="1"/>
    <xf numFmtId="171" fontId="0" fillId="7" borderId="29" xfId="1" applyNumberFormat="1" applyFont="1" applyFill="1" applyBorder="1"/>
    <xf numFmtId="171" fontId="0" fillId="7" borderId="30" xfId="1" applyNumberFormat="1" applyFont="1" applyFill="1" applyBorder="1"/>
    <xf numFmtId="164" fontId="0" fillId="7" borderId="31" xfId="1" applyNumberFormat="1" applyFont="1" applyFill="1" applyBorder="1"/>
    <xf numFmtId="171" fontId="0" fillId="7" borderId="32" xfId="1" applyNumberFormat="1" applyFont="1" applyFill="1" applyBorder="1"/>
    <xf numFmtId="0" fontId="0" fillId="7" borderId="2" xfId="0" applyFill="1" applyBorder="1"/>
    <xf numFmtId="0" fontId="0" fillId="0" borderId="5" xfId="0" applyBorder="1"/>
    <xf numFmtId="0" fontId="0" fillId="7" borderId="34" xfId="0" applyFill="1" applyBorder="1"/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166" fontId="0" fillId="0" borderId="30" xfId="0" applyNumberFormat="1" applyBorder="1"/>
    <xf numFmtId="0" fontId="0" fillId="7" borderId="8" xfId="0" applyFill="1" applyBorder="1"/>
    <xf numFmtId="166" fontId="0" fillId="7" borderId="36" xfId="0" applyNumberFormat="1" applyFill="1" applyBorder="1"/>
    <xf numFmtId="0" fontId="0" fillId="0" borderId="29" xfId="0" applyBorder="1"/>
    <xf numFmtId="0" fontId="0" fillId="0" borderId="34" xfId="0" applyBorder="1"/>
    <xf numFmtId="43" fontId="0" fillId="0" borderId="2" xfId="1" applyNumberFormat="1" applyFont="1" applyBorder="1"/>
    <xf numFmtId="164" fontId="0" fillId="0" borderId="33" xfId="1" applyNumberFormat="1" applyFont="1" applyBorder="1"/>
    <xf numFmtId="167" fontId="0" fillId="0" borderId="31" xfId="1" applyNumberFormat="1" applyFont="1" applyBorder="1"/>
    <xf numFmtId="167" fontId="0" fillId="2" borderId="31" xfId="1" applyNumberFormat="1" applyFont="1" applyFill="1" applyBorder="1"/>
    <xf numFmtId="167" fontId="0" fillId="0" borderId="34" xfId="1" applyNumberFormat="1" applyFont="1" applyBorder="1"/>
    <xf numFmtId="0" fontId="0" fillId="0" borderId="2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43" fontId="1" fillId="0" borderId="9" xfId="0" applyNumberFormat="1" applyFont="1" applyBorder="1"/>
    <xf numFmtId="0" fontId="0" fillId="0" borderId="30" xfId="0" applyFont="1" applyBorder="1" applyAlignment="1">
      <alignment horizontal="center" vertical="center" wrapText="1"/>
    </xf>
    <xf numFmtId="43" fontId="0" fillId="0" borderId="24" xfId="1" applyFont="1" applyBorder="1"/>
    <xf numFmtId="167" fontId="0" fillId="0" borderId="32" xfId="1" applyNumberFormat="1" applyFont="1" applyBorder="1"/>
    <xf numFmtId="167" fontId="0" fillId="0" borderId="35" xfId="1" applyNumberFormat="1" applyFont="1" applyBorder="1"/>
    <xf numFmtId="43" fontId="0" fillId="0" borderId="9" xfId="0" applyNumberFormat="1" applyFont="1" applyBorder="1"/>
    <xf numFmtId="164" fontId="0" fillId="0" borderId="42" xfId="1" applyNumberFormat="1" applyFont="1" applyBorder="1"/>
    <xf numFmtId="0" fontId="0" fillId="0" borderId="24" xfId="0" applyFont="1" applyBorder="1" applyAlignment="1">
      <alignment horizontal="center" vertical="center" wrapText="1"/>
    </xf>
    <xf numFmtId="168" fontId="0" fillId="0" borderId="3" xfId="0" applyNumberFormat="1" applyBorder="1"/>
    <xf numFmtId="43" fontId="0" fillId="0" borderId="31" xfId="1" applyNumberFormat="1" applyFont="1" applyBorder="1"/>
    <xf numFmtId="43" fontId="0" fillId="0" borderId="34" xfId="1" applyFont="1" applyBorder="1"/>
    <xf numFmtId="0" fontId="0" fillId="0" borderId="2" xfId="0" applyFill="1" applyBorder="1"/>
    <xf numFmtId="0" fontId="0" fillId="2" borderId="2" xfId="0" applyFill="1" applyBorder="1"/>
    <xf numFmtId="168" fontId="14" fillId="2" borderId="0" xfId="0" applyNumberFormat="1" applyFont="1" applyFill="1"/>
    <xf numFmtId="173" fontId="0" fillId="0" borderId="2" xfId="1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8" xfId="0" applyFont="1" applyBorder="1" applyAlignment="1">
      <alignment vertical="center" wrapText="1"/>
    </xf>
    <xf numFmtId="0" fontId="0" fillId="0" borderId="38" xfId="0" applyBorder="1" applyAlignment="1">
      <alignment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externalLink" Target="externalLinks/externalLink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worksheet" Target="worksheets/sheet2.xml"/><Relationship Id="rId17" Type="http://schemas.openxmlformats.org/officeDocument/2006/relationships/calcChain" Target="calcChain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Diagrammtitel!$A$1</c:f>
          <c:strCache>
            <c:ptCount val="1"/>
            <c:pt idx="0">
              <c:v>1. Baden-Württemberg, MFH, N = 69866, Rohdaten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'Regression 1'!$A$3:$A$18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'Regression 1'!$B$3:$B$18</c:f>
              <c:numCache>
                <c:formatCode>_-* #,##0.0\ _€_-;\-* #,##0.0\ _€_-;_-* "-"??\ _€_-;_-@_-</c:formatCode>
                <c:ptCount val="16"/>
                <c:pt idx="0">
                  <c:v>138.99820121951205</c:v>
                </c:pt>
                <c:pt idx="1">
                  <c:v>130.4252555555554</c:v>
                </c:pt>
                <c:pt idx="2">
                  <c:v>129.83055967841673</c:v>
                </c:pt>
                <c:pt idx="3">
                  <c:v>125.17383963291314</c:v>
                </c:pt>
                <c:pt idx="4">
                  <c:v>119.90066751106568</c:v>
                </c:pt>
                <c:pt idx="5">
                  <c:v>111.02220693399175</c:v>
                </c:pt>
                <c:pt idx="6">
                  <c:v>119.21138152755275</c:v>
                </c:pt>
                <c:pt idx="7">
                  <c:v>117.83308819023111</c:v>
                </c:pt>
                <c:pt idx="8">
                  <c:v>119.75190983913221</c:v>
                </c:pt>
                <c:pt idx="9">
                  <c:v>111.03627107238962</c:v>
                </c:pt>
                <c:pt idx="10">
                  <c:v>114.5684985021456</c:v>
                </c:pt>
                <c:pt idx="11">
                  <c:v>113.42641053521815</c:v>
                </c:pt>
                <c:pt idx="12">
                  <c:v>103.04539129525014</c:v>
                </c:pt>
                <c:pt idx="13">
                  <c:v>104.00349185946885</c:v>
                </c:pt>
                <c:pt idx="14">
                  <c:v>103.71815789473689</c:v>
                </c:pt>
                <c:pt idx="15">
                  <c:v>100.07764227642278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9-6E44-B25F-1045B9C11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Diagrammtitel!$A$2</c:f>
          <c:strCache>
            <c:ptCount val="1"/>
            <c:pt idx="0">
              <c:v>2. Baden-Württemberg, MFH, N = 69866, Rohdaten und bereinigte 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'Regression 1'!$A$3:$A$18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'Regression 1'!$B$3:$B$18</c:f>
              <c:numCache>
                <c:formatCode>_-* #,##0.0\ _€_-;\-* #,##0.0\ _€_-;_-* "-"??\ _€_-;_-@_-</c:formatCode>
                <c:ptCount val="16"/>
                <c:pt idx="0">
                  <c:v>138.99820121951205</c:v>
                </c:pt>
                <c:pt idx="1">
                  <c:v>130.4252555555554</c:v>
                </c:pt>
                <c:pt idx="2">
                  <c:v>129.83055967841673</c:v>
                </c:pt>
                <c:pt idx="3">
                  <c:v>125.17383963291314</c:v>
                </c:pt>
                <c:pt idx="4">
                  <c:v>119.90066751106568</c:v>
                </c:pt>
                <c:pt idx="5">
                  <c:v>111.02220693399175</c:v>
                </c:pt>
                <c:pt idx="6">
                  <c:v>119.21138152755275</c:v>
                </c:pt>
                <c:pt idx="7">
                  <c:v>117.83308819023111</c:v>
                </c:pt>
                <c:pt idx="8">
                  <c:v>119.75190983913221</c:v>
                </c:pt>
                <c:pt idx="9">
                  <c:v>111.03627107238962</c:v>
                </c:pt>
                <c:pt idx="10">
                  <c:v>114.5684985021456</c:v>
                </c:pt>
                <c:pt idx="11">
                  <c:v>113.42641053521815</c:v>
                </c:pt>
                <c:pt idx="12">
                  <c:v>103.04539129525014</c:v>
                </c:pt>
                <c:pt idx="13">
                  <c:v>104.00349185946885</c:v>
                </c:pt>
                <c:pt idx="14">
                  <c:v>103.71815789473689</c:v>
                </c:pt>
                <c:pt idx="15">
                  <c:v>100.07764227642278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0-5C4C-8E12-31F8A4F104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'Regression 1'!$A$3:$A$18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'Regression 1'!$B$41:$B$56</c:f>
              <c:numCache>
                <c:formatCode>_-* #,##0.0\ _€_-;\-* #,##0.0\ _€_-;_-* "-"??\ _€_-;_-@_-</c:formatCode>
                <c:ptCount val="16"/>
                <c:pt idx="0">
                  <c:v>135.0131123749824</c:v>
                </c:pt>
                <c:pt idx="1">
                  <c:v>130.12080388687087</c:v>
                </c:pt>
                <c:pt idx="2">
                  <c:v>132.08889165640338</c:v>
                </c:pt>
                <c:pt idx="3">
                  <c:v>128.02177161906303</c:v>
                </c:pt>
                <c:pt idx="4">
                  <c:v>122.30949301455968</c:v>
                </c:pt>
                <c:pt idx="5">
                  <c:v>111.80977426134807</c:v>
                </c:pt>
                <c:pt idx="6">
                  <c:v>118.17835447569118</c:v>
                </c:pt>
                <c:pt idx="7">
                  <c:v>115.86731897140135</c:v>
                </c:pt>
                <c:pt idx="8">
                  <c:v>118.91497624240164</c:v>
                </c:pt>
                <c:pt idx="9">
                  <c:v>111.018639888378</c:v>
                </c:pt>
                <c:pt idx="10">
                  <c:v>112.83311616937918</c:v>
                </c:pt>
                <c:pt idx="11">
                  <c:v>113.1924419598468</c:v>
                </c:pt>
                <c:pt idx="12">
                  <c:v>104.36159080773477</c:v>
                </c:pt>
                <c:pt idx="13">
                  <c:v>104.23998869557927</c:v>
                </c:pt>
                <c:pt idx="14">
                  <c:v>106.02947381887981</c:v>
                </c:pt>
                <c:pt idx="15">
                  <c:v>98.023225681486593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320-5C4C-8E12-31F8A4F10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Diagrammtitel!$A$3</c:f>
          <c:strCache>
            <c:ptCount val="1"/>
            <c:pt idx="0">
              <c:v>3. Baden-Württemberg, MFH, N = 69866, bereinigte 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'Regression 1'!$A$3:$A$18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'Regression 1'!$B$41:$B$56</c:f>
              <c:numCache>
                <c:formatCode>_-* #,##0.0\ _€_-;\-* #,##0.0\ _€_-;_-* "-"??\ _€_-;_-@_-</c:formatCode>
                <c:ptCount val="16"/>
                <c:pt idx="0">
                  <c:v>135.0131123749824</c:v>
                </c:pt>
                <c:pt idx="1">
                  <c:v>130.12080388687087</c:v>
                </c:pt>
                <c:pt idx="2">
                  <c:v>132.08889165640338</c:v>
                </c:pt>
                <c:pt idx="3">
                  <c:v>128.02177161906303</c:v>
                </c:pt>
                <c:pt idx="4">
                  <c:v>122.30949301455968</c:v>
                </c:pt>
                <c:pt idx="5">
                  <c:v>111.80977426134807</c:v>
                </c:pt>
                <c:pt idx="6">
                  <c:v>118.17835447569118</c:v>
                </c:pt>
                <c:pt idx="7">
                  <c:v>115.86731897140135</c:v>
                </c:pt>
                <c:pt idx="8">
                  <c:v>118.91497624240164</c:v>
                </c:pt>
                <c:pt idx="9">
                  <c:v>111.018639888378</c:v>
                </c:pt>
                <c:pt idx="10">
                  <c:v>112.83311616937918</c:v>
                </c:pt>
                <c:pt idx="11">
                  <c:v>113.1924419598468</c:v>
                </c:pt>
                <c:pt idx="12">
                  <c:v>104.36159080773477</c:v>
                </c:pt>
                <c:pt idx="13">
                  <c:v>104.23998869557927</c:v>
                </c:pt>
                <c:pt idx="14">
                  <c:v>106.02947381887981</c:v>
                </c:pt>
                <c:pt idx="15">
                  <c:v>98.023225681486593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35-2840-AD08-532B7B345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Diagrammtitel!$A$4</c:f>
          <c:strCache>
            <c:ptCount val="1"/>
            <c:pt idx="0">
              <c:v>4. Baden-Württemberg, MFH, N = 69866, bereinigte und geschätzte 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'Regression 1'!$A$3:$A$18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'Regression 1'!$P$79:$P$94</c:f>
              <c:numCache>
                <c:formatCode>_-* #,##0.0\ _€_-;\-* #,##0.0\ _€_-;_-* "-"?\ _€_-;_-@_-</c:formatCode>
                <c:ptCount val="16"/>
                <c:pt idx="0">
                  <c:v>135.32398227418523</c:v>
                </c:pt>
                <c:pt idx="1">
                  <c:v>130.81507306675007</c:v>
                </c:pt>
                <c:pt idx="2">
                  <c:v>129.42947992969124</c:v>
                </c:pt>
                <c:pt idx="3">
                  <c:v>127.11006748983216</c:v>
                </c:pt>
                <c:pt idx="4">
                  <c:v>123.42991800504758</c:v>
                </c:pt>
                <c:pt idx="5">
                  <c:v>114.30226047093069</c:v>
                </c:pt>
                <c:pt idx="6">
                  <c:v>116.79213774977703</c:v>
                </c:pt>
                <c:pt idx="7">
                  <c:v>118.59691608263741</c:v>
                </c:pt>
                <c:pt idx="8">
                  <c:v>118.74678665733614</c:v>
                </c:pt>
                <c:pt idx="9">
                  <c:v>110.6615302209439</c:v>
                </c:pt>
                <c:pt idx="10">
                  <c:v>110.43178201931067</c:v>
                </c:pt>
                <c:pt idx="11">
                  <c:v>113.78163721660758</c:v>
                </c:pt>
                <c:pt idx="12">
                  <c:v>105.76608250131582</c:v>
                </c:pt>
                <c:pt idx="13">
                  <c:v>100.869891410554</c:v>
                </c:pt>
                <c:pt idx="14">
                  <c:v>106.04568977536891</c:v>
                </c:pt>
                <c:pt idx="15">
                  <c:v>99.919738653717133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B-B14A-9EFC-2351907D234D}"/>
            </c:ext>
          </c:extLst>
        </c:ser>
        <c:ser>
          <c:idx val="0"/>
          <c:order val="1"/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'Regression 1'!$B$79:$B$94</c:f>
              <c:numCache>
                <c:formatCode>_-* #,##0.0\ _€_-;\-* #,##0.0\ _€_-;_-* "-"??\ _€_-;_-@_-</c:formatCode>
                <c:ptCount val="16"/>
                <c:pt idx="0">
                  <c:v>135.0131123749824</c:v>
                </c:pt>
                <c:pt idx="1">
                  <c:v>130.12080388687087</c:v>
                </c:pt>
                <c:pt idx="2">
                  <c:v>132.08889165640338</c:v>
                </c:pt>
                <c:pt idx="3">
                  <c:v>128.02177161906303</c:v>
                </c:pt>
                <c:pt idx="4">
                  <c:v>122.30949301455968</c:v>
                </c:pt>
                <c:pt idx="5">
                  <c:v>111.80977426134807</c:v>
                </c:pt>
                <c:pt idx="6">
                  <c:v>118.17835447569118</c:v>
                </c:pt>
                <c:pt idx="7">
                  <c:v>115.86731897140135</c:v>
                </c:pt>
                <c:pt idx="8">
                  <c:v>118.91497624240164</c:v>
                </c:pt>
                <c:pt idx="9">
                  <c:v>111.018639888378</c:v>
                </c:pt>
                <c:pt idx="10">
                  <c:v>112.83311616937918</c:v>
                </c:pt>
                <c:pt idx="11">
                  <c:v>113.1924419598468</c:v>
                </c:pt>
                <c:pt idx="12">
                  <c:v>104.36159080773477</c:v>
                </c:pt>
                <c:pt idx="13">
                  <c:v>104.23998869557927</c:v>
                </c:pt>
                <c:pt idx="14">
                  <c:v>106.02947381887981</c:v>
                </c:pt>
                <c:pt idx="15">
                  <c:v>98.023225681486593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4A-1640-AAFD-A5D358898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Diagrammtitel!$A$5</c:f>
          <c:strCache>
            <c:ptCount val="1"/>
            <c:pt idx="0">
              <c:v>5. Baden-Württemberg, MFH, N = 69866, geschätzte Daten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'Regression 1'!$A$3:$A$18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'Regression 1'!$P$79:$P$94</c:f>
              <c:numCache>
                <c:formatCode>_-* #,##0.0\ _€_-;\-* #,##0.0\ _€_-;_-* "-"?\ _€_-;_-@_-</c:formatCode>
                <c:ptCount val="16"/>
                <c:pt idx="0">
                  <c:v>135.32398227418523</c:v>
                </c:pt>
                <c:pt idx="1">
                  <c:v>130.81507306675007</c:v>
                </c:pt>
                <c:pt idx="2">
                  <c:v>129.42947992969124</c:v>
                </c:pt>
                <c:pt idx="3">
                  <c:v>127.11006748983216</c:v>
                </c:pt>
                <c:pt idx="4">
                  <c:v>123.42991800504758</c:v>
                </c:pt>
                <c:pt idx="5">
                  <c:v>114.30226047093069</c:v>
                </c:pt>
                <c:pt idx="6">
                  <c:v>116.79213774977703</c:v>
                </c:pt>
                <c:pt idx="7">
                  <c:v>118.59691608263741</c:v>
                </c:pt>
                <c:pt idx="8">
                  <c:v>118.74678665733614</c:v>
                </c:pt>
                <c:pt idx="9">
                  <c:v>110.6615302209439</c:v>
                </c:pt>
                <c:pt idx="10">
                  <c:v>110.43178201931067</c:v>
                </c:pt>
                <c:pt idx="11">
                  <c:v>113.78163721660758</c:v>
                </c:pt>
                <c:pt idx="12">
                  <c:v>105.76608250131582</c:v>
                </c:pt>
                <c:pt idx="13">
                  <c:v>100.869891410554</c:v>
                </c:pt>
                <c:pt idx="14">
                  <c:v>106.04568977536891</c:v>
                </c:pt>
                <c:pt idx="15">
                  <c:v>99.919738653717133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E-004F-AAA3-4A25FB76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Diagrammtitel!$A$6</c:f>
          <c:strCache>
            <c:ptCount val="1"/>
            <c:pt idx="0">
              <c:v>6. Baden-Württemberg, MFH, N = 69866, geschätzte Daten und linearer Trend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1"/>
                </a:solidFill>
                <a:prstDash val="sysDash"/>
              </a:ln>
            </c:spPr>
            <c:trendlineType val="linear"/>
            <c:dispRSqr val="1"/>
            <c:dispEq val="1"/>
            <c:trendlineLbl>
              <c:layout>
                <c:manualLayout>
                  <c:x val="9.3536382744491553E-3"/>
                  <c:y val="-0.124408080674416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de-DE"/>
                </a:p>
              </c:txPr>
            </c:trendlineLbl>
          </c:trendline>
          <c:cat>
            <c:numRef>
              <c:f>'Regression 1'!$A$3:$A$18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'Regression 1'!$P$79:$P$94</c:f>
              <c:numCache>
                <c:formatCode>_-* #,##0.0\ _€_-;\-* #,##0.0\ _€_-;_-* "-"?\ _€_-;_-@_-</c:formatCode>
                <c:ptCount val="16"/>
                <c:pt idx="0">
                  <c:v>135.32398227418523</c:v>
                </c:pt>
                <c:pt idx="1">
                  <c:v>130.81507306675007</c:v>
                </c:pt>
                <c:pt idx="2">
                  <c:v>129.42947992969124</c:v>
                </c:pt>
                <c:pt idx="3">
                  <c:v>127.11006748983216</c:v>
                </c:pt>
                <c:pt idx="4">
                  <c:v>123.42991800504758</c:v>
                </c:pt>
                <c:pt idx="5">
                  <c:v>114.30226047093069</c:v>
                </c:pt>
                <c:pt idx="6">
                  <c:v>116.79213774977703</c:v>
                </c:pt>
                <c:pt idx="7">
                  <c:v>118.59691608263741</c:v>
                </c:pt>
                <c:pt idx="8">
                  <c:v>118.74678665733614</c:v>
                </c:pt>
                <c:pt idx="9">
                  <c:v>110.6615302209439</c:v>
                </c:pt>
                <c:pt idx="10">
                  <c:v>110.43178201931067</c:v>
                </c:pt>
                <c:pt idx="11">
                  <c:v>113.78163721660758</c:v>
                </c:pt>
                <c:pt idx="12">
                  <c:v>105.76608250131582</c:v>
                </c:pt>
                <c:pt idx="13">
                  <c:v>100.869891410554</c:v>
                </c:pt>
                <c:pt idx="14">
                  <c:v>106.04568977536891</c:v>
                </c:pt>
                <c:pt idx="15">
                  <c:v>99.919738653717133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3E-FF4E-A7D1-A75D1623B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Diagrammtitel!$A$7</c:f>
          <c:strCache>
            <c:ptCount val="1"/>
            <c:pt idx="0">
              <c:v>7. Baden-Württemberg, MFH, N = 69866, geschätzte Daten und nicht-linearer Trend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 w="28575">
                <a:solidFill>
                  <a:schemeClr val="tx1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7278003633936047E-2"/>
                  <c:y val="-0.1241796665186574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/>
                  </a:pPr>
                  <a:endParaRPr lang="de-DE"/>
                </a:p>
              </c:txPr>
            </c:trendlineLbl>
          </c:trendline>
          <c:cat>
            <c:numRef>
              <c:f>'Regression 1'!$A$3:$A$18</c:f>
              <c:numCache>
                <c:formatCode>General</c:formatCode>
                <c:ptCount val="16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</c:numCache>
            </c:numRef>
          </c:cat>
          <c:val>
            <c:numRef>
              <c:f>'Regression 1'!$P$79:$P$94</c:f>
              <c:numCache>
                <c:formatCode>_-* #,##0.0\ _€_-;\-* #,##0.0\ _€_-;_-* "-"?\ _€_-;_-@_-</c:formatCode>
                <c:ptCount val="16"/>
                <c:pt idx="0">
                  <c:v>135.32398227418523</c:v>
                </c:pt>
                <c:pt idx="1">
                  <c:v>130.81507306675007</c:v>
                </c:pt>
                <c:pt idx="2">
                  <c:v>129.42947992969124</c:v>
                </c:pt>
                <c:pt idx="3">
                  <c:v>127.11006748983216</c:v>
                </c:pt>
                <c:pt idx="4">
                  <c:v>123.42991800504758</c:v>
                </c:pt>
                <c:pt idx="5">
                  <c:v>114.30226047093069</c:v>
                </c:pt>
                <c:pt idx="6">
                  <c:v>116.79213774977703</c:v>
                </c:pt>
                <c:pt idx="7">
                  <c:v>118.59691608263741</c:v>
                </c:pt>
                <c:pt idx="8">
                  <c:v>118.74678665733614</c:v>
                </c:pt>
                <c:pt idx="9">
                  <c:v>110.6615302209439</c:v>
                </c:pt>
                <c:pt idx="10">
                  <c:v>110.43178201931067</c:v>
                </c:pt>
                <c:pt idx="11">
                  <c:v>113.78163721660758</c:v>
                </c:pt>
                <c:pt idx="12">
                  <c:v>105.76608250131582</c:v>
                </c:pt>
                <c:pt idx="13">
                  <c:v>100.869891410554</c:v>
                </c:pt>
                <c:pt idx="14">
                  <c:v>106.04568977536891</c:v>
                </c:pt>
                <c:pt idx="15">
                  <c:v>99.919738653717133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AC-1747-B9C8-E97BC5E18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Diagrammtitel!$A$8</c:f>
          <c:strCache>
            <c:ptCount val="1"/>
            <c:pt idx="0">
              <c:v>8. Baden-Württemberg, MFH, N = 69866, geschätzte Daten und Prognose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'Regression 1'!$W$79:$W$102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</c:numCache>
            </c:numRef>
          </c:cat>
          <c:val>
            <c:numRef>
              <c:f>'Regression 1'!$P$79:$P$102</c:f>
              <c:numCache>
                <c:formatCode>_-* #,##0.0\ _€_-;\-* #,##0.0\ _€_-;_-* "-"?\ _€_-;_-@_-</c:formatCode>
                <c:ptCount val="24"/>
                <c:pt idx="0">
                  <c:v>135.32398227418523</c:v>
                </c:pt>
                <c:pt idx="1">
                  <c:v>130.81507306675007</c:v>
                </c:pt>
                <c:pt idx="2">
                  <c:v>129.42947992969124</c:v>
                </c:pt>
                <c:pt idx="3">
                  <c:v>127.11006748983216</c:v>
                </c:pt>
                <c:pt idx="4">
                  <c:v>123.42991800504758</c:v>
                </c:pt>
                <c:pt idx="5">
                  <c:v>114.30226047093069</c:v>
                </c:pt>
                <c:pt idx="6">
                  <c:v>116.79213774977703</c:v>
                </c:pt>
                <c:pt idx="7">
                  <c:v>118.59691608263741</c:v>
                </c:pt>
                <c:pt idx="8">
                  <c:v>118.74678665733614</c:v>
                </c:pt>
                <c:pt idx="9">
                  <c:v>110.6615302209439</c:v>
                </c:pt>
                <c:pt idx="10">
                  <c:v>110.43178201931067</c:v>
                </c:pt>
                <c:pt idx="11">
                  <c:v>113.78163721660758</c:v>
                </c:pt>
                <c:pt idx="12">
                  <c:v>105.76608250131582</c:v>
                </c:pt>
                <c:pt idx="13">
                  <c:v>100.869891410554</c:v>
                </c:pt>
                <c:pt idx="14">
                  <c:v>106.04568977536891</c:v>
                </c:pt>
                <c:pt idx="15">
                  <c:v>99.919738653717133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6-2F41-BD4F-FC3D245DED26}"/>
            </c:ext>
          </c:extLst>
        </c:ser>
        <c:ser>
          <c:idx val="1"/>
          <c:order val="1"/>
          <c:spPr>
            <a:ln w="28575">
              <a:solidFill>
                <a:schemeClr val="accent2"/>
              </a:solidFill>
              <a:prstDash val="sysDash"/>
            </a:ln>
          </c:spPr>
          <c:marker>
            <c:symbol val="none"/>
          </c:marker>
          <c:trendline>
            <c:spPr>
              <a:ln>
                <a:noFill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7071981338111933E-2"/>
                  <c:y val="-0.14340235258638698"/>
                </c:manualLayout>
              </c:layout>
              <c:tx>
                <c:rich>
                  <a:bodyPr/>
                  <a:lstStyle/>
                  <a:p>
                    <a:pPr>
                      <a:defRPr sz="1600" b="1">
                        <a:solidFill>
                          <a:schemeClr val="tx1"/>
                        </a:solidFill>
                      </a:defRPr>
                    </a:pPr>
                    <a:r>
                      <a:rPr lang="en-US" sz="1600" b="1" baseline="0">
                        <a:solidFill>
                          <a:schemeClr val="tx1"/>
                        </a:solidFill>
                      </a:rPr>
                      <a:t>y = 0,0745x</a:t>
                    </a:r>
                    <a:r>
                      <a:rPr lang="en-US" sz="1600" b="1" baseline="30000">
                        <a:solidFill>
                          <a:schemeClr val="tx1"/>
                        </a:solidFill>
                      </a:rPr>
                      <a:t>2</a:t>
                    </a:r>
                    <a:r>
                      <a:rPr lang="en-US" sz="1600" b="1" baseline="0">
                        <a:solidFill>
                          <a:schemeClr val="tx1"/>
                        </a:solidFill>
                      </a:rPr>
                      <a:t> - 3,5908x + 168,78</a:t>
                    </a:r>
                    <a:endParaRPr lang="en-US" sz="1600" b="1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</c:trendlineLbl>
          </c:trendline>
          <c:val>
            <c:numRef>
              <c:f>'Regression 1'!$AC$79:$AC$102</c:f>
              <c:numCache>
                <c:formatCode>_-* #,##0.0\ _€_-;\-* #,##0.0\ _€_-;_-* "-"??\ _€_-;_-@_-</c:formatCode>
                <c:ptCount val="24"/>
                <c:pt idx="0">
                  <c:v>133.97252086231214</c:v>
                </c:pt>
                <c:pt idx="1">
                  <c:v>131.24129063634362</c:v>
                </c:pt>
                <c:pt idx="2">
                  <c:v>128.59257874402374</c:v>
                </c:pt>
                <c:pt idx="3">
                  <c:v>126.0263851853525</c:v>
                </c:pt>
                <c:pt idx="4">
                  <c:v>123.54270996032989</c:v>
                </c:pt>
                <c:pt idx="5">
                  <c:v>121.14155306895589</c:v>
                </c:pt>
                <c:pt idx="6">
                  <c:v>118.82291451123052</c:v>
                </c:pt>
                <c:pt idx="7">
                  <c:v>116.58679428715379</c:v>
                </c:pt>
                <c:pt idx="8">
                  <c:v>114.43319239672567</c:v>
                </c:pt>
                <c:pt idx="9">
                  <c:v>112.36210883994619</c:v>
                </c:pt>
                <c:pt idx="10">
                  <c:v>110.37354361681534</c:v>
                </c:pt>
                <c:pt idx="11">
                  <c:v>108.46749672733311</c:v>
                </c:pt>
                <c:pt idx="12">
                  <c:v>106.64396817149952</c:v>
                </c:pt>
                <c:pt idx="13">
                  <c:v>104.90295794931455</c:v>
                </c:pt>
                <c:pt idx="14">
                  <c:v>103.24446606077821</c:v>
                </c:pt>
                <c:pt idx="15">
                  <c:v>101.6684925058905</c:v>
                </c:pt>
                <c:pt idx="16">
                  <c:v>100.17503728465141</c:v>
                </c:pt>
                <c:pt idx="17">
                  <c:v>98.764100397060957</c:v>
                </c:pt>
                <c:pt idx="18">
                  <c:v>97.435681843119113</c:v>
                </c:pt>
                <c:pt idx="19">
                  <c:v>96.189781622825919</c:v>
                </c:pt>
                <c:pt idx="20">
                  <c:v>95.026399736181347</c:v>
                </c:pt>
                <c:pt idx="21">
                  <c:v>93.945536183185396</c:v>
                </c:pt>
                <c:pt idx="22">
                  <c:v>92.947190963838082</c:v>
                </c:pt>
                <c:pt idx="23">
                  <c:v>92.03136407813939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6-2F41-BD4F-FC3D245DE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661056"/>
        <c:axId val="2138662752"/>
      </c:lineChart>
      <c:catAx>
        <c:axId val="213866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2752"/>
        <c:crosses val="autoZero"/>
        <c:auto val="1"/>
        <c:lblAlgn val="ctr"/>
        <c:lblOffset val="100"/>
        <c:noMultiLvlLbl val="0"/>
      </c:catAx>
      <c:valAx>
        <c:axId val="2138662752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effectLst/>
                  </a:rPr>
                  <a:t>kWh/(m</a:t>
                </a:r>
                <a:r>
                  <a:rPr lang="en-US" sz="1400" baseline="30000">
                    <a:effectLst/>
                  </a:rPr>
                  <a:t>2</a:t>
                </a:r>
                <a:r>
                  <a:rPr lang="en-US" sz="1400" baseline="-25000">
                    <a:effectLst/>
                  </a:rPr>
                  <a:t>[AN]</a:t>
                </a:r>
                <a:r>
                  <a:rPr lang="en-US" sz="1400">
                    <a:effectLst/>
                  </a:rPr>
                  <a:t>*a)</a:t>
                </a:r>
                <a:endParaRPr lang="de-DE" sz="1400">
                  <a:effectLst/>
                </a:endParaRP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3866105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Diagrammtitel!$A$9</c:f>
          <c:strCache>
            <c:ptCount val="1"/>
            <c:pt idx="0">
              <c:v>9. Baden-Württemberg, MFH, N = 69866, Entwicklung der Verbrauchsminderung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invertIfNegative val="0"/>
          <c:val>
            <c:numRef>
              <c:f>'Regression 1'!$AE$79:$AE$94</c:f>
              <c:numCache>
                <c:formatCode>_-* #,##0.000\ _€_-;\-* #,##0.000\ _€_-;_-* "-"??\ _€_-;_-@_-</c:formatCode>
                <c:ptCount val="16"/>
                <c:pt idx="0">
                  <c:v>2.7724893927928185</c:v>
                </c:pt>
                <c:pt idx="1">
                  <c:v>2.6899710591441903</c:v>
                </c:pt>
                <c:pt idx="2">
                  <c:v>2.6074527254955626</c:v>
                </c:pt>
                <c:pt idx="3">
                  <c:v>2.5249343918469345</c:v>
                </c:pt>
                <c:pt idx="4">
                  <c:v>2.4424160581983068</c:v>
                </c:pt>
                <c:pt idx="5">
                  <c:v>2.3598977245496786</c:v>
                </c:pt>
                <c:pt idx="6">
                  <c:v>2.2773793909010509</c:v>
                </c:pt>
                <c:pt idx="7">
                  <c:v>2.1948610572524228</c:v>
                </c:pt>
                <c:pt idx="8">
                  <c:v>2.112342723603795</c:v>
                </c:pt>
                <c:pt idx="9">
                  <c:v>2.0298243899551669</c:v>
                </c:pt>
                <c:pt idx="10">
                  <c:v>1.9473060563065392</c:v>
                </c:pt>
                <c:pt idx="11">
                  <c:v>1.8647877226579113</c:v>
                </c:pt>
                <c:pt idx="12">
                  <c:v>1.7822693890092833</c:v>
                </c:pt>
                <c:pt idx="13">
                  <c:v>1.6997510553606554</c:v>
                </c:pt>
                <c:pt idx="14">
                  <c:v>1.6172327217120275</c:v>
                </c:pt>
                <c:pt idx="15">
                  <c:v>1.5347143880633995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Veränderung der Verbrauchsminderung</c:v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'Reg klima'!#REF!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9E75-2347-A5F7-B91C80266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42659551"/>
        <c:axId val="784523567"/>
      </c:barChart>
      <c:catAx>
        <c:axId val="8426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4523567"/>
        <c:crosses val="autoZero"/>
        <c:auto val="1"/>
        <c:lblAlgn val="ctr"/>
        <c:lblOffset val="100"/>
        <c:noMultiLvlLbl val="0"/>
      </c:catAx>
      <c:valAx>
        <c:axId val="7845235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effectLst/>
                  </a:rPr>
                  <a:t>kWh/(m</a:t>
                </a:r>
                <a:r>
                  <a:rPr lang="en-US" sz="1400" b="1" baseline="30000">
                    <a:effectLst/>
                  </a:rPr>
                  <a:t>2</a:t>
                </a:r>
                <a:r>
                  <a:rPr lang="en-US" sz="1400" b="1" baseline="-25000">
                    <a:effectLst/>
                  </a:rPr>
                  <a:t>[AN]</a:t>
                </a:r>
                <a:r>
                  <a:rPr lang="en-US" sz="1400" b="1">
                    <a:effectLst/>
                  </a:rPr>
                  <a:t>*a)/a</a:t>
                </a:r>
                <a:endParaRPr lang="de-DE" sz="1400" b="1">
                  <a:effectLst/>
                </a:endParaRPr>
              </a:p>
            </c:rich>
          </c:tx>
          <c:overlay val="0"/>
        </c:title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65955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Diagrammtitel!$A$10</c:f>
          <c:strCache>
            <c:ptCount val="1"/>
            <c:pt idx="0">
              <c:v>10. Baden-Württemberg, MFH, N = 69866, Prognose der Verbrauchsminderung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</c:spPr>
          <c:invertIfNegative val="0"/>
          <c:dPt>
            <c:idx val="1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2-FA8C-B54E-8D8C-B2CACEB60D2F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FA8C-B54E-8D8C-B2CACEB60D2F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4-FA8C-B54E-8D8C-B2CACEB60D2F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5-FA8C-B54E-8D8C-B2CACEB60D2F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6-FA8C-B54E-8D8C-B2CACEB60D2F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7-FA8C-B54E-8D8C-B2CACEB60D2F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8-FA8C-B54E-8D8C-B2CACEB60D2F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E-2CDC-EB41-B518-EF93308D5887}"/>
              </c:ext>
            </c:extLst>
          </c:dPt>
          <c:cat>
            <c:numRef>
              <c:f>'Regression 1'!$W$79:$W$102</c:f>
              <c:numCache>
                <c:formatCode>General</c:formatCode>
                <c:ptCount val="24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</c:numCache>
            </c:numRef>
          </c:cat>
          <c:val>
            <c:numRef>
              <c:f>'Regression 1'!$AE$79:$AE$102</c:f>
              <c:numCache>
                <c:formatCode>_-* #,##0.000\ _€_-;\-* #,##0.000\ _€_-;_-* "-"??\ _€_-;_-@_-</c:formatCode>
                <c:ptCount val="24"/>
                <c:pt idx="0">
                  <c:v>2.7724893927928185</c:v>
                </c:pt>
                <c:pt idx="1">
                  <c:v>2.6899710591441903</c:v>
                </c:pt>
                <c:pt idx="2">
                  <c:v>2.6074527254955626</c:v>
                </c:pt>
                <c:pt idx="3">
                  <c:v>2.5249343918469345</c:v>
                </c:pt>
                <c:pt idx="4">
                  <c:v>2.4424160581983068</c:v>
                </c:pt>
                <c:pt idx="5">
                  <c:v>2.3598977245496786</c:v>
                </c:pt>
                <c:pt idx="6">
                  <c:v>2.2773793909010509</c:v>
                </c:pt>
                <c:pt idx="7">
                  <c:v>2.1948610572524228</c:v>
                </c:pt>
                <c:pt idx="8">
                  <c:v>2.112342723603795</c:v>
                </c:pt>
                <c:pt idx="9">
                  <c:v>2.0298243899551669</c:v>
                </c:pt>
                <c:pt idx="10">
                  <c:v>1.9473060563065392</c:v>
                </c:pt>
                <c:pt idx="11">
                  <c:v>1.8647877226579113</c:v>
                </c:pt>
                <c:pt idx="12">
                  <c:v>1.7822693890092833</c:v>
                </c:pt>
                <c:pt idx="13">
                  <c:v>1.6997510553606554</c:v>
                </c:pt>
                <c:pt idx="14">
                  <c:v>1.6172327217120275</c:v>
                </c:pt>
                <c:pt idx="15">
                  <c:v>1.5347143880633995</c:v>
                </c:pt>
                <c:pt idx="16">
                  <c:v>1.4521960544147716</c:v>
                </c:pt>
                <c:pt idx="17">
                  <c:v>1.3696777207661437</c:v>
                </c:pt>
                <c:pt idx="18">
                  <c:v>1.2871593871175158</c:v>
                </c:pt>
                <c:pt idx="19">
                  <c:v>1.2046410534688878</c:v>
                </c:pt>
                <c:pt idx="20">
                  <c:v>1.1221227198202599</c:v>
                </c:pt>
                <c:pt idx="21">
                  <c:v>1.039604386171632</c:v>
                </c:pt>
                <c:pt idx="22">
                  <c:v>0.95708605252300405</c:v>
                </c:pt>
                <c:pt idx="23">
                  <c:v>0.87456771887437634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Veränderung der Verbrauchsminderung</c:v>
                </c15:tx>
              </c15:filteredSeriesTitle>
            </c:ext>
            <c:ext xmlns:c16="http://schemas.microsoft.com/office/drawing/2014/chart" uri="{C3380CC4-5D6E-409C-BE32-E72D297353CC}">
              <c16:uniqueId val="{00000001-FA8C-B54E-8D8C-B2CACEB60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842659551"/>
        <c:axId val="784523567"/>
      </c:barChart>
      <c:catAx>
        <c:axId val="8426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2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84523567"/>
        <c:crosses val="autoZero"/>
        <c:auto val="1"/>
        <c:lblAlgn val="ctr"/>
        <c:lblOffset val="100"/>
        <c:noMultiLvlLbl val="0"/>
      </c:catAx>
      <c:valAx>
        <c:axId val="7845235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effectLst/>
                  </a:rPr>
                  <a:t>kWh/(m</a:t>
                </a:r>
                <a:r>
                  <a:rPr lang="en-US" sz="1400" b="1" baseline="30000">
                    <a:effectLst/>
                  </a:rPr>
                  <a:t>2</a:t>
                </a:r>
                <a:r>
                  <a:rPr lang="en-US" sz="1400" b="1" baseline="-25000">
                    <a:effectLst/>
                  </a:rPr>
                  <a:t>[AN]</a:t>
                </a:r>
                <a:r>
                  <a:rPr lang="en-US" sz="1400" b="1">
                    <a:effectLst/>
                  </a:rPr>
                  <a:t>*a)/a</a:t>
                </a:r>
                <a:endParaRPr lang="de-DE" sz="1400" b="1">
                  <a:effectLst/>
                </a:endParaRPr>
              </a:p>
            </c:rich>
          </c:tx>
          <c:overlay val="0"/>
        </c:title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65955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2569F9-8F2F-0B4F-89EF-811029115FB3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6EE2D5-0D12-984A-AC7E-EA7F01A053E9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580E7A-2B53-5941-90FA-2D4CF29AB590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BC26D1-57EF-D84A-B1DB-DBFF4DFA6001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600FC0-C422-EB48-8971-AB57338C9440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80E13C-9A78-E347-97F9-B6F121A2322A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A2C3AF-5787-2447-900B-49E0CE22C27A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BBD7B1-B891-0F40-8B4A-A3F782E26351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BEB3A2-6ED0-6B4A-99C1-83A892339B07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73EAFD-2A89-714B-B590-B64B5350090E}">
  <sheetPr/>
  <sheetViews>
    <sheetView zoomScale="17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2A6CB3-BFFB-6542-A2B7-A2E2E6FC84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D78F4E9-1A28-0944-A7A8-580EF5FBED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BEAE648-39B2-B94C-9CD5-A1CEE6794E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84DED97-D56B-0E42-AABB-2F4AEABA43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1B5FCA5-412F-2D4C-895E-83F756C0D0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E183D-F1F2-DD44-A3D1-FCAB8B70DC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A4DC834-3196-C94C-9EE6-A5B0079F69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6EA6272-3359-F04E-9DA1-511BCBA29A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7516544-5980-2641-A6EF-28283B65DC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21798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7A65380-5B77-C949-BF5E-789EC53E0B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hanneshengstenberg/Dropbox/arbeit/Hamburg/Heizspiegel%20Hamburg%202017/1%20Erdgas%20MFH%20kleiner%20750%20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daten Gebäude"/>
      <sheetName val="Wetter"/>
      <sheetName val="Wetter normiert"/>
      <sheetName val="Diagrammtitel"/>
      <sheetName val="Verbrauch"/>
      <sheetName val="Fläche"/>
      <sheetName val="Baujahr"/>
      <sheetName val="Baujahr_Q1"/>
      <sheetName val="Baujahr_Q3"/>
      <sheetName val="Variablen für REG"/>
      <sheetName val="0 Dia empirisch"/>
      <sheetName val="1 Dia bereinigt"/>
      <sheetName val="2 Dia Differenz"/>
      <sheetName val="3 Dia Trend"/>
      <sheetName val="4 Dia Schätzung"/>
      <sheetName val="5 Dia Sync Schätzung"/>
      <sheetName val="6 Dia Gewicht 1"/>
      <sheetName val="7 Dia Gewicht 2"/>
      <sheetName val="8 Dia Gewicht 3"/>
      <sheetName val="9 Dia Statistik"/>
      <sheetName val="10 Dia Linerität I"/>
      <sheetName val="11 Dia Linearität II"/>
      <sheetName val="Ergebnis"/>
      <sheetName val="Quantil 1"/>
      <sheetName val="Quantil 1 Norm"/>
      <sheetName val="Quantil 2"/>
      <sheetName val="Quantil 2 Norm"/>
      <sheetName val="Quantil 3"/>
      <sheetName val="Quantil 3 Norm"/>
      <sheetName val="Mittelwert"/>
    </sheetNames>
    <sheetDataSet>
      <sheetData sheetId="0"/>
      <sheetData sheetId="1">
        <row r="2">
          <cell r="A2" t="str">
            <v xml:space="preserve">  FM Wind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6">
          <cell r="A6">
            <v>0.5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7576-0486-EE42-945E-5393D183FEBC}">
  <dimension ref="A1:H10"/>
  <sheetViews>
    <sheetView zoomScale="200" zoomScaleNormal="200" workbookViewId="0">
      <selection sqref="A1:XFD1048576"/>
    </sheetView>
  </sheetViews>
  <sheetFormatPr baseColWidth="10" defaultRowHeight="16"/>
  <cols>
    <col min="1" max="1" width="44.83203125" customWidth="1"/>
    <col min="7" max="9" width="26.33203125" customWidth="1"/>
  </cols>
  <sheetData>
    <row r="1" spans="1:8">
      <c r="A1" t="str">
        <f>CONCATENATE("1. ",H$1,", ",H$3,", N = ",H$2,", Rohdaten")</f>
        <v>1. Baden-Württemberg, MFH, N = 69866, Rohdaten</v>
      </c>
      <c r="G1" t="s">
        <v>35</v>
      </c>
      <c r="H1" t="s">
        <v>33</v>
      </c>
    </row>
    <row r="2" spans="1:8">
      <c r="A2" t="str">
        <f>CONCATENATE("2. ",H$1,", ",H$3,", N = ",H$2,", Rohdaten und bereinigte Daten")</f>
        <v>2. Baden-Württemberg, MFH, N = 69866, Rohdaten und bereinigte Daten</v>
      </c>
      <c r="G2" t="s">
        <v>34</v>
      </c>
      <c r="H2">
        <v>69866</v>
      </c>
    </row>
    <row r="3" spans="1:8">
      <c r="A3" t="str">
        <f>CONCATENATE("3. ",H$1,", ",H$3,", N = ",H$2,", bereinigte Daten")</f>
        <v>3. Baden-Württemberg, MFH, N = 69866, bereinigte Daten</v>
      </c>
      <c r="G3" t="s">
        <v>36</v>
      </c>
      <c r="H3" t="s">
        <v>37</v>
      </c>
    </row>
    <row r="4" spans="1:8">
      <c r="A4" t="str">
        <f>CONCATENATE("4. ",H$1,", ",H$3,", N = ",H$2,", bereinigte und geschätzte Daten")</f>
        <v>4. Baden-Württemberg, MFH, N = 69866, bereinigte und geschätzte Daten</v>
      </c>
    </row>
    <row r="5" spans="1:8">
      <c r="A5" t="str">
        <f>CONCATENATE("5. ",H$1,", ",H$3,", N = ",H$2,", geschätzte Daten")</f>
        <v>5. Baden-Württemberg, MFH, N = 69866, geschätzte Daten</v>
      </c>
    </row>
    <row r="6" spans="1:8">
      <c r="A6" t="str">
        <f>CONCATENATE("6. ",H$1,", ",H$3,", N = ",H$2,", geschätzte Daten und linearer Trend")</f>
        <v>6. Baden-Württemberg, MFH, N = 69866, geschätzte Daten und linearer Trend</v>
      </c>
    </row>
    <row r="7" spans="1:8">
      <c r="A7" t="str">
        <f>CONCATENATE("7. ",H$1,", ",H$3,", N = ",H$2,", geschätzte Daten und nicht-linearer Trend")</f>
        <v>7. Baden-Württemberg, MFH, N = 69866, geschätzte Daten und nicht-linearer Trend</v>
      </c>
    </row>
    <row r="8" spans="1:8">
      <c r="A8" t="str">
        <f>CONCATENATE("8. ",H$1,", ",H$3,", N = ",H$2,", geschätzte Daten und Prognose")</f>
        <v>8. Baden-Württemberg, MFH, N = 69866, geschätzte Daten und Prognose</v>
      </c>
    </row>
    <row r="9" spans="1:8">
      <c r="A9" t="str">
        <f>CONCATENATE("9. ",H$1,", ",H$3,", N = ",H$2,", Entwicklung der Verbrauchsminderung")</f>
        <v>9. Baden-Württemberg, MFH, N = 69866, Entwicklung der Verbrauchsminderung</v>
      </c>
    </row>
    <row r="10" spans="1:8">
      <c r="A10" t="str">
        <f>CONCATENATE("10. ",H$1,", ",H$3,", N = ",H$2,", Prognose der Verbrauchsminderung")</f>
        <v>10. Baden-Württemberg, MFH, N = 69866, Prognose der Verbrauchsminderung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83C7-2E88-894E-8A1F-2544C389FEC5}">
  <dimension ref="A1:AK106"/>
  <sheetViews>
    <sheetView tabSelected="1" zoomScale="145" zoomScaleNormal="150" workbookViewId="0">
      <selection activeCell="E3" sqref="E3:E18"/>
    </sheetView>
  </sheetViews>
  <sheetFormatPr baseColWidth="10" defaultColWidth="10.83203125" defaultRowHeight="16"/>
  <cols>
    <col min="2" max="2" width="8.5" customWidth="1"/>
    <col min="6" max="6" width="10.6640625" customWidth="1"/>
    <col min="7" max="7" width="10.1640625" customWidth="1"/>
    <col min="8" max="9" width="11.83203125" customWidth="1"/>
    <col min="10" max="11" width="13.33203125" bestFit="1" customWidth="1"/>
    <col min="12" max="13" width="11.83203125" bestFit="1" customWidth="1"/>
    <col min="14" max="14" width="11.5" bestFit="1" customWidth="1"/>
    <col min="15" max="15" width="12.1640625" bestFit="1" customWidth="1"/>
    <col min="16" max="16" width="11.5" bestFit="1" customWidth="1"/>
    <col min="17" max="17" width="13.1640625" bestFit="1" customWidth="1"/>
    <col min="18" max="18" width="12.5" bestFit="1" customWidth="1"/>
    <col min="24" max="24" width="6.5" customWidth="1"/>
    <col min="25" max="25" width="5.83203125" customWidth="1"/>
  </cols>
  <sheetData>
    <row r="1" spans="1:33" s="2" customFormat="1" ht="33" thickBot="1">
      <c r="B1" s="3" t="s">
        <v>15</v>
      </c>
      <c r="C1" s="138" t="s">
        <v>3</v>
      </c>
      <c r="D1" s="138"/>
      <c r="E1" s="138"/>
      <c r="F1" s="138"/>
      <c r="G1" s="138"/>
      <c r="H1" s="138"/>
      <c r="I1" s="138"/>
      <c r="J1" s="139" t="s">
        <v>4</v>
      </c>
      <c r="K1" s="139"/>
      <c r="L1" s="139"/>
      <c r="M1" s="139"/>
      <c r="N1" s="139"/>
      <c r="O1" s="139"/>
      <c r="P1" s="139"/>
      <c r="Q1" s="139"/>
      <c r="R1" s="3" t="s">
        <v>27</v>
      </c>
      <c r="S1" s="4" t="s">
        <v>6</v>
      </c>
      <c r="W1"/>
      <c r="X1"/>
      <c r="Y1"/>
      <c r="Z1"/>
      <c r="AA1"/>
      <c r="AB1"/>
      <c r="AC1"/>
      <c r="AD1"/>
      <c r="AE1"/>
      <c r="AF1"/>
      <c r="AG1"/>
    </row>
    <row r="2" spans="1:33" s="5" customFormat="1" ht="48">
      <c r="A2" s="6" t="s">
        <v>0</v>
      </c>
      <c r="B2" s="50" t="s">
        <v>20</v>
      </c>
      <c r="C2" s="7" t="s">
        <v>0</v>
      </c>
      <c r="D2" s="8" t="s">
        <v>7</v>
      </c>
      <c r="E2" s="8" t="s">
        <v>9</v>
      </c>
      <c r="F2" s="61" t="s">
        <v>23</v>
      </c>
      <c r="G2" s="61" t="s">
        <v>24</v>
      </c>
      <c r="H2" s="61" t="s">
        <v>25</v>
      </c>
      <c r="I2" s="62" t="s">
        <v>26</v>
      </c>
      <c r="J2" s="9" t="str">
        <f>I2</f>
        <v>TMK Tagestem-peratur</v>
      </c>
      <c r="K2" s="10" t="str">
        <f>H2</f>
        <v>NM Bedeckung</v>
      </c>
      <c r="L2" s="10" t="str">
        <f>G2</f>
        <v>SDK Sonne</v>
      </c>
      <c r="M2" s="10" t="str">
        <f>F2</f>
        <v>FM Wind</v>
      </c>
      <c r="N2" s="10" t="s">
        <v>9</v>
      </c>
      <c r="O2" s="10" t="s">
        <v>10</v>
      </c>
      <c r="P2" s="10" t="s">
        <v>0</v>
      </c>
      <c r="Q2" s="11" t="s">
        <v>1</v>
      </c>
      <c r="R2" s="12" t="str">
        <f>B2</f>
        <v>SV [AN]</v>
      </c>
      <c r="S2" s="6"/>
      <c r="W2"/>
      <c r="X2" s="3" t="s">
        <v>17</v>
      </c>
      <c r="Y2" s="3" t="s">
        <v>18</v>
      </c>
      <c r="Z2" s="146" t="s">
        <v>19</v>
      </c>
      <c r="AA2" s="147"/>
      <c r="AB2" s="148"/>
      <c r="AC2"/>
      <c r="AD2" s="5" t="s">
        <v>21</v>
      </c>
      <c r="AE2"/>
      <c r="AF2"/>
      <c r="AG2"/>
    </row>
    <row r="3" spans="1:33">
      <c r="A3" s="13">
        <v>2002</v>
      </c>
      <c r="B3" s="18">
        <v>138.99820121951205</v>
      </c>
      <c r="C3" s="15">
        <v>0</v>
      </c>
      <c r="D3" s="18">
        <v>915.23554878048844</v>
      </c>
      <c r="E3" s="137">
        <v>1966.398780487805</v>
      </c>
      <c r="F3" s="53">
        <v>2.8952191235059761</v>
      </c>
      <c r="G3" s="53">
        <v>3.7429858428571423</v>
      </c>
      <c r="H3" s="53">
        <v>5.5335907335907333</v>
      </c>
      <c r="I3" s="125">
        <v>6.7293436293436342</v>
      </c>
      <c r="J3" s="134">
        <f t="array" ref="J3:Q7">LINEST(B3:B18,C3:I18,,TRUE)</f>
        <v>-1.6420418015074587</v>
      </c>
      <c r="K3" s="134">
        <v>-13.530917288900723</v>
      </c>
      <c r="L3" s="134">
        <v>-14.297660346303495</v>
      </c>
      <c r="M3" s="134">
        <v>-2.3017340530772357</v>
      </c>
      <c r="N3" s="134">
        <v>-1.655712657271263</v>
      </c>
      <c r="O3" s="134">
        <v>2.0953262477836219E-2</v>
      </c>
      <c r="P3" s="134">
        <v>-1.7122803705061662</v>
      </c>
      <c r="Q3" s="134">
        <v>3519.6442944304208</v>
      </c>
      <c r="R3" s="16">
        <f>Q$3+P$3*C3+O$3*D3+N$3*E3+M$3*F3+L$3*G3+K$3*H3+J$3*I3</f>
        <v>136.92572824380821</v>
      </c>
      <c r="S3" s="17">
        <f>R3-B3</f>
        <v>-2.072472975703846</v>
      </c>
      <c r="T3">
        <f>LINEST(R3:R18,C3:C18)</f>
        <v>-2.1536018904281411</v>
      </c>
      <c r="X3">
        <v>1</v>
      </c>
      <c r="Y3" s="51">
        <v>1</v>
      </c>
      <c r="Z3" s="39">
        <f t="array" ref="Z3:AB7">LINEST(B41:B55,X3:Y17,,TRUE)</f>
        <v>-3.3917832808042245</v>
      </c>
      <c r="AA3" s="40">
        <v>8.1317044015566067E-2</v>
      </c>
      <c r="AB3" s="41">
        <v>138.01204046398161</v>
      </c>
      <c r="AC3" s="1">
        <f>Z$3*Y3+AA$3*X3+AB$3</f>
        <v>134.70157422719294</v>
      </c>
      <c r="AD3" s="54">
        <f>2*AA$3*Y3+Z$3</f>
        <v>-3.2291491927730922</v>
      </c>
      <c r="AE3" s="56">
        <f>AD3*-1</f>
        <v>3.2291491927730922</v>
      </c>
    </row>
    <row r="4" spans="1:33">
      <c r="A4" s="13">
        <v>2003</v>
      </c>
      <c r="B4" s="18">
        <v>130.4252555555554</v>
      </c>
      <c r="C4" s="15">
        <v>1</v>
      </c>
      <c r="D4" s="18">
        <v>885.38406666666765</v>
      </c>
      <c r="E4" s="137">
        <v>1967.6835555555556</v>
      </c>
      <c r="F4" s="53">
        <v>2.8020491803278706</v>
      </c>
      <c r="G4" s="53">
        <v>4.6942622950819679</v>
      </c>
      <c r="H4" s="53">
        <v>4.9532786885245921</v>
      </c>
      <c r="I4" s="125">
        <v>5.1725409836065568</v>
      </c>
      <c r="J4" s="134">
        <v>1.4721787891552611</v>
      </c>
      <c r="K4" s="134">
        <v>8.9354511731203523</v>
      </c>
      <c r="L4" s="134">
        <v>6.7106663213574755</v>
      </c>
      <c r="M4" s="134">
        <v>5.9859069087146475</v>
      </c>
      <c r="N4" s="134">
        <v>0.75846730141321439</v>
      </c>
      <c r="O4" s="134">
        <v>1.8497881852708783E-2</v>
      </c>
      <c r="P4" s="134">
        <v>0.47818526883049195</v>
      </c>
      <c r="Q4" s="134">
        <v>1506.234978378794</v>
      </c>
      <c r="R4" s="16">
        <f t="shared" ref="R4:R18" si="0">Q$3+P$3*C4+O$3*D4+N$3*E4+M$3*F4+L$3*G4+K$3*H4+J$3*I4</f>
        <v>129.48265771792728</v>
      </c>
      <c r="S4" s="17">
        <f t="shared" ref="S4:S18" si="1">R4-B4</f>
        <v>-0.94259783762811367</v>
      </c>
      <c r="T4">
        <f>LINEST(B3:B18,C3:C18)</f>
        <v>-2.1536018904281247</v>
      </c>
      <c r="X4">
        <v>4</v>
      </c>
      <c r="Y4" s="51">
        <v>2</v>
      </c>
      <c r="Z4" s="39">
        <v>0.93895420260958395</v>
      </c>
      <c r="AA4" s="40">
        <v>5.7065489232182173E-2</v>
      </c>
      <c r="AB4" s="41">
        <v>3.2647578177662919</v>
      </c>
      <c r="AC4" s="1">
        <f t="shared" ref="AC4:AC18" si="2">Z$3*Y4+AA$3*X4+AB$3</f>
        <v>131.55374207843542</v>
      </c>
      <c r="AD4" s="54">
        <f t="shared" ref="AD4:AD18" si="3">2*AA$3*Y4+Z$3</f>
        <v>-3.0665151047419603</v>
      </c>
      <c r="AE4" s="56">
        <f t="shared" ref="AE4:AE18" si="4">AD4*-1</f>
        <v>3.0665151047419603</v>
      </c>
    </row>
    <row r="5" spans="1:33">
      <c r="A5" s="13">
        <v>2004</v>
      </c>
      <c r="B5" s="18">
        <v>129.83055967841673</v>
      </c>
      <c r="C5" s="15">
        <v>2</v>
      </c>
      <c r="D5" s="18">
        <v>965.03229499072143</v>
      </c>
      <c r="E5" s="137">
        <v>1970.1985157699444</v>
      </c>
      <c r="F5" s="53">
        <v>2.8413284132841317</v>
      </c>
      <c r="G5" s="53">
        <v>3.7047970479704775</v>
      </c>
      <c r="H5" s="53">
        <v>5.8439114391143896</v>
      </c>
      <c r="I5" s="125">
        <v>6.3199261992619924</v>
      </c>
      <c r="J5" s="135">
        <v>0.94956359782491351</v>
      </c>
      <c r="K5" s="134">
        <v>3.3941943361183866</v>
      </c>
      <c r="L5" s="134" t="e">
        <v>#N/A</v>
      </c>
      <c r="M5" s="134" t="e">
        <v>#N/A</v>
      </c>
      <c r="N5" s="134" t="e">
        <v>#N/A</v>
      </c>
      <c r="O5" s="134" t="e">
        <v>#N/A</v>
      </c>
      <c r="P5" s="134" t="e">
        <v>#N/A</v>
      </c>
      <c r="Q5" s="134" t="e">
        <v>#N/A</v>
      </c>
      <c r="R5" s="16">
        <f t="shared" si="0"/>
        <v>125.39671123193477</v>
      </c>
      <c r="S5" s="17">
        <f t="shared" si="1"/>
        <v>-4.4338484464819601</v>
      </c>
      <c r="X5">
        <v>9</v>
      </c>
      <c r="Y5" s="51">
        <v>3</v>
      </c>
      <c r="Z5" s="52">
        <v>0.8858610792463133</v>
      </c>
      <c r="AA5" s="40">
        <v>3.6652454887656813</v>
      </c>
      <c r="AB5" s="41" t="e">
        <v>#N/A</v>
      </c>
      <c r="AC5" s="1">
        <f t="shared" si="2"/>
        <v>128.56854401770903</v>
      </c>
      <c r="AD5" s="54">
        <f t="shared" si="3"/>
        <v>-2.903881016710828</v>
      </c>
      <c r="AE5" s="56">
        <f t="shared" si="4"/>
        <v>2.903881016710828</v>
      </c>
    </row>
    <row r="6" spans="1:33">
      <c r="A6" s="13">
        <v>2005</v>
      </c>
      <c r="B6" s="18">
        <v>125.17383963291314</v>
      </c>
      <c r="C6" s="15">
        <v>3</v>
      </c>
      <c r="D6" s="18">
        <v>1039.1098833411133</v>
      </c>
      <c r="E6" s="137">
        <v>1972.0930471301913</v>
      </c>
      <c r="F6" s="53">
        <v>2.6896153846153839</v>
      </c>
      <c r="G6" s="53">
        <v>4.0011538461538478</v>
      </c>
      <c r="H6" s="53">
        <v>5.4657692307692285</v>
      </c>
      <c r="I6" s="125">
        <v>5.7115384615384626</v>
      </c>
      <c r="J6" s="134">
        <v>21.516513739502621</v>
      </c>
      <c r="K6" s="134">
        <v>8</v>
      </c>
      <c r="L6" s="134" t="e">
        <v>#N/A</v>
      </c>
      <c r="M6" s="134" t="e">
        <v>#N/A</v>
      </c>
      <c r="N6" s="134" t="e">
        <v>#N/A</v>
      </c>
      <c r="O6" s="134" t="e">
        <v>#N/A</v>
      </c>
      <c r="P6" s="134" t="e">
        <v>#N/A</v>
      </c>
      <c r="Q6" s="134" t="e">
        <v>#N/A</v>
      </c>
      <c r="R6" s="16">
        <f t="shared" si="0"/>
        <v>124.32740170516709</v>
      </c>
      <c r="S6" s="17">
        <f t="shared" si="1"/>
        <v>-0.84643792774605231</v>
      </c>
      <c r="X6">
        <v>16</v>
      </c>
      <c r="Y6" s="51">
        <v>4</v>
      </c>
      <c r="Z6" s="39">
        <v>46.56752000439954</v>
      </c>
      <c r="AA6" s="40">
        <v>12</v>
      </c>
      <c r="AB6" s="41" t="e">
        <v>#N/A</v>
      </c>
      <c r="AC6" s="1">
        <f t="shared" si="2"/>
        <v>125.74598004501377</v>
      </c>
      <c r="AD6" s="54">
        <f t="shared" si="3"/>
        <v>-2.7412469286796961</v>
      </c>
      <c r="AE6" s="56">
        <f t="shared" si="4"/>
        <v>2.7412469286796961</v>
      </c>
    </row>
    <row r="7" spans="1:33" ht="17" thickBot="1">
      <c r="A7" s="13">
        <v>2006</v>
      </c>
      <c r="B7" s="18">
        <v>119.90066751106568</v>
      </c>
      <c r="C7" s="15">
        <v>4</v>
      </c>
      <c r="D7" s="18">
        <v>995.67456761006167</v>
      </c>
      <c r="E7" s="137">
        <v>1971.6260482180294</v>
      </c>
      <c r="F7" s="53">
        <v>2.7145669291338579</v>
      </c>
      <c r="G7" s="53">
        <v>3.9311023622047232</v>
      </c>
      <c r="H7" s="53">
        <v>5.5555118110236208</v>
      </c>
      <c r="I7" s="125">
        <v>5.9307086614173228</v>
      </c>
      <c r="J7" s="134">
        <v>1735.1752884278767</v>
      </c>
      <c r="K7" s="134">
        <v>92.164441530705076</v>
      </c>
      <c r="L7" s="134" t="e">
        <v>#N/A</v>
      </c>
      <c r="M7" s="134" t="e">
        <v>#N/A</v>
      </c>
      <c r="N7" s="134" t="e">
        <v>#N/A</v>
      </c>
      <c r="O7" s="134" t="e">
        <v>#N/A</v>
      </c>
      <c r="P7" s="134" t="e">
        <v>#N/A</v>
      </c>
      <c r="Q7" s="134" t="e">
        <v>#N/A</v>
      </c>
      <c r="R7" s="16">
        <f t="shared" si="0"/>
        <v>121.84818021714294</v>
      </c>
      <c r="S7" s="17">
        <f t="shared" si="1"/>
        <v>1.9475127060772621</v>
      </c>
      <c r="X7">
        <v>25</v>
      </c>
      <c r="Y7" s="51">
        <v>5</v>
      </c>
      <c r="Z7" s="42">
        <v>1251.1784086270284</v>
      </c>
      <c r="AA7" s="43">
        <v>161.20829391500615</v>
      </c>
      <c r="AB7" s="44" t="e">
        <v>#N/A</v>
      </c>
      <c r="AC7" s="1">
        <f t="shared" si="2"/>
        <v>123.08605016034963</v>
      </c>
      <c r="AD7" s="54">
        <f t="shared" si="3"/>
        <v>-2.5786128406485638</v>
      </c>
      <c r="AE7" s="56">
        <f t="shared" si="4"/>
        <v>2.5786128406485638</v>
      </c>
    </row>
    <row r="8" spans="1:33">
      <c r="A8" s="13">
        <v>2007</v>
      </c>
      <c r="B8" s="18">
        <v>111.02220693399175</v>
      </c>
      <c r="C8" s="15">
        <v>5</v>
      </c>
      <c r="D8" s="18">
        <v>987.07919802314223</v>
      </c>
      <c r="E8" s="137">
        <v>1972.3207907446929</v>
      </c>
      <c r="F8" s="53">
        <v>3.0980079681274919</v>
      </c>
      <c r="G8" s="53">
        <v>3.981274900398406</v>
      </c>
      <c r="H8" s="53">
        <v>5.5127490039840614</v>
      </c>
      <c r="I8" s="53">
        <v>6.7258964143426256</v>
      </c>
      <c r="R8" s="18">
        <f t="shared" si="0"/>
        <v>116.47846408478554</v>
      </c>
      <c r="S8" s="17">
        <f t="shared" si="1"/>
        <v>5.4562571507937889</v>
      </c>
      <c r="X8">
        <v>36</v>
      </c>
      <c r="Y8" s="51">
        <v>6</v>
      </c>
      <c r="AC8" s="1">
        <f t="shared" si="2"/>
        <v>120.58875436371665</v>
      </c>
      <c r="AD8" s="54">
        <f t="shared" si="3"/>
        <v>-2.4159787526174314</v>
      </c>
      <c r="AE8" s="56">
        <f t="shared" si="4"/>
        <v>2.4159787526174314</v>
      </c>
    </row>
    <row r="9" spans="1:33">
      <c r="A9" s="13">
        <v>2008</v>
      </c>
      <c r="B9" s="18">
        <v>119.21138152755275</v>
      </c>
      <c r="C9" s="15">
        <v>6</v>
      </c>
      <c r="D9" s="18">
        <v>950.50694970254153</v>
      </c>
      <c r="E9" s="137">
        <v>1969.886785649901</v>
      </c>
      <c r="F9" s="53">
        <v>2.7899613899613906</v>
      </c>
      <c r="G9" s="53">
        <v>3.7277992277992258</v>
      </c>
      <c r="H9" s="53">
        <v>5.7579150579150573</v>
      </c>
      <c r="I9" s="53">
        <v>6.3312741312741334</v>
      </c>
      <c r="R9" s="18">
        <f t="shared" si="0"/>
        <v>119.69370389771395</v>
      </c>
      <c r="S9" s="17">
        <f t="shared" si="1"/>
        <v>0.48232237016119939</v>
      </c>
      <c r="X9">
        <v>49</v>
      </c>
      <c r="Y9" s="51">
        <v>7</v>
      </c>
      <c r="AC9" s="1">
        <f t="shared" si="2"/>
        <v>118.25409265511477</v>
      </c>
      <c r="AD9" s="54">
        <f t="shared" si="3"/>
        <v>-2.2533446645862996</v>
      </c>
      <c r="AE9" s="56">
        <f t="shared" si="4"/>
        <v>2.2533446645862996</v>
      </c>
    </row>
    <row r="10" spans="1:33">
      <c r="A10" s="13">
        <v>2009</v>
      </c>
      <c r="B10" s="18">
        <v>117.83308819023111</v>
      </c>
      <c r="C10" s="15">
        <v>7</v>
      </c>
      <c r="D10" s="18">
        <v>1056.3241625298781</v>
      </c>
      <c r="E10" s="137">
        <v>1970.1858797573084</v>
      </c>
      <c r="F10" s="53">
        <v>2.4281124497991957</v>
      </c>
      <c r="G10" s="53">
        <v>3.7506024096385522</v>
      </c>
      <c r="H10" s="53">
        <v>5.6606425702811229</v>
      </c>
      <c r="I10" s="53">
        <v>5.9140562248996025</v>
      </c>
      <c r="R10" s="18">
        <f t="shared" si="0"/>
        <v>122.2115485690544</v>
      </c>
      <c r="S10" s="17">
        <f t="shared" si="1"/>
        <v>4.3784603788232914</v>
      </c>
      <c r="X10">
        <v>64</v>
      </c>
      <c r="Y10" s="51">
        <v>8</v>
      </c>
      <c r="AC10" s="1">
        <f t="shared" si="2"/>
        <v>116.08206503454403</v>
      </c>
      <c r="AD10" s="54">
        <f t="shared" si="3"/>
        <v>-2.0907105765551677</v>
      </c>
      <c r="AE10" s="56">
        <f t="shared" si="4"/>
        <v>2.0907105765551677</v>
      </c>
    </row>
    <row r="11" spans="1:33">
      <c r="A11" s="13">
        <v>2010</v>
      </c>
      <c r="B11" s="18">
        <v>119.75190983913221</v>
      </c>
      <c r="C11" s="15">
        <v>8</v>
      </c>
      <c r="D11" s="18">
        <v>982.23672278338915</v>
      </c>
      <c r="E11" s="137">
        <v>1969.8109988776655</v>
      </c>
      <c r="F11" s="53">
        <v>2.5087591240875908</v>
      </c>
      <c r="G11" s="53">
        <v>3.2806569343065686</v>
      </c>
      <c r="H11" s="53">
        <v>6.2149635036496349</v>
      </c>
      <c r="I11" s="53">
        <v>5.4295620437956194</v>
      </c>
      <c r="R11" s="18">
        <f t="shared" si="0"/>
        <v>119.39617223276908</v>
      </c>
      <c r="S11" s="17">
        <f t="shared" si="1"/>
        <v>-0.35573760636313523</v>
      </c>
      <c r="X11">
        <v>81</v>
      </c>
      <c r="Y11" s="51">
        <v>9</v>
      </c>
      <c r="AC11" s="1">
        <f t="shared" si="2"/>
        <v>114.07267150200444</v>
      </c>
      <c r="AD11" s="54">
        <f t="shared" si="3"/>
        <v>-1.9280764885240353</v>
      </c>
      <c r="AE11" s="56">
        <f t="shared" si="4"/>
        <v>1.9280764885240353</v>
      </c>
    </row>
    <row r="12" spans="1:33">
      <c r="A12" s="13">
        <v>2011</v>
      </c>
      <c r="B12" s="18">
        <v>111.03627107238962</v>
      </c>
      <c r="C12" s="15">
        <v>9</v>
      </c>
      <c r="D12" s="18">
        <v>1009.7360284742889</v>
      </c>
      <c r="E12" s="137">
        <v>1970.4120271993199</v>
      </c>
      <c r="F12" s="53">
        <v>2.3088235294117641</v>
      </c>
      <c r="G12" s="53">
        <v>4.376050420168065</v>
      </c>
      <c r="H12" s="53">
        <v>5.3382352941176467</v>
      </c>
      <c r="I12" s="53">
        <v>6.5474789915966438</v>
      </c>
      <c r="R12" s="18">
        <f t="shared" si="0"/>
        <v>112.090866922228</v>
      </c>
      <c r="S12" s="17">
        <f t="shared" si="1"/>
        <v>1.0545958498383783</v>
      </c>
      <c r="X12">
        <v>100</v>
      </c>
      <c r="Y12" s="51">
        <v>10</v>
      </c>
      <c r="AC12" s="1">
        <f t="shared" si="2"/>
        <v>112.22591205749596</v>
      </c>
      <c r="AD12" s="54">
        <f t="shared" si="3"/>
        <v>-1.7654424004929032</v>
      </c>
      <c r="AE12" s="56">
        <f t="shared" si="4"/>
        <v>1.7654424004929032</v>
      </c>
    </row>
    <row r="13" spans="1:33">
      <c r="A13" s="13">
        <v>2012</v>
      </c>
      <c r="B13" s="18">
        <v>114.5684985021456</v>
      </c>
      <c r="C13" s="15">
        <v>10</v>
      </c>
      <c r="D13" s="18">
        <v>990.00840417780091</v>
      </c>
      <c r="E13" s="137">
        <v>1970.4600437211561</v>
      </c>
      <c r="F13" s="53">
        <v>2.4293650793650805</v>
      </c>
      <c r="G13" s="53">
        <v>3.9097857142857135</v>
      </c>
      <c r="H13" s="53">
        <v>5.6051587301587258</v>
      </c>
      <c r="I13" s="53">
        <v>6.120634920634922</v>
      </c>
      <c r="R13" s="18">
        <f t="shared" si="0"/>
        <v>113.36394357635119</v>
      </c>
      <c r="S13" s="17">
        <f t="shared" si="1"/>
        <v>-1.2045549257944117</v>
      </c>
      <c r="X13">
        <v>121</v>
      </c>
      <c r="Y13" s="51">
        <v>11</v>
      </c>
      <c r="AC13" s="1">
        <f t="shared" si="2"/>
        <v>110.54178670101862</v>
      </c>
      <c r="AD13" s="54">
        <f t="shared" si="3"/>
        <v>-1.6028083124617711</v>
      </c>
      <c r="AE13" s="56">
        <f t="shared" si="4"/>
        <v>1.6028083124617711</v>
      </c>
    </row>
    <row r="14" spans="1:33">
      <c r="A14" s="13">
        <v>2013</v>
      </c>
      <c r="B14" s="18">
        <v>113.42641053521815</v>
      </c>
      <c r="C14" s="15">
        <v>11</v>
      </c>
      <c r="D14" s="18">
        <v>920.40016310257397</v>
      </c>
      <c r="E14" s="137">
        <v>1971.571946357376</v>
      </c>
      <c r="F14" s="53">
        <v>2.454104477611939</v>
      </c>
      <c r="G14" s="53">
        <v>2.8831977611940309</v>
      </c>
      <c r="H14" s="53">
        <v>6.2854477611940247</v>
      </c>
      <c r="I14" s="53">
        <v>5.9328358208955221</v>
      </c>
      <c r="R14" s="18">
        <f t="shared" si="0"/>
        <v>114.07645390562007</v>
      </c>
      <c r="S14" s="17">
        <f t="shared" si="1"/>
        <v>0.65004337040191729</v>
      </c>
      <c r="X14">
        <v>144</v>
      </c>
      <c r="Y14" s="51">
        <v>12</v>
      </c>
      <c r="AC14" s="1">
        <f t="shared" si="2"/>
        <v>109.02029543257242</v>
      </c>
      <c r="AD14" s="54">
        <f t="shared" si="3"/>
        <v>-1.4401742244306388</v>
      </c>
      <c r="AE14" s="56">
        <f t="shared" si="4"/>
        <v>1.4401742244306388</v>
      </c>
    </row>
    <row r="15" spans="1:33">
      <c r="A15" s="13">
        <v>2014</v>
      </c>
      <c r="B15" s="18">
        <v>103.04539129525014</v>
      </c>
      <c r="C15" s="15">
        <v>12</v>
      </c>
      <c r="D15" s="18">
        <v>892.96980539861738</v>
      </c>
      <c r="E15" s="137">
        <v>1970.1833019460139</v>
      </c>
      <c r="F15" s="53">
        <v>2.1446969696969704</v>
      </c>
      <c r="G15" s="53">
        <v>3.8783560606060599</v>
      </c>
      <c r="H15" s="53">
        <v>5.7632575757575744</v>
      </c>
      <c r="I15" s="53">
        <v>8.2462121212121211</v>
      </c>
      <c r="R15" s="18">
        <f t="shared" si="0"/>
        <v>103.83940424055015</v>
      </c>
      <c r="S15" s="17">
        <f t="shared" si="1"/>
        <v>0.7940129453000111</v>
      </c>
      <c r="X15">
        <v>169</v>
      </c>
      <c r="Y15" s="51">
        <v>13</v>
      </c>
      <c r="AC15" s="1">
        <f t="shared" si="2"/>
        <v>107.66143825215735</v>
      </c>
      <c r="AD15" s="54">
        <f t="shared" si="3"/>
        <v>-1.2775401363995069</v>
      </c>
      <c r="AE15" s="56">
        <f t="shared" si="4"/>
        <v>1.2775401363995069</v>
      </c>
    </row>
    <row r="16" spans="1:33">
      <c r="A16" s="13">
        <v>2015</v>
      </c>
      <c r="B16" s="18">
        <v>104.00349185946885</v>
      </c>
      <c r="C16" s="15">
        <v>13</v>
      </c>
      <c r="D16" s="18">
        <v>1012.3300685518427</v>
      </c>
      <c r="E16" s="137">
        <v>1974.1062553556126</v>
      </c>
      <c r="F16" s="53">
        <v>2.5697674418604652</v>
      </c>
      <c r="G16" s="53">
        <v>4.0494379844961248</v>
      </c>
      <c r="H16" s="53">
        <v>5.4034883720930216</v>
      </c>
      <c r="I16" s="53">
        <v>7.1717054263565867</v>
      </c>
      <c r="R16" s="18">
        <f t="shared" si="0"/>
        <v>101.34074900608182</v>
      </c>
      <c r="S16" s="17">
        <f t="shared" si="1"/>
        <v>-2.6627428533870301</v>
      </c>
      <c r="X16">
        <v>196</v>
      </c>
      <c r="Y16" s="51">
        <v>14</v>
      </c>
      <c r="AC16" s="1">
        <f t="shared" si="2"/>
        <v>106.46521515977341</v>
      </c>
      <c r="AD16" s="54">
        <f t="shared" si="3"/>
        <v>-1.1149060483683746</v>
      </c>
      <c r="AE16" s="56">
        <f t="shared" si="4"/>
        <v>1.1149060483683746</v>
      </c>
    </row>
    <row r="17" spans="1:31">
      <c r="A17" s="13">
        <v>2016</v>
      </c>
      <c r="B17" s="18">
        <v>103.71815789473689</v>
      </c>
      <c r="C17" s="15">
        <v>14</v>
      </c>
      <c r="D17" s="18">
        <v>1157.2051999999992</v>
      </c>
      <c r="E17" s="137">
        <v>1978.3642105263159</v>
      </c>
      <c r="F17" s="53">
        <v>2.4999999999999996</v>
      </c>
      <c r="G17" s="53">
        <v>3.3262971887550226</v>
      </c>
      <c r="H17" s="53">
        <v>5.7658634538152622</v>
      </c>
      <c r="I17" s="53">
        <v>6.0979919678714882</v>
      </c>
      <c r="J17" s="19">
        <f>CORREL(R3:R16,B3:B16)</f>
        <v>0.96683399977000217</v>
      </c>
      <c r="K17" s="20" t="s">
        <v>11</v>
      </c>
      <c r="R17" s="18">
        <f t="shared" si="0"/>
        <v>102.97374772121186</v>
      </c>
      <c r="S17" s="17">
        <f t="shared" si="1"/>
        <v>-0.7444101735250257</v>
      </c>
      <c r="X17">
        <v>225</v>
      </c>
      <c r="Y17" s="51">
        <v>15</v>
      </c>
      <c r="AC17" s="1">
        <f t="shared" si="2"/>
        <v>105.4316261554206</v>
      </c>
      <c r="AD17" s="54">
        <f t="shared" si="3"/>
        <v>-0.95227196033724271</v>
      </c>
      <c r="AE17" s="56">
        <f t="shared" si="4"/>
        <v>0.95227196033724271</v>
      </c>
    </row>
    <row r="18" spans="1:31">
      <c r="A18" s="21">
        <v>2017</v>
      </c>
      <c r="B18" s="18">
        <v>100.07764227642278</v>
      </c>
      <c r="C18" s="15">
        <v>15</v>
      </c>
      <c r="D18" s="18">
        <v>1194.2832926829267</v>
      </c>
      <c r="E18" s="137">
        <v>1975.0243902439024</v>
      </c>
      <c r="F18" s="53">
        <v>2.573846153846155</v>
      </c>
      <c r="G18" s="53">
        <v>4.0233269230769251</v>
      </c>
      <c r="H18" s="53">
        <v>5.62153846153846</v>
      </c>
      <c r="I18" s="53">
        <v>6.59</v>
      </c>
      <c r="R18" s="18">
        <f t="shared" si="0"/>
        <v>98.577240251653166</v>
      </c>
      <c r="S18" s="17">
        <f t="shared" si="1"/>
        <v>-1.5004020247696133</v>
      </c>
      <c r="X18">
        <v>256</v>
      </c>
      <c r="Y18" s="51">
        <v>16</v>
      </c>
      <c r="AC18" s="1">
        <f t="shared" si="2"/>
        <v>104.56067123909892</v>
      </c>
      <c r="AD18" s="54">
        <f t="shared" si="3"/>
        <v>-0.78963787230611038</v>
      </c>
      <c r="AE18" s="56">
        <f t="shared" si="4"/>
        <v>0.78963787230611038</v>
      </c>
    </row>
    <row r="19" spans="1:31" ht="19">
      <c r="A19" s="22"/>
      <c r="B19" s="22"/>
      <c r="C19" s="22"/>
      <c r="D19" s="22"/>
      <c r="E19" s="22"/>
      <c r="F19" s="22"/>
      <c r="G19" s="22"/>
      <c r="H19" s="22"/>
      <c r="I19" s="22"/>
      <c r="J19" s="22" t="s">
        <v>2</v>
      </c>
      <c r="K19" s="22"/>
      <c r="L19" s="22"/>
      <c r="M19" s="22"/>
      <c r="N19" s="22"/>
      <c r="O19" s="22"/>
      <c r="P19" s="22"/>
      <c r="Q19" s="22"/>
      <c r="R19" s="22"/>
      <c r="S19" s="136">
        <f>SUM(S3:S18)</f>
        <v>-3.3395508580724709E-12</v>
      </c>
      <c r="T19" s="23"/>
      <c r="X19" t="s">
        <v>2</v>
      </c>
      <c r="Y19" s="51" t="s">
        <v>2</v>
      </c>
    </row>
    <row r="20" spans="1:31" ht="33" thickBot="1">
      <c r="A20" s="2"/>
      <c r="B20" s="3" t="s">
        <v>15</v>
      </c>
      <c r="C20" s="138" t="s">
        <v>3</v>
      </c>
      <c r="D20" s="138"/>
      <c r="E20" s="138"/>
      <c r="F20" s="138"/>
      <c r="G20" s="138"/>
      <c r="H20" s="138"/>
      <c r="I20" s="138"/>
      <c r="J20" s="139" t="s">
        <v>4</v>
      </c>
      <c r="K20" s="139"/>
      <c r="L20" s="139"/>
      <c r="M20" s="139"/>
      <c r="N20" s="139"/>
      <c r="O20" s="139"/>
      <c r="P20" s="139"/>
      <c r="Q20" s="139"/>
      <c r="R20" s="3" t="s">
        <v>5</v>
      </c>
      <c r="S20" s="4" t="s">
        <v>6</v>
      </c>
      <c r="T20" s="24"/>
      <c r="U20" s="2"/>
      <c r="V20" s="2"/>
      <c r="X20" t="s">
        <v>2</v>
      </c>
      <c r="Y20" s="51" t="s">
        <v>2</v>
      </c>
    </row>
    <row r="21" spans="1:31" ht="64">
      <c r="A21" s="6" t="s">
        <v>0</v>
      </c>
      <c r="B21" s="50" t="s">
        <v>15</v>
      </c>
      <c r="C21" s="7" t="s">
        <v>0</v>
      </c>
      <c r="D21" s="25" t="s">
        <v>7</v>
      </c>
      <c r="E21" s="8" t="s">
        <v>8</v>
      </c>
      <c r="F21" s="61" t="s">
        <v>23</v>
      </c>
      <c r="G21" s="61" t="s">
        <v>24</v>
      </c>
      <c r="H21" s="61" t="s">
        <v>25</v>
      </c>
      <c r="I21" s="62" t="s">
        <v>26</v>
      </c>
      <c r="J21" s="9" t="str">
        <f>I21</f>
        <v>TMK Tagestem-peratur</v>
      </c>
      <c r="K21" s="10" t="str">
        <f>H21</f>
        <v>NM Bedeckung</v>
      </c>
      <c r="L21" s="10" t="str">
        <f>G21</f>
        <v>SDK Sonne</v>
      </c>
      <c r="M21" s="10" t="str">
        <f>F21</f>
        <v>FM Wind</v>
      </c>
      <c r="N21" s="10" t="s">
        <v>9</v>
      </c>
      <c r="O21" s="10" t="s">
        <v>10</v>
      </c>
      <c r="P21" s="10" t="s">
        <v>0</v>
      </c>
      <c r="Q21" s="11" t="s">
        <v>1</v>
      </c>
      <c r="R21" s="72" t="s">
        <v>27</v>
      </c>
      <c r="S21" s="66"/>
      <c r="T21" s="26"/>
      <c r="U21" s="27" t="s">
        <v>12</v>
      </c>
      <c r="V21" s="5"/>
      <c r="X21" t="s">
        <v>2</v>
      </c>
      <c r="Y21" s="51" t="s">
        <v>2</v>
      </c>
    </row>
    <row r="22" spans="1:31">
      <c r="A22" s="13">
        <v>2002</v>
      </c>
      <c r="B22" s="14">
        <f>B3</f>
        <v>138.99820121951205</v>
      </c>
      <c r="C22" s="15">
        <v>0</v>
      </c>
      <c r="D22" s="28">
        <f>AVERAGE(D$3:D$16)</f>
        <v>971.57341886665188</v>
      </c>
      <c r="E22" s="29">
        <f>AVERAGE(E$3:E$16)</f>
        <v>1970.4955697693265</v>
      </c>
      <c r="F22" s="60">
        <f>F3</f>
        <v>2.8952191235059761</v>
      </c>
      <c r="G22" s="60">
        <f>G3</f>
        <v>3.7429858428571423</v>
      </c>
      <c r="H22" s="60">
        <f>H3</f>
        <v>5.5335907335907333</v>
      </c>
      <c r="I22" s="128">
        <f>I3</f>
        <v>6.7293436293436342</v>
      </c>
      <c r="J22" s="33">
        <f t="array" ref="J22:Q26">LINEST(B22:B37,C22:I37,,TRUE)</f>
        <v>-1.5503855364806183</v>
      </c>
      <c r="K22" s="33">
        <v>-5.8838438764548346</v>
      </c>
      <c r="L22" s="33">
        <v>-8.3365624194672101</v>
      </c>
      <c r="M22" s="33">
        <v>-8.2484509228250555</v>
      </c>
      <c r="N22" s="33">
        <v>0</v>
      </c>
      <c r="O22" s="33">
        <v>0</v>
      </c>
      <c r="P22" s="33">
        <v>-2.4286753095821183</v>
      </c>
      <c r="Q22" s="33">
        <v>231.01720835009021</v>
      </c>
      <c r="R22" s="129">
        <f>J$22*I22+K$22*H22+L$22*G22+M$22*F22+N$22*E22+O$22*D22+P$22*C22+Q$22</f>
        <v>132.94063939927855</v>
      </c>
      <c r="S22" s="67">
        <f>R22-B22</f>
        <v>-6.0575618202335022</v>
      </c>
      <c r="T22" s="30">
        <f>LINEST(R22:R37,C22:C37)</f>
        <v>-2.1536018904281247</v>
      </c>
      <c r="U22" s="31">
        <f>R3-R22</f>
        <v>3.9850888445296562</v>
      </c>
    </row>
    <row r="23" spans="1:31">
      <c r="A23" s="13">
        <v>2003</v>
      </c>
      <c r="B23" s="14">
        <f t="shared" ref="B23:B37" si="5">B4</f>
        <v>130.4252555555554</v>
      </c>
      <c r="C23" s="15">
        <v>1</v>
      </c>
      <c r="D23" s="28">
        <f t="shared" ref="D23:E37" si="6">AVERAGE(D$3:D$16)</f>
        <v>971.57341886665188</v>
      </c>
      <c r="E23" s="29">
        <f t="shared" si="6"/>
        <v>1970.4955697693265</v>
      </c>
      <c r="F23" s="60">
        <f t="shared" ref="F23:G37" si="7">F4</f>
        <v>2.8020491803278706</v>
      </c>
      <c r="G23" s="60">
        <f t="shared" si="7"/>
        <v>4.6942622950819679</v>
      </c>
      <c r="H23" s="60">
        <f t="shared" ref="H23:I23" si="8">H4</f>
        <v>4.9532786885245921</v>
      </c>
      <c r="I23" s="128">
        <f t="shared" si="8"/>
        <v>5.1725409836065568</v>
      </c>
      <c r="J23" s="33">
        <v>1.5201161374348575</v>
      </c>
      <c r="K23" s="33">
        <v>9.291673631661963</v>
      </c>
      <c r="L23" s="33">
        <v>6.9524254703395307</v>
      </c>
      <c r="M23" s="33">
        <v>5.7520400796124083</v>
      </c>
      <c r="N23" s="33">
        <v>0</v>
      </c>
      <c r="O23" s="33">
        <v>0</v>
      </c>
      <c r="P23" s="33">
        <v>0.30607317000603118</v>
      </c>
      <c r="Q23" s="33">
        <v>83.026129166716714</v>
      </c>
      <c r="R23" s="129">
        <f t="shared" ref="R23:R37" si="9">J$22*I23+K$22*H23+L$22*G23+M$22*F23+N$22*E23+O$22*D23+P$22*C23+Q$22</f>
        <v>129.17820604924276</v>
      </c>
      <c r="S23" s="67">
        <f t="shared" ref="S23:S37" si="10">R23-B23</f>
        <v>-1.247049506312635</v>
      </c>
      <c r="T23" s="32">
        <f>LINEST(B22:B37,C22:C37)</f>
        <v>-2.1536018904281247</v>
      </c>
      <c r="U23" s="31">
        <f t="shared" ref="U23:U37" si="11">R4-R23</f>
        <v>0.30445166868452134</v>
      </c>
    </row>
    <row r="24" spans="1:31">
      <c r="A24" s="13">
        <v>2004</v>
      </c>
      <c r="B24" s="14">
        <f t="shared" si="5"/>
        <v>129.83055967841673</v>
      </c>
      <c r="C24" s="15">
        <v>2</v>
      </c>
      <c r="D24" s="28">
        <f t="shared" si="6"/>
        <v>971.57341886665188</v>
      </c>
      <c r="E24" s="29">
        <f t="shared" si="6"/>
        <v>1970.4955697693265</v>
      </c>
      <c r="F24" s="60">
        <f t="shared" si="7"/>
        <v>2.8413284132841317</v>
      </c>
      <c r="G24" s="60">
        <f t="shared" si="7"/>
        <v>3.7047970479704775</v>
      </c>
      <c r="H24" s="60">
        <f t="shared" ref="H24:I24" si="12">H5</f>
        <v>5.8439114391143896</v>
      </c>
      <c r="I24" s="128">
        <f t="shared" si="12"/>
        <v>6.3199261992619924</v>
      </c>
      <c r="J24" s="135">
        <v>0.91910583365855392</v>
      </c>
      <c r="K24" s="33">
        <v>3.8447512803509514</v>
      </c>
      <c r="L24" s="33" t="e">
        <v>#N/A</v>
      </c>
      <c r="M24" s="33" t="e">
        <v>#N/A</v>
      </c>
      <c r="N24" s="33" t="e">
        <v>#N/A</v>
      </c>
      <c r="O24" s="33" t="e">
        <v>#N/A</v>
      </c>
      <c r="P24" s="33" t="e">
        <v>#N/A</v>
      </c>
      <c r="Q24" s="33" t="e">
        <v>#N/A</v>
      </c>
      <c r="R24" s="129">
        <f t="shared" si="9"/>
        <v>127.65504320992142</v>
      </c>
      <c r="S24" s="67">
        <f t="shared" si="10"/>
        <v>-2.1755164684953172</v>
      </c>
      <c r="T24" s="23"/>
      <c r="U24" s="31">
        <f t="shared" si="11"/>
        <v>-2.2583319779866429</v>
      </c>
    </row>
    <row r="25" spans="1:31">
      <c r="A25" s="13">
        <v>2005</v>
      </c>
      <c r="B25" s="14">
        <f t="shared" si="5"/>
        <v>125.17383963291314</v>
      </c>
      <c r="C25" s="15">
        <v>3</v>
      </c>
      <c r="D25" s="28">
        <f t="shared" si="6"/>
        <v>971.57341886665188</v>
      </c>
      <c r="E25" s="29">
        <f t="shared" si="6"/>
        <v>1970.4955697693265</v>
      </c>
      <c r="F25" s="60">
        <f t="shared" si="7"/>
        <v>2.6896153846153839</v>
      </c>
      <c r="G25" s="60">
        <f t="shared" si="7"/>
        <v>4.0011538461538478</v>
      </c>
      <c r="H25" s="60">
        <f t="shared" ref="H25:I25" si="13">H6</f>
        <v>5.4657692307692285</v>
      </c>
      <c r="I25" s="128">
        <f t="shared" si="13"/>
        <v>5.7115384615384626</v>
      </c>
      <c r="J25" s="33">
        <v>22.723661673676208</v>
      </c>
      <c r="K25" s="33">
        <v>10</v>
      </c>
      <c r="L25" s="33" t="e">
        <v>#N/A</v>
      </c>
      <c r="M25" s="33" t="e">
        <v>#N/A</v>
      </c>
      <c r="N25" s="33" t="e">
        <v>#N/A</v>
      </c>
      <c r="O25" s="33" t="e">
        <v>#N/A</v>
      </c>
      <c r="P25" s="33" t="e">
        <v>#N/A</v>
      </c>
      <c r="Q25" s="33" t="e">
        <v>#N/A</v>
      </c>
      <c r="R25" s="129">
        <f t="shared" si="9"/>
        <v>127.17533369131699</v>
      </c>
      <c r="S25" s="67">
        <f t="shared" si="10"/>
        <v>2.0014940584038499</v>
      </c>
      <c r="T25" s="23"/>
      <c r="U25" s="31">
        <f t="shared" si="11"/>
        <v>-2.8479319861499022</v>
      </c>
    </row>
    <row r="26" spans="1:31">
      <c r="A26" s="13">
        <v>2006</v>
      </c>
      <c r="B26" s="14">
        <f t="shared" si="5"/>
        <v>119.90066751106568</v>
      </c>
      <c r="C26" s="15">
        <v>4</v>
      </c>
      <c r="D26" s="28">
        <f t="shared" si="6"/>
        <v>971.57341886665188</v>
      </c>
      <c r="E26" s="29">
        <f t="shared" si="6"/>
        <v>1970.4955697693265</v>
      </c>
      <c r="F26" s="60">
        <f t="shared" si="7"/>
        <v>2.7145669291338579</v>
      </c>
      <c r="G26" s="60">
        <f t="shared" si="7"/>
        <v>3.9311023622047232</v>
      </c>
      <c r="H26" s="60">
        <f t="shared" ref="H26:I26" si="14">H7</f>
        <v>5.5555118110236208</v>
      </c>
      <c r="I26" s="128">
        <f t="shared" si="14"/>
        <v>5.9307086614173228</v>
      </c>
      <c r="J26" s="33">
        <v>1679.5186058809791</v>
      </c>
      <c r="K26" s="33">
        <v>147.8211240776028</v>
      </c>
      <c r="L26" s="33" t="e">
        <v>#N/A</v>
      </c>
      <c r="M26" s="33" t="e">
        <v>#N/A</v>
      </c>
      <c r="N26" s="33" t="e">
        <v>#N/A</v>
      </c>
      <c r="O26" s="33" t="e">
        <v>#N/A</v>
      </c>
      <c r="P26" s="33" t="e">
        <v>#N/A</v>
      </c>
      <c r="Q26" s="33" t="e">
        <v>#N/A</v>
      </c>
      <c r="R26" s="129">
        <f t="shared" si="9"/>
        <v>124.25700572063694</v>
      </c>
      <c r="S26" s="67">
        <f t="shared" si="10"/>
        <v>4.3563382095712626</v>
      </c>
      <c r="T26" s="23"/>
      <c r="U26" s="31">
        <f t="shared" si="11"/>
        <v>-2.4088255034940005</v>
      </c>
    </row>
    <row r="27" spans="1:31">
      <c r="A27" s="13">
        <v>2007</v>
      </c>
      <c r="B27" s="14">
        <f t="shared" si="5"/>
        <v>111.02220693399175</v>
      </c>
      <c r="C27" s="15">
        <v>5</v>
      </c>
      <c r="D27" s="28">
        <f t="shared" si="6"/>
        <v>971.57341886665188</v>
      </c>
      <c r="E27" s="29">
        <f t="shared" si="6"/>
        <v>1970.4955697693265</v>
      </c>
      <c r="F27" s="60">
        <f t="shared" si="7"/>
        <v>3.0980079681274919</v>
      </c>
      <c r="G27" s="60">
        <f t="shared" si="7"/>
        <v>3.981274900398406</v>
      </c>
      <c r="H27" s="60">
        <f t="shared" ref="H27:I27" si="15">H8</f>
        <v>5.5127490039840614</v>
      </c>
      <c r="I27" s="60">
        <f t="shared" si="15"/>
        <v>6.7258964143426256</v>
      </c>
      <c r="R27" s="64">
        <f t="shared" si="9"/>
        <v>117.26603141214186</v>
      </c>
      <c r="S27" s="67">
        <f t="shared" si="10"/>
        <v>6.2438244781501027</v>
      </c>
      <c r="T27" s="23"/>
      <c r="U27" s="31">
        <f t="shared" si="11"/>
        <v>-0.78756732735631374</v>
      </c>
    </row>
    <row r="28" spans="1:31">
      <c r="A28" s="13">
        <v>2008</v>
      </c>
      <c r="B28" s="14">
        <f t="shared" si="5"/>
        <v>119.21138152755275</v>
      </c>
      <c r="C28" s="15">
        <v>6</v>
      </c>
      <c r="D28" s="28">
        <f t="shared" si="6"/>
        <v>971.57341886665188</v>
      </c>
      <c r="E28" s="29">
        <f t="shared" si="6"/>
        <v>1970.4955697693265</v>
      </c>
      <c r="F28" s="60">
        <f t="shared" si="7"/>
        <v>2.7899613899613906</v>
      </c>
      <c r="G28" s="60">
        <f t="shared" si="7"/>
        <v>3.7277992277992258</v>
      </c>
      <c r="H28" s="60">
        <f t="shared" ref="H28:I28" si="16">H9</f>
        <v>5.7579150579150573</v>
      </c>
      <c r="I28" s="60">
        <f t="shared" si="16"/>
        <v>6.3312741312741334</v>
      </c>
      <c r="R28" s="64">
        <f t="shared" si="9"/>
        <v>118.66067684585238</v>
      </c>
      <c r="S28" s="67">
        <f t="shared" si="10"/>
        <v>-0.5507046817003669</v>
      </c>
      <c r="T28" s="23"/>
      <c r="U28" s="31">
        <f t="shared" si="11"/>
        <v>1.0330270518615663</v>
      </c>
    </row>
    <row r="29" spans="1:31">
      <c r="A29" s="13">
        <v>2009</v>
      </c>
      <c r="B29" s="14">
        <f t="shared" si="5"/>
        <v>117.83308819023111</v>
      </c>
      <c r="C29" s="15">
        <v>7</v>
      </c>
      <c r="D29" s="28">
        <f t="shared" si="6"/>
        <v>971.57341886665188</v>
      </c>
      <c r="E29" s="29">
        <f t="shared" si="6"/>
        <v>1970.4955697693265</v>
      </c>
      <c r="F29" s="60">
        <f t="shared" si="7"/>
        <v>2.4281124497991957</v>
      </c>
      <c r="G29" s="60">
        <f t="shared" si="7"/>
        <v>3.7506024096385522</v>
      </c>
      <c r="H29" s="60">
        <f t="shared" ref="H29:I29" si="17">H10</f>
        <v>5.6606425702811229</v>
      </c>
      <c r="I29" s="60">
        <f t="shared" si="17"/>
        <v>5.9140562248996025</v>
      </c>
      <c r="R29" s="64">
        <f t="shared" si="9"/>
        <v>120.24577935022464</v>
      </c>
      <c r="S29" s="67">
        <f t="shared" si="10"/>
        <v>2.4126911599935283</v>
      </c>
      <c r="T29" s="23"/>
      <c r="U29" s="31">
        <f t="shared" si="11"/>
        <v>1.9657692188297631</v>
      </c>
    </row>
    <row r="30" spans="1:31">
      <c r="A30" s="13">
        <v>2010</v>
      </c>
      <c r="B30" s="14">
        <f t="shared" si="5"/>
        <v>119.75190983913221</v>
      </c>
      <c r="C30" s="15">
        <v>8</v>
      </c>
      <c r="D30" s="28">
        <f t="shared" si="6"/>
        <v>971.57341886665188</v>
      </c>
      <c r="E30" s="29">
        <f t="shared" si="6"/>
        <v>1970.4955697693265</v>
      </c>
      <c r="F30" s="60">
        <f t="shared" si="7"/>
        <v>2.5087591240875908</v>
      </c>
      <c r="G30" s="60">
        <f t="shared" si="7"/>
        <v>3.2806569343065686</v>
      </c>
      <c r="H30" s="60">
        <f t="shared" ref="H30:I30" si="18">H11</f>
        <v>6.2149635036496349</v>
      </c>
      <c r="I30" s="60">
        <f t="shared" si="18"/>
        <v>5.4295620437956194</v>
      </c>
      <c r="R30" s="64">
        <f t="shared" si="9"/>
        <v>118.5592386360385</v>
      </c>
      <c r="S30" s="67">
        <f t="shared" si="10"/>
        <v>-1.1926712030937097</v>
      </c>
      <c r="T30" s="23"/>
      <c r="U30" s="31">
        <f t="shared" si="11"/>
        <v>0.83693359673057444</v>
      </c>
    </row>
    <row r="31" spans="1:31">
      <c r="A31" s="13">
        <v>2011</v>
      </c>
      <c r="B31" s="14">
        <f t="shared" si="5"/>
        <v>111.03627107238962</v>
      </c>
      <c r="C31" s="15">
        <v>9</v>
      </c>
      <c r="D31" s="28">
        <f t="shared" si="6"/>
        <v>971.57341886665188</v>
      </c>
      <c r="E31" s="29">
        <f t="shared" si="6"/>
        <v>1970.4955697693265</v>
      </c>
      <c r="F31" s="60">
        <f t="shared" si="7"/>
        <v>2.3088235294117641</v>
      </c>
      <c r="G31" s="60">
        <f t="shared" si="7"/>
        <v>4.376050420168065</v>
      </c>
      <c r="H31" s="60">
        <f t="shared" ref="H31:I31" si="19">H12</f>
        <v>5.3382352941176467</v>
      </c>
      <c r="I31" s="60">
        <f t="shared" si="19"/>
        <v>6.5474789915966438</v>
      </c>
      <c r="R31" s="64">
        <f t="shared" si="9"/>
        <v>112.07323573821638</v>
      </c>
      <c r="S31" s="67">
        <f t="shared" si="10"/>
        <v>1.0369646658267584</v>
      </c>
      <c r="T31" s="23"/>
      <c r="U31" s="31">
        <f t="shared" si="11"/>
        <v>1.7631184011619894E-2</v>
      </c>
    </row>
    <row r="32" spans="1:31">
      <c r="A32" s="13">
        <v>2012</v>
      </c>
      <c r="B32" s="14">
        <f t="shared" si="5"/>
        <v>114.5684985021456</v>
      </c>
      <c r="C32" s="15">
        <v>10</v>
      </c>
      <c r="D32" s="28">
        <f t="shared" si="6"/>
        <v>971.57341886665188</v>
      </c>
      <c r="E32" s="29">
        <f t="shared" si="6"/>
        <v>1970.4955697693265</v>
      </c>
      <c r="F32" s="60">
        <f t="shared" si="7"/>
        <v>2.4293650793650805</v>
      </c>
      <c r="G32" s="60">
        <f t="shared" si="7"/>
        <v>3.9097857142857135</v>
      </c>
      <c r="H32" s="60">
        <f t="shared" ref="H32:I32" si="20">H13</f>
        <v>5.6051587301587258</v>
      </c>
      <c r="I32" s="60">
        <f t="shared" si="20"/>
        <v>6.120634920634922</v>
      </c>
      <c r="R32" s="64">
        <f t="shared" si="9"/>
        <v>111.62856124358477</v>
      </c>
      <c r="S32" s="67">
        <f t="shared" si="10"/>
        <v>-2.9399372585608319</v>
      </c>
      <c r="T32" s="23"/>
      <c r="U32" s="31">
        <f t="shared" si="11"/>
        <v>1.7353823327664202</v>
      </c>
    </row>
    <row r="33" spans="1:21">
      <c r="A33" s="13">
        <v>2013</v>
      </c>
      <c r="B33" s="14">
        <f t="shared" si="5"/>
        <v>113.42641053521815</v>
      </c>
      <c r="C33" s="15">
        <v>11</v>
      </c>
      <c r="D33" s="28">
        <f t="shared" si="6"/>
        <v>971.57341886665188</v>
      </c>
      <c r="E33" s="29">
        <f t="shared" si="6"/>
        <v>1970.4955697693265</v>
      </c>
      <c r="F33" s="60">
        <f t="shared" si="7"/>
        <v>2.454104477611939</v>
      </c>
      <c r="G33" s="60">
        <f t="shared" si="7"/>
        <v>2.8831977611940309</v>
      </c>
      <c r="H33" s="60">
        <f t="shared" ref="H33:I33" si="21">H14</f>
        <v>6.2854477611940247</v>
      </c>
      <c r="I33" s="60">
        <f t="shared" si="21"/>
        <v>5.9328358208955221</v>
      </c>
      <c r="R33" s="64">
        <f t="shared" si="9"/>
        <v>113.84248533024872</v>
      </c>
      <c r="S33" s="67">
        <f t="shared" si="10"/>
        <v>0.41607479503056766</v>
      </c>
      <c r="T33" s="23"/>
      <c r="U33" s="31">
        <f t="shared" si="11"/>
        <v>0.23396857537134963</v>
      </c>
    </row>
    <row r="34" spans="1:21">
      <c r="A34" s="13">
        <v>2014</v>
      </c>
      <c r="B34" s="14">
        <f t="shared" si="5"/>
        <v>103.04539129525014</v>
      </c>
      <c r="C34" s="15">
        <v>12</v>
      </c>
      <c r="D34" s="28">
        <f t="shared" si="6"/>
        <v>971.57341886665188</v>
      </c>
      <c r="E34" s="29">
        <f t="shared" si="6"/>
        <v>1970.4955697693265</v>
      </c>
      <c r="F34" s="60">
        <f t="shared" si="7"/>
        <v>2.1446969696969704</v>
      </c>
      <c r="G34" s="60">
        <f t="shared" si="7"/>
        <v>3.8783560606060599</v>
      </c>
      <c r="H34" s="60">
        <f t="shared" ref="H34:I34" si="22">H15</f>
        <v>5.7632575757575744</v>
      </c>
      <c r="I34" s="60">
        <f t="shared" si="22"/>
        <v>8.2462121212121211</v>
      </c>
      <c r="R34" s="64">
        <f t="shared" si="9"/>
        <v>105.15560375303478</v>
      </c>
      <c r="S34" s="67">
        <f t="shared" si="10"/>
        <v>2.1102124577846411</v>
      </c>
      <c r="T34" s="23"/>
      <c r="U34" s="31">
        <f t="shared" si="11"/>
        <v>-1.31619951248463</v>
      </c>
    </row>
    <row r="35" spans="1:21">
      <c r="A35" s="13">
        <v>2015</v>
      </c>
      <c r="B35" s="14">
        <f t="shared" si="5"/>
        <v>104.00349185946885</v>
      </c>
      <c r="C35" s="15">
        <v>13</v>
      </c>
      <c r="D35" s="28">
        <f t="shared" si="6"/>
        <v>971.57341886665188</v>
      </c>
      <c r="E35" s="29">
        <f t="shared" si="6"/>
        <v>1970.4955697693265</v>
      </c>
      <c r="F35" s="60">
        <f t="shared" si="7"/>
        <v>2.5697674418604652</v>
      </c>
      <c r="G35" s="60">
        <f t="shared" si="7"/>
        <v>4.0494379844961248</v>
      </c>
      <c r="H35" s="60">
        <f t="shared" ref="H35:I35" si="23">H16</f>
        <v>5.4034883720930216</v>
      </c>
      <c r="I35" s="60">
        <f t="shared" si="23"/>
        <v>7.1717054263565867</v>
      </c>
      <c r="R35" s="64">
        <f t="shared" si="9"/>
        <v>101.57724584219224</v>
      </c>
      <c r="S35" s="67">
        <f t="shared" si="10"/>
        <v>-2.4262460172766112</v>
      </c>
      <c r="T35" s="23"/>
      <c r="U35" s="31">
        <f t="shared" si="11"/>
        <v>-0.23649683611041894</v>
      </c>
    </row>
    <row r="36" spans="1:21">
      <c r="A36" s="13">
        <v>2016</v>
      </c>
      <c r="B36" s="14">
        <f t="shared" si="5"/>
        <v>103.71815789473689</v>
      </c>
      <c r="C36" s="15">
        <v>14</v>
      </c>
      <c r="D36" s="28">
        <f t="shared" si="6"/>
        <v>971.57341886665188</v>
      </c>
      <c r="E36" s="29">
        <f t="shared" si="6"/>
        <v>1970.4955697693265</v>
      </c>
      <c r="F36" s="60">
        <f t="shared" si="7"/>
        <v>2.4999999999999996</v>
      </c>
      <c r="G36" s="60">
        <f t="shared" si="7"/>
        <v>3.3262971887550226</v>
      </c>
      <c r="H36" s="60">
        <f t="shared" ref="H36:I36" si="24">H17</f>
        <v>5.7658634538152622</v>
      </c>
      <c r="I36" s="60">
        <f t="shared" si="24"/>
        <v>6.0979919678714882</v>
      </c>
      <c r="J36" s="19">
        <f>CORREL(R22:R35,B22:B35)</f>
        <v>0.95054414519024888</v>
      </c>
      <c r="K36" s="20" t="s">
        <v>11</v>
      </c>
      <c r="R36" s="64">
        <f t="shared" si="9"/>
        <v>105.28506364535478</v>
      </c>
      <c r="S36" s="67">
        <f t="shared" si="10"/>
        <v>1.5669057506178916</v>
      </c>
      <c r="T36" s="23"/>
      <c r="U36" s="31">
        <f t="shared" si="11"/>
        <v>-2.3113159241429173</v>
      </c>
    </row>
    <row r="37" spans="1:21" ht="17" thickBot="1">
      <c r="A37" s="13">
        <v>2017</v>
      </c>
      <c r="B37" s="14">
        <f t="shared" si="5"/>
        <v>100.07764227642278</v>
      </c>
      <c r="C37" s="34">
        <v>15</v>
      </c>
      <c r="D37" s="28">
        <f t="shared" si="6"/>
        <v>971.57341886665188</v>
      </c>
      <c r="E37" s="29">
        <f t="shared" si="6"/>
        <v>1970.4955697693265</v>
      </c>
      <c r="F37" s="60">
        <f t="shared" si="7"/>
        <v>2.573846153846155</v>
      </c>
      <c r="G37" s="60">
        <f t="shared" si="7"/>
        <v>4.0233269230769251</v>
      </c>
      <c r="H37" s="60">
        <f t="shared" ref="H37:I37" si="25">H18</f>
        <v>5.62153846153846</v>
      </c>
      <c r="I37" s="60">
        <f t="shared" si="25"/>
        <v>6.59</v>
      </c>
      <c r="R37" s="65">
        <f t="shared" si="9"/>
        <v>96.52282365671698</v>
      </c>
      <c r="S37" s="67">
        <f t="shared" si="10"/>
        <v>-3.5548186197057987</v>
      </c>
      <c r="T37" s="23"/>
      <c r="U37" s="35">
        <f t="shared" si="11"/>
        <v>2.0544165949361854</v>
      </c>
    </row>
    <row r="38" spans="1:21" ht="19">
      <c r="A38" s="22"/>
      <c r="B38" s="22"/>
      <c r="C38" s="22"/>
      <c r="D38" s="22"/>
      <c r="E38" s="22"/>
      <c r="F38" s="22"/>
      <c r="G38" s="22"/>
      <c r="H38" s="22"/>
      <c r="I38" s="22"/>
      <c r="J38" s="22" t="s">
        <v>2</v>
      </c>
      <c r="K38" s="22"/>
      <c r="L38" s="22"/>
      <c r="M38" s="22"/>
      <c r="N38" s="22"/>
      <c r="O38" s="22"/>
      <c r="P38" s="22"/>
      <c r="Q38" s="22"/>
      <c r="R38" s="22"/>
      <c r="S38" s="136">
        <f>SUM(S22:S37)</f>
        <v>-1.7053025658242404E-13</v>
      </c>
      <c r="T38" s="23"/>
      <c r="U38" s="136">
        <f>SUM(U22:U37)</f>
        <v>-3.1690206014900468E-12</v>
      </c>
    </row>
    <row r="39" spans="1:21" ht="33" thickBot="1">
      <c r="A39" s="2"/>
      <c r="B39" s="3" t="s">
        <v>15</v>
      </c>
      <c r="C39" s="138" t="s">
        <v>3</v>
      </c>
      <c r="D39" s="138"/>
      <c r="E39" s="138"/>
      <c r="F39" s="138"/>
      <c r="G39" s="138"/>
      <c r="H39" s="138"/>
      <c r="I39" s="138"/>
      <c r="J39" s="139" t="s">
        <v>4</v>
      </c>
      <c r="K39" s="139"/>
      <c r="L39" s="139"/>
      <c r="M39" s="139"/>
      <c r="N39" s="139"/>
      <c r="O39" s="139"/>
      <c r="P39" s="139"/>
      <c r="Q39" s="139"/>
      <c r="R39" s="3" t="s">
        <v>5</v>
      </c>
      <c r="S39" s="4" t="s">
        <v>6</v>
      </c>
      <c r="T39" s="24"/>
    </row>
    <row r="40" spans="1:21" ht="64">
      <c r="A40" s="6" t="s">
        <v>0</v>
      </c>
      <c r="B40" s="70" t="s">
        <v>16</v>
      </c>
      <c r="C40" s="7" t="s">
        <v>0</v>
      </c>
      <c r="D40" s="25" t="s">
        <v>7</v>
      </c>
      <c r="E40" s="8" t="s">
        <v>8</v>
      </c>
      <c r="F40" s="61" t="s">
        <v>23</v>
      </c>
      <c r="G40" s="61" t="s">
        <v>24</v>
      </c>
      <c r="H40" s="61" t="s">
        <v>25</v>
      </c>
      <c r="I40" s="62" t="s">
        <v>26</v>
      </c>
      <c r="J40" s="9" t="str">
        <f>I40</f>
        <v>TMK Tagestem-peratur</v>
      </c>
      <c r="K40" s="10" t="str">
        <f>H40</f>
        <v>NM Bedeckung</v>
      </c>
      <c r="L40" s="10" t="str">
        <f>G40</f>
        <v>SDK Sonne</v>
      </c>
      <c r="M40" s="10" t="str">
        <f>F40</f>
        <v>FM Wind</v>
      </c>
      <c r="N40" s="10" t="s">
        <v>13</v>
      </c>
      <c r="O40" s="10" t="s">
        <v>10</v>
      </c>
      <c r="P40" s="36" t="s">
        <v>0</v>
      </c>
      <c r="Q40" s="37" t="s">
        <v>1</v>
      </c>
      <c r="R40" s="72" t="s">
        <v>27</v>
      </c>
      <c r="S40" s="6"/>
      <c r="T40" s="26"/>
    </row>
    <row r="41" spans="1:21">
      <c r="A41" s="13">
        <v>2002</v>
      </c>
      <c r="B41" s="68">
        <f>B3-U22</f>
        <v>135.0131123749824</v>
      </c>
      <c r="C41" s="15">
        <v>0</v>
      </c>
      <c r="D41" s="28">
        <f>D22</f>
        <v>971.57341886665188</v>
      </c>
      <c r="E41" s="38">
        <f>E22</f>
        <v>1970.4955697693265</v>
      </c>
      <c r="F41" s="60">
        <f>F3</f>
        <v>2.8952191235059761</v>
      </c>
      <c r="G41" s="60">
        <f t="shared" ref="G41:I41" si="26">G3</f>
        <v>3.7429858428571423</v>
      </c>
      <c r="H41" s="60">
        <f t="shared" si="26"/>
        <v>5.5335907335907333</v>
      </c>
      <c r="I41" s="128">
        <f t="shared" si="26"/>
        <v>6.7293436293436342</v>
      </c>
      <c r="J41" s="33">
        <f t="array" ref="J41:Q45">LINEST(B41:B56,C41:I56,,TRUE)</f>
        <v>-1.5503855364806189</v>
      </c>
      <c r="K41" s="33">
        <v>-5.8838438764551739</v>
      </c>
      <c r="L41" s="33">
        <v>-8.3365624194675387</v>
      </c>
      <c r="M41" s="33">
        <v>-8.2484509228251373</v>
      </c>
      <c r="N41" s="33">
        <v>0</v>
      </c>
      <c r="O41" s="33">
        <v>0</v>
      </c>
      <c r="P41" s="33">
        <v>-2.4286753095821063</v>
      </c>
      <c r="Q41" s="33">
        <v>231.01720835009371</v>
      </c>
      <c r="R41" s="16">
        <f>Q$41+P$41*C41+O$41*D41+N$41*E41+M$41*F41+L$41*G41+K$41*H41+J$41*I41</f>
        <v>132.94063939927867</v>
      </c>
      <c r="S41" s="17">
        <f>R41-B41</f>
        <v>-2.0724729757037323</v>
      </c>
      <c r="T41" s="45">
        <f>LINEST(R41:R54,C41:C54)</f>
        <v>-2.1111369127200517</v>
      </c>
    </row>
    <row r="42" spans="1:21">
      <c r="A42" s="13">
        <v>2003</v>
      </c>
      <c r="B42" s="68">
        <f t="shared" ref="B42:B56" si="27">B4-U23</f>
        <v>130.12080388687087</v>
      </c>
      <c r="C42" s="15">
        <v>1</v>
      </c>
      <c r="D42" s="28">
        <f t="shared" ref="D42:E51" si="28">D23</f>
        <v>971.57341886665188</v>
      </c>
      <c r="E42" s="38">
        <f t="shared" si="28"/>
        <v>1970.4955697693265</v>
      </c>
      <c r="F42" s="60">
        <f t="shared" ref="F42:I56" si="29">F4</f>
        <v>2.8020491803278706</v>
      </c>
      <c r="G42" s="60">
        <f t="shared" si="29"/>
        <v>4.6942622950819679</v>
      </c>
      <c r="H42" s="60">
        <f t="shared" si="29"/>
        <v>4.9532786885245921</v>
      </c>
      <c r="I42" s="128">
        <f t="shared" si="29"/>
        <v>5.1725409836065568</v>
      </c>
      <c r="J42" s="33">
        <v>1.2003011360714657</v>
      </c>
      <c r="K42" s="33">
        <v>7.3368120641815606</v>
      </c>
      <c r="L42" s="33">
        <v>5.4897148875628901</v>
      </c>
      <c r="M42" s="33">
        <v>4.5418768160292933</v>
      </c>
      <c r="N42" s="33">
        <v>0</v>
      </c>
      <c r="O42" s="33">
        <v>0</v>
      </c>
      <c r="P42" s="33">
        <v>0.24167888533778406</v>
      </c>
      <c r="Q42" s="33">
        <v>65.558383802564549</v>
      </c>
      <c r="R42" s="16">
        <f t="shared" ref="R42:R56" si="30">Q$41+P$41*C42+O$41*D42+N$41*E42+M$41*F42+L$41*G42+K$41*H42+J$41*I42</f>
        <v>129.17820604924282</v>
      </c>
      <c r="S42" s="17">
        <f t="shared" ref="S42:S56" si="31">R42-B42</f>
        <v>-0.94259783762805682</v>
      </c>
      <c r="T42" s="45">
        <f>LINEST(B41:B54,C41:C54)</f>
        <v>-2.1917368842012555</v>
      </c>
    </row>
    <row r="43" spans="1:21">
      <c r="A43" s="13">
        <v>2004</v>
      </c>
      <c r="B43" s="68">
        <f t="shared" si="27"/>
        <v>132.08889165640338</v>
      </c>
      <c r="C43" s="15">
        <v>2</v>
      </c>
      <c r="D43" s="28">
        <f t="shared" si="28"/>
        <v>971.57341886665188</v>
      </c>
      <c r="E43" s="38">
        <f t="shared" si="28"/>
        <v>1970.4955697693265</v>
      </c>
      <c r="F43" s="60">
        <f t="shared" si="29"/>
        <v>2.8413284132841317</v>
      </c>
      <c r="G43" s="60">
        <f t="shared" si="29"/>
        <v>3.7047970479704775</v>
      </c>
      <c r="H43" s="60">
        <f t="shared" si="29"/>
        <v>5.8439114391143896</v>
      </c>
      <c r="I43" s="128">
        <f t="shared" si="29"/>
        <v>6.3199261992619924</v>
      </c>
      <c r="J43" s="135">
        <v>0.94797915932798638</v>
      </c>
      <c r="K43" s="33">
        <v>3.0358597057622734</v>
      </c>
      <c r="L43" s="33" t="e">
        <v>#N/A</v>
      </c>
      <c r="M43" s="33" t="e">
        <v>#N/A</v>
      </c>
      <c r="N43" s="33" t="e">
        <v>#N/A</v>
      </c>
      <c r="O43" s="33" t="e">
        <v>#N/A</v>
      </c>
      <c r="P43" s="33" t="e">
        <v>#N/A</v>
      </c>
      <c r="Q43" s="33" t="e">
        <v>#N/A</v>
      </c>
      <c r="R43" s="16">
        <f t="shared" si="30"/>
        <v>127.65504320992153</v>
      </c>
      <c r="S43" s="17">
        <f t="shared" si="31"/>
        <v>-4.4338484464818464</v>
      </c>
      <c r="T43" s="23"/>
    </row>
    <row r="44" spans="1:21">
      <c r="A44" s="13">
        <v>2005</v>
      </c>
      <c r="B44" s="68">
        <f t="shared" si="27"/>
        <v>128.02177161906303</v>
      </c>
      <c r="C44" s="15">
        <v>3</v>
      </c>
      <c r="D44" s="28">
        <f t="shared" si="28"/>
        <v>971.57341886665188</v>
      </c>
      <c r="E44" s="38">
        <f t="shared" si="28"/>
        <v>1970.4955697693265</v>
      </c>
      <c r="F44" s="60">
        <f t="shared" si="29"/>
        <v>2.6896153846153839</v>
      </c>
      <c r="G44" s="60">
        <f t="shared" si="29"/>
        <v>4.0011538461538478</v>
      </c>
      <c r="H44" s="60">
        <f t="shared" si="29"/>
        <v>5.4657692307692285</v>
      </c>
      <c r="I44" s="128">
        <f t="shared" si="29"/>
        <v>5.7115384615384626</v>
      </c>
      <c r="J44" s="33">
        <v>36.446129938764486</v>
      </c>
      <c r="K44" s="33">
        <v>10</v>
      </c>
      <c r="L44" s="33" t="e">
        <v>#N/A</v>
      </c>
      <c r="M44" s="33" t="e">
        <v>#N/A</v>
      </c>
      <c r="N44" s="33" t="e">
        <v>#N/A</v>
      </c>
      <c r="O44" s="33" t="e">
        <v>#N/A</v>
      </c>
      <c r="P44" s="33" t="e">
        <v>#N/A</v>
      </c>
      <c r="Q44" s="33" t="e">
        <v>#N/A</v>
      </c>
      <c r="R44" s="16">
        <f t="shared" si="30"/>
        <v>127.17533369131714</v>
      </c>
      <c r="S44" s="17">
        <f t="shared" si="31"/>
        <v>-0.84643792774589599</v>
      </c>
      <c r="T44" s="23"/>
    </row>
    <row r="45" spans="1:21">
      <c r="A45" s="13">
        <v>2006</v>
      </c>
      <c r="B45" s="68">
        <f t="shared" si="27"/>
        <v>122.30949301455968</v>
      </c>
      <c r="C45" s="15">
        <v>4</v>
      </c>
      <c r="D45" s="28">
        <f t="shared" si="28"/>
        <v>971.57341886665188</v>
      </c>
      <c r="E45" s="38">
        <f t="shared" si="28"/>
        <v>1970.4955697693265</v>
      </c>
      <c r="F45" s="60">
        <f t="shared" si="29"/>
        <v>2.7145669291338579</v>
      </c>
      <c r="G45" s="60">
        <f t="shared" si="29"/>
        <v>3.9311023622047232</v>
      </c>
      <c r="H45" s="60">
        <f t="shared" si="29"/>
        <v>5.5555118110236208</v>
      </c>
      <c r="I45" s="128">
        <f t="shared" si="29"/>
        <v>5.9307086614173228</v>
      </c>
      <c r="J45" s="33">
        <v>1679.5186058809588</v>
      </c>
      <c r="K45" s="33">
        <v>92.164441530709965</v>
      </c>
      <c r="L45" s="33" t="e">
        <v>#N/A</v>
      </c>
      <c r="M45" s="33" t="e">
        <v>#N/A</v>
      </c>
      <c r="N45" s="33" t="e">
        <v>#N/A</v>
      </c>
      <c r="O45" s="33" t="e">
        <v>#N/A</v>
      </c>
      <c r="P45" s="33" t="e">
        <v>#N/A</v>
      </c>
      <c r="Q45" s="33" t="e">
        <v>#N/A</v>
      </c>
      <c r="R45" s="16">
        <f t="shared" si="30"/>
        <v>124.25700572063708</v>
      </c>
      <c r="S45" s="17">
        <f t="shared" si="31"/>
        <v>1.9475127060774042</v>
      </c>
      <c r="T45" s="23"/>
    </row>
    <row r="46" spans="1:21">
      <c r="A46" s="13">
        <v>2007</v>
      </c>
      <c r="B46" s="68">
        <f t="shared" si="27"/>
        <v>111.80977426134807</v>
      </c>
      <c r="C46" s="15">
        <v>5</v>
      </c>
      <c r="D46" s="28">
        <f t="shared" si="28"/>
        <v>971.57341886665188</v>
      </c>
      <c r="E46" s="38">
        <f t="shared" si="28"/>
        <v>1970.4955697693265</v>
      </c>
      <c r="F46" s="60">
        <f t="shared" si="29"/>
        <v>3.0980079681274919</v>
      </c>
      <c r="G46" s="60">
        <f t="shared" si="29"/>
        <v>3.981274900398406</v>
      </c>
      <c r="H46" s="60">
        <f t="shared" si="29"/>
        <v>5.5127490039840614</v>
      </c>
      <c r="I46" s="60">
        <f t="shared" si="29"/>
        <v>6.7258964143426256</v>
      </c>
      <c r="R46" s="18">
        <f t="shared" si="30"/>
        <v>117.266031412142</v>
      </c>
      <c r="S46" s="17">
        <f t="shared" si="31"/>
        <v>5.456257150793931</v>
      </c>
      <c r="T46" s="23"/>
    </row>
    <row r="47" spans="1:21">
      <c r="A47" s="13">
        <v>2008</v>
      </c>
      <c r="B47" s="68">
        <f t="shared" si="27"/>
        <v>118.17835447569118</v>
      </c>
      <c r="C47" s="15">
        <v>6</v>
      </c>
      <c r="D47" s="28">
        <f t="shared" si="28"/>
        <v>971.57341886665188</v>
      </c>
      <c r="E47" s="38">
        <f t="shared" si="28"/>
        <v>1970.4955697693265</v>
      </c>
      <c r="F47" s="60">
        <f t="shared" si="29"/>
        <v>2.7899613899613906</v>
      </c>
      <c r="G47" s="60">
        <f t="shared" si="29"/>
        <v>3.7277992277992258</v>
      </c>
      <c r="H47" s="60">
        <f t="shared" si="29"/>
        <v>5.7579150579150573</v>
      </c>
      <c r="I47" s="60">
        <f t="shared" si="29"/>
        <v>6.3312741312741334</v>
      </c>
      <c r="R47" s="18">
        <f t="shared" si="30"/>
        <v>118.66067684585254</v>
      </c>
      <c r="S47" s="17">
        <f t="shared" si="31"/>
        <v>0.48232237016135571</v>
      </c>
      <c r="T47" s="23"/>
    </row>
    <row r="48" spans="1:21">
      <c r="A48" s="13">
        <v>2009</v>
      </c>
      <c r="B48" s="68">
        <f t="shared" si="27"/>
        <v>115.86731897140135</v>
      </c>
      <c r="C48" s="15">
        <v>7</v>
      </c>
      <c r="D48" s="28">
        <f t="shared" si="28"/>
        <v>971.57341886665188</v>
      </c>
      <c r="E48" s="38">
        <f t="shared" si="28"/>
        <v>1970.4955697693265</v>
      </c>
      <c r="F48" s="60">
        <f t="shared" si="29"/>
        <v>2.4281124497991957</v>
      </c>
      <c r="G48" s="60">
        <f t="shared" si="29"/>
        <v>3.7506024096385522</v>
      </c>
      <c r="H48" s="60">
        <f t="shared" si="29"/>
        <v>5.6606425702811229</v>
      </c>
      <c r="I48" s="60">
        <f t="shared" si="29"/>
        <v>5.9140562248996025</v>
      </c>
      <c r="R48" s="18">
        <f t="shared" si="30"/>
        <v>120.24577935022491</v>
      </c>
      <c r="S48" s="17">
        <f t="shared" si="31"/>
        <v>4.3784603788235614</v>
      </c>
      <c r="T48" s="23"/>
    </row>
    <row r="49" spans="1:21">
      <c r="A49" s="13">
        <v>2010</v>
      </c>
      <c r="B49" s="68">
        <f t="shared" si="27"/>
        <v>118.91497624240164</v>
      </c>
      <c r="C49" s="15">
        <v>8</v>
      </c>
      <c r="D49" s="28">
        <f t="shared" si="28"/>
        <v>971.57341886665188</v>
      </c>
      <c r="E49" s="38">
        <f t="shared" si="28"/>
        <v>1970.4955697693265</v>
      </c>
      <c r="F49" s="60">
        <f t="shared" si="29"/>
        <v>2.5087591240875908</v>
      </c>
      <c r="G49" s="60">
        <f t="shared" si="29"/>
        <v>3.2806569343065686</v>
      </c>
      <c r="H49" s="60">
        <f t="shared" si="29"/>
        <v>6.2149635036496349</v>
      </c>
      <c r="I49" s="60">
        <f t="shared" si="29"/>
        <v>5.4295620437956194</v>
      </c>
      <c r="R49" s="18">
        <f t="shared" si="30"/>
        <v>118.55923863603869</v>
      </c>
      <c r="S49" s="17">
        <f t="shared" si="31"/>
        <v>-0.35573760636295049</v>
      </c>
      <c r="T49" s="23"/>
    </row>
    <row r="50" spans="1:21">
      <c r="A50" s="13">
        <v>2011</v>
      </c>
      <c r="B50" s="68">
        <f t="shared" si="27"/>
        <v>111.018639888378</v>
      </c>
      <c r="C50" s="15">
        <v>9</v>
      </c>
      <c r="D50" s="28">
        <f t="shared" si="28"/>
        <v>971.57341886665188</v>
      </c>
      <c r="E50" s="38">
        <f t="shared" si="28"/>
        <v>1970.4955697693265</v>
      </c>
      <c r="F50" s="60">
        <f t="shared" si="29"/>
        <v>2.3088235294117641</v>
      </c>
      <c r="G50" s="60">
        <f t="shared" si="29"/>
        <v>4.376050420168065</v>
      </c>
      <c r="H50" s="60">
        <f t="shared" si="29"/>
        <v>5.3382352941176467</v>
      </c>
      <c r="I50" s="60">
        <f t="shared" si="29"/>
        <v>6.5474789915966438</v>
      </c>
      <c r="R50" s="18">
        <f t="shared" si="30"/>
        <v>112.07323573821651</v>
      </c>
      <c r="S50" s="17">
        <f t="shared" si="31"/>
        <v>1.0545958498385062</v>
      </c>
      <c r="T50" s="23"/>
    </row>
    <row r="51" spans="1:21">
      <c r="A51" s="13">
        <v>2012</v>
      </c>
      <c r="B51" s="68">
        <f t="shared" si="27"/>
        <v>112.83311616937918</v>
      </c>
      <c r="C51" s="15">
        <v>10</v>
      </c>
      <c r="D51" s="28">
        <f t="shared" si="28"/>
        <v>971.57341886665188</v>
      </c>
      <c r="E51" s="38">
        <f t="shared" si="28"/>
        <v>1970.4955697693265</v>
      </c>
      <c r="F51" s="60">
        <f t="shared" si="29"/>
        <v>2.4293650793650805</v>
      </c>
      <c r="G51" s="60">
        <f t="shared" si="29"/>
        <v>3.9097857142857135</v>
      </c>
      <c r="H51" s="60">
        <f t="shared" si="29"/>
        <v>5.6051587301587258</v>
      </c>
      <c r="I51" s="60">
        <f t="shared" si="29"/>
        <v>6.120634920634922</v>
      </c>
      <c r="R51" s="18">
        <f t="shared" si="30"/>
        <v>111.628561243585</v>
      </c>
      <c r="S51" s="17">
        <f t="shared" si="31"/>
        <v>-1.2045549257941843</v>
      </c>
      <c r="T51" s="23"/>
    </row>
    <row r="52" spans="1:21">
      <c r="A52" s="13">
        <v>2013</v>
      </c>
      <c r="B52" s="68">
        <f t="shared" si="27"/>
        <v>113.1924419598468</v>
      </c>
      <c r="C52" s="15">
        <v>11</v>
      </c>
      <c r="D52" s="28">
        <f t="shared" ref="D52:E52" si="32">D33</f>
        <v>971.57341886665188</v>
      </c>
      <c r="E52" s="38">
        <f t="shared" si="32"/>
        <v>1970.4955697693265</v>
      </c>
      <c r="F52" s="60">
        <f t="shared" si="29"/>
        <v>2.454104477611939</v>
      </c>
      <c r="G52" s="60">
        <f t="shared" si="29"/>
        <v>2.8831977611940309</v>
      </c>
      <c r="H52" s="60">
        <f t="shared" si="29"/>
        <v>6.2854477611940247</v>
      </c>
      <c r="I52" s="60">
        <f t="shared" si="29"/>
        <v>5.9328358208955221</v>
      </c>
      <c r="R52" s="18">
        <f t="shared" si="30"/>
        <v>113.84248533024905</v>
      </c>
      <c r="S52" s="17">
        <f t="shared" si="31"/>
        <v>0.65004337040224414</v>
      </c>
      <c r="T52" s="23"/>
    </row>
    <row r="53" spans="1:21">
      <c r="A53" s="13">
        <v>2014</v>
      </c>
      <c r="B53" s="68">
        <f t="shared" si="27"/>
        <v>104.36159080773477</v>
      </c>
      <c r="C53" s="15">
        <v>12</v>
      </c>
      <c r="D53" s="28">
        <f t="shared" ref="D53:E53" si="33">D34</f>
        <v>971.57341886665188</v>
      </c>
      <c r="E53" s="38">
        <f t="shared" si="33"/>
        <v>1970.4955697693265</v>
      </c>
      <c r="F53" s="60">
        <f t="shared" si="29"/>
        <v>2.1446969696969704</v>
      </c>
      <c r="G53" s="60">
        <f t="shared" si="29"/>
        <v>3.8783560606060599</v>
      </c>
      <c r="H53" s="60">
        <f t="shared" si="29"/>
        <v>5.7632575757575744</v>
      </c>
      <c r="I53" s="60">
        <f t="shared" si="29"/>
        <v>8.2462121212121211</v>
      </c>
      <c r="R53" s="18">
        <f t="shared" si="30"/>
        <v>105.15560375303501</v>
      </c>
      <c r="S53" s="17">
        <f t="shared" si="31"/>
        <v>0.79401294530023847</v>
      </c>
      <c r="T53" s="23"/>
    </row>
    <row r="54" spans="1:21">
      <c r="A54" s="13">
        <v>2015</v>
      </c>
      <c r="B54" s="68">
        <f t="shared" si="27"/>
        <v>104.23998869557927</v>
      </c>
      <c r="C54" s="15">
        <v>13</v>
      </c>
      <c r="D54" s="28">
        <f t="shared" ref="D54:E54" si="34">D35</f>
        <v>971.57341886665188</v>
      </c>
      <c r="E54" s="38">
        <f t="shared" si="34"/>
        <v>1970.4955697693265</v>
      </c>
      <c r="F54" s="60">
        <f t="shared" si="29"/>
        <v>2.5697674418604652</v>
      </c>
      <c r="G54" s="60">
        <f t="shared" si="29"/>
        <v>4.0494379844961248</v>
      </c>
      <c r="H54" s="60">
        <f t="shared" si="29"/>
        <v>5.4034883720930216</v>
      </c>
      <c r="I54" s="60">
        <f t="shared" si="29"/>
        <v>7.1717054263565867</v>
      </c>
      <c r="R54" s="18">
        <f t="shared" si="30"/>
        <v>101.57724584219253</v>
      </c>
      <c r="S54" s="17">
        <f t="shared" si="31"/>
        <v>-2.6627428533867459</v>
      </c>
      <c r="T54" s="23"/>
    </row>
    <row r="55" spans="1:21">
      <c r="A55" s="13">
        <v>2016</v>
      </c>
      <c r="B55" s="68">
        <f t="shared" si="27"/>
        <v>106.02947381887981</v>
      </c>
      <c r="C55" s="15">
        <v>14</v>
      </c>
      <c r="D55" s="28">
        <f t="shared" ref="D55:E55" si="35">D36</f>
        <v>971.57341886665188</v>
      </c>
      <c r="E55" s="38">
        <f t="shared" si="35"/>
        <v>1970.4955697693265</v>
      </c>
      <c r="F55" s="60">
        <f t="shared" si="29"/>
        <v>2.4999999999999996</v>
      </c>
      <c r="G55" s="60">
        <f t="shared" si="29"/>
        <v>3.3262971887550226</v>
      </c>
      <c r="H55" s="60">
        <f t="shared" si="29"/>
        <v>5.7658634538152622</v>
      </c>
      <c r="I55" s="60">
        <f t="shared" si="29"/>
        <v>6.0979919678714882</v>
      </c>
      <c r="J55" s="19">
        <f>CORREL(R41:R54,B41:B54)</f>
        <v>0.96498508421911855</v>
      </c>
      <c r="K55" s="20" t="s">
        <v>11</v>
      </c>
      <c r="R55" s="18">
        <f t="shared" si="30"/>
        <v>105.28506364535518</v>
      </c>
      <c r="S55" s="17">
        <f t="shared" si="31"/>
        <v>-0.74441017352462779</v>
      </c>
      <c r="T55" s="23"/>
    </row>
    <row r="56" spans="1:21">
      <c r="A56" s="13">
        <v>2017</v>
      </c>
      <c r="B56" s="68">
        <f t="shared" si="27"/>
        <v>98.023225681486593</v>
      </c>
      <c r="C56" s="34">
        <v>15</v>
      </c>
      <c r="D56" s="28">
        <f t="shared" ref="D56:E56" si="36">D37</f>
        <v>971.57341886665188</v>
      </c>
      <c r="E56" s="38">
        <f t="shared" si="36"/>
        <v>1970.4955697693265</v>
      </c>
      <c r="F56" s="60">
        <f t="shared" si="29"/>
        <v>2.573846153846155</v>
      </c>
      <c r="G56" s="60">
        <f t="shared" si="29"/>
        <v>4.0233269230769251</v>
      </c>
      <c r="H56" s="60">
        <f t="shared" si="29"/>
        <v>5.62153846153846</v>
      </c>
      <c r="I56" s="60">
        <f t="shared" si="29"/>
        <v>6.59</v>
      </c>
      <c r="R56" s="18">
        <f t="shared" si="30"/>
        <v>96.522823656717208</v>
      </c>
      <c r="S56" s="17">
        <f t="shared" si="31"/>
        <v>-1.5004020247693859</v>
      </c>
      <c r="T56" s="23"/>
    </row>
    <row r="57" spans="1:21" ht="20" thickBot="1">
      <c r="A57" s="22"/>
      <c r="B57" s="22"/>
      <c r="C57" s="22"/>
      <c r="D57" s="22"/>
      <c r="E57" s="22"/>
      <c r="F57" s="22"/>
      <c r="G57" s="22"/>
      <c r="H57" s="22"/>
      <c r="I57" s="22"/>
      <c r="J57" s="22" t="s">
        <v>2</v>
      </c>
      <c r="K57" s="22"/>
      <c r="L57" s="22"/>
      <c r="M57" s="22"/>
      <c r="N57" s="22"/>
      <c r="O57" s="22"/>
      <c r="P57" s="22"/>
      <c r="Q57" s="22"/>
      <c r="R57" s="22"/>
      <c r="S57" s="136">
        <f>SUM(S41:S56)</f>
        <v>-1.8474111129762605E-13</v>
      </c>
      <c r="T57" s="23"/>
      <c r="U57" t="s">
        <v>2</v>
      </c>
    </row>
    <row r="58" spans="1:21" ht="33" thickBot="1">
      <c r="A58" s="46"/>
      <c r="B58" s="3" t="s">
        <v>15</v>
      </c>
      <c r="C58" s="140" t="s">
        <v>3</v>
      </c>
      <c r="D58" s="141"/>
      <c r="E58" s="141"/>
      <c r="F58" s="141"/>
      <c r="G58" s="141"/>
      <c r="H58" s="149" t="s">
        <v>4</v>
      </c>
      <c r="I58" s="150"/>
      <c r="J58" s="150"/>
      <c r="K58" s="150"/>
      <c r="L58" s="150"/>
      <c r="M58" s="150"/>
      <c r="N58" s="63" t="s">
        <v>27</v>
      </c>
      <c r="O58" s="47" t="s">
        <v>6</v>
      </c>
      <c r="P58" s="2"/>
      <c r="Q58" s="2"/>
      <c r="R58" s="3" t="s">
        <v>2</v>
      </c>
      <c r="S58" s="4" t="s">
        <v>2</v>
      </c>
      <c r="T58" s="24"/>
    </row>
    <row r="59" spans="1:21" ht="64">
      <c r="A59" s="6" t="s">
        <v>0</v>
      </c>
      <c r="B59" s="70" t="s">
        <v>16</v>
      </c>
      <c r="C59" s="7" t="s">
        <v>0</v>
      </c>
      <c r="D59" s="61" t="s">
        <v>23</v>
      </c>
      <c r="E59" s="61" t="s">
        <v>24</v>
      </c>
      <c r="F59" s="61" t="s">
        <v>25</v>
      </c>
      <c r="G59" s="62" t="s">
        <v>26</v>
      </c>
      <c r="H59" s="9" t="s">
        <v>26</v>
      </c>
      <c r="I59" s="121" t="str">
        <f>F59</f>
        <v>NM Bedeckung</v>
      </c>
      <c r="J59" s="121" t="str">
        <f>E59</f>
        <v>SDK Sonne</v>
      </c>
      <c r="K59" s="121" t="str">
        <f>D59</f>
        <v>FM Wind</v>
      </c>
      <c r="L59" s="121" t="s">
        <v>0</v>
      </c>
      <c r="M59" s="124" t="s">
        <v>1</v>
      </c>
      <c r="N59" s="12" t="str">
        <f>B59</f>
        <v>Mittel-wert korrigiert</v>
      </c>
      <c r="O59" s="6"/>
      <c r="P59" s="26"/>
      <c r="Q59" t="s">
        <v>14</v>
      </c>
    </row>
    <row r="60" spans="1:21">
      <c r="A60" s="13">
        <v>2002</v>
      </c>
      <c r="B60" s="69">
        <f>B41</f>
        <v>135.0131123749824</v>
      </c>
      <c r="C60" s="48">
        <v>0</v>
      </c>
      <c r="D60" s="55">
        <f>F3</f>
        <v>2.8952191235059761</v>
      </c>
      <c r="E60" s="55">
        <f t="shared" ref="E60:G75" si="37">G3</f>
        <v>3.7429858428571423</v>
      </c>
      <c r="F60" s="55">
        <f t="shared" si="37"/>
        <v>5.5335907335907333</v>
      </c>
      <c r="G60" s="123">
        <f t="shared" si="37"/>
        <v>6.7293436293436342</v>
      </c>
      <c r="H60" s="33">
        <f t="array" ref="H60:M64">LINEST(B60:B75,C60:G75,,TRUE)</f>
        <v>-1.5503855364806189</v>
      </c>
      <c r="I60" s="33">
        <v>-5.8838438764551739</v>
      </c>
      <c r="J60" s="33">
        <v>-8.3365624194675387</v>
      </c>
      <c r="K60" s="33">
        <v>-8.2484509228251373</v>
      </c>
      <c r="L60" s="33">
        <v>-2.4286753095821063</v>
      </c>
      <c r="M60" s="33">
        <v>231.01720835009371</v>
      </c>
      <c r="N60" s="16">
        <f>H$60*G60+I$60*F60+J$60*E60+K$60*D60+L$60*C60+M$60</f>
        <v>132.94063939927867</v>
      </c>
      <c r="O60" s="17">
        <f t="shared" ref="O60:O75" si="38">N60-B60</f>
        <v>-2.0724729757037323</v>
      </c>
      <c r="P60" s="45">
        <f>LINEST(N60:N75,C60:C75)</f>
        <v>-2.1536018904281091</v>
      </c>
      <c r="Q60" t="s">
        <v>2</v>
      </c>
    </row>
    <row r="61" spans="1:21">
      <c r="A61" s="13">
        <v>2003</v>
      </c>
      <c r="B61" s="69">
        <f t="shared" ref="B61:B75" si="39">B42</f>
        <v>130.12080388687087</v>
      </c>
      <c r="C61" s="48">
        <v>1</v>
      </c>
      <c r="D61" s="55">
        <f t="shared" ref="D61:D75" si="40">F4</f>
        <v>2.8020491803278706</v>
      </c>
      <c r="E61" s="55">
        <f t="shared" si="37"/>
        <v>4.6942622950819679</v>
      </c>
      <c r="F61" s="55">
        <f t="shared" si="37"/>
        <v>4.9532786885245921</v>
      </c>
      <c r="G61" s="123">
        <f t="shared" si="37"/>
        <v>5.1725409836065568</v>
      </c>
      <c r="H61" s="33">
        <v>1.2003011360714657</v>
      </c>
      <c r="I61" s="33">
        <v>7.3368120641815606</v>
      </c>
      <c r="J61" s="33">
        <v>5.4897148875628901</v>
      </c>
      <c r="K61" s="33">
        <v>4.5418768160292933</v>
      </c>
      <c r="L61" s="33">
        <v>0.24167888533778406</v>
      </c>
      <c r="M61" s="33">
        <v>65.558383802564549</v>
      </c>
      <c r="N61" s="16">
        <f t="shared" ref="N61:N75" si="41">H$60*G61+I$60*F61+J$60*E61+K$60*D61+L$60*C61+M$60</f>
        <v>129.17820604924282</v>
      </c>
      <c r="O61" s="17">
        <f t="shared" si="38"/>
        <v>-0.94259783762805682</v>
      </c>
      <c r="P61" s="45">
        <f>LINEST(B60:B75,C60:C75)</f>
        <v>-2.1536018904281091</v>
      </c>
      <c r="Q61" t="s">
        <v>2</v>
      </c>
    </row>
    <row r="62" spans="1:21">
      <c r="A62" s="13">
        <v>2004</v>
      </c>
      <c r="B62" s="69">
        <f t="shared" si="39"/>
        <v>132.08889165640338</v>
      </c>
      <c r="C62" s="48">
        <v>2</v>
      </c>
      <c r="D62" s="55">
        <f t="shared" si="40"/>
        <v>2.8413284132841317</v>
      </c>
      <c r="E62" s="55">
        <f t="shared" si="37"/>
        <v>3.7047970479704775</v>
      </c>
      <c r="F62" s="55">
        <f t="shared" si="37"/>
        <v>5.8439114391143896</v>
      </c>
      <c r="G62" s="123">
        <f t="shared" si="37"/>
        <v>6.3199261992619924</v>
      </c>
      <c r="H62" s="135">
        <v>0.94797915932798638</v>
      </c>
      <c r="I62" s="33">
        <v>3.0358597057622734</v>
      </c>
      <c r="J62" s="33" t="e">
        <v>#N/A</v>
      </c>
      <c r="K62" s="33" t="e">
        <v>#N/A</v>
      </c>
      <c r="L62" s="33" t="e">
        <v>#N/A</v>
      </c>
      <c r="M62" s="33" t="e">
        <v>#N/A</v>
      </c>
      <c r="N62" s="16">
        <f t="shared" si="41"/>
        <v>127.6550432099215</v>
      </c>
      <c r="O62" s="17">
        <f t="shared" si="38"/>
        <v>-4.4338484464818748</v>
      </c>
      <c r="P62" s="23"/>
      <c r="Q62" t="s">
        <v>2</v>
      </c>
    </row>
    <row r="63" spans="1:21">
      <c r="A63" s="13">
        <v>2005</v>
      </c>
      <c r="B63" s="69">
        <f t="shared" si="39"/>
        <v>128.02177161906303</v>
      </c>
      <c r="C63" s="48">
        <v>3</v>
      </c>
      <c r="D63" s="55">
        <f t="shared" si="40"/>
        <v>2.6896153846153839</v>
      </c>
      <c r="E63" s="55">
        <f t="shared" si="37"/>
        <v>4.0011538461538478</v>
      </c>
      <c r="F63" s="55">
        <f t="shared" si="37"/>
        <v>5.4657692307692285</v>
      </c>
      <c r="G63" s="123">
        <f t="shared" si="37"/>
        <v>5.7115384615384626</v>
      </c>
      <c r="H63" s="33">
        <v>36.446129938764486</v>
      </c>
      <c r="I63" s="33">
        <v>10</v>
      </c>
      <c r="J63" s="33" t="e">
        <v>#N/A</v>
      </c>
      <c r="K63" s="33" t="e">
        <v>#N/A</v>
      </c>
      <c r="L63" s="33" t="e">
        <v>#N/A</v>
      </c>
      <c r="M63" s="33" t="e">
        <v>#N/A</v>
      </c>
      <c r="N63" s="16">
        <f t="shared" si="41"/>
        <v>127.17533369131715</v>
      </c>
      <c r="O63" s="17">
        <f t="shared" si="38"/>
        <v>-0.84643792774588178</v>
      </c>
      <c r="P63" s="23"/>
      <c r="Q63" t="s">
        <v>2</v>
      </c>
    </row>
    <row r="64" spans="1:21">
      <c r="A64" s="13">
        <v>2006</v>
      </c>
      <c r="B64" s="69">
        <f t="shared" si="39"/>
        <v>122.30949301455968</v>
      </c>
      <c r="C64" s="48">
        <v>4</v>
      </c>
      <c r="D64" s="55">
        <f t="shared" si="40"/>
        <v>2.7145669291338579</v>
      </c>
      <c r="E64" s="55">
        <f t="shared" si="37"/>
        <v>3.9311023622047232</v>
      </c>
      <c r="F64" s="55">
        <f t="shared" si="37"/>
        <v>5.5555118110236208</v>
      </c>
      <c r="G64" s="123">
        <f t="shared" si="37"/>
        <v>5.9307086614173228</v>
      </c>
      <c r="H64" s="33">
        <v>1679.5186058809588</v>
      </c>
      <c r="I64" s="33">
        <v>92.164441530709965</v>
      </c>
      <c r="J64" s="33" t="e">
        <v>#N/A</v>
      </c>
      <c r="K64" s="33" t="e">
        <v>#N/A</v>
      </c>
      <c r="L64" s="33" t="e">
        <v>#N/A</v>
      </c>
      <c r="M64" s="33" t="e">
        <v>#N/A</v>
      </c>
      <c r="N64" s="16">
        <f t="shared" si="41"/>
        <v>124.25700572063708</v>
      </c>
      <c r="O64" s="17">
        <f t="shared" si="38"/>
        <v>1.9475127060774042</v>
      </c>
      <c r="P64" s="23"/>
      <c r="Q64" t="s">
        <v>2</v>
      </c>
    </row>
    <row r="65" spans="1:37">
      <c r="A65" s="13">
        <v>2007</v>
      </c>
      <c r="B65" s="69">
        <f t="shared" si="39"/>
        <v>111.80977426134807</v>
      </c>
      <c r="C65" s="48">
        <v>5</v>
      </c>
      <c r="D65" s="55">
        <f t="shared" si="40"/>
        <v>3.0980079681274919</v>
      </c>
      <c r="E65" s="55">
        <f t="shared" si="37"/>
        <v>3.981274900398406</v>
      </c>
      <c r="F65" s="55">
        <f t="shared" si="37"/>
        <v>5.5127490039840614</v>
      </c>
      <c r="G65" s="55">
        <f t="shared" si="37"/>
        <v>6.7258964143426256</v>
      </c>
      <c r="N65" s="18">
        <f t="shared" si="41"/>
        <v>117.26603141214197</v>
      </c>
      <c r="O65" s="17">
        <f t="shared" si="38"/>
        <v>5.4562571507939026</v>
      </c>
      <c r="P65" s="23"/>
      <c r="Q65" t="s">
        <v>2</v>
      </c>
    </row>
    <row r="66" spans="1:37">
      <c r="A66" s="13">
        <v>2008</v>
      </c>
      <c r="B66" s="69">
        <f t="shared" si="39"/>
        <v>118.17835447569118</v>
      </c>
      <c r="C66" s="48">
        <v>6</v>
      </c>
      <c r="D66" s="55">
        <f t="shared" si="40"/>
        <v>2.7899613899613906</v>
      </c>
      <c r="E66" s="55">
        <f t="shared" si="37"/>
        <v>3.7277992277992258</v>
      </c>
      <c r="F66" s="55">
        <f t="shared" si="37"/>
        <v>5.7579150579150573</v>
      </c>
      <c r="G66" s="55">
        <f t="shared" si="37"/>
        <v>6.3312741312741334</v>
      </c>
      <c r="N66" s="18">
        <f t="shared" si="41"/>
        <v>118.66067684585254</v>
      </c>
      <c r="O66" s="17">
        <f t="shared" si="38"/>
        <v>0.48232237016135571</v>
      </c>
      <c r="P66" s="23"/>
      <c r="Q66" t="s">
        <v>2</v>
      </c>
    </row>
    <row r="67" spans="1:37">
      <c r="A67" s="13">
        <v>2009</v>
      </c>
      <c r="B67" s="69">
        <f t="shared" si="39"/>
        <v>115.86731897140135</v>
      </c>
      <c r="C67" s="48">
        <v>7</v>
      </c>
      <c r="D67" s="55">
        <f t="shared" si="40"/>
        <v>2.4281124497991957</v>
      </c>
      <c r="E67" s="55">
        <f t="shared" si="37"/>
        <v>3.7506024096385522</v>
      </c>
      <c r="F67" s="55">
        <f t="shared" si="37"/>
        <v>5.6606425702811229</v>
      </c>
      <c r="G67" s="55">
        <f t="shared" si="37"/>
        <v>5.9140562248996025</v>
      </c>
      <c r="N67" s="18">
        <f t="shared" si="41"/>
        <v>120.24577935022488</v>
      </c>
      <c r="O67" s="17">
        <f t="shared" si="38"/>
        <v>4.378460378823533</v>
      </c>
      <c r="P67" s="23"/>
      <c r="Q67" t="s">
        <v>2</v>
      </c>
    </row>
    <row r="68" spans="1:37">
      <c r="A68" s="13">
        <v>2010</v>
      </c>
      <c r="B68" s="69">
        <f t="shared" si="39"/>
        <v>118.91497624240164</v>
      </c>
      <c r="C68" s="48">
        <v>8</v>
      </c>
      <c r="D68" s="55">
        <f t="shared" si="40"/>
        <v>2.5087591240875908</v>
      </c>
      <c r="E68" s="55">
        <f t="shared" si="37"/>
        <v>3.2806569343065686</v>
      </c>
      <c r="F68" s="55">
        <f t="shared" si="37"/>
        <v>6.2149635036496349</v>
      </c>
      <c r="G68" s="55">
        <f t="shared" si="37"/>
        <v>5.4295620437956194</v>
      </c>
      <c r="N68" s="18">
        <f t="shared" si="41"/>
        <v>118.5592386360387</v>
      </c>
      <c r="O68" s="17">
        <f t="shared" si="38"/>
        <v>-0.35573760636293628</v>
      </c>
      <c r="P68" s="23"/>
      <c r="Q68" t="s">
        <v>2</v>
      </c>
    </row>
    <row r="69" spans="1:37">
      <c r="A69" s="13">
        <v>2011</v>
      </c>
      <c r="B69" s="69">
        <f t="shared" si="39"/>
        <v>111.018639888378</v>
      </c>
      <c r="C69" s="48">
        <v>9</v>
      </c>
      <c r="D69" s="55">
        <f t="shared" si="40"/>
        <v>2.3088235294117641</v>
      </c>
      <c r="E69" s="55">
        <f t="shared" si="37"/>
        <v>4.376050420168065</v>
      </c>
      <c r="F69" s="55">
        <f t="shared" si="37"/>
        <v>5.3382352941176467</v>
      </c>
      <c r="G69" s="55">
        <f t="shared" si="37"/>
        <v>6.5474789915966438</v>
      </c>
      <c r="N69" s="18">
        <f t="shared" si="41"/>
        <v>112.07323573821651</v>
      </c>
      <c r="O69" s="17">
        <f t="shared" si="38"/>
        <v>1.0545958498385062</v>
      </c>
      <c r="P69" s="23"/>
      <c r="Q69" t="s">
        <v>2</v>
      </c>
    </row>
    <row r="70" spans="1:37">
      <c r="A70" s="13">
        <v>2012</v>
      </c>
      <c r="B70" s="69">
        <f t="shared" si="39"/>
        <v>112.83311616937918</v>
      </c>
      <c r="C70" s="48">
        <v>10</v>
      </c>
      <c r="D70" s="55">
        <f t="shared" si="40"/>
        <v>2.4293650793650805</v>
      </c>
      <c r="E70" s="55">
        <f t="shared" si="37"/>
        <v>3.9097857142857135</v>
      </c>
      <c r="F70" s="55">
        <f t="shared" si="37"/>
        <v>5.6051587301587258</v>
      </c>
      <c r="G70" s="55">
        <f t="shared" si="37"/>
        <v>6.120634920634922</v>
      </c>
      <c r="N70" s="18">
        <f t="shared" si="41"/>
        <v>111.62856124358498</v>
      </c>
      <c r="O70" s="17">
        <f t="shared" si="38"/>
        <v>-1.2045549257941985</v>
      </c>
      <c r="P70" s="23"/>
      <c r="Q70" t="s">
        <v>2</v>
      </c>
    </row>
    <row r="71" spans="1:37">
      <c r="A71" s="13">
        <v>2013</v>
      </c>
      <c r="B71" s="69">
        <f t="shared" si="39"/>
        <v>113.1924419598468</v>
      </c>
      <c r="C71" s="48">
        <v>11</v>
      </c>
      <c r="D71" s="55">
        <f t="shared" si="40"/>
        <v>2.454104477611939</v>
      </c>
      <c r="E71" s="55">
        <f t="shared" si="37"/>
        <v>2.8831977611940309</v>
      </c>
      <c r="F71" s="55">
        <f t="shared" si="37"/>
        <v>6.2854477611940247</v>
      </c>
      <c r="G71" s="55">
        <f t="shared" si="37"/>
        <v>5.9328358208955221</v>
      </c>
      <c r="N71" s="18">
        <f t="shared" si="41"/>
        <v>113.84248533024906</v>
      </c>
      <c r="O71" s="17">
        <f t="shared" si="38"/>
        <v>0.65004337040225835</v>
      </c>
      <c r="P71" s="23"/>
      <c r="Q71" t="s">
        <v>2</v>
      </c>
    </row>
    <row r="72" spans="1:37">
      <c r="A72" s="13">
        <v>2014</v>
      </c>
      <c r="B72" s="69">
        <f t="shared" si="39"/>
        <v>104.36159080773477</v>
      </c>
      <c r="C72" s="48">
        <v>12</v>
      </c>
      <c r="D72" s="55">
        <f t="shared" si="40"/>
        <v>2.1446969696969704</v>
      </c>
      <c r="E72" s="55">
        <f t="shared" si="37"/>
        <v>3.8783560606060599</v>
      </c>
      <c r="F72" s="55">
        <f t="shared" si="37"/>
        <v>5.7632575757575744</v>
      </c>
      <c r="G72" s="55">
        <f t="shared" si="37"/>
        <v>8.2462121212121211</v>
      </c>
      <c r="N72" s="18">
        <f t="shared" si="41"/>
        <v>105.155603753035</v>
      </c>
      <c r="O72" s="17">
        <f t="shared" si="38"/>
        <v>0.79401294530022426</v>
      </c>
      <c r="P72" s="23"/>
      <c r="Q72" t="s">
        <v>2</v>
      </c>
    </row>
    <row r="73" spans="1:37">
      <c r="A73" s="13">
        <v>2015</v>
      </c>
      <c r="B73" s="69">
        <f t="shared" si="39"/>
        <v>104.23998869557927</v>
      </c>
      <c r="C73" s="48">
        <v>13</v>
      </c>
      <c r="D73" s="55">
        <f t="shared" si="40"/>
        <v>2.5697674418604652</v>
      </c>
      <c r="E73" s="55">
        <f t="shared" si="37"/>
        <v>4.0494379844961248</v>
      </c>
      <c r="F73" s="55">
        <f t="shared" si="37"/>
        <v>5.4034883720930216</v>
      </c>
      <c r="G73" s="55">
        <f t="shared" si="37"/>
        <v>7.1717054263565867</v>
      </c>
      <c r="N73" s="18">
        <f t="shared" si="41"/>
        <v>101.57724584219253</v>
      </c>
      <c r="O73" s="17">
        <f t="shared" si="38"/>
        <v>-2.6627428533867459</v>
      </c>
      <c r="P73" s="23"/>
    </row>
    <row r="74" spans="1:37">
      <c r="A74" s="13">
        <v>2016</v>
      </c>
      <c r="B74" s="69">
        <f t="shared" si="39"/>
        <v>106.02947381887981</v>
      </c>
      <c r="C74" s="48">
        <v>14</v>
      </c>
      <c r="D74" s="55">
        <f t="shared" si="40"/>
        <v>2.4999999999999996</v>
      </c>
      <c r="E74" s="55">
        <f t="shared" si="37"/>
        <v>3.3262971887550226</v>
      </c>
      <c r="F74" s="55">
        <f t="shared" si="37"/>
        <v>5.7658634538152622</v>
      </c>
      <c r="G74" s="55">
        <f t="shared" si="37"/>
        <v>6.0979919678714882</v>
      </c>
      <c r="H74" s="19">
        <f>CORREL(N60:N73,B60:B73)</f>
        <v>0.96498508421911855</v>
      </c>
      <c r="I74" s="20" t="s">
        <v>11</v>
      </c>
      <c r="N74" s="18">
        <f t="shared" si="41"/>
        <v>105.28506364535519</v>
      </c>
      <c r="O74" s="17">
        <f t="shared" si="38"/>
        <v>-0.74441017352461358</v>
      </c>
      <c r="P74" s="23"/>
    </row>
    <row r="75" spans="1:37">
      <c r="A75" s="13">
        <v>2017</v>
      </c>
      <c r="B75" s="69">
        <f t="shared" si="39"/>
        <v>98.023225681486593</v>
      </c>
      <c r="C75" s="49">
        <v>15</v>
      </c>
      <c r="D75" s="55">
        <f t="shared" si="40"/>
        <v>2.573846153846155</v>
      </c>
      <c r="E75" s="55">
        <f t="shared" si="37"/>
        <v>4.0233269230769251</v>
      </c>
      <c r="F75" s="55">
        <f t="shared" si="37"/>
        <v>5.62153846153846</v>
      </c>
      <c r="G75" s="55">
        <f t="shared" si="37"/>
        <v>6.59</v>
      </c>
      <c r="N75" s="18">
        <f t="shared" si="41"/>
        <v>96.522823656717236</v>
      </c>
      <c r="O75" s="17">
        <f t="shared" si="38"/>
        <v>-1.5004020247693575</v>
      </c>
      <c r="P75" s="23"/>
    </row>
    <row r="76" spans="1:37" ht="19">
      <c r="A76" s="22"/>
      <c r="B76" s="22"/>
      <c r="C76" s="22"/>
      <c r="D76" s="22"/>
      <c r="E76" s="22"/>
      <c r="F76" s="22"/>
      <c r="G76" s="22"/>
      <c r="H76" s="22"/>
      <c r="I76" s="22"/>
      <c r="J76" s="22" t="s">
        <v>2</v>
      </c>
      <c r="K76" s="22"/>
      <c r="L76" s="22"/>
      <c r="M76" s="22"/>
      <c r="N76" s="22"/>
      <c r="O76" s="136">
        <f>SUM(O60:O75)</f>
        <v>-2.1316282072803006E-13</v>
      </c>
      <c r="P76" s="22"/>
      <c r="Q76" s="22"/>
      <c r="R76" s="22"/>
      <c r="S76" s="90"/>
      <c r="T76" s="90"/>
      <c r="U76" s="90" t="s">
        <v>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</row>
    <row r="77" spans="1:37" ht="33" thickBot="1">
      <c r="A77" s="58"/>
      <c r="B77" s="3" t="s">
        <v>15</v>
      </c>
      <c r="C77" s="140" t="s">
        <v>3</v>
      </c>
      <c r="D77" s="141"/>
      <c r="E77" s="141"/>
      <c r="F77" s="141"/>
      <c r="G77" s="141"/>
      <c r="H77" s="57" t="s">
        <v>2</v>
      </c>
      <c r="I77" s="142" t="s">
        <v>4</v>
      </c>
      <c r="J77" s="143"/>
      <c r="K77" s="143"/>
      <c r="L77" s="143"/>
      <c r="M77" s="143"/>
      <c r="N77" s="143"/>
      <c r="O77" s="144"/>
      <c r="P77" s="2"/>
      <c r="Q77" s="2"/>
      <c r="R77" s="3" t="s">
        <v>2</v>
      </c>
      <c r="S77" s="4" t="s">
        <v>2</v>
      </c>
      <c r="T77" s="24"/>
    </row>
    <row r="78" spans="1:37" ht="65" thickBot="1">
      <c r="A78" s="6" t="s">
        <v>0</v>
      </c>
      <c r="B78" s="70" t="s">
        <v>16</v>
      </c>
      <c r="C78" s="7" t="s">
        <v>0</v>
      </c>
      <c r="D78" s="61" t="s">
        <v>22</v>
      </c>
      <c r="E78" s="61" t="s">
        <v>23</v>
      </c>
      <c r="F78" s="61" t="s">
        <v>24</v>
      </c>
      <c r="G78" s="61" t="s">
        <v>25</v>
      </c>
      <c r="H78" s="130" t="s">
        <v>26</v>
      </c>
      <c r="I78" s="9" t="s">
        <v>26</v>
      </c>
      <c r="J78" s="121" t="s">
        <v>25</v>
      </c>
      <c r="K78" s="121" t="s">
        <v>24</v>
      </c>
      <c r="L78" s="121" t="s">
        <v>23</v>
      </c>
      <c r="M78" s="121" t="s">
        <v>22</v>
      </c>
      <c r="N78" s="122" t="s">
        <v>0</v>
      </c>
      <c r="O78" s="124" t="s">
        <v>1</v>
      </c>
      <c r="P78" s="72" t="s">
        <v>27</v>
      </c>
      <c r="Q78" s="26"/>
      <c r="R78" t="s">
        <v>2</v>
      </c>
      <c r="X78" s="109" t="s">
        <v>17</v>
      </c>
      <c r="Y78" s="110" t="s">
        <v>18</v>
      </c>
      <c r="Z78" s="145" t="s">
        <v>19</v>
      </c>
      <c r="AA78" s="145"/>
      <c r="AB78" s="145"/>
      <c r="AC78" s="80" t="s">
        <v>29</v>
      </c>
      <c r="AD78" s="81" t="s">
        <v>21</v>
      </c>
      <c r="AE78" s="82" t="s">
        <v>28</v>
      </c>
    </row>
    <row r="79" spans="1:37">
      <c r="A79" s="13">
        <v>2002</v>
      </c>
      <c r="B79" s="69">
        <f>B60</f>
        <v>135.0131123749824</v>
      </c>
      <c r="C79" s="48">
        <v>0</v>
      </c>
      <c r="D79" s="59">
        <f>C79*C79</f>
        <v>0</v>
      </c>
      <c r="E79" s="55">
        <f>F3</f>
        <v>2.8952191235059761</v>
      </c>
      <c r="F79" s="55">
        <f t="shared" ref="F79:H79" si="42">G3</f>
        <v>3.7429858428571423</v>
      </c>
      <c r="G79" s="55">
        <f t="shared" si="42"/>
        <v>5.5335907335907333</v>
      </c>
      <c r="H79" s="123">
        <f t="shared" si="42"/>
        <v>6.7293436293436342</v>
      </c>
      <c r="I79" s="118">
        <f t="array" ref="I79:O83">LINEST(B79:B94,C79:H94,,TRUE)</f>
        <v>-2.0476236565509729</v>
      </c>
      <c r="J79" s="53">
        <v>0.79902841971189331</v>
      </c>
      <c r="K79" s="71">
        <v>-4.4799678435473007</v>
      </c>
      <c r="L79" s="71">
        <v>-10.680632469994267</v>
      </c>
      <c r="M79" s="71">
        <v>0.10266448857594916</v>
      </c>
      <c r="N79" s="71">
        <v>-4.0690598097391257</v>
      </c>
      <c r="O79" s="126">
        <v>192.3728768166155</v>
      </c>
      <c r="P79" s="131">
        <f>I$79*H79+J$79*G79+K$79*F79+L$79*E79+M$79*D79+N$79*C79+O$79</f>
        <v>135.32398227418523</v>
      </c>
      <c r="Q79" s="17">
        <f>P79-B79</f>
        <v>0.31086989920282804</v>
      </c>
      <c r="R79" s="45">
        <f>LINEST(P79:P94,C79:C94)</f>
        <v>-2.1536018904281082</v>
      </c>
      <c r="W79" s="107">
        <v>2002</v>
      </c>
      <c r="X79" s="114">
        <v>1</v>
      </c>
      <c r="Y79" s="111">
        <v>1</v>
      </c>
      <c r="Z79" s="76">
        <f t="array" ref="Z79:AB83">LINEST(P79:P94,X79:Y94,,TRUE)</f>
        <v>-2.8550077264414462</v>
      </c>
      <c r="AA79" s="75">
        <v>4.1259166824313957E-2</v>
      </c>
      <c r="AB79" s="77">
        <v>136.78626942192926</v>
      </c>
      <c r="AC79" s="83">
        <f>Z$79*Y79+AA$79*X79+AB$79</f>
        <v>133.97252086231214</v>
      </c>
      <c r="AD79" s="79">
        <f>2*AA$79*Y79+Z$79</f>
        <v>-2.7724893927928185</v>
      </c>
      <c r="AE79" s="84">
        <f>AD79*-1</f>
        <v>2.7724893927928185</v>
      </c>
      <c r="AK79" t="s">
        <v>2</v>
      </c>
    </row>
    <row r="80" spans="1:37">
      <c r="A80" s="13">
        <v>2003</v>
      </c>
      <c r="B80" s="69">
        <f t="shared" ref="B80:B94" si="43">B61</f>
        <v>130.12080388687087</v>
      </c>
      <c r="C80" s="48">
        <v>1</v>
      </c>
      <c r="D80" s="59">
        <f>C80*C80</f>
        <v>1</v>
      </c>
      <c r="E80" s="55">
        <f t="shared" ref="E80:H80" si="44">F4</f>
        <v>2.8020491803278706</v>
      </c>
      <c r="F80" s="55">
        <f t="shared" si="44"/>
        <v>4.6942622950819679</v>
      </c>
      <c r="G80" s="55">
        <f t="shared" si="44"/>
        <v>4.9532786885245921</v>
      </c>
      <c r="H80" s="123">
        <f t="shared" si="44"/>
        <v>5.1725409836065568</v>
      </c>
      <c r="I80" s="118">
        <v>0.9344867406647257</v>
      </c>
      <c r="J80" s="53">
        <v>6.0829809159063579</v>
      </c>
      <c r="K80" s="71">
        <v>4.411941621297844</v>
      </c>
      <c r="L80" s="71">
        <v>3.5772957539134684</v>
      </c>
      <c r="M80" s="71">
        <v>3.6081581830405385E-2</v>
      </c>
      <c r="N80" s="71">
        <v>0.60542156009844617</v>
      </c>
      <c r="O80" s="126">
        <v>51.946549536761182</v>
      </c>
      <c r="P80" s="131">
        <f t="shared" ref="P80:P94" si="45">I$79*H80+J$79*G80+K$79*F80+L$79*E80+M$79*D80+N$79*C80+O$79</f>
        <v>130.81507306675007</v>
      </c>
      <c r="Q80" s="17">
        <f t="shared" ref="Q80:Q94" si="46">P80-B80</f>
        <v>0.69426917987919978</v>
      </c>
      <c r="R80" s="45">
        <f>LINEST(B79:B94,C79:C94)</f>
        <v>-2.1536018904281091</v>
      </c>
      <c r="W80" s="86">
        <v>2003</v>
      </c>
      <c r="X80" s="33">
        <v>4</v>
      </c>
      <c r="Y80" s="87">
        <v>2</v>
      </c>
      <c r="Z80" s="74">
        <v>0.74980983277991964</v>
      </c>
      <c r="AA80" s="33">
        <v>4.2877789789184918E-2</v>
      </c>
      <c r="AB80" s="78">
        <v>2.7694538384472169</v>
      </c>
      <c r="AC80" s="83">
        <f t="shared" ref="AC80:AC94" si="47">Z$79*Y80+AA$79*X80+AB$79</f>
        <v>131.24129063634362</v>
      </c>
      <c r="AD80" s="79">
        <f t="shared" ref="AD80:AD94" si="48">2*AA$79*Y80+Z$79</f>
        <v>-2.6899710591441903</v>
      </c>
      <c r="AE80" s="84">
        <f t="shared" ref="AE80:AE94" si="49">AD80*-1</f>
        <v>2.6899710591441903</v>
      </c>
      <c r="AK80" t="s">
        <v>2</v>
      </c>
    </row>
    <row r="81" spans="1:37">
      <c r="A81" s="13">
        <v>2004</v>
      </c>
      <c r="B81" s="69">
        <f t="shared" si="43"/>
        <v>132.08889165640338</v>
      </c>
      <c r="C81" s="48">
        <v>2</v>
      </c>
      <c r="D81" s="59">
        <f t="shared" ref="D81:D94" si="50">C81*C81</f>
        <v>4</v>
      </c>
      <c r="E81" s="55">
        <f t="shared" ref="E81:H81" si="51">F5</f>
        <v>2.8413284132841317</v>
      </c>
      <c r="F81" s="55">
        <f t="shared" si="51"/>
        <v>3.7047970479704775</v>
      </c>
      <c r="G81" s="55">
        <f t="shared" si="51"/>
        <v>5.8439114391143896</v>
      </c>
      <c r="H81" s="123">
        <f t="shared" si="51"/>
        <v>6.3199261992619924</v>
      </c>
      <c r="I81" s="119">
        <v>0.97261417005894657</v>
      </c>
      <c r="J81" s="53">
        <v>2.3218529632329674</v>
      </c>
      <c r="K81" s="71" t="e">
        <v>#N/A</v>
      </c>
      <c r="L81" s="71" t="e">
        <v>#N/A</v>
      </c>
      <c r="M81" s="71" t="e">
        <v>#N/A</v>
      </c>
      <c r="N81" s="71" t="e">
        <v>#N/A</v>
      </c>
      <c r="O81" s="126" t="e">
        <v>#N/A</v>
      </c>
      <c r="P81" s="131">
        <f t="shared" si="45"/>
        <v>129.42947992969124</v>
      </c>
      <c r="Q81" s="17">
        <f t="shared" si="46"/>
        <v>-2.6594117267121362</v>
      </c>
      <c r="R81" t="s">
        <v>2</v>
      </c>
      <c r="W81" s="86">
        <v>2004</v>
      </c>
      <c r="X81" s="33">
        <v>9</v>
      </c>
      <c r="Y81" s="87">
        <v>3</v>
      </c>
      <c r="Z81" s="74">
        <v>0.9207736386299662</v>
      </c>
      <c r="AA81" s="33">
        <v>3.240607928206988</v>
      </c>
      <c r="AB81" s="78" t="e">
        <v>#N/A</v>
      </c>
      <c r="AC81" s="83">
        <f t="shared" si="47"/>
        <v>128.59257874402374</v>
      </c>
      <c r="AD81" s="79">
        <f t="shared" si="48"/>
        <v>-2.6074527254955626</v>
      </c>
      <c r="AE81" s="84">
        <f t="shared" si="49"/>
        <v>2.6074527254955626</v>
      </c>
      <c r="AK81" t="s">
        <v>2</v>
      </c>
    </row>
    <row r="82" spans="1:37">
      <c r="A82" s="13">
        <v>2005</v>
      </c>
      <c r="B82" s="69">
        <f t="shared" si="43"/>
        <v>128.02177161906303</v>
      </c>
      <c r="C82" s="48">
        <v>3</v>
      </c>
      <c r="D82" s="59">
        <f t="shared" si="50"/>
        <v>9</v>
      </c>
      <c r="E82" s="55">
        <f t="shared" ref="E82:H82" si="52">F6</f>
        <v>2.6896153846153839</v>
      </c>
      <c r="F82" s="55">
        <f t="shared" si="52"/>
        <v>4.0011538461538478</v>
      </c>
      <c r="G82" s="55">
        <f t="shared" si="52"/>
        <v>5.4657692307692285</v>
      </c>
      <c r="H82" s="123">
        <f t="shared" si="52"/>
        <v>5.7115384615384626</v>
      </c>
      <c r="I82" s="132">
        <v>53.272851625408741</v>
      </c>
      <c r="J82" s="116">
        <v>9</v>
      </c>
      <c r="K82" s="71" t="e">
        <v>#N/A</v>
      </c>
      <c r="L82" s="71" t="e">
        <v>#N/A</v>
      </c>
      <c r="M82" s="71" t="e">
        <v>#N/A</v>
      </c>
      <c r="N82" s="71" t="e">
        <v>#N/A</v>
      </c>
      <c r="O82" s="126" t="e">
        <v>#N/A</v>
      </c>
      <c r="P82" s="131">
        <f t="shared" si="45"/>
        <v>127.11006748983216</v>
      </c>
      <c r="Q82" s="17">
        <f t="shared" si="46"/>
        <v>-0.91170412923086985</v>
      </c>
      <c r="R82" t="s">
        <v>2</v>
      </c>
      <c r="W82" s="86">
        <v>2005</v>
      </c>
      <c r="X82" s="33">
        <v>16</v>
      </c>
      <c r="Y82" s="87">
        <v>4</v>
      </c>
      <c r="Z82" s="74">
        <v>75.543399287784666</v>
      </c>
      <c r="AA82" s="33">
        <v>13</v>
      </c>
      <c r="AB82" s="78" t="e">
        <v>#N/A</v>
      </c>
      <c r="AC82" s="83">
        <f t="shared" si="47"/>
        <v>126.0263851853525</v>
      </c>
      <c r="AD82" s="79">
        <f t="shared" si="48"/>
        <v>-2.5249343918469345</v>
      </c>
      <c r="AE82" s="84">
        <f t="shared" si="49"/>
        <v>2.5249343918469345</v>
      </c>
    </row>
    <row r="83" spans="1:37" ht="17" thickBot="1">
      <c r="A83" s="13">
        <v>2006</v>
      </c>
      <c r="B83" s="69">
        <f t="shared" si="43"/>
        <v>122.30949301455968</v>
      </c>
      <c r="C83" s="48">
        <v>4</v>
      </c>
      <c r="D83" s="59">
        <f t="shared" si="50"/>
        <v>16</v>
      </c>
      <c r="E83" s="55">
        <f t="shared" ref="E83:H83" si="53">F7</f>
        <v>2.7145669291338579</v>
      </c>
      <c r="F83" s="55">
        <f t="shared" si="53"/>
        <v>3.9311023622047232</v>
      </c>
      <c r="G83" s="55">
        <f t="shared" si="53"/>
        <v>5.5555118110236208</v>
      </c>
      <c r="H83" s="123">
        <f t="shared" si="53"/>
        <v>5.9307086614173228</v>
      </c>
      <c r="I83" s="117">
        <v>1723.1640367658056</v>
      </c>
      <c r="J83" s="133">
        <v>48.519010645863403</v>
      </c>
      <c r="K83" s="120" t="e">
        <v>#N/A</v>
      </c>
      <c r="L83" s="120" t="e">
        <v>#N/A</v>
      </c>
      <c r="M83" s="120" t="e">
        <v>#N/A</v>
      </c>
      <c r="N83" s="120" t="e">
        <v>#N/A</v>
      </c>
      <c r="O83" s="127" t="e">
        <v>#N/A</v>
      </c>
      <c r="P83" s="131">
        <f t="shared" si="45"/>
        <v>123.42991800504758</v>
      </c>
      <c r="Q83" s="17">
        <f t="shared" si="46"/>
        <v>1.1204249904879049</v>
      </c>
      <c r="R83" t="s">
        <v>2</v>
      </c>
      <c r="W83" s="86">
        <v>2006</v>
      </c>
      <c r="X83" s="33">
        <v>25</v>
      </c>
      <c r="Y83" s="87">
        <v>5</v>
      </c>
      <c r="Z83" s="74">
        <v>1586.6440200891509</v>
      </c>
      <c r="AA83" s="33">
        <v>136.52001667665382</v>
      </c>
      <c r="AB83" s="78" t="e">
        <v>#N/A</v>
      </c>
      <c r="AC83" s="83">
        <f t="shared" si="47"/>
        <v>123.54270996032989</v>
      </c>
      <c r="AD83" s="79">
        <f t="shared" si="48"/>
        <v>-2.4424160581983068</v>
      </c>
      <c r="AE83" s="84">
        <f t="shared" si="49"/>
        <v>2.4424160581983068</v>
      </c>
    </row>
    <row r="84" spans="1:37">
      <c r="A84" s="13">
        <v>2007</v>
      </c>
      <c r="B84" s="69">
        <f t="shared" si="43"/>
        <v>111.80977426134807</v>
      </c>
      <c r="C84" s="48">
        <v>5</v>
      </c>
      <c r="D84" s="59">
        <f t="shared" si="50"/>
        <v>25</v>
      </c>
      <c r="E84" s="55">
        <f t="shared" ref="E84:H84" si="54">F8</f>
        <v>3.0980079681274919</v>
      </c>
      <c r="F84" s="55">
        <f t="shared" si="54"/>
        <v>3.981274900398406</v>
      </c>
      <c r="G84" s="55">
        <f t="shared" si="54"/>
        <v>5.5127490039840614</v>
      </c>
      <c r="H84" s="55">
        <f t="shared" si="54"/>
        <v>6.7258964143426256</v>
      </c>
      <c r="P84" s="17">
        <f t="shared" si="45"/>
        <v>114.30226047093069</v>
      </c>
      <c r="Q84" s="17">
        <f t="shared" si="46"/>
        <v>2.4924862095826228</v>
      </c>
      <c r="R84" t="s">
        <v>2</v>
      </c>
      <c r="W84" s="86">
        <v>2007</v>
      </c>
      <c r="X84" s="33">
        <v>36</v>
      </c>
      <c r="Y84" s="87">
        <v>6</v>
      </c>
      <c r="AC84" s="83">
        <f t="shared" si="47"/>
        <v>121.14155306895589</v>
      </c>
      <c r="AD84" s="79">
        <f t="shared" si="48"/>
        <v>-2.3598977245496786</v>
      </c>
      <c r="AE84" s="84">
        <f t="shared" si="49"/>
        <v>2.3598977245496786</v>
      </c>
    </row>
    <row r="85" spans="1:37">
      <c r="A85" s="13">
        <v>2008</v>
      </c>
      <c r="B85" s="69">
        <f t="shared" si="43"/>
        <v>118.17835447569118</v>
      </c>
      <c r="C85" s="48">
        <v>6</v>
      </c>
      <c r="D85" s="59">
        <f t="shared" si="50"/>
        <v>36</v>
      </c>
      <c r="E85" s="55">
        <f t="shared" ref="E85:H85" si="55">F9</f>
        <v>2.7899613899613906</v>
      </c>
      <c r="F85" s="55">
        <f t="shared" si="55"/>
        <v>3.7277992277992258</v>
      </c>
      <c r="G85" s="55">
        <f t="shared" si="55"/>
        <v>5.7579150579150573</v>
      </c>
      <c r="H85" s="55">
        <f t="shared" si="55"/>
        <v>6.3312741312741334</v>
      </c>
      <c r="P85" s="17">
        <f t="shared" si="45"/>
        <v>116.79213774977703</v>
      </c>
      <c r="Q85" s="17">
        <f t="shared" si="46"/>
        <v>-1.3862167259141529</v>
      </c>
      <c r="R85" t="s">
        <v>2</v>
      </c>
      <c r="W85" s="86">
        <v>2008</v>
      </c>
      <c r="X85" s="33">
        <v>49</v>
      </c>
      <c r="Y85" s="87">
        <v>7</v>
      </c>
      <c r="AC85" s="83">
        <f t="shared" si="47"/>
        <v>118.82291451123052</v>
      </c>
      <c r="AD85" s="79">
        <f t="shared" si="48"/>
        <v>-2.2773793909010509</v>
      </c>
      <c r="AE85" s="84">
        <f t="shared" si="49"/>
        <v>2.2773793909010509</v>
      </c>
    </row>
    <row r="86" spans="1:37">
      <c r="A86" s="13">
        <v>2009</v>
      </c>
      <c r="B86" s="69">
        <f t="shared" si="43"/>
        <v>115.86731897140135</v>
      </c>
      <c r="C86" s="48">
        <v>7</v>
      </c>
      <c r="D86" s="59">
        <f t="shared" si="50"/>
        <v>49</v>
      </c>
      <c r="E86" s="55">
        <f t="shared" ref="E86:H86" si="56">F10</f>
        <v>2.4281124497991957</v>
      </c>
      <c r="F86" s="55">
        <f t="shared" si="56"/>
        <v>3.7506024096385522</v>
      </c>
      <c r="G86" s="55">
        <f t="shared" si="56"/>
        <v>5.6606425702811229</v>
      </c>
      <c r="H86" s="55">
        <f t="shared" si="56"/>
        <v>5.9140562248996025</v>
      </c>
      <c r="P86" s="17">
        <f t="shared" si="45"/>
        <v>118.59691608263741</v>
      </c>
      <c r="Q86" s="17">
        <f t="shared" si="46"/>
        <v>2.7295971112360604</v>
      </c>
      <c r="R86" t="s">
        <v>2</v>
      </c>
      <c r="W86" s="86">
        <v>2009</v>
      </c>
      <c r="X86" s="33">
        <v>64</v>
      </c>
      <c r="Y86" s="87">
        <v>8</v>
      </c>
      <c r="AC86" s="83">
        <f t="shared" si="47"/>
        <v>116.58679428715379</v>
      </c>
      <c r="AD86" s="79">
        <f t="shared" si="48"/>
        <v>-2.1948610572524228</v>
      </c>
      <c r="AE86" s="84">
        <f t="shared" si="49"/>
        <v>2.1948610572524228</v>
      </c>
    </row>
    <row r="87" spans="1:37">
      <c r="A87" s="13">
        <v>2010</v>
      </c>
      <c r="B87" s="69">
        <f t="shared" si="43"/>
        <v>118.91497624240164</v>
      </c>
      <c r="C87" s="48">
        <v>8</v>
      </c>
      <c r="D87" s="59">
        <f t="shared" si="50"/>
        <v>64</v>
      </c>
      <c r="E87" s="55">
        <f t="shared" ref="E87:H87" si="57">F11</f>
        <v>2.5087591240875908</v>
      </c>
      <c r="F87" s="55">
        <f t="shared" si="57"/>
        <v>3.2806569343065686</v>
      </c>
      <c r="G87" s="55">
        <f t="shared" si="57"/>
        <v>6.2149635036496349</v>
      </c>
      <c r="H87" s="55">
        <f t="shared" si="57"/>
        <v>5.4295620437956194</v>
      </c>
      <c r="P87" s="17">
        <f t="shared" si="45"/>
        <v>118.74678665733614</v>
      </c>
      <c r="Q87" s="17">
        <f t="shared" si="46"/>
        <v>-0.16818958506549109</v>
      </c>
      <c r="R87" t="s">
        <v>2</v>
      </c>
      <c r="W87" s="86">
        <v>2010</v>
      </c>
      <c r="X87" s="33">
        <v>81</v>
      </c>
      <c r="Y87" s="87">
        <v>9</v>
      </c>
      <c r="AC87" s="83">
        <f t="shared" si="47"/>
        <v>114.43319239672567</v>
      </c>
      <c r="AD87" s="79">
        <f t="shared" si="48"/>
        <v>-2.112342723603795</v>
      </c>
      <c r="AE87" s="84">
        <f t="shared" si="49"/>
        <v>2.112342723603795</v>
      </c>
    </row>
    <row r="88" spans="1:37">
      <c r="A88" s="13">
        <v>2011</v>
      </c>
      <c r="B88" s="69">
        <f t="shared" si="43"/>
        <v>111.018639888378</v>
      </c>
      <c r="C88" s="48">
        <v>9</v>
      </c>
      <c r="D88" s="59">
        <f t="shared" si="50"/>
        <v>81</v>
      </c>
      <c r="E88" s="55">
        <f t="shared" ref="E88:H88" si="58">F12</f>
        <v>2.3088235294117641</v>
      </c>
      <c r="F88" s="55">
        <f t="shared" si="58"/>
        <v>4.376050420168065</v>
      </c>
      <c r="G88" s="55">
        <f t="shared" si="58"/>
        <v>5.3382352941176467</v>
      </c>
      <c r="H88" s="55">
        <f t="shared" si="58"/>
        <v>6.5474789915966438</v>
      </c>
      <c r="P88" s="17">
        <f t="shared" si="45"/>
        <v>110.6615302209439</v>
      </c>
      <c r="Q88" s="17">
        <f t="shared" si="46"/>
        <v>-0.35710966743410211</v>
      </c>
      <c r="R88" t="s">
        <v>2</v>
      </c>
      <c r="W88" s="86">
        <v>2011</v>
      </c>
      <c r="X88" s="33">
        <v>100</v>
      </c>
      <c r="Y88" s="87">
        <v>10</v>
      </c>
      <c r="AC88" s="83">
        <f t="shared" si="47"/>
        <v>112.36210883994619</v>
      </c>
      <c r="AD88" s="79">
        <f t="shared" si="48"/>
        <v>-2.0298243899551669</v>
      </c>
      <c r="AE88" s="84">
        <f t="shared" si="49"/>
        <v>2.0298243899551669</v>
      </c>
    </row>
    <row r="89" spans="1:37">
      <c r="A89" s="13">
        <v>2012</v>
      </c>
      <c r="B89" s="69">
        <f t="shared" si="43"/>
        <v>112.83311616937918</v>
      </c>
      <c r="C89" s="48">
        <v>10</v>
      </c>
      <c r="D89" s="59">
        <f t="shared" si="50"/>
        <v>100</v>
      </c>
      <c r="E89" s="55">
        <f t="shared" ref="E89:H89" si="59">F13</f>
        <v>2.4293650793650805</v>
      </c>
      <c r="F89" s="55">
        <f t="shared" si="59"/>
        <v>3.9097857142857135</v>
      </c>
      <c r="G89" s="55">
        <f t="shared" si="59"/>
        <v>5.6051587301587258</v>
      </c>
      <c r="H89" s="55">
        <f t="shared" si="59"/>
        <v>6.120634920634922</v>
      </c>
      <c r="P89" s="17">
        <f t="shared" si="45"/>
        <v>110.43178201931067</v>
      </c>
      <c r="Q89" s="17">
        <f t="shared" si="46"/>
        <v>-2.4013341500685073</v>
      </c>
      <c r="R89" t="s">
        <v>2</v>
      </c>
      <c r="W89" s="86">
        <v>2012</v>
      </c>
      <c r="X89" s="33">
        <v>121</v>
      </c>
      <c r="Y89" s="87">
        <v>11</v>
      </c>
      <c r="AC89" s="83">
        <f t="shared" si="47"/>
        <v>110.37354361681534</v>
      </c>
      <c r="AD89" s="79">
        <f t="shared" si="48"/>
        <v>-1.9473060563065392</v>
      </c>
      <c r="AE89" s="84">
        <f t="shared" si="49"/>
        <v>1.9473060563065392</v>
      </c>
    </row>
    <row r="90" spans="1:37">
      <c r="A90" s="13">
        <v>2013</v>
      </c>
      <c r="B90" s="69">
        <f t="shared" si="43"/>
        <v>113.1924419598468</v>
      </c>
      <c r="C90" s="48">
        <v>11</v>
      </c>
      <c r="D90" s="59">
        <f t="shared" si="50"/>
        <v>121</v>
      </c>
      <c r="E90" s="55">
        <f t="shared" ref="E90:H90" si="60">F14</f>
        <v>2.454104477611939</v>
      </c>
      <c r="F90" s="55">
        <f t="shared" si="60"/>
        <v>2.8831977611940309</v>
      </c>
      <c r="G90" s="55">
        <f t="shared" si="60"/>
        <v>6.2854477611940247</v>
      </c>
      <c r="H90" s="55">
        <f t="shared" si="60"/>
        <v>5.9328358208955221</v>
      </c>
      <c r="P90" s="17">
        <f t="shared" si="45"/>
        <v>113.78163721660758</v>
      </c>
      <c r="Q90" s="17">
        <f t="shared" si="46"/>
        <v>0.58919525676077456</v>
      </c>
      <c r="R90" t="s">
        <v>2</v>
      </c>
      <c r="W90" s="86">
        <v>2013</v>
      </c>
      <c r="X90" s="33">
        <v>144</v>
      </c>
      <c r="Y90" s="87">
        <v>12</v>
      </c>
      <c r="AC90" s="83">
        <f t="shared" si="47"/>
        <v>108.46749672733311</v>
      </c>
      <c r="AD90" s="79">
        <f t="shared" si="48"/>
        <v>-1.8647877226579113</v>
      </c>
      <c r="AE90" s="84">
        <f t="shared" si="49"/>
        <v>1.8647877226579113</v>
      </c>
    </row>
    <row r="91" spans="1:37">
      <c r="A91" s="13">
        <v>2014</v>
      </c>
      <c r="B91" s="69">
        <f t="shared" si="43"/>
        <v>104.36159080773477</v>
      </c>
      <c r="C91" s="48">
        <v>12</v>
      </c>
      <c r="D91" s="59">
        <f t="shared" si="50"/>
        <v>144</v>
      </c>
      <c r="E91" s="55">
        <f t="shared" ref="E91:H91" si="61">F15</f>
        <v>2.1446969696969704</v>
      </c>
      <c r="F91" s="55">
        <f t="shared" si="61"/>
        <v>3.8783560606060599</v>
      </c>
      <c r="G91" s="55">
        <f t="shared" si="61"/>
        <v>5.7632575757575744</v>
      </c>
      <c r="H91" s="55">
        <f t="shared" si="61"/>
        <v>8.2462121212121211</v>
      </c>
      <c r="P91" s="17">
        <f t="shared" si="45"/>
        <v>105.76608250131582</v>
      </c>
      <c r="Q91" s="17">
        <f t="shared" si="46"/>
        <v>1.4044916935810505</v>
      </c>
      <c r="R91" t="s">
        <v>2</v>
      </c>
      <c r="W91" s="86">
        <v>2014</v>
      </c>
      <c r="X91" s="33">
        <f>Y91*Y91</f>
        <v>169</v>
      </c>
      <c r="Y91" s="87">
        <v>13</v>
      </c>
      <c r="AC91" s="83">
        <f t="shared" si="47"/>
        <v>106.64396817149952</v>
      </c>
      <c r="AD91" s="79">
        <f t="shared" si="48"/>
        <v>-1.7822693890092833</v>
      </c>
      <c r="AE91" s="84">
        <f t="shared" si="49"/>
        <v>1.7822693890092833</v>
      </c>
    </row>
    <row r="92" spans="1:37">
      <c r="A92" s="13">
        <v>2015</v>
      </c>
      <c r="B92" s="69">
        <f t="shared" si="43"/>
        <v>104.23998869557927</v>
      </c>
      <c r="C92" s="48">
        <v>13</v>
      </c>
      <c r="D92" s="59">
        <f t="shared" si="50"/>
        <v>169</v>
      </c>
      <c r="E92" s="55">
        <f t="shared" ref="E92:H92" si="62">F16</f>
        <v>2.5697674418604652</v>
      </c>
      <c r="F92" s="55">
        <f t="shared" si="62"/>
        <v>4.0494379844961248</v>
      </c>
      <c r="G92" s="55">
        <f t="shared" si="62"/>
        <v>5.4034883720930216</v>
      </c>
      <c r="H92" s="55">
        <f t="shared" si="62"/>
        <v>7.1717054263565867</v>
      </c>
      <c r="P92" s="17">
        <f t="shared" si="45"/>
        <v>100.869891410554</v>
      </c>
      <c r="Q92" s="17">
        <f t="shared" si="46"/>
        <v>-3.3700972850252668</v>
      </c>
      <c r="W92" s="86">
        <v>2015</v>
      </c>
      <c r="X92" s="33">
        <f t="shared" ref="X92:X94" si="63">Y92*Y92</f>
        <v>196</v>
      </c>
      <c r="Y92" s="87">
        <v>14</v>
      </c>
      <c r="AC92" s="83">
        <f t="shared" si="47"/>
        <v>104.90295794931455</v>
      </c>
      <c r="AD92" s="79">
        <f t="shared" si="48"/>
        <v>-1.6997510553606554</v>
      </c>
      <c r="AE92" s="84">
        <f t="shared" si="49"/>
        <v>1.6997510553606554</v>
      </c>
    </row>
    <row r="93" spans="1:37">
      <c r="A93" s="13">
        <v>2016</v>
      </c>
      <c r="B93" s="69">
        <f t="shared" si="43"/>
        <v>106.02947381887981</v>
      </c>
      <c r="C93" s="48">
        <v>14</v>
      </c>
      <c r="D93" s="59">
        <f t="shared" si="50"/>
        <v>196</v>
      </c>
      <c r="E93" s="55">
        <f t="shared" ref="E93:H93" si="64">F17</f>
        <v>2.4999999999999996</v>
      </c>
      <c r="F93" s="55">
        <f t="shared" si="64"/>
        <v>3.3262971887550226</v>
      </c>
      <c r="G93" s="55">
        <f t="shared" si="64"/>
        <v>5.7658634538152622</v>
      </c>
      <c r="H93" s="55">
        <f t="shared" si="64"/>
        <v>6.0979919678714882</v>
      </c>
      <c r="I93" s="73">
        <f>CORREL(P79:P94,B79:B94)</f>
        <v>0.98621203098468957</v>
      </c>
      <c r="J93" s="20" t="s">
        <v>11</v>
      </c>
      <c r="P93" s="17">
        <f t="shared" si="45"/>
        <v>106.04568977536891</v>
      </c>
      <c r="Q93" s="17">
        <f t="shared" si="46"/>
        <v>1.6215956489105565E-2</v>
      </c>
      <c r="W93" s="86">
        <v>2016</v>
      </c>
      <c r="X93" s="33">
        <f t="shared" si="63"/>
        <v>225</v>
      </c>
      <c r="Y93" s="87">
        <v>15</v>
      </c>
      <c r="AC93" s="83">
        <f t="shared" si="47"/>
        <v>103.24446606077821</v>
      </c>
      <c r="AD93" s="79">
        <f t="shared" si="48"/>
        <v>-1.6172327217120275</v>
      </c>
      <c r="AE93" s="84">
        <f t="shared" si="49"/>
        <v>1.6172327217120275</v>
      </c>
    </row>
    <row r="94" spans="1:37" ht="17" thickBot="1">
      <c r="A94" s="13">
        <v>2017</v>
      </c>
      <c r="B94" s="69">
        <f t="shared" si="43"/>
        <v>98.023225681486593</v>
      </c>
      <c r="C94" s="49">
        <v>15</v>
      </c>
      <c r="D94" s="59">
        <f t="shared" si="50"/>
        <v>225</v>
      </c>
      <c r="E94" s="55">
        <f t="shared" ref="E94:H94" si="65">F18</f>
        <v>2.573846153846155</v>
      </c>
      <c r="F94" s="55">
        <f t="shared" si="65"/>
        <v>4.0233269230769251</v>
      </c>
      <c r="G94" s="55">
        <f t="shared" si="65"/>
        <v>5.62153846153846</v>
      </c>
      <c r="H94" s="55">
        <f t="shared" si="65"/>
        <v>6.59</v>
      </c>
      <c r="P94" s="17">
        <f t="shared" si="45"/>
        <v>99.919738653717133</v>
      </c>
      <c r="Q94" s="17">
        <f t="shared" si="46"/>
        <v>1.8965129722305392</v>
      </c>
      <c r="W94" s="88">
        <v>2017</v>
      </c>
      <c r="X94" s="115">
        <f t="shared" si="63"/>
        <v>256</v>
      </c>
      <c r="Y94" s="89">
        <v>16</v>
      </c>
      <c r="AC94" s="97">
        <f t="shared" si="47"/>
        <v>101.6684925058905</v>
      </c>
      <c r="AD94" s="98">
        <f t="shared" si="48"/>
        <v>-1.5347143880633995</v>
      </c>
      <c r="AE94" s="99">
        <f t="shared" si="49"/>
        <v>1.5347143880633995</v>
      </c>
    </row>
    <row r="95" spans="1:37" ht="1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 t="s">
        <v>2</v>
      </c>
      <c r="L95" s="22"/>
      <c r="M95" s="22"/>
      <c r="N95" s="22"/>
      <c r="O95" s="22"/>
      <c r="P95" s="22"/>
      <c r="Q95" s="136">
        <f>SUM(Q79:Q94)</f>
        <v>-4.4053649617126212E-13</v>
      </c>
      <c r="R95" s="22"/>
      <c r="S95" s="90"/>
      <c r="T95" s="90"/>
      <c r="U95" s="90"/>
      <c r="V95" s="90" t="s">
        <v>2</v>
      </c>
      <c r="W95" s="85">
        <v>2018</v>
      </c>
      <c r="X95" s="112">
        <f>Y95*Y95</f>
        <v>289</v>
      </c>
      <c r="Y95" s="113">
        <v>17</v>
      </c>
      <c r="Z95" s="92"/>
      <c r="AA95" s="92"/>
      <c r="AB95" s="92"/>
      <c r="AC95" s="101">
        <f t="shared" ref="AC95:AC101" si="66">Z$79*Y95+AA$79*X95+AB$79</f>
        <v>100.17503728465141</v>
      </c>
      <c r="AD95" s="102">
        <f t="shared" ref="AD95:AD101" si="67">2*AA$79*Y95+Z$79</f>
        <v>-1.4521960544147716</v>
      </c>
      <c r="AE95" s="103">
        <f t="shared" ref="AE95:AE101" si="68">AD95*-1</f>
        <v>1.4521960544147716</v>
      </c>
    </row>
    <row r="96" spans="1:37">
      <c r="O96" t="s">
        <v>30</v>
      </c>
      <c r="W96" s="86">
        <v>2019</v>
      </c>
      <c r="X96" s="106">
        <f>Y96*Y96</f>
        <v>324</v>
      </c>
      <c r="Y96" s="91">
        <v>18</v>
      </c>
      <c r="Z96" s="92"/>
      <c r="AA96" s="92"/>
      <c r="AB96" s="92"/>
      <c r="AC96" s="104">
        <f t="shared" si="66"/>
        <v>98.764100397060957</v>
      </c>
      <c r="AD96" s="100">
        <f t="shared" si="67"/>
        <v>-1.3696777207661437</v>
      </c>
      <c r="AE96" s="105">
        <f t="shared" si="68"/>
        <v>1.3696777207661437</v>
      </c>
    </row>
    <row r="97" spans="15:31">
      <c r="O97">
        <f>Z79</f>
        <v>-2.8550077264414462</v>
      </c>
      <c r="W97" s="86">
        <v>2020</v>
      </c>
      <c r="X97" s="106">
        <f>Y97*Y97</f>
        <v>361</v>
      </c>
      <c r="Y97" s="91">
        <v>19</v>
      </c>
      <c r="Z97" s="92"/>
      <c r="AA97" s="92"/>
      <c r="AB97" s="92"/>
      <c r="AC97" s="104">
        <f t="shared" si="66"/>
        <v>97.435681843119113</v>
      </c>
      <c r="AD97" s="100">
        <f t="shared" si="67"/>
        <v>-1.2871593871175158</v>
      </c>
      <c r="AE97" s="105">
        <f t="shared" si="68"/>
        <v>1.2871593871175158</v>
      </c>
    </row>
    <row r="98" spans="15:31">
      <c r="O98">
        <f>AA79</f>
        <v>4.1259166824313957E-2</v>
      </c>
      <c r="W98" s="86">
        <v>2021</v>
      </c>
      <c r="X98" s="106">
        <f>Y98*Y98</f>
        <v>400</v>
      </c>
      <c r="Y98" s="91">
        <v>20</v>
      </c>
      <c r="Z98" s="92"/>
      <c r="AA98" s="92"/>
      <c r="AB98" s="92"/>
      <c r="AC98" s="104">
        <f t="shared" si="66"/>
        <v>96.189781622825919</v>
      </c>
      <c r="AD98" s="100">
        <f t="shared" si="67"/>
        <v>-1.2046410534688878</v>
      </c>
      <c r="AE98" s="105">
        <f t="shared" si="68"/>
        <v>1.2046410534688878</v>
      </c>
    </row>
    <row r="99" spans="15:31">
      <c r="O99">
        <f>AB79</f>
        <v>136.78626942192926</v>
      </c>
      <c r="W99" s="86">
        <v>2022</v>
      </c>
      <c r="X99" s="106">
        <f t="shared" ref="X99:X102" si="69">Y99*Y99</f>
        <v>441</v>
      </c>
      <c r="Y99" s="91">
        <v>21</v>
      </c>
      <c r="Z99" s="92"/>
      <c r="AA99" s="92"/>
      <c r="AB99" s="92"/>
      <c r="AC99" s="104">
        <f t="shared" si="66"/>
        <v>95.026399736181347</v>
      </c>
      <c r="AD99" s="100">
        <f t="shared" si="67"/>
        <v>-1.1221227198202599</v>
      </c>
      <c r="AE99" s="105">
        <f t="shared" si="68"/>
        <v>1.1221227198202599</v>
      </c>
    </row>
    <row r="100" spans="15:31">
      <c r="O100" t="s">
        <v>31</v>
      </c>
      <c r="W100" s="86">
        <v>2023</v>
      </c>
      <c r="X100" s="106">
        <f t="shared" si="69"/>
        <v>484</v>
      </c>
      <c r="Y100" s="91">
        <v>22</v>
      </c>
      <c r="Z100" s="92"/>
      <c r="AA100" s="92"/>
      <c r="AB100" s="92"/>
      <c r="AC100" s="104">
        <f t="shared" si="66"/>
        <v>93.945536183185396</v>
      </c>
      <c r="AD100" s="100">
        <f t="shared" si="67"/>
        <v>-1.039604386171632</v>
      </c>
      <c r="AE100" s="105">
        <f t="shared" si="68"/>
        <v>1.039604386171632</v>
      </c>
    </row>
    <row r="101" spans="15:31">
      <c r="O101">
        <f>Z81</f>
        <v>0.9207736386299662</v>
      </c>
      <c r="W101" s="86">
        <v>2024</v>
      </c>
      <c r="X101" s="106">
        <f t="shared" si="69"/>
        <v>529</v>
      </c>
      <c r="Y101" s="91">
        <v>23</v>
      </c>
      <c r="Z101" s="92"/>
      <c r="AA101" s="92"/>
      <c r="AB101" s="92"/>
      <c r="AC101" s="104">
        <f t="shared" si="66"/>
        <v>92.947190963838082</v>
      </c>
      <c r="AD101" s="100">
        <f t="shared" si="67"/>
        <v>-0.95708605252300405</v>
      </c>
      <c r="AE101" s="105">
        <f t="shared" si="68"/>
        <v>0.95708605252300405</v>
      </c>
    </row>
    <row r="102" spans="15:31" ht="17" thickBot="1">
      <c r="O102" t="s">
        <v>32</v>
      </c>
      <c r="W102" s="88">
        <v>2024</v>
      </c>
      <c r="X102" s="108">
        <f t="shared" si="69"/>
        <v>576</v>
      </c>
      <c r="Y102" s="96">
        <v>24</v>
      </c>
      <c r="AC102" s="93">
        <f t="shared" ref="AC102" si="70">Z$79*Y102+AA$79*X102+AB$79</f>
        <v>92.03136407813939</v>
      </c>
      <c r="AD102" s="94">
        <f t="shared" ref="AD102" si="71">2*AA$79*Y102+Z$79</f>
        <v>-0.87456771887437634</v>
      </c>
      <c r="AE102" s="95">
        <f t="shared" ref="AE102" si="72">AD102*-1</f>
        <v>0.87456771887437634</v>
      </c>
    </row>
    <row r="103" spans="15:31">
      <c r="O103">
        <f>SLOPE(P79:P94,Y79:Y94)</f>
        <v>-2.1536018904281082</v>
      </c>
    </row>
    <row r="104" spans="15:31">
      <c r="O104">
        <f>INTERCEPT(P79:P94,Y79:Y94)</f>
        <v>134.68205191388927</v>
      </c>
    </row>
    <row r="105" spans="15:31">
      <c r="O105" t="s">
        <v>31</v>
      </c>
    </row>
    <row r="106" spans="15:31">
      <c r="O106">
        <f>CORREL(P79:P94,Y79:Y94)</f>
        <v>-0.95662465833811317</v>
      </c>
    </row>
  </sheetData>
  <mergeCells count="12">
    <mergeCell ref="C77:G77"/>
    <mergeCell ref="I77:O77"/>
    <mergeCell ref="Z78:AB78"/>
    <mergeCell ref="Z2:AB2"/>
    <mergeCell ref="C58:G58"/>
    <mergeCell ref="H58:M58"/>
    <mergeCell ref="C1:I1"/>
    <mergeCell ref="J1:Q1"/>
    <mergeCell ref="C20:I20"/>
    <mergeCell ref="J20:Q20"/>
    <mergeCell ref="C39:I39"/>
    <mergeCell ref="J39:Q39"/>
  </mergeCells>
  <pageMargins left="0.7" right="0.7" top="0.78740157499999996" bottom="0.78740157499999996" header="0.3" footer="0.3"/>
  <ignoredErrors>
    <ignoredError sqref="T41:T42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10</vt:i4>
      </vt:variant>
    </vt:vector>
  </HeadingPairs>
  <TitlesOfParts>
    <vt:vector size="12" baseType="lpstr">
      <vt:lpstr>Diagrammtitel</vt:lpstr>
      <vt:lpstr>Regression 1</vt:lpstr>
      <vt:lpstr>Dia 1</vt:lpstr>
      <vt:lpstr>Dia 2</vt:lpstr>
      <vt:lpstr>Dia 3</vt:lpstr>
      <vt:lpstr>Dia 4</vt:lpstr>
      <vt:lpstr>Dia 5</vt:lpstr>
      <vt:lpstr>Dia 6</vt:lpstr>
      <vt:lpstr>Dia 7</vt:lpstr>
      <vt:lpstr>Dia 8</vt:lpstr>
      <vt:lpstr>Dia 9</vt:lpstr>
      <vt:lpstr>Dia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2018-04-04T12:38:33Z</dcterms:created>
  <dcterms:modified xsi:type="dcterms:W3CDTF">2018-05-30T13:35:21Z</dcterms:modified>
</cp:coreProperties>
</file>